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a\Desktop\SIMULATION\"/>
    </mc:Choice>
  </mc:AlternateContent>
  <bookViews>
    <workbookView minimized="1" xWindow="0" yWindow="0" windowWidth="15345" windowHeight="6780" tabRatio="524" firstSheet="2" activeTab="4"/>
  </bookViews>
  <sheets>
    <sheet name="Parameter" sheetId="1" r:id="rId1"/>
    <sheet name="Deckblatt" sheetId="20" r:id="rId2"/>
    <sheet name="Zinszahlen" sheetId="19" r:id="rId3"/>
    <sheet name="Männer" sheetId="5" r:id="rId4"/>
    <sheet name="Frauen" sheetId="2" r:id="rId5"/>
    <sheet name="4-Decrement model - Männer" sheetId="22" r:id="rId6"/>
    <sheet name="4-Decrement model - Frauen" sheetId="48" r:id="rId7"/>
    <sheet name="Hilfsparameter" sheetId="6" r:id="rId8"/>
    <sheet name="Salaries" sheetId="45" r:id="rId9"/>
    <sheet name="Active persons" sheetId="21" r:id="rId10"/>
    <sheet name="Disabled persons" sheetId="44" r:id="rId11"/>
    <sheet name="Retired persons" sheetId="43" r:id="rId12"/>
    <sheet name="Withdrawal at t = 0" sheetId="47" r:id="rId13"/>
    <sheet name="Result" sheetId="28" r:id="rId14"/>
    <sheet name="result2" sheetId="29" r:id="rId15"/>
    <sheet name="Correlation Matrix" sheetId="35" r:id="rId16"/>
    <sheet name="Yield - Risk" sheetId="36" r:id="rId17"/>
    <sheet name="Variance-Covariance Matrix" sheetId="37" r:id="rId18"/>
    <sheet name="Cholesky Decomposition" sheetId="40" r:id="rId19"/>
  </sheets>
  <functionGroups builtInGroupCount="18"/>
  <definedNames>
    <definedName name="_qa1">Frauen!$B$7</definedName>
    <definedName name="_qa3">Frauen!$B$9</definedName>
    <definedName name="_qa4">Frauen!$B$10</definedName>
    <definedName name="äimx">Männer!$AM$9:$AM$102</definedName>
    <definedName name="äimy">Frauen!$AM$9:$AM$102</definedName>
    <definedName name="äkx">Männer!$IQ$9:$IQ$102</definedName>
    <definedName name="äky">Frauen!$IQ$9:$IQ$102</definedName>
    <definedName name="äms25zs">Männer!$CD$9:$CD$102</definedName>
    <definedName name="äms25zsy">Frauen!$CD$9:$CD$102</definedName>
    <definedName name="ämwx">Männer!$BD$9:$BD$102</definedName>
    <definedName name="ämx">Männer!$AV$9:$AV$102</definedName>
    <definedName name="ämy">Frauen!$AV$9:$AV$102</definedName>
    <definedName name="äw12x">Frauen!$BD$9:$BD$102</definedName>
    <definedName name="äw12y">Männer!$BD$9:$BD$102</definedName>
    <definedName name="äwx">Männer!$CS$9:$CS$102</definedName>
    <definedName name="äwy">Frauen!$CS$9:$CS$102</definedName>
    <definedName name="BeginnAlter">Hilfsparameter!$F$8</definedName>
    <definedName name="Caix">Männer!$AC$9:$AC$102</definedName>
    <definedName name="Caiy">Frauen!$AC$9:$AC$102</definedName>
    <definedName name="Cax">Männer!$AA$9:$AA$102</definedName>
    <definedName name="Cay">Frauen!$AA$9:$AA$102</definedName>
    <definedName name="Daix">Männer!$BK$9:$BK$102</definedName>
    <definedName name="Daixs">Männer!$BR$9:$BR$102</definedName>
    <definedName name="Daiy">Frauen!$BK$9:$BK$102</definedName>
    <definedName name="Daiys">Frauen!$BR$9:$BR$102</definedName>
    <definedName name="Dakx">Männer!$IF$9:$IF$102</definedName>
    <definedName name="Daky">Frauen!$IF$9:$IF$102</definedName>
    <definedName name="Dawx">Männer!$CH$9:$CH$102</definedName>
    <definedName name="Dawy">Frauen!$CH$9:$CH$102</definedName>
    <definedName name="Dax">Männer!$Y$9:$Y$102</definedName>
    <definedName name="Day">Frauen!$Y$9:$Y$102</definedName>
    <definedName name="Dazx">Männer!$BZ$9:$BZ$102</definedName>
    <definedName name="Dazy">Frauen!$BZ$9:$BZ$102</definedName>
    <definedName name="Dikx">Männer!$IJ$9:$IJ$102</definedName>
    <definedName name="Diky">Frauen!$IJ$9:$IJ$102</definedName>
    <definedName name="Diwx">Männer!$CL$9:$CL$102</definedName>
    <definedName name="Diwy">Frauen!$CL$9:$CL$102</definedName>
    <definedName name="Dix">Männer!$AI$9:$AI$102</definedName>
    <definedName name="Diy">Frauen!$AI$9:$AI$102</definedName>
    <definedName name="Ds25zs">Männer!$CC$9:$CC$102</definedName>
    <definedName name="Ds25zsy">Frauen!$CC$9:$CC$102</definedName>
    <definedName name="Dx">Männer!$AR$9:$AR$102</definedName>
    <definedName name="Dy">Frauen!$AR$9:$AR$102</definedName>
    <definedName name="FaktorAlter">Hilfsparameter!$F$9</definedName>
    <definedName name="FT">Hilfsparameter!$D$3</definedName>
    <definedName name="Grundlagen">Zinszahlen!$F$1</definedName>
    <definedName name="_xlnm.Print_Titles" localSheetId="4">Frauen!$1:$7</definedName>
    <definedName name="_xlnm.Print_Titles" localSheetId="3">Männer!$1:$8</definedName>
    <definedName name="_xlnm.Print_Titles" localSheetId="2">Zinszahlen!$A:$F,Zinszahlen!$1:$8</definedName>
    <definedName name="Ix">Männer!$I$9:$I$102</definedName>
    <definedName name="Iy">Frauen!$I$9:$I$102</definedName>
    <definedName name="kx">Männer!$R$9:$R$102</definedName>
    <definedName name="ky">Frauen!$R$9:$R$102</definedName>
    <definedName name="lix">Männer!$L$9:$L$102</definedName>
    <definedName name="liy">Frauen!$L$9:$L$102</definedName>
    <definedName name="lx">Männer!$J$9:$J$102</definedName>
    <definedName name="ly">Frauen!$J$9:$J$102</definedName>
    <definedName name="m" localSheetId="2">Parameter!$B$5</definedName>
    <definedName name="m">Parameter!$B$5</definedName>
    <definedName name="MT">Hilfsparameter!$D$4</definedName>
    <definedName name="Naix">Männer!$BL$9:$BL$102</definedName>
    <definedName name="Naixs">Männer!$BS$9:$BS$102</definedName>
    <definedName name="Naiy">Frauen!$BL$9:$BL$102</definedName>
    <definedName name="Naiys">Frauen!$BS$9:$BS$102</definedName>
    <definedName name="Nakx">Männer!$IG$9:$IG$102</definedName>
    <definedName name="Naky">Frauen!$IG$9:$IG$102</definedName>
    <definedName name="Nawx">Männer!$CI$9:$CI$102</definedName>
    <definedName name="Nawy">Frauen!$CI$9:$CI$102</definedName>
    <definedName name="Nax">Männer!$Z$9:$Z$102</definedName>
    <definedName name="Nay">Frauen!$Z$9:$Z$102</definedName>
    <definedName name="Nazx">Männer!$CA$9:$CA$102</definedName>
    <definedName name="Nazy">Frauen!$CA$9:$CA$102</definedName>
    <definedName name="Nix">Männer!$AK$9:$AK$102</definedName>
    <definedName name="Niy">Frauen!$AK$9:$AK$102</definedName>
    <definedName name="Nx">Männer!$AS$9:$AS$102</definedName>
    <definedName name="Ny">Frauen!$AS$9:$AS$102</definedName>
    <definedName name="qix">Männer!$D$9:$D$102</definedName>
    <definedName name="qiy">Frauen!$D$9:$D$102</definedName>
    <definedName name="qx">Männer!$E$9:$E$102</definedName>
    <definedName name="qy">Frauen!$E$9:$E$102</definedName>
    <definedName name="RAF">Parameter!$B$7</definedName>
    <definedName name="RAK">Parameter!$B$8</definedName>
    <definedName name="RAM">Parameter!$B$6</definedName>
    <definedName name="Rundäx">Hilfsparameter!$B$5</definedName>
    <definedName name="Rundäx12">Hilfsparameter!#REF!</definedName>
    <definedName name="RundCx">Hilfsparameter!$B$8</definedName>
    <definedName name="RundDx">Hilfsparameter!$B$4</definedName>
    <definedName name="Rundex">Hilfsparameter!$B$7</definedName>
    <definedName name="RundIx">Hilfsparameter!$B$6</definedName>
    <definedName name="Rundlx">Hilfsparameter!$B$3</definedName>
    <definedName name="RundNx">Hilfsparameter!#REF!</definedName>
    <definedName name="Rundqx">Hilfsparameter!#REF!</definedName>
    <definedName name="RundSx">Hilfsparameter!#REF!</definedName>
    <definedName name="Rundvx">Hilfsparameter!#REF!</definedName>
    <definedName name="Spezifikation">Männer!$E$4</definedName>
    <definedName name="TitelRA">Männer!$AF$4</definedName>
    <definedName name="v" localSheetId="2">Hilfsparameter!$F$10</definedName>
    <definedName name="v">Hilfsparameter!$F$10</definedName>
    <definedName name="wrn.EVK._.2000." hidden="1">{"Zinszahlen1",#N/A,TRUE,"Zinszahlen";"Zinszahlen2",#N/A,TRUE,"Zinszahlen";"Zinszahlen3",#N/A,TRUE,"Zinszahlen";"MT1a",#N/A,TRUE,"Männer";"MT1b",#N/A,TRUE,"Männer";"MT2a",#N/A,TRUE,"Männer";"MT2b",#N/A,TRUE,"Männer";"MT3a",#N/A,TRUE,"Männer";"MT3b",#N/A,TRUE,"Männer";"MT4a",#N/A,TRUE,"Männer";"MT5a",#N/A,TRUE,"Männer";"MT6a",#N/A,TRUE,"Männer";"MT6b",#N/A,TRUE,"Männer";"MT7a",#N/A,TRUE,"Männer";"MT7b",#N/A,TRUE,"Männer";"MT8a",#N/A,TRUE,"Männer";"MT9a",#N/A,TRUE,"Männer";"MT10a",#N/A,TRUE,"Männer";"MT11a",#N/A,TRUE,"Männer";"MT12a",#N/A,TRUE,"Männer";"MT13a",#N/A,TRUE,"Männer";"MT14a",#N/A,TRUE,"Männer";"MT15a",#N/A,TRUE,"Männer";"MT16a",#N/A,TRUE,"Männer";"MT17a",#N/A,TRUE,"Männer";"MT18a",#N/A,TRUE,"Männer";"MT19a",#N/A,TRUE,"Männer";"MT20a",#N/A,TRUE,"Männer";"MT21a",#N/A,TRUE,"Männer";"MT22a",#N/A,TRUE,"Männer";"MT23a",#N/A,TRUE,"Männer";"FT1a",#N/A,TRUE,"Frauen";"FT1b",#N/A,TRUE,"Frauen";"FT2a",#N/A,TRUE,"Frauen";"FT2b",#N/A,TRUE,"Frauen";"FT3a",#N/A,TRUE,"Frauen";"FT3b",#N/A,TRUE,"Frauen";"FT4a",#N/A,TRUE,"Frauen";"FT5a",#N/A,TRUE,"Frauen";"FT6a",#N/A,TRUE,"Frauen";"FT6b",#N/A,TRUE,"Frauen";"FT7a",#N/A,TRUE,"Frauen";"FT7b",#N/A,TRUE,"Frauen";"FT8a",#N/A,TRUE,"Frauen";"FT9a",#N/A,TRUE,"Frauen";"FT10a",#N/A,TRUE,"Frauen";"FT11a",#N/A,TRUE,"Frauen";"FT12a",#N/A,TRUE,"Frauen";"FT13a",#N/A,TRUE,"Frauen";"FT14a",#N/A,TRUE,"Frauen";"FT15a",#N/A,TRUE,"Frauen";"FT16a",#N/A,TRUE,"Frauen";"FT17a",#N/A,TRUE,"Frauen";"FT18a",#N/A,TRUE,"Frauen";"FT19a",#N/A,TRUE,"Frauen";"FT20a",#N/A,TRUE,"Frauen";"FT21a",#N/A,TRUE,"Frauen";"FT22a",#N/A,TRUE,"Frauen";"FT23a",#N/A,TRUE,"Frauen";"Deckblatt",#N/A,TRUE,"Deckblatt"}</definedName>
    <definedName name="wx">Männer!$P$9:$P$102</definedName>
    <definedName name="yx">Männer!$Q$9:$Q$102</definedName>
    <definedName name="Z_30BFA3A9_776B_11D4_A436_0050044063A3_.wvu.PrintArea" localSheetId="4" hidden="1">Frauen!$A$1:$E$102</definedName>
    <definedName name="Z_30BFA3A9_776B_11D4_A436_0050044063A3_.wvu.PrintArea" localSheetId="3" hidden="1">Männer!$A$1:$E$56</definedName>
    <definedName name="Z_30BFA3A9_776B_11D4_A436_0050044063A3_.wvu.PrintArea" localSheetId="0" hidden="1">Parameter!$A$1:$C$8</definedName>
    <definedName name="Z_30BFA3A9_776B_11D4_A436_0050044063A3_.wvu.PrintArea" localSheetId="2" hidden="1">Zinszahlen!$A$90:$F$129</definedName>
    <definedName name="Z_30BFA3A9_776B_11D4_A436_0050044063A3_.wvu.PrintTitles" localSheetId="4" hidden="1">Frauen!$1:$7</definedName>
    <definedName name="Z_30BFA3A9_776B_11D4_A436_0050044063A3_.wvu.PrintTitles" localSheetId="3" hidden="1">Männer!$1:$8</definedName>
    <definedName name="Z_30BFA3A9_776B_11D4_A436_0050044063A3_.wvu.PrintTitles" localSheetId="2" hidden="1">Zinszahlen!$A:$F,Zinszahlen!$1:$8</definedName>
    <definedName name="Z_30BFA3AA_776B_11D4_A436_0050044063A3_.wvu.PrintArea" localSheetId="4" hidden="1">Frauen!$A$1:$E$102</definedName>
    <definedName name="Z_30BFA3AA_776B_11D4_A436_0050044063A3_.wvu.PrintArea" localSheetId="3" hidden="1">Männer!$A$57:$E$102</definedName>
    <definedName name="Z_30BFA3AA_776B_11D4_A436_0050044063A3_.wvu.PrintArea" localSheetId="0" hidden="1">Parameter!$A$1:$C$8</definedName>
    <definedName name="Z_30BFA3AA_776B_11D4_A436_0050044063A3_.wvu.PrintArea" localSheetId="2" hidden="1">Zinszahlen!$A$90:$F$129</definedName>
    <definedName name="Z_30BFA3AA_776B_11D4_A436_0050044063A3_.wvu.PrintTitles" localSheetId="4" hidden="1">Frauen!$1:$7</definedName>
    <definedName name="Z_30BFA3AA_776B_11D4_A436_0050044063A3_.wvu.PrintTitles" localSheetId="3" hidden="1">Männer!$1:$8</definedName>
    <definedName name="Z_30BFA3AA_776B_11D4_A436_0050044063A3_.wvu.PrintTitles" localSheetId="2" hidden="1">Zinszahlen!$A:$F,Zinszahlen!$1:$8</definedName>
    <definedName name="Z_30BFA3AB_776B_11D4_A436_0050044063A3_.wvu.PrintArea" localSheetId="4" hidden="1">Frauen!$A$1:$E$102</definedName>
    <definedName name="Z_30BFA3AB_776B_11D4_A436_0050044063A3_.wvu.PrintArea" localSheetId="3" hidden="1">Männer!$G$1:$M$56</definedName>
    <definedName name="Z_30BFA3AB_776B_11D4_A436_0050044063A3_.wvu.PrintArea" localSheetId="0" hidden="1">Parameter!$A$1:$C$8</definedName>
    <definedName name="Z_30BFA3AB_776B_11D4_A436_0050044063A3_.wvu.PrintArea" localSheetId="2" hidden="1">Zinszahlen!$A$90:$F$129</definedName>
    <definedName name="Z_30BFA3AB_776B_11D4_A436_0050044063A3_.wvu.PrintTitles" localSheetId="4" hidden="1">Frauen!$1:$7</definedName>
    <definedName name="Z_30BFA3AB_776B_11D4_A436_0050044063A3_.wvu.PrintTitles" localSheetId="3" hidden="1">Männer!$1:$8</definedName>
    <definedName name="Z_30BFA3AB_776B_11D4_A436_0050044063A3_.wvu.PrintTitles" localSheetId="2" hidden="1">Zinszahlen!$A:$F,Zinszahlen!$1:$8</definedName>
    <definedName name="Z_30BFA3AC_776B_11D4_A436_0050044063A3_.wvu.PrintArea" localSheetId="4" hidden="1">Frauen!$A$1:$E$102</definedName>
    <definedName name="Z_30BFA3AC_776B_11D4_A436_0050044063A3_.wvu.PrintArea" localSheetId="3" hidden="1">Männer!$G$57:$M$102</definedName>
    <definedName name="Z_30BFA3AC_776B_11D4_A436_0050044063A3_.wvu.PrintArea" localSheetId="0" hidden="1">Parameter!$A$1:$C$8</definedName>
    <definedName name="Z_30BFA3AC_776B_11D4_A436_0050044063A3_.wvu.PrintArea" localSheetId="2" hidden="1">Zinszahlen!$A$90:$F$129</definedName>
    <definedName name="Z_30BFA3AC_776B_11D4_A436_0050044063A3_.wvu.PrintTitles" localSheetId="4" hidden="1">Frauen!$1:$7</definedName>
    <definedName name="Z_30BFA3AC_776B_11D4_A436_0050044063A3_.wvu.PrintTitles" localSheetId="3" hidden="1">Männer!$1:$8</definedName>
    <definedName name="Z_30BFA3AC_776B_11D4_A436_0050044063A3_.wvu.PrintTitles" localSheetId="2" hidden="1">Zinszahlen!$A:$F,Zinszahlen!$1:$8</definedName>
    <definedName name="Z_30BFA3AD_776B_11D4_A436_0050044063A3_.wvu.PrintArea" localSheetId="4" hidden="1">Frauen!$A$1:$E$102</definedName>
    <definedName name="Z_30BFA3AD_776B_11D4_A436_0050044063A3_.wvu.PrintArea" localSheetId="3" hidden="1">Männer!$O$1:$V$56</definedName>
    <definedName name="Z_30BFA3AD_776B_11D4_A436_0050044063A3_.wvu.PrintArea" localSheetId="0" hidden="1">Parameter!$A$1:$C$8</definedName>
    <definedName name="Z_30BFA3AD_776B_11D4_A436_0050044063A3_.wvu.PrintArea" localSheetId="2" hidden="1">Zinszahlen!$A$90:$F$129</definedName>
    <definedName name="Z_30BFA3AD_776B_11D4_A436_0050044063A3_.wvu.PrintTitles" localSheetId="4" hidden="1">Frauen!$1:$7</definedName>
    <definedName name="Z_30BFA3AD_776B_11D4_A436_0050044063A3_.wvu.PrintTitles" localSheetId="3" hidden="1">Männer!$1:$8</definedName>
    <definedName name="Z_30BFA3AD_776B_11D4_A436_0050044063A3_.wvu.PrintTitles" localSheetId="2" hidden="1">Zinszahlen!$A:$F,Zinszahlen!$1:$8</definedName>
    <definedName name="Z_30BFA3AE_776B_11D4_A436_0050044063A3_.wvu.PrintArea" localSheetId="4" hidden="1">Frauen!$A$1:$E$102</definedName>
    <definedName name="Z_30BFA3AE_776B_11D4_A436_0050044063A3_.wvu.PrintArea" localSheetId="3" hidden="1">Männer!$O$57:$V$102</definedName>
    <definedName name="Z_30BFA3AE_776B_11D4_A436_0050044063A3_.wvu.PrintArea" localSheetId="0" hidden="1">Parameter!$A$1:$C$8</definedName>
    <definedName name="Z_30BFA3AE_776B_11D4_A436_0050044063A3_.wvu.PrintArea" localSheetId="2" hidden="1">Zinszahlen!$A$90:$F$129</definedName>
    <definedName name="Z_30BFA3AE_776B_11D4_A436_0050044063A3_.wvu.PrintTitles" localSheetId="4" hidden="1">Frauen!$1:$7</definedName>
    <definedName name="Z_30BFA3AE_776B_11D4_A436_0050044063A3_.wvu.PrintTitles" localSheetId="3" hidden="1">Männer!$1:$8</definedName>
    <definedName name="Z_30BFA3AE_776B_11D4_A436_0050044063A3_.wvu.PrintTitles" localSheetId="2" hidden="1">Zinszahlen!$A:$F,Zinszahlen!$1:$8</definedName>
    <definedName name="Z_30BFA3AF_776B_11D4_A436_0050044063A3_.wvu.PrintArea" localSheetId="4" hidden="1">Frauen!$A$1:$E$102</definedName>
    <definedName name="Z_30BFA3AF_776B_11D4_A436_0050044063A3_.wvu.PrintArea" localSheetId="3" hidden="1">Männer!$X$1:$AF$57</definedName>
    <definedName name="Z_30BFA3AF_776B_11D4_A436_0050044063A3_.wvu.PrintArea" localSheetId="0" hidden="1">Parameter!$A$1:$C$8</definedName>
    <definedName name="Z_30BFA3AF_776B_11D4_A436_0050044063A3_.wvu.PrintArea" localSheetId="2" hidden="1">Zinszahlen!$A$90:$F$129</definedName>
    <definedName name="Z_30BFA3AF_776B_11D4_A436_0050044063A3_.wvu.PrintTitles" localSheetId="4" hidden="1">Frauen!$1:$7</definedName>
    <definedName name="Z_30BFA3AF_776B_11D4_A436_0050044063A3_.wvu.PrintTitles" localSheetId="3" hidden="1">Männer!$1:$8</definedName>
    <definedName name="Z_30BFA3AF_776B_11D4_A436_0050044063A3_.wvu.PrintTitles" localSheetId="2" hidden="1">Zinszahlen!$A:$F,Zinszahlen!$1:$8</definedName>
    <definedName name="Z_30BFA3B1_776B_11D4_A436_0050044063A3_.wvu.PrintArea" localSheetId="4" hidden="1">Frauen!$A$1:$E$102</definedName>
    <definedName name="Z_30BFA3B1_776B_11D4_A436_0050044063A3_.wvu.PrintArea" localSheetId="3" hidden="1">Männer!$AH$1:$AO$57</definedName>
    <definedName name="Z_30BFA3B1_776B_11D4_A436_0050044063A3_.wvu.PrintArea" localSheetId="0" hidden="1">Parameter!$A$1:$C$8</definedName>
    <definedName name="Z_30BFA3B1_776B_11D4_A436_0050044063A3_.wvu.PrintArea" localSheetId="2" hidden="1">Zinszahlen!$A$90:$F$129</definedName>
    <definedName name="Z_30BFA3B1_776B_11D4_A436_0050044063A3_.wvu.PrintTitles" localSheetId="4" hidden="1">Frauen!$1:$7</definedName>
    <definedName name="Z_30BFA3B1_776B_11D4_A436_0050044063A3_.wvu.PrintTitles" localSheetId="3" hidden="1">Männer!$1:$8</definedName>
    <definedName name="Z_30BFA3B1_776B_11D4_A436_0050044063A3_.wvu.PrintTitles" localSheetId="2" hidden="1">Zinszahlen!$A:$F,Zinszahlen!$1:$8</definedName>
    <definedName name="Z_30BFA3B2_776B_11D4_A436_0050044063A3_.wvu.PrintArea" localSheetId="4" hidden="1">Frauen!$A$1:$E$102</definedName>
    <definedName name="Z_30BFA3B2_776B_11D4_A436_0050044063A3_.wvu.PrintArea" localSheetId="3" hidden="1">Männer!$AQ$1:$AX$56</definedName>
    <definedName name="Z_30BFA3B2_776B_11D4_A436_0050044063A3_.wvu.PrintArea" localSheetId="0" hidden="1">Parameter!$A$1:$C$8</definedName>
    <definedName name="Z_30BFA3B2_776B_11D4_A436_0050044063A3_.wvu.PrintArea" localSheetId="2" hidden="1">Zinszahlen!$A$90:$F$129</definedName>
    <definedName name="Z_30BFA3B2_776B_11D4_A436_0050044063A3_.wvu.PrintTitles" localSheetId="4" hidden="1">Frauen!$1:$7</definedName>
    <definedName name="Z_30BFA3B2_776B_11D4_A436_0050044063A3_.wvu.PrintTitles" localSheetId="3" hidden="1">Männer!$1:$8</definedName>
    <definedName name="Z_30BFA3B2_776B_11D4_A436_0050044063A3_.wvu.PrintTitles" localSheetId="2" hidden="1">Zinszahlen!$A:$F,Zinszahlen!$1:$8</definedName>
    <definedName name="Z_30BFA3B3_776B_11D4_A436_0050044063A3_.wvu.PrintArea" localSheetId="4" hidden="1">Frauen!$A$1:$E$102</definedName>
    <definedName name="Z_30BFA3B3_776B_11D4_A436_0050044063A3_.wvu.PrintArea" localSheetId="3" hidden="1">Männer!$AQ$57:$AX$102</definedName>
    <definedName name="Z_30BFA3B3_776B_11D4_A436_0050044063A3_.wvu.PrintArea" localSheetId="0" hidden="1">Parameter!$A$1:$C$8</definedName>
    <definedName name="Z_30BFA3B3_776B_11D4_A436_0050044063A3_.wvu.PrintArea" localSheetId="2" hidden="1">Zinszahlen!$A$90:$F$129</definedName>
    <definedName name="Z_30BFA3B3_776B_11D4_A436_0050044063A3_.wvu.PrintTitles" localSheetId="4" hidden="1">Frauen!$1:$7</definedName>
    <definedName name="Z_30BFA3B3_776B_11D4_A436_0050044063A3_.wvu.PrintTitles" localSheetId="3" hidden="1">Männer!$1:$8</definedName>
    <definedName name="Z_30BFA3B3_776B_11D4_A436_0050044063A3_.wvu.PrintTitles" localSheetId="2" hidden="1">Zinszahlen!$A:$F,Zinszahlen!$1:$8</definedName>
    <definedName name="Z_30BFA3B4_776B_11D4_A436_0050044063A3_.wvu.PrintArea" localSheetId="4" hidden="1">Frauen!$A$1:$E$102</definedName>
    <definedName name="Z_30BFA3B4_776B_11D4_A436_0050044063A3_.wvu.PrintArea" localSheetId="3" hidden="1">Männer!$AZ$1:$BD$56</definedName>
    <definedName name="Z_30BFA3B4_776B_11D4_A436_0050044063A3_.wvu.PrintArea" localSheetId="0" hidden="1">Parameter!$A$1:$C$8</definedName>
    <definedName name="Z_30BFA3B4_776B_11D4_A436_0050044063A3_.wvu.PrintArea" localSheetId="2" hidden="1">Zinszahlen!$A$90:$F$129</definedName>
    <definedName name="Z_30BFA3B4_776B_11D4_A436_0050044063A3_.wvu.PrintTitles" localSheetId="4" hidden="1">Frauen!$1:$7</definedName>
    <definedName name="Z_30BFA3B4_776B_11D4_A436_0050044063A3_.wvu.PrintTitles" localSheetId="3" hidden="1">Männer!$1:$8</definedName>
    <definedName name="Z_30BFA3B4_776B_11D4_A436_0050044063A3_.wvu.PrintTitles" localSheetId="2" hidden="1">Zinszahlen!$A:$F,Zinszahlen!$1:$8</definedName>
    <definedName name="Z_30BFA3B5_776B_11D4_A436_0050044063A3_.wvu.PrintArea" localSheetId="4" hidden="1">Frauen!$A$1:$E$102</definedName>
    <definedName name="Z_30BFA3B5_776B_11D4_A436_0050044063A3_.wvu.PrintArea" localSheetId="3" hidden="1">Männer!$AZ$57:$BD$102</definedName>
    <definedName name="Z_30BFA3B5_776B_11D4_A436_0050044063A3_.wvu.PrintArea" localSheetId="0" hidden="1">Parameter!$A$1:$C$8</definedName>
    <definedName name="Z_30BFA3B5_776B_11D4_A436_0050044063A3_.wvu.PrintArea" localSheetId="2" hidden="1">Zinszahlen!$A$90:$F$129</definedName>
    <definedName name="Z_30BFA3B5_776B_11D4_A436_0050044063A3_.wvu.PrintTitles" localSheetId="4" hidden="1">Frauen!$1:$7</definedName>
    <definedName name="Z_30BFA3B5_776B_11D4_A436_0050044063A3_.wvu.PrintTitles" localSheetId="3" hidden="1">Männer!$1:$8</definedName>
    <definedName name="Z_30BFA3B5_776B_11D4_A436_0050044063A3_.wvu.PrintTitles" localSheetId="2" hidden="1">Zinszahlen!$A:$F,Zinszahlen!$1:$8</definedName>
    <definedName name="Z_30BFA3B6_776B_11D4_A436_0050044063A3_.wvu.PrintArea" localSheetId="4" hidden="1">Frauen!$A$1:$E$102</definedName>
    <definedName name="Z_30BFA3B6_776B_11D4_A436_0050044063A3_.wvu.PrintArea" localSheetId="3" hidden="1">Männer!$BF$1:$BH$56</definedName>
    <definedName name="Z_30BFA3B6_776B_11D4_A436_0050044063A3_.wvu.PrintArea" localSheetId="0" hidden="1">Parameter!$A$1:$C$8</definedName>
    <definedName name="Z_30BFA3B6_776B_11D4_A436_0050044063A3_.wvu.PrintArea" localSheetId="2" hidden="1">Zinszahlen!$A$90:$F$129</definedName>
    <definedName name="Z_30BFA3B6_776B_11D4_A436_0050044063A3_.wvu.PrintTitles" localSheetId="4" hidden="1">Frauen!$1:$7</definedName>
    <definedName name="Z_30BFA3B6_776B_11D4_A436_0050044063A3_.wvu.PrintTitles" localSheetId="3" hidden="1">Männer!$1:$8</definedName>
    <definedName name="Z_30BFA3B6_776B_11D4_A436_0050044063A3_.wvu.PrintTitles" localSheetId="2" hidden="1">Zinszahlen!$A:$F,Zinszahlen!$1:$8</definedName>
    <definedName name="Z_30BFA3B8_776B_11D4_A436_0050044063A3_.wvu.PrintArea" localSheetId="4" hidden="1">Frauen!$A$1:$E$102</definedName>
    <definedName name="Z_30BFA3B8_776B_11D4_A436_0050044063A3_.wvu.PrintArea" localSheetId="3" hidden="1">Männer!$BJ$1:$BO$56</definedName>
    <definedName name="Z_30BFA3B8_776B_11D4_A436_0050044063A3_.wvu.PrintArea" localSheetId="0" hidden="1">Parameter!$A$1:$C$8</definedName>
    <definedName name="Z_30BFA3B8_776B_11D4_A436_0050044063A3_.wvu.PrintArea" localSheetId="2" hidden="1">Zinszahlen!$A$90:$F$129</definedName>
    <definedName name="Z_30BFA3B8_776B_11D4_A436_0050044063A3_.wvu.PrintTitles" localSheetId="4" hidden="1">Frauen!$1:$7</definedName>
    <definedName name="Z_30BFA3B8_776B_11D4_A436_0050044063A3_.wvu.PrintTitles" localSheetId="3" hidden="1">Männer!$1:$8</definedName>
    <definedName name="Z_30BFA3B8_776B_11D4_A436_0050044063A3_.wvu.PrintTitles" localSheetId="2" hidden="1">Zinszahlen!$A:$F,Zinszahlen!$1:$8</definedName>
    <definedName name="Z_30BFA3B9_776B_11D4_A436_0050044063A3_.wvu.PrintArea" localSheetId="4" hidden="1">Frauen!$A$1:$E$102</definedName>
    <definedName name="Z_30BFA3B9_776B_11D4_A436_0050044063A3_.wvu.PrintArea" localSheetId="3" hidden="1">Männer!$BQ$1:$BV$56</definedName>
    <definedName name="Z_30BFA3B9_776B_11D4_A436_0050044063A3_.wvu.PrintArea" localSheetId="0" hidden="1">Parameter!$A$1:$C$8</definedName>
    <definedName name="Z_30BFA3B9_776B_11D4_A436_0050044063A3_.wvu.PrintArea" localSheetId="2" hidden="1">Zinszahlen!$A$90:$F$129</definedName>
    <definedName name="Z_30BFA3B9_776B_11D4_A436_0050044063A3_.wvu.PrintTitles" localSheetId="4" hidden="1">Frauen!$1:$7</definedName>
    <definedName name="Z_30BFA3B9_776B_11D4_A436_0050044063A3_.wvu.PrintTitles" localSheetId="3" hidden="1">Männer!$1:$8</definedName>
    <definedName name="Z_30BFA3B9_776B_11D4_A436_0050044063A3_.wvu.PrintTitles" localSheetId="2" hidden="1">Zinszahlen!$A:$F,Zinszahlen!$1:$8</definedName>
    <definedName name="Z_30BFA3BA_776B_11D4_A436_0050044063A3_.wvu.Cols" localSheetId="3" hidden="1">Männer!$CC:$CD</definedName>
    <definedName name="Z_30BFA3BA_776B_11D4_A436_0050044063A3_.wvu.PrintArea" localSheetId="4" hidden="1">Frauen!$A$1:$E$102</definedName>
    <definedName name="Z_30BFA3BA_776B_11D4_A436_0050044063A3_.wvu.PrintArea" localSheetId="3" hidden="1">Männer!$BX$1:$CE$57</definedName>
    <definedName name="Z_30BFA3BA_776B_11D4_A436_0050044063A3_.wvu.PrintArea" localSheetId="0" hidden="1">Parameter!$A$1:$C$8</definedName>
    <definedName name="Z_30BFA3BA_776B_11D4_A436_0050044063A3_.wvu.PrintArea" localSheetId="2" hidden="1">Zinszahlen!$A$90:$F$129</definedName>
    <definedName name="Z_30BFA3BA_776B_11D4_A436_0050044063A3_.wvu.PrintTitles" localSheetId="4" hidden="1">Frauen!$1:$7</definedName>
    <definedName name="Z_30BFA3BA_776B_11D4_A436_0050044063A3_.wvu.PrintTitles" localSheetId="3" hidden="1">Männer!$1:$8</definedName>
    <definedName name="Z_30BFA3BA_776B_11D4_A436_0050044063A3_.wvu.PrintTitles" localSheetId="2" hidden="1">Zinszahlen!$A:$F,Zinszahlen!$1:$8</definedName>
    <definedName name="Z_30BFA3BB_776B_11D4_A436_0050044063A3_.wvu.Cols" localSheetId="3" hidden="1">Männer!$CC:$CD</definedName>
    <definedName name="Z_30BFA3BB_776B_11D4_A436_0050044063A3_.wvu.PrintArea" localSheetId="4" hidden="1">Frauen!$A$1:$E$102</definedName>
    <definedName name="Z_30BFA3BB_776B_11D4_A436_0050044063A3_.wvu.PrintArea" localSheetId="3" hidden="1">Männer!$CG$1:$CN$57</definedName>
    <definedName name="Z_30BFA3BB_776B_11D4_A436_0050044063A3_.wvu.PrintArea" localSheetId="0" hidden="1">Parameter!$A$1:$C$8</definedName>
    <definedName name="Z_30BFA3BB_776B_11D4_A436_0050044063A3_.wvu.PrintArea" localSheetId="2" hidden="1">Zinszahlen!$A$90:$F$129</definedName>
    <definedName name="Z_30BFA3BB_776B_11D4_A436_0050044063A3_.wvu.PrintTitles" localSheetId="4" hidden="1">Frauen!$1:$7</definedName>
    <definedName name="Z_30BFA3BB_776B_11D4_A436_0050044063A3_.wvu.PrintTitles" localSheetId="3" hidden="1">Männer!$1:$8</definedName>
    <definedName name="Z_30BFA3BB_776B_11D4_A436_0050044063A3_.wvu.PrintTitles" localSheetId="2" hidden="1">Zinszahlen!$A:$F,Zinszahlen!$1:$8</definedName>
    <definedName name="Z_30BFA3BC_776B_11D4_A436_0050044063A3_.wvu.Cols" localSheetId="3" hidden="1">Männer!$CC:$CD</definedName>
    <definedName name="Z_30BFA3BC_776B_11D4_A436_0050044063A3_.wvu.PrintArea" localSheetId="4" hidden="1">Frauen!$A$1:$E$102</definedName>
    <definedName name="Z_30BFA3BC_776B_11D4_A436_0050044063A3_.wvu.PrintArea" localSheetId="3" hidden="1">Männer!$CP$1:$CS$56</definedName>
    <definedName name="Z_30BFA3BC_776B_11D4_A436_0050044063A3_.wvu.PrintArea" localSheetId="0" hidden="1">Parameter!$A$1:$C$8</definedName>
    <definedName name="Z_30BFA3BC_776B_11D4_A436_0050044063A3_.wvu.PrintArea" localSheetId="2" hidden="1">Zinszahlen!$A$90:$F$129</definedName>
    <definedName name="Z_30BFA3BC_776B_11D4_A436_0050044063A3_.wvu.PrintTitles" localSheetId="4" hidden="1">Frauen!$1:$7</definedName>
    <definedName name="Z_30BFA3BC_776B_11D4_A436_0050044063A3_.wvu.PrintTitles" localSheetId="3" hidden="1">Männer!$1:$8</definedName>
    <definedName name="Z_30BFA3BC_776B_11D4_A436_0050044063A3_.wvu.PrintTitles" localSheetId="2" hidden="1">Zinszahlen!$A:$F,Zinszahlen!$1:$8</definedName>
    <definedName name="Z_30BFA3BD_776B_11D4_A436_0050044063A3_.wvu.Cols" localSheetId="3" hidden="1">Männer!$CC:$CD,Männer!$CV:$DZ</definedName>
    <definedName name="Z_30BFA3BD_776B_11D4_A436_0050044063A3_.wvu.PrintArea" localSheetId="4" hidden="1">Frauen!$A$1:$E$102</definedName>
    <definedName name="Z_30BFA3BD_776B_11D4_A436_0050044063A3_.wvu.PrintArea" localSheetId="3" hidden="1">Männer!$CU$1:$EH$56</definedName>
    <definedName name="Z_30BFA3BD_776B_11D4_A436_0050044063A3_.wvu.PrintArea" localSheetId="0" hidden="1">Parameter!$A$1:$C$8</definedName>
    <definedName name="Z_30BFA3BD_776B_11D4_A436_0050044063A3_.wvu.PrintArea" localSheetId="2" hidden="1">Zinszahlen!$A$90:$F$129</definedName>
    <definedName name="Z_30BFA3BD_776B_11D4_A436_0050044063A3_.wvu.PrintTitles" localSheetId="4" hidden="1">Frauen!$1:$7</definedName>
    <definedName name="Z_30BFA3BD_776B_11D4_A436_0050044063A3_.wvu.PrintTitles" localSheetId="3" hidden="1">Männer!$1:$8</definedName>
    <definedName name="Z_30BFA3BD_776B_11D4_A436_0050044063A3_.wvu.PrintTitles" localSheetId="2" hidden="1">Zinszahlen!$A:$F,Zinszahlen!$1:$8</definedName>
    <definedName name="Z_30BFA3BE_776B_11D4_A436_0050044063A3_.wvu.Cols" localSheetId="3" hidden="1">Männer!$CC:$CD,Männer!$CV:$DZ</definedName>
    <definedName name="Z_30BFA3BE_776B_11D4_A436_0050044063A3_.wvu.PrintArea" localSheetId="4" hidden="1">Frauen!$A$1:$E$102</definedName>
    <definedName name="Z_30BFA3BE_776B_11D4_A436_0050044063A3_.wvu.PrintArea" localSheetId="3" hidden="1">Männer!$EJ$1:$ER$56</definedName>
    <definedName name="Z_30BFA3BE_776B_11D4_A436_0050044063A3_.wvu.PrintArea" localSheetId="0" hidden="1">Parameter!$A$1:$C$8</definedName>
    <definedName name="Z_30BFA3BE_776B_11D4_A436_0050044063A3_.wvu.PrintArea" localSheetId="2" hidden="1">Zinszahlen!$A$90:$F$129</definedName>
    <definedName name="Z_30BFA3BE_776B_11D4_A436_0050044063A3_.wvu.PrintTitles" localSheetId="4" hidden="1">Frauen!$1:$7</definedName>
    <definedName name="Z_30BFA3BE_776B_11D4_A436_0050044063A3_.wvu.PrintTitles" localSheetId="3" hidden="1">Männer!$1:$8</definedName>
    <definedName name="Z_30BFA3BE_776B_11D4_A436_0050044063A3_.wvu.PrintTitles" localSheetId="2" hidden="1">Zinszahlen!$A:$F,Zinszahlen!$1:$8</definedName>
    <definedName name="Z_30BFA3BF_776B_11D4_A436_0050044063A3_.wvu.Cols" localSheetId="3" hidden="1">Männer!$CC:$CD,Männer!$CV:$DZ</definedName>
    <definedName name="Z_30BFA3BF_776B_11D4_A436_0050044063A3_.wvu.PrintArea" localSheetId="4" hidden="1">Frauen!$A$1:$E$102</definedName>
    <definedName name="Z_30BFA3BF_776B_11D4_A436_0050044063A3_.wvu.PrintArea" localSheetId="3" hidden="1">Männer!$ET$1:$FB$56</definedName>
    <definedName name="Z_30BFA3BF_776B_11D4_A436_0050044063A3_.wvu.PrintArea" localSheetId="0" hidden="1">Parameter!$A$1:$C$8</definedName>
    <definedName name="Z_30BFA3BF_776B_11D4_A436_0050044063A3_.wvu.PrintArea" localSheetId="2" hidden="1">Zinszahlen!$A$90:$F$129</definedName>
    <definedName name="Z_30BFA3BF_776B_11D4_A436_0050044063A3_.wvu.PrintTitles" localSheetId="4" hidden="1">Frauen!$1:$7</definedName>
    <definedName name="Z_30BFA3BF_776B_11D4_A436_0050044063A3_.wvu.PrintTitles" localSheetId="3" hidden="1">Männer!$1:$8</definedName>
    <definedName name="Z_30BFA3BF_776B_11D4_A436_0050044063A3_.wvu.PrintTitles" localSheetId="2" hidden="1">Zinszahlen!$A:$F,Zinszahlen!$1:$8</definedName>
    <definedName name="Z_30BFA3C0_776B_11D4_A436_0050044063A3_.wvu.Cols" localSheetId="3" hidden="1">Männer!$CC:$CD,Männer!$CV:$DZ</definedName>
    <definedName name="Z_30BFA3C0_776B_11D4_A436_0050044063A3_.wvu.PrintArea" localSheetId="4" hidden="1">Frauen!$A$1:$E$102</definedName>
    <definedName name="Z_30BFA3C0_776B_11D4_A436_0050044063A3_.wvu.PrintArea" localSheetId="3" hidden="1">Männer!$FD$1:$FK$56</definedName>
    <definedName name="Z_30BFA3C0_776B_11D4_A436_0050044063A3_.wvu.PrintArea" localSheetId="0" hidden="1">Parameter!$A$1:$C$8</definedName>
    <definedName name="Z_30BFA3C0_776B_11D4_A436_0050044063A3_.wvu.PrintArea" localSheetId="2" hidden="1">Zinszahlen!$A$90:$F$129</definedName>
    <definedName name="Z_30BFA3C0_776B_11D4_A436_0050044063A3_.wvu.PrintTitles" localSheetId="4" hidden="1">Frauen!$1:$7</definedName>
    <definedName name="Z_30BFA3C0_776B_11D4_A436_0050044063A3_.wvu.PrintTitles" localSheetId="3" hidden="1">Männer!$1:$8</definedName>
    <definedName name="Z_30BFA3C0_776B_11D4_A436_0050044063A3_.wvu.PrintTitles" localSheetId="2" hidden="1">Zinszahlen!$A:$F,Zinszahlen!$1:$8</definedName>
    <definedName name="Z_30BFA3C1_776B_11D4_A436_0050044063A3_.wvu.Cols" localSheetId="3" hidden="1">Männer!$CC:$CD,Männer!$CV:$DZ,Männer!$FN:$GR</definedName>
    <definedName name="Z_30BFA3C1_776B_11D4_A436_0050044063A3_.wvu.PrintArea" localSheetId="4" hidden="1">Frauen!$A$1:$E$102</definedName>
    <definedName name="Z_30BFA3C1_776B_11D4_A436_0050044063A3_.wvu.PrintArea" localSheetId="3" hidden="1">Männer!$FM$1:$GZ$56</definedName>
    <definedName name="Z_30BFA3C1_776B_11D4_A436_0050044063A3_.wvu.PrintArea" localSheetId="0" hidden="1">Parameter!$A$1:$C$8</definedName>
    <definedName name="Z_30BFA3C1_776B_11D4_A436_0050044063A3_.wvu.PrintArea" localSheetId="2" hidden="1">Zinszahlen!$A$90:$F$129</definedName>
    <definedName name="Z_30BFA3C1_776B_11D4_A436_0050044063A3_.wvu.PrintTitles" localSheetId="4" hidden="1">Frauen!$1:$7</definedName>
    <definedName name="Z_30BFA3C1_776B_11D4_A436_0050044063A3_.wvu.PrintTitles" localSheetId="3" hidden="1">Männer!$1:$8</definedName>
    <definedName name="Z_30BFA3C1_776B_11D4_A436_0050044063A3_.wvu.PrintTitles" localSheetId="2" hidden="1">Zinszahlen!$A:$F,Zinszahlen!$1:$8</definedName>
    <definedName name="Z_30BFA3C2_776B_11D4_A436_0050044063A3_.wvu.Cols" localSheetId="3" hidden="1">Männer!$CC:$CD,Männer!$CV:$DZ,Männer!$FN:$GR</definedName>
    <definedName name="Z_30BFA3C2_776B_11D4_A436_0050044063A3_.wvu.PrintArea" localSheetId="4" hidden="1">Frauen!$A$1:$E$102</definedName>
    <definedName name="Z_30BFA3C2_776B_11D4_A436_0050044063A3_.wvu.PrintArea" localSheetId="3" hidden="1">Männer!$HB$1:$HJ$56</definedName>
    <definedName name="Z_30BFA3C2_776B_11D4_A436_0050044063A3_.wvu.PrintArea" localSheetId="0" hidden="1">Parameter!$A$1:$C$8</definedName>
    <definedName name="Z_30BFA3C2_776B_11D4_A436_0050044063A3_.wvu.PrintArea" localSheetId="2" hidden="1">Zinszahlen!$A$90:$F$129</definedName>
    <definedName name="Z_30BFA3C2_776B_11D4_A436_0050044063A3_.wvu.PrintTitles" localSheetId="4" hidden="1">Frauen!$1:$7</definedName>
    <definedName name="Z_30BFA3C2_776B_11D4_A436_0050044063A3_.wvu.PrintTitles" localSheetId="3" hidden="1">Männer!$1:$8</definedName>
    <definedName name="Z_30BFA3C2_776B_11D4_A436_0050044063A3_.wvu.PrintTitles" localSheetId="2" hidden="1">Zinszahlen!$A:$F,Zinszahlen!$1:$8</definedName>
    <definedName name="Z_30BFA3C3_776B_11D4_A436_0050044063A3_.wvu.Cols" localSheetId="3" hidden="1">Männer!$CC:$CD,Männer!$CV:$DZ,Männer!$FN:$GR</definedName>
    <definedName name="Z_30BFA3C3_776B_11D4_A436_0050044063A3_.wvu.PrintArea" localSheetId="4" hidden="1">Frauen!$A$1:$E$102</definedName>
    <definedName name="Z_30BFA3C3_776B_11D4_A436_0050044063A3_.wvu.PrintArea" localSheetId="3" hidden="1">Männer!$HL$1:$HT$56</definedName>
    <definedName name="Z_30BFA3C3_776B_11D4_A436_0050044063A3_.wvu.PrintArea" localSheetId="0" hidden="1">Parameter!$A$1:$C$8</definedName>
    <definedName name="Z_30BFA3C3_776B_11D4_A436_0050044063A3_.wvu.PrintArea" localSheetId="2" hidden="1">Zinszahlen!$A$90:$F$129</definedName>
    <definedName name="Z_30BFA3C3_776B_11D4_A436_0050044063A3_.wvu.PrintTitles" localSheetId="4" hidden="1">Frauen!$1:$7</definedName>
    <definedName name="Z_30BFA3C3_776B_11D4_A436_0050044063A3_.wvu.PrintTitles" localSheetId="3" hidden="1">Männer!$1:$8</definedName>
    <definedName name="Z_30BFA3C3_776B_11D4_A436_0050044063A3_.wvu.PrintTitles" localSheetId="2" hidden="1">Zinszahlen!$A:$F,Zinszahlen!$1:$8</definedName>
    <definedName name="Z_30BFA3C4_776B_11D4_A436_0050044063A3_.wvu.Cols" localSheetId="3" hidden="1">Männer!$CC:$CD,Männer!$CV:$DZ,Männer!$FN:$GR</definedName>
    <definedName name="Z_30BFA3C4_776B_11D4_A436_0050044063A3_.wvu.PrintArea" localSheetId="4" hidden="1">Frauen!$A$1:$E$102</definedName>
    <definedName name="Z_30BFA3C4_776B_11D4_A436_0050044063A3_.wvu.PrintArea" localSheetId="3" hidden="1">Männer!$HV$1:$IC$56</definedName>
    <definedName name="Z_30BFA3C4_776B_11D4_A436_0050044063A3_.wvu.PrintArea" localSheetId="0" hidden="1">Parameter!$A$1:$C$8</definedName>
    <definedName name="Z_30BFA3C4_776B_11D4_A436_0050044063A3_.wvu.PrintArea" localSheetId="2" hidden="1">Zinszahlen!$A$90:$F$129</definedName>
    <definedName name="Z_30BFA3C4_776B_11D4_A436_0050044063A3_.wvu.PrintTitles" localSheetId="4" hidden="1">Frauen!$1:$7</definedName>
    <definedName name="Z_30BFA3C4_776B_11D4_A436_0050044063A3_.wvu.PrintTitles" localSheetId="3" hidden="1">Männer!$1:$8</definedName>
    <definedName name="Z_30BFA3C4_776B_11D4_A436_0050044063A3_.wvu.PrintTitles" localSheetId="2" hidden="1">Zinszahlen!$A:$F,Zinszahlen!$1:$8</definedName>
    <definedName name="Z_30BFA3C5_776B_11D4_A436_0050044063A3_.wvu.Cols" localSheetId="3" hidden="1">Männer!$CC:$CD,Männer!$CV:$DZ,Männer!$FN:$GR</definedName>
    <definedName name="Z_30BFA3C5_776B_11D4_A436_0050044063A3_.wvu.PrintArea" localSheetId="4" hidden="1">Frauen!$A$1:$E$102</definedName>
    <definedName name="Z_30BFA3C5_776B_11D4_A436_0050044063A3_.wvu.PrintArea" localSheetId="3" hidden="1">Männer!$IE$1:$IL$57</definedName>
    <definedName name="Z_30BFA3C5_776B_11D4_A436_0050044063A3_.wvu.PrintArea" localSheetId="0" hidden="1">Parameter!$A$1:$C$8</definedName>
    <definedName name="Z_30BFA3C5_776B_11D4_A436_0050044063A3_.wvu.PrintArea" localSheetId="2" hidden="1">Zinszahlen!$A$90:$F$129</definedName>
    <definedName name="Z_30BFA3C5_776B_11D4_A436_0050044063A3_.wvu.PrintTitles" localSheetId="4" hidden="1">Frauen!$1:$7</definedName>
    <definedName name="Z_30BFA3C5_776B_11D4_A436_0050044063A3_.wvu.PrintTitles" localSheetId="3" hidden="1">Männer!$1:$8</definedName>
    <definedName name="Z_30BFA3C5_776B_11D4_A436_0050044063A3_.wvu.PrintTitles" localSheetId="2" hidden="1">Zinszahlen!$A:$F,Zinszahlen!$1:$8</definedName>
    <definedName name="Z_30BFA3C6_776B_11D4_A436_0050044063A3_.wvu.Cols" localSheetId="3" hidden="1">Männer!$CC:$CD,Männer!$CV:$DZ,Männer!$FN:$GR</definedName>
    <definedName name="Z_30BFA3C6_776B_11D4_A436_0050044063A3_.wvu.PrintArea" localSheetId="4" hidden="1">Frauen!$A$1:$E$102</definedName>
    <definedName name="Z_30BFA3C6_776B_11D4_A436_0050044063A3_.wvu.PrintArea" localSheetId="3" hidden="1">Männer!$IN$1:$IQ$56</definedName>
    <definedName name="Z_30BFA3C6_776B_11D4_A436_0050044063A3_.wvu.PrintArea" localSheetId="0" hidden="1">Parameter!$A$1:$C$8</definedName>
    <definedName name="Z_30BFA3C6_776B_11D4_A436_0050044063A3_.wvu.PrintArea" localSheetId="2" hidden="1">Zinszahlen!$A$90:$F$129</definedName>
    <definedName name="Z_30BFA3C6_776B_11D4_A436_0050044063A3_.wvu.PrintTitles" localSheetId="4" hidden="1">Frauen!$1:$7</definedName>
    <definedName name="Z_30BFA3C6_776B_11D4_A436_0050044063A3_.wvu.PrintTitles" localSheetId="3" hidden="1">Männer!$1:$8</definedName>
    <definedName name="Z_30BFA3C6_776B_11D4_A436_0050044063A3_.wvu.PrintTitles" localSheetId="2" hidden="1">Zinszahlen!$A:$F,Zinszahlen!$1:$8</definedName>
    <definedName name="Z_4C29A34C_6ED4_11D4_A42C_0050044063A3_.wvu.PrintArea" localSheetId="4" hidden="1">Frauen!$A$1:$E$102</definedName>
    <definedName name="Z_4C29A34C_6ED4_11D4_A42C_0050044063A3_.wvu.PrintArea" localSheetId="3" hidden="1">Männer!$X$1:$AF$102</definedName>
    <definedName name="Z_4C29A34C_6ED4_11D4_A42C_0050044063A3_.wvu.PrintArea" localSheetId="0" hidden="1">Parameter!$A$1:$C$8</definedName>
    <definedName name="Z_4C29A34C_6ED4_11D4_A42C_0050044063A3_.wvu.PrintArea" localSheetId="2" hidden="1">Zinszahlen!$A$50:$F$89</definedName>
    <definedName name="Z_4C29A34C_6ED4_11D4_A42C_0050044063A3_.wvu.PrintTitles" localSheetId="4" hidden="1">Frauen!$1:$7</definedName>
    <definedName name="Z_4C29A34C_6ED4_11D4_A42C_0050044063A3_.wvu.PrintTitles" localSheetId="3" hidden="1">Männer!$1:$8</definedName>
    <definedName name="Z_4C29A34C_6ED4_11D4_A42C_0050044063A3_.wvu.PrintTitles" localSheetId="2" hidden="1">Zinszahlen!$A:$F,Zinszahlen!$1:$8</definedName>
    <definedName name="Z_4C29A34D_6ED4_11D4_A42C_0050044063A3_.wvu.PrintArea" localSheetId="4" hidden="1">Frauen!$A$1:$E$102</definedName>
    <definedName name="Z_4C29A34D_6ED4_11D4_A42C_0050044063A3_.wvu.PrintArea" localSheetId="3" hidden="1">Männer!$X$1:$AF$102</definedName>
    <definedName name="Z_4C29A34D_6ED4_11D4_A42C_0050044063A3_.wvu.PrintArea" localSheetId="0" hidden="1">Parameter!$A$1:$C$8</definedName>
    <definedName name="Z_4C29A34D_6ED4_11D4_A42C_0050044063A3_.wvu.PrintArea" localSheetId="2" hidden="1">Zinszahlen!$A$90:$F$129</definedName>
    <definedName name="Z_4C29A34D_6ED4_11D4_A42C_0050044063A3_.wvu.PrintTitles" localSheetId="4" hidden="1">Frauen!$1:$7</definedName>
    <definedName name="Z_4C29A34D_6ED4_11D4_A42C_0050044063A3_.wvu.PrintTitles" localSheetId="3" hidden="1">Männer!$1:$8</definedName>
    <definedName name="Z_4C29A34D_6ED4_11D4_A42C_0050044063A3_.wvu.PrintTitles" localSheetId="2" hidden="1">Zinszahlen!$A:$F,Zinszahlen!$1:$8</definedName>
    <definedName name="Z_67B6F32A_7771_11D4_A436_0050044063A3_.wvu.Cols" localSheetId="4" hidden="1">Frauen!$CC:$CD,Frauen!$CV:$DZ,Frauen!$FN:$GR</definedName>
    <definedName name="Z_67B6F32A_7771_11D4_A436_0050044063A3_.wvu.Cols" localSheetId="3" hidden="1">Männer!$CC:$CD,Männer!$CV:$DZ,Männer!$FN:$GR</definedName>
    <definedName name="Z_67B6F32A_7771_11D4_A436_0050044063A3_.wvu.PrintArea" localSheetId="4" hidden="1">Frauen!$A$57:$E$102</definedName>
    <definedName name="Z_67B6F32A_7771_11D4_A436_0050044063A3_.wvu.PrintArea" localSheetId="3" hidden="1">Männer!$IN$1:$IQ$56</definedName>
    <definedName name="Z_67B6F32A_7771_11D4_A436_0050044063A3_.wvu.PrintArea" localSheetId="0" hidden="1">Parameter!$A$1:$C$8</definedName>
    <definedName name="Z_67B6F32A_7771_11D4_A436_0050044063A3_.wvu.PrintArea" localSheetId="2" hidden="1">Zinszahlen!$A$90:$F$129</definedName>
    <definedName name="Z_67B6F32A_7771_11D4_A436_0050044063A3_.wvu.PrintTitles" localSheetId="4" hidden="1">Frauen!$1:$8</definedName>
    <definedName name="Z_67B6F32A_7771_11D4_A436_0050044063A3_.wvu.PrintTitles" localSheetId="3" hidden="1">Männer!$1:$8</definedName>
    <definedName name="Z_67B6F32A_7771_11D4_A436_0050044063A3_.wvu.PrintTitles" localSheetId="2" hidden="1">Zinszahlen!$A:$F,Zinszahlen!$1:$8</definedName>
    <definedName name="Z_67B6F32B_7771_11D4_A436_0050044063A3_.wvu.Cols" localSheetId="4" hidden="1">Frauen!$CC:$CD,Frauen!$CV:$DZ,Frauen!$FN:$GR</definedName>
    <definedName name="Z_67B6F32B_7771_11D4_A436_0050044063A3_.wvu.Cols" localSheetId="3" hidden="1">Männer!$CC:$CD,Männer!$CV:$DZ,Männer!$FN:$GR</definedName>
    <definedName name="Z_67B6F32B_7771_11D4_A436_0050044063A3_.wvu.PrintArea" localSheetId="4" hidden="1">Frauen!$A$1:$E$56</definedName>
    <definedName name="Z_67B6F32B_7771_11D4_A436_0050044063A3_.wvu.PrintArea" localSheetId="3" hidden="1">Männer!$IN$1:$IQ$56</definedName>
    <definedName name="Z_67B6F32B_7771_11D4_A436_0050044063A3_.wvu.PrintArea" localSheetId="0" hidden="1">Parameter!$A$1:$C$8</definedName>
    <definedName name="Z_67B6F32B_7771_11D4_A436_0050044063A3_.wvu.PrintArea" localSheetId="2" hidden="1">Zinszahlen!$A$90:$F$129</definedName>
    <definedName name="Z_67B6F32B_7771_11D4_A436_0050044063A3_.wvu.PrintTitles" localSheetId="4" hidden="1">Frauen!$1:$8</definedName>
    <definedName name="Z_67B6F32B_7771_11D4_A436_0050044063A3_.wvu.PrintTitles" localSheetId="3" hidden="1">Männer!$1:$8</definedName>
    <definedName name="Z_67B6F32B_7771_11D4_A436_0050044063A3_.wvu.PrintTitles" localSheetId="2" hidden="1">Zinszahlen!$A:$F,Zinszahlen!$1:$8</definedName>
    <definedName name="Z_67B6F32C_7771_11D4_A436_0050044063A3_.wvu.Cols" localSheetId="4" hidden="1">Frauen!$CC:$CD,Frauen!$CV:$DZ,Frauen!$FN:$GR</definedName>
    <definedName name="Z_67B6F32C_7771_11D4_A436_0050044063A3_.wvu.Cols" localSheetId="3" hidden="1">Männer!$CC:$CD,Männer!$CV:$DZ,Männer!$FN:$GR</definedName>
    <definedName name="Z_67B6F32C_7771_11D4_A436_0050044063A3_.wvu.PrintArea" localSheetId="4" hidden="1">Frauen!$G$1:$M$56</definedName>
    <definedName name="Z_67B6F32C_7771_11D4_A436_0050044063A3_.wvu.PrintArea" localSheetId="3" hidden="1">Männer!$IN$1:$IQ$56</definedName>
    <definedName name="Z_67B6F32C_7771_11D4_A436_0050044063A3_.wvu.PrintArea" localSheetId="0" hidden="1">Parameter!$A$1:$C$8</definedName>
    <definedName name="Z_67B6F32C_7771_11D4_A436_0050044063A3_.wvu.PrintArea" localSheetId="2" hidden="1">Zinszahlen!$A$90:$F$129</definedName>
    <definedName name="Z_67B6F32C_7771_11D4_A436_0050044063A3_.wvu.PrintTitles" localSheetId="4" hidden="1">Frauen!$1:$8</definedName>
    <definedName name="Z_67B6F32C_7771_11D4_A436_0050044063A3_.wvu.PrintTitles" localSheetId="3" hidden="1">Männer!$1:$8</definedName>
    <definedName name="Z_67B6F32C_7771_11D4_A436_0050044063A3_.wvu.PrintTitles" localSheetId="2" hidden="1">Zinszahlen!$A:$F,Zinszahlen!$1:$8</definedName>
    <definedName name="Z_67B6F32D_7771_11D4_A436_0050044063A3_.wvu.Cols" localSheetId="4" hidden="1">Frauen!$CC:$CD,Frauen!$CV:$DZ,Frauen!$FN:$GR</definedName>
    <definedName name="Z_67B6F32D_7771_11D4_A436_0050044063A3_.wvu.Cols" localSheetId="3" hidden="1">Männer!$CC:$CD,Männer!$CV:$DZ,Männer!$FN:$GR</definedName>
    <definedName name="Z_67B6F32D_7771_11D4_A436_0050044063A3_.wvu.PrintArea" localSheetId="4" hidden="1">Frauen!$G$57:$M$102</definedName>
    <definedName name="Z_67B6F32D_7771_11D4_A436_0050044063A3_.wvu.PrintArea" localSheetId="3" hidden="1">Männer!$IN$1:$IQ$56</definedName>
    <definedName name="Z_67B6F32D_7771_11D4_A436_0050044063A3_.wvu.PrintArea" localSheetId="0" hidden="1">Parameter!$A$1:$C$8</definedName>
    <definedName name="Z_67B6F32D_7771_11D4_A436_0050044063A3_.wvu.PrintArea" localSheetId="2" hidden="1">Zinszahlen!$A$90:$F$129</definedName>
    <definedName name="Z_67B6F32D_7771_11D4_A436_0050044063A3_.wvu.PrintTitles" localSheetId="4" hidden="1">Frauen!$1:$8</definedName>
    <definedName name="Z_67B6F32D_7771_11D4_A436_0050044063A3_.wvu.PrintTitles" localSheetId="3" hidden="1">Männer!$1:$8</definedName>
    <definedName name="Z_67B6F32D_7771_11D4_A436_0050044063A3_.wvu.PrintTitles" localSheetId="2" hidden="1">Zinszahlen!$A:$F,Zinszahlen!$1:$8</definedName>
    <definedName name="Z_67B6F32E_7771_11D4_A436_0050044063A3_.wvu.Cols" localSheetId="4" hidden="1">Frauen!$CC:$CD,Frauen!$CV:$DZ,Frauen!$FN:$GR</definedName>
    <definedName name="Z_67B6F32E_7771_11D4_A436_0050044063A3_.wvu.Cols" localSheetId="3" hidden="1">Männer!$CC:$CD,Männer!$CV:$DZ,Männer!$FN:$GR</definedName>
    <definedName name="Z_67B6F32E_7771_11D4_A436_0050044063A3_.wvu.PrintArea" localSheetId="4" hidden="1">Frauen!$O$1:$V$56</definedName>
    <definedName name="Z_67B6F32E_7771_11D4_A436_0050044063A3_.wvu.PrintArea" localSheetId="3" hidden="1">Männer!$IN$1:$IQ$56</definedName>
    <definedName name="Z_67B6F32E_7771_11D4_A436_0050044063A3_.wvu.PrintArea" localSheetId="0" hidden="1">Parameter!$A$1:$C$8</definedName>
    <definedName name="Z_67B6F32E_7771_11D4_A436_0050044063A3_.wvu.PrintArea" localSheetId="2" hidden="1">Zinszahlen!$A$90:$F$129</definedName>
    <definedName name="Z_67B6F32E_7771_11D4_A436_0050044063A3_.wvu.PrintTitles" localSheetId="4" hidden="1">Frauen!$1:$8</definedName>
    <definedName name="Z_67B6F32E_7771_11D4_A436_0050044063A3_.wvu.PrintTitles" localSheetId="3" hidden="1">Männer!$1:$8</definedName>
    <definedName name="Z_67B6F32E_7771_11D4_A436_0050044063A3_.wvu.PrintTitles" localSheetId="2" hidden="1">Zinszahlen!$A:$F,Zinszahlen!$1:$8</definedName>
    <definedName name="Z_67B6F32F_7771_11D4_A436_0050044063A3_.wvu.Cols" localSheetId="4" hidden="1">Frauen!$CC:$CD,Frauen!$CV:$DZ,Frauen!$FN:$GR</definedName>
    <definedName name="Z_67B6F32F_7771_11D4_A436_0050044063A3_.wvu.Cols" localSheetId="3" hidden="1">Männer!$CC:$CD,Männer!$CV:$DZ,Männer!$FN:$GR</definedName>
    <definedName name="Z_67B6F32F_7771_11D4_A436_0050044063A3_.wvu.PrintArea" localSheetId="4" hidden="1">Frauen!$O$57:$V$102</definedName>
    <definedName name="Z_67B6F32F_7771_11D4_A436_0050044063A3_.wvu.PrintArea" localSheetId="3" hidden="1">Männer!$IN$1:$IQ$56</definedName>
    <definedName name="Z_67B6F32F_7771_11D4_A436_0050044063A3_.wvu.PrintArea" localSheetId="0" hidden="1">Parameter!$A$1:$C$8</definedName>
    <definedName name="Z_67B6F32F_7771_11D4_A436_0050044063A3_.wvu.PrintArea" localSheetId="2" hidden="1">Zinszahlen!$A$90:$F$129</definedName>
    <definedName name="Z_67B6F32F_7771_11D4_A436_0050044063A3_.wvu.PrintTitles" localSheetId="4" hidden="1">Frauen!$1:$8</definedName>
    <definedName name="Z_67B6F32F_7771_11D4_A436_0050044063A3_.wvu.PrintTitles" localSheetId="3" hidden="1">Männer!$1:$8</definedName>
    <definedName name="Z_67B6F32F_7771_11D4_A436_0050044063A3_.wvu.PrintTitles" localSheetId="2" hidden="1">Zinszahlen!$A:$F,Zinszahlen!$1:$8</definedName>
    <definedName name="Z_67B6F330_7771_11D4_A436_0050044063A3_.wvu.Cols" localSheetId="4" hidden="1">Frauen!$CC:$CD,Frauen!$CV:$DZ,Frauen!$FN:$GR</definedName>
    <definedName name="Z_67B6F330_7771_11D4_A436_0050044063A3_.wvu.Cols" localSheetId="3" hidden="1">Männer!$CC:$CD,Männer!$CV:$DZ,Männer!$FN:$GR</definedName>
    <definedName name="Z_67B6F330_7771_11D4_A436_0050044063A3_.wvu.PrintArea" localSheetId="4" hidden="1">Frauen!$X$1:$AF$57</definedName>
    <definedName name="Z_67B6F330_7771_11D4_A436_0050044063A3_.wvu.PrintArea" localSheetId="3" hidden="1">Männer!$IN$1:$IQ$56</definedName>
    <definedName name="Z_67B6F330_7771_11D4_A436_0050044063A3_.wvu.PrintArea" localSheetId="0" hidden="1">Parameter!$A$1:$C$8</definedName>
    <definedName name="Z_67B6F330_7771_11D4_A436_0050044063A3_.wvu.PrintArea" localSheetId="2" hidden="1">Zinszahlen!$A$90:$F$129</definedName>
    <definedName name="Z_67B6F330_7771_11D4_A436_0050044063A3_.wvu.PrintTitles" localSheetId="4" hidden="1">Frauen!$1:$8</definedName>
    <definedName name="Z_67B6F330_7771_11D4_A436_0050044063A3_.wvu.PrintTitles" localSheetId="3" hidden="1">Männer!$1:$8</definedName>
    <definedName name="Z_67B6F330_7771_11D4_A436_0050044063A3_.wvu.PrintTitles" localSheetId="2" hidden="1">Zinszahlen!$A:$F,Zinszahlen!$1:$8</definedName>
    <definedName name="Z_67B6F332_7771_11D4_A436_0050044063A3_.wvu.Cols" localSheetId="4" hidden="1">Frauen!$CC:$CD,Frauen!$CV:$DZ,Frauen!$FN:$GR</definedName>
    <definedName name="Z_67B6F332_7771_11D4_A436_0050044063A3_.wvu.Cols" localSheetId="3" hidden="1">Männer!$CC:$CD,Männer!$CV:$DZ,Männer!$FN:$GR</definedName>
    <definedName name="Z_67B6F332_7771_11D4_A436_0050044063A3_.wvu.PrintArea" localSheetId="4" hidden="1">Frauen!$AH$1:$AO$57</definedName>
    <definedName name="Z_67B6F332_7771_11D4_A436_0050044063A3_.wvu.PrintArea" localSheetId="3" hidden="1">Männer!$IN$1:$IQ$56</definedName>
    <definedName name="Z_67B6F332_7771_11D4_A436_0050044063A3_.wvu.PrintArea" localSheetId="0" hidden="1">Parameter!$A$1:$C$8</definedName>
    <definedName name="Z_67B6F332_7771_11D4_A436_0050044063A3_.wvu.PrintArea" localSheetId="2" hidden="1">Zinszahlen!$A$90:$F$129</definedName>
    <definedName name="Z_67B6F332_7771_11D4_A436_0050044063A3_.wvu.PrintTitles" localSheetId="4" hidden="1">Frauen!$1:$8</definedName>
    <definedName name="Z_67B6F332_7771_11D4_A436_0050044063A3_.wvu.PrintTitles" localSheetId="3" hidden="1">Männer!$1:$8</definedName>
    <definedName name="Z_67B6F332_7771_11D4_A436_0050044063A3_.wvu.PrintTitles" localSheetId="2" hidden="1">Zinszahlen!$A:$F,Zinszahlen!$1:$8</definedName>
    <definedName name="Z_67B6F333_7771_11D4_A436_0050044063A3_.wvu.Cols" localSheetId="4" hidden="1">Frauen!$CC:$CD,Frauen!$CV:$DZ,Frauen!$FN:$GR</definedName>
    <definedName name="Z_67B6F333_7771_11D4_A436_0050044063A3_.wvu.Cols" localSheetId="3" hidden="1">Männer!$CC:$CD,Männer!$CV:$DZ,Männer!$FN:$GR</definedName>
    <definedName name="Z_67B6F333_7771_11D4_A436_0050044063A3_.wvu.PrintArea" localSheetId="4" hidden="1">Frauen!$AQ$1:$AX$56</definedName>
    <definedName name="Z_67B6F333_7771_11D4_A436_0050044063A3_.wvu.PrintArea" localSheetId="3" hidden="1">Männer!$IN$1:$IQ$56</definedName>
    <definedName name="Z_67B6F333_7771_11D4_A436_0050044063A3_.wvu.PrintArea" localSheetId="0" hidden="1">Parameter!$A$1:$C$8</definedName>
    <definedName name="Z_67B6F333_7771_11D4_A436_0050044063A3_.wvu.PrintArea" localSheetId="2" hidden="1">Zinszahlen!$A$90:$F$129</definedName>
    <definedName name="Z_67B6F333_7771_11D4_A436_0050044063A3_.wvu.PrintTitles" localSheetId="4" hidden="1">Frauen!$1:$8</definedName>
    <definedName name="Z_67B6F333_7771_11D4_A436_0050044063A3_.wvu.PrintTitles" localSheetId="3" hidden="1">Männer!$1:$8</definedName>
    <definedName name="Z_67B6F333_7771_11D4_A436_0050044063A3_.wvu.PrintTitles" localSheetId="2" hidden="1">Zinszahlen!$A:$F,Zinszahlen!$1:$8</definedName>
    <definedName name="Z_67B6F334_7771_11D4_A436_0050044063A3_.wvu.Cols" localSheetId="4" hidden="1">Frauen!$CC:$CD,Frauen!$CV:$DZ,Frauen!$FN:$GR</definedName>
    <definedName name="Z_67B6F334_7771_11D4_A436_0050044063A3_.wvu.Cols" localSheetId="3" hidden="1">Männer!$CC:$CD,Männer!$CV:$DZ,Männer!$FN:$GR</definedName>
    <definedName name="Z_67B6F334_7771_11D4_A436_0050044063A3_.wvu.PrintArea" localSheetId="4" hidden="1">Frauen!$AQ$57:$AX$102</definedName>
    <definedName name="Z_67B6F334_7771_11D4_A436_0050044063A3_.wvu.PrintArea" localSheetId="3" hidden="1">Männer!$IN$1:$IQ$56</definedName>
    <definedName name="Z_67B6F334_7771_11D4_A436_0050044063A3_.wvu.PrintArea" localSheetId="0" hidden="1">Parameter!$A$1:$C$8</definedName>
    <definedName name="Z_67B6F334_7771_11D4_A436_0050044063A3_.wvu.PrintArea" localSheetId="2" hidden="1">Zinszahlen!$A$90:$F$129</definedName>
    <definedName name="Z_67B6F334_7771_11D4_A436_0050044063A3_.wvu.PrintTitles" localSheetId="4" hidden="1">Frauen!$1:$8</definedName>
    <definedName name="Z_67B6F334_7771_11D4_A436_0050044063A3_.wvu.PrintTitles" localSheetId="3" hidden="1">Männer!$1:$8</definedName>
    <definedName name="Z_67B6F334_7771_11D4_A436_0050044063A3_.wvu.PrintTitles" localSheetId="2" hidden="1">Zinszahlen!$A:$F,Zinszahlen!$1:$8</definedName>
    <definedName name="Z_67B6F335_7771_11D4_A436_0050044063A3_.wvu.Cols" localSheetId="4" hidden="1">Frauen!$CC:$CD,Frauen!$CV:$DZ,Frauen!$FN:$GR</definedName>
    <definedName name="Z_67B6F335_7771_11D4_A436_0050044063A3_.wvu.Cols" localSheetId="3" hidden="1">Männer!$CC:$CD,Männer!$CV:$DZ,Männer!$FN:$GR</definedName>
    <definedName name="Z_67B6F335_7771_11D4_A436_0050044063A3_.wvu.PrintArea" localSheetId="4" hidden="1">Frauen!$AZ$1:$BD$56</definedName>
    <definedName name="Z_67B6F335_7771_11D4_A436_0050044063A3_.wvu.PrintArea" localSheetId="3" hidden="1">Männer!$IN$1:$IQ$56</definedName>
    <definedName name="Z_67B6F335_7771_11D4_A436_0050044063A3_.wvu.PrintArea" localSheetId="0" hidden="1">Parameter!$A$1:$C$8</definedName>
    <definedName name="Z_67B6F335_7771_11D4_A436_0050044063A3_.wvu.PrintArea" localSheetId="2" hidden="1">Zinszahlen!$A$90:$F$129</definedName>
    <definedName name="Z_67B6F335_7771_11D4_A436_0050044063A3_.wvu.PrintTitles" localSheetId="4" hidden="1">Frauen!$1:$8</definedName>
    <definedName name="Z_67B6F335_7771_11D4_A436_0050044063A3_.wvu.PrintTitles" localSheetId="3" hidden="1">Männer!$1:$8</definedName>
    <definedName name="Z_67B6F335_7771_11D4_A436_0050044063A3_.wvu.PrintTitles" localSheetId="2" hidden="1">Zinszahlen!$A:$F,Zinszahlen!$1:$8</definedName>
    <definedName name="Z_67B6F336_7771_11D4_A436_0050044063A3_.wvu.Cols" localSheetId="4" hidden="1">Frauen!$CC:$CD,Frauen!$CV:$DZ,Frauen!$FN:$GR</definedName>
    <definedName name="Z_67B6F336_7771_11D4_A436_0050044063A3_.wvu.Cols" localSheetId="3" hidden="1">Männer!$CC:$CD,Männer!$CV:$DZ,Männer!$FN:$GR</definedName>
    <definedName name="Z_67B6F336_7771_11D4_A436_0050044063A3_.wvu.PrintArea" localSheetId="4" hidden="1">Frauen!$AZ$57:$BD$102</definedName>
    <definedName name="Z_67B6F336_7771_11D4_A436_0050044063A3_.wvu.PrintArea" localSheetId="3" hidden="1">Männer!$IN$1:$IQ$56</definedName>
    <definedName name="Z_67B6F336_7771_11D4_A436_0050044063A3_.wvu.PrintArea" localSheetId="0" hidden="1">Parameter!$A$1:$C$8</definedName>
    <definedName name="Z_67B6F336_7771_11D4_A436_0050044063A3_.wvu.PrintArea" localSheetId="2" hidden="1">Zinszahlen!$A$90:$F$129</definedName>
    <definedName name="Z_67B6F336_7771_11D4_A436_0050044063A3_.wvu.PrintTitles" localSheetId="4" hidden="1">Frauen!$1:$8</definedName>
    <definedName name="Z_67B6F336_7771_11D4_A436_0050044063A3_.wvu.PrintTitles" localSheetId="3" hidden="1">Männer!$1:$8</definedName>
    <definedName name="Z_67B6F336_7771_11D4_A436_0050044063A3_.wvu.PrintTitles" localSheetId="2" hidden="1">Zinszahlen!$A:$F,Zinszahlen!$1:$8</definedName>
    <definedName name="Z_67B6F337_7771_11D4_A436_0050044063A3_.wvu.Cols" localSheetId="4" hidden="1">Frauen!$CC:$CD,Frauen!$CV:$DZ,Frauen!$FN:$GR</definedName>
    <definedName name="Z_67B6F337_7771_11D4_A436_0050044063A3_.wvu.Cols" localSheetId="3" hidden="1">Männer!$CC:$CD,Männer!$CV:$DZ,Männer!$FN:$GR</definedName>
    <definedName name="Z_67B6F337_7771_11D4_A436_0050044063A3_.wvu.PrintArea" localSheetId="4" hidden="1">Frauen!$BF$1:$BH$56</definedName>
    <definedName name="Z_67B6F337_7771_11D4_A436_0050044063A3_.wvu.PrintArea" localSheetId="3" hidden="1">Männer!$IN$1:$IQ$56</definedName>
    <definedName name="Z_67B6F337_7771_11D4_A436_0050044063A3_.wvu.PrintArea" localSheetId="0" hidden="1">Parameter!$A$1:$C$8</definedName>
    <definedName name="Z_67B6F337_7771_11D4_A436_0050044063A3_.wvu.PrintArea" localSheetId="2" hidden="1">Zinszahlen!$A$90:$F$129</definedName>
    <definedName name="Z_67B6F337_7771_11D4_A436_0050044063A3_.wvu.PrintTitles" localSheetId="4" hidden="1">Frauen!$1:$8</definedName>
    <definedName name="Z_67B6F337_7771_11D4_A436_0050044063A3_.wvu.PrintTitles" localSheetId="3" hidden="1">Männer!$1:$8</definedName>
    <definedName name="Z_67B6F337_7771_11D4_A436_0050044063A3_.wvu.PrintTitles" localSheetId="2" hidden="1">Zinszahlen!$A:$F,Zinszahlen!$1:$8</definedName>
    <definedName name="Z_67B6F338_7771_11D4_A436_0050044063A3_.wvu.Cols" localSheetId="4" hidden="1">Frauen!$CC:$CD,Frauen!$CV:$DZ,Frauen!$FN:$GR</definedName>
    <definedName name="Z_67B6F338_7771_11D4_A436_0050044063A3_.wvu.Cols" localSheetId="3" hidden="1">Männer!$CC:$CD,Männer!$CV:$DZ,Männer!$FN:$GR</definedName>
    <definedName name="Z_67B6F338_7771_11D4_A436_0050044063A3_.wvu.PrintArea" localSheetId="4" hidden="1">Frauen!$BJ$1:$BO$56</definedName>
    <definedName name="Z_67B6F338_7771_11D4_A436_0050044063A3_.wvu.PrintArea" localSheetId="3" hidden="1">Männer!$IN$1:$IQ$56</definedName>
    <definedName name="Z_67B6F338_7771_11D4_A436_0050044063A3_.wvu.PrintArea" localSheetId="0" hidden="1">Parameter!$A$1:$C$8</definedName>
    <definedName name="Z_67B6F338_7771_11D4_A436_0050044063A3_.wvu.PrintArea" localSheetId="2" hidden="1">Zinszahlen!$A$90:$F$129</definedName>
    <definedName name="Z_67B6F338_7771_11D4_A436_0050044063A3_.wvu.PrintTitles" localSheetId="4" hidden="1">Frauen!$1:$8</definedName>
    <definedName name="Z_67B6F338_7771_11D4_A436_0050044063A3_.wvu.PrintTitles" localSheetId="3" hidden="1">Männer!$1:$8</definedName>
    <definedName name="Z_67B6F338_7771_11D4_A436_0050044063A3_.wvu.PrintTitles" localSheetId="2" hidden="1">Zinszahlen!$A:$F,Zinszahlen!$1:$8</definedName>
    <definedName name="Z_67B6F339_7771_11D4_A436_0050044063A3_.wvu.Cols" localSheetId="4" hidden="1">Frauen!$CC:$CD,Frauen!$CV:$DZ,Frauen!$FN:$GR</definedName>
    <definedName name="Z_67B6F339_7771_11D4_A436_0050044063A3_.wvu.Cols" localSheetId="3" hidden="1">Männer!$CC:$CD,Männer!$CV:$DZ,Männer!$FN:$GR</definedName>
    <definedName name="Z_67B6F339_7771_11D4_A436_0050044063A3_.wvu.PrintArea" localSheetId="4" hidden="1">Frauen!$BQ$1:$BV$56</definedName>
    <definedName name="Z_67B6F339_7771_11D4_A436_0050044063A3_.wvu.PrintArea" localSheetId="3" hidden="1">Männer!$IN$1:$IQ$56</definedName>
    <definedName name="Z_67B6F339_7771_11D4_A436_0050044063A3_.wvu.PrintArea" localSheetId="0" hidden="1">Parameter!$A$1:$C$8</definedName>
    <definedName name="Z_67B6F339_7771_11D4_A436_0050044063A3_.wvu.PrintArea" localSheetId="2" hidden="1">Zinszahlen!$A$90:$F$129</definedName>
    <definedName name="Z_67B6F339_7771_11D4_A436_0050044063A3_.wvu.PrintTitles" localSheetId="4" hidden="1">Frauen!$1:$8</definedName>
    <definedName name="Z_67B6F339_7771_11D4_A436_0050044063A3_.wvu.PrintTitles" localSheetId="3" hidden="1">Männer!$1:$8</definedName>
    <definedName name="Z_67B6F339_7771_11D4_A436_0050044063A3_.wvu.PrintTitles" localSheetId="2" hidden="1">Zinszahlen!$A:$F,Zinszahlen!$1:$8</definedName>
    <definedName name="Z_67B6F33A_7771_11D4_A436_0050044063A3_.wvu.Cols" localSheetId="4" hidden="1">Frauen!$CC:$CD,Frauen!$CV:$DZ,Frauen!$FN:$GR</definedName>
    <definedName name="Z_67B6F33A_7771_11D4_A436_0050044063A3_.wvu.Cols" localSheetId="3" hidden="1">Männer!$CC:$CD,Männer!$CV:$DZ,Männer!$FN:$GR</definedName>
    <definedName name="Z_67B6F33A_7771_11D4_A436_0050044063A3_.wvu.PrintArea" localSheetId="4" hidden="1">Frauen!$BX$1:$CE$57</definedName>
    <definedName name="Z_67B6F33A_7771_11D4_A436_0050044063A3_.wvu.PrintArea" localSheetId="3" hidden="1">Männer!$IN$1:$IQ$56</definedName>
    <definedName name="Z_67B6F33A_7771_11D4_A436_0050044063A3_.wvu.PrintArea" localSheetId="0" hidden="1">Parameter!$A$1:$C$8</definedName>
    <definedName name="Z_67B6F33A_7771_11D4_A436_0050044063A3_.wvu.PrintArea" localSheetId="2" hidden="1">Zinszahlen!$A$90:$F$129</definedName>
    <definedName name="Z_67B6F33A_7771_11D4_A436_0050044063A3_.wvu.PrintTitles" localSheetId="4" hidden="1">Frauen!$1:$8</definedName>
    <definedName name="Z_67B6F33A_7771_11D4_A436_0050044063A3_.wvu.PrintTitles" localSheetId="3" hidden="1">Männer!$1:$8</definedName>
    <definedName name="Z_67B6F33A_7771_11D4_A436_0050044063A3_.wvu.PrintTitles" localSheetId="2" hidden="1">Zinszahlen!$A:$F,Zinszahlen!$1:$8</definedName>
    <definedName name="Z_67B6F33B_7771_11D4_A436_0050044063A3_.wvu.Cols" localSheetId="4" hidden="1">Frauen!$CC:$CD,Frauen!$CV:$DZ,Frauen!$FN:$GR</definedName>
    <definedName name="Z_67B6F33B_7771_11D4_A436_0050044063A3_.wvu.Cols" localSheetId="3" hidden="1">Männer!$CC:$CD,Männer!$CV:$DZ,Männer!$FN:$GR</definedName>
    <definedName name="Z_67B6F33B_7771_11D4_A436_0050044063A3_.wvu.PrintArea" localSheetId="4" hidden="1">Frauen!$CG$1:$CN$57</definedName>
    <definedName name="Z_67B6F33B_7771_11D4_A436_0050044063A3_.wvu.PrintArea" localSheetId="3" hidden="1">Männer!$IN$1:$IQ$56</definedName>
    <definedName name="Z_67B6F33B_7771_11D4_A436_0050044063A3_.wvu.PrintArea" localSheetId="0" hidden="1">Parameter!$A$1:$C$8</definedName>
    <definedName name="Z_67B6F33B_7771_11D4_A436_0050044063A3_.wvu.PrintArea" localSheetId="2" hidden="1">Zinszahlen!$A$90:$F$129</definedName>
    <definedName name="Z_67B6F33B_7771_11D4_A436_0050044063A3_.wvu.PrintTitles" localSheetId="4" hidden="1">Frauen!$1:$8</definedName>
    <definedName name="Z_67B6F33B_7771_11D4_A436_0050044063A3_.wvu.PrintTitles" localSheetId="3" hidden="1">Männer!$1:$8</definedName>
    <definedName name="Z_67B6F33B_7771_11D4_A436_0050044063A3_.wvu.PrintTitles" localSheetId="2" hidden="1">Zinszahlen!$A:$F,Zinszahlen!$1:$8</definedName>
    <definedName name="Z_67B6F33C_7771_11D4_A436_0050044063A3_.wvu.Cols" localSheetId="4" hidden="1">Frauen!$CC:$CD,Frauen!$CV:$DZ,Frauen!$FN:$GR</definedName>
    <definedName name="Z_67B6F33C_7771_11D4_A436_0050044063A3_.wvu.Cols" localSheetId="3" hidden="1">Männer!$CC:$CD,Männer!$CV:$DZ,Männer!$FN:$GR</definedName>
    <definedName name="Z_67B6F33C_7771_11D4_A436_0050044063A3_.wvu.PrintArea" localSheetId="4" hidden="1">Frauen!$CP$1:$CS$56</definedName>
    <definedName name="Z_67B6F33C_7771_11D4_A436_0050044063A3_.wvu.PrintArea" localSheetId="3" hidden="1">Männer!$IN$1:$IQ$56</definedName>
    <definedName name="Z_67B6F33C_7771_11D4_A436_0050044063A3_.wvu.PrintArea" localSheetId="0" hidden="1">Parameter!$A$1:$C$8</definedName>
    <definedName name="Z_67B6F33C_7771_11D4_A436_0050044063A3_.wvu.PrintArea" localSheetId="2" hidden="1">Zinszahlen!$A$90:$F$129</definedName>
    <definedName name="Z_67B6F33C_7771_11D4_A436_0050044063A3_.wvu.PrintTitles" localSheetId="4" hidden="1">Frauen!$1:$8</definedName>
    <definedName name="Z_67B6F33C_7771_11D4_A436_0050044063A3_.wvu.PrintTitles" localSheetId="3" hidden="1">Männer!$1:$8</definedName>
    <definedName name="Z_67B6F33C_7771_11D4_A436_0050044063A3_.wvu.PrintTitles" localSheetId="2" hidden="1">Zinszahlen!$A:$F,Zinszahlen!$1:$8</definedName>
    <definedName name="Z_67B6F33D_7771_11D4_A436_0050044063A3_.wvu.Cols" localSheetId="4" hidden="1">Frauen!$CC:$CD,Frauen!$CV:$DZ,Frauen!$FN:$GR</definedName>
    <definedName name="Z_67B6F33D_7771_11D4_A436_0050044063A3_.wvu.Cols" localSheetId="3" hidden="1">Männer!$CC:$CD,Männer!$CV:$DZ,Männer!$FN:$GR</definedName>
    <definedName name="Z_67B6F33D_7771_11D4_A436_0050044063A3_.wvu.PrintArea" localSheetId="4" hidden="1">Frauen!$CU$1:$EH$56</definedName>
    <definedName name="Z_67B6F33D_7771_11D4_A436_0050044063A3_.wvu.PrintArea" localSheetId="3" hidden="1">Männer!$IN$1:$IQ$56</definedName>
    <definedName name="Z_67B6F33D_7771_11D4_A436_0050044063A3_.wvu.PrintArea" localSheetId="0" hidden="1">Parameter!$A$1:$C$8</definedName>
    <definedName name="Z_67B6F33D_7771_11D4_A436_0050044063A3_.wvu.PrintArea" localSheetId="2" hidden="1">Zinszahlen!$A$90:$F$129</definedName>
    <definedName name="Z_67B6F33D_7771_11D4_A436_0050044063A3_.wvu.PrintTitles" localSheetId="4" hidden="1">Frauen!$1:$8</definedName>
    <definedName name="Z_67B6F33D_7771_11D4_A436_0050044063A3_.wvu.PrintTitles" localSheetId="3" hidden="1">Männer!$1:$8</definedName>
    <definedName name="Z_67B6F33D_7771_11D4_A436_0050044063A3_.wvu.PrintTitles" localSheetId="2" hidden="1">Zinszahlen!$A:$F,Zinszahlen!$1:$8</definedName>
    <definedName name="Z_67B6F33E_7771_11D4_A436_0050044063A3_.wvu.Cols" localSheetId="4" hidden="1">Frauen!$CC:$CD,Frauen!$CV:$DZ,Frauen!$FN:$GR</definedName>
    <definedName name="Z_67B6F33E_7771_11D4_A436_0050044063A3_.wvu.Cols" localSheetId="3" hidden="1">Männer!$CC:$CD,Männer!$CV:$DZ,Männer!$FN:$GR</definedName>
    <definedName name="Z_67B6F33E_7771_11D4_A436_0050044063A3_.wvu.PrintArea" localSheetId="4" hidden="1">Frauen!$EJ$1:$ER$56</definedName>
    <definedName name="Z_67B6F33E_7771_11D4_A436_0050044063A3_.wvu.PrintArea" localSheetId="3" hidden="1">Männer!$IN$1:$IQ$56</definedName>
    <definedName name="Z_67B6F33E_7771_11D4_A436_0050044063A3_.wvu.PrintArea" localSheetId="0" hidden="1">Parameter!$A$1:$C$8</definedName>
    <definedName name="Z_67B6F33E_7771_11D4_A436_0050044063A3_.wvu.PrintArea" localSheetId="2" hidden="1">Zinszahlen!$A$90:$F$129</definedName>
    <definedName name="Z_67B6F33E_7771_11D4_A436_0050044063A3_.wvu.PrintTitles" localSheetId="4" hidden="1">Frauen!$1:$8</definedName>
    <definedName name="Z_67B6F33E_7771_11D4_A436_0050044063A3_.wvu.PrintTitles" localSheetId="3" hidden="1">Männer!$1:$8</definedName>
    <definedName name="Z_67B6F33E_7771_11D4_A436_0050044063A3_.wvu.PrintTitles" localSheetId="2" hidden="1">Zinszahlen!$A:$F,Zinszahlen!$1:$8</definedName>
    <definedName name="Z_67B6F33F_7771_11D4_A436_0050044063A3_.wvu.Cols" localSheetId="4" hidden="1">Frauen!$CC:$CD,Frauen!$CV:$DZ,Frauen!$FN:$GR</definedName>
    <definedName name="Z_67B6F33F_7771_11D4_A436_0050044063A3_.wvu.Cols" localSheetId="3" hidden="1">Männer!$CC:$CD,Männer!$CV:$DZ,Männer!$FN:$GR</definedName>
    <definedName name="Z_67B6F33F_7771_11D4_A436_0050044063A3_.wvu.PrintArea" localSheetId="4" hidden="1">Frauen!$ET$1:$FB$56</definedName>
    <definedName name="Z_67B6F33F_7771_11D4_A436_0050044063A3_.wvu.PrintArea" localSheetId="3" hidden="1">Männer!$IN$1:$IQ$56</definedName>
    <definedName name="Z_67B6F33F_7771_11D4_A436_0050044063A3_.wvu.PrintArea" localSheetId="0" hidden="1">Parameter!$A$1:$C$8</definedName>
    <definedName name="Z_67B6F33F_7771_11D4_A436_0050044063A3_.wvu.PrintArea" localSheetId="2" hidden="1">Zinszahlen!$A$90:$F$129</definedName>
    <definedName name="Z_67B6F33F_7771_11D4_A436_0050044063A3_.wvu.PrintTitles" localSheetId="4" hidden="1">Frauen!$1:$8</definedName>
    <definedName name="Z_67B6F33F_7771_11D4_A436_0050044063A3_.wvu.PrintTitles" localSheetId="3" hidden="1">Männer!$1:$8</definedName>
    <definedName name="Z_67B6F33F_7771_11D4_A436_0050044063A3_.wvu.PrintTitles" localSheetId="2" hidden="1">Zinszahlen!$A:$F,Zinszahlen!$1:$8</definedName>
    <definedName name="Z_67B6F340_7771_11D4_A436_0050044063A3_.wvu.Cols" localSheetId="4" hidden="1">Frauen!$CC:$CD,Frauen!$CV:$DZ,Frauen!$FN:$GR</definedName>
    <definedName name="Z_67B6F340_7771_11D4_A436_0050044063A3_.wvu.Cols" localSheetId="3" hidden="1">Männer!$CC:$CD,Männer!$CV:$DZ,Männer!$FN:$GR</definedName>
    <definedName name="Z_67B6F340_7771_11D4_A436_0050044063A3_.wvu.PrintArea" localSheetId="4" hidden="1">Frauen!$FD$1:$FK$56</definedName>
    <definedName name="Z_67B6F340_7771_11D4_A436_0050044063A3_.wvu.PrintArea" localSheetId="3" hidden="1">Männer!$IN$1:$IQ$56</definedName>
    <definedName name="Z_67B6F340_7771_11D4_A436_0050044063A3_.wvu.PrintArea" localSheetId="0" hidden="1">Parameter!$A$1:$C$8</definedName>
    <definedName name="Z_67B6F340_7771_11D4_A436_0050044063A3_.wvu.PrintArea" localSheetId="2" hidden="1">Zinszahlen!$A$90:$F$129</definedName>
    <definedName name="Z_67B6F340_7771_11D4_A436_0050044063A3_.wvu.PrintTitles" localSheetId="4" hidden="1">Frauen!$1:$8</definedName>
    <definedName name="Z_67B6F340_7771_11D4_A436_0050044063A3_.wvu.PrintTitles" localSheetId="3" hidden="1">Männer!$1:$8</definedName>
    <definedName name="Z_67B6F340_7771_11D4_A436_0050044063A3_.wvu.PrintTitles" localSheetId="2" hidden="1">Zinszahlen!$A:$F,Zinszahlen!$1:$8</definedName>
    <definedName name="Z_67B6F341_7771_11D4_A436_0050044063A3_.wvu.Cols" localSheetId="4" hidden="1">Frauen!$CC:$CD,Frauen!$CV:$DZ,Frauen!$FN:$GR</definedName>
    <definedName name="Z_67B6F341_7771_11D4_A436_0050044063A3_.wvu.Cols" localSheetId="3" hidden="1">Männer!$CC:$CD,Männer!$CV:$DZ,Männer!$FN:$GR</definedName>
    <definedName name="Z_67B6F341_7771_11D4_A436_0050044063A3_.wvu.PrintArea" localSheetId="4" hidden="1">Frauen!$FM$1:$GZ$56</definedName>
    <definedName name="Z_67B6F341_7771_11D4_A436_0050044063A3_.wvu.PrintArea" localSheetId="3" hidden="1">Männer!$IN$1:$IQ$56</definedName>
    <definedName name="Z_67B6F341_7771_11D4_A436_0050044063A3_.wvu.PrintArea" localSheetId="0" hidden="1">Parameter!$A$1:$C$8</definedName>
    <definedName name="Z_67B6F341_7771_11D4_A436_0050044063A3_.wvu.PrintArea" localSheetId="2" hidden="1">Zinszahlen!$A$90:$F$129</definedName>
    <definedName name="Z_67B6F341_7771_11D4_A436_0050044063A3_.wvu.PrintTitles" localSheetId="4" hidden="1">Frauen!$1:$8</definedName>
    <definedName name="Z_67B6F341_7771_11D4_A436_0050044063A3_.wvu.PrintTitles" localSheetId="3" hidden="1">Männer!$1:$8</definedName>
    <definedName name="Z_67B6F341_7771_11D4_A436_0050044063A3_.wvu.PrintTitles" localSheetId="2" hidden="1">Zinszahlen!$A:$F,Zinszahlen!$1:$8</definedName>
    <definedName name="Z_67B6F342_7771_11D4_A436_0050044063A3_.wvu.Cols" localSheetId="4" hidden="1">Frauen!$CC:$CD,Frauen!$CV:$DZ,Frauen!$FN:$GR</definedName>
    <definedName name="Z_67B6F342_7771_11D4_A436_0050044063A3_.wvu.Cols" localSheetId="3" hidden="1">Männer!$CC:$CD,Männer!$CV:$DZ,Männer!$FN:$GR</definedName>
    <definedName name="Z_67B6F342_7771_11D4_A436_0050044063A3_.wvu.PrintArea" localSheetId="4" hidden="1">Frauen!$HB$1:$HJ$56</definedName>
    <definedName name="Z_67B6F342_7771_11D4_A436_0050044063A3_.wvu.PrintArea" localSheetId="3" hidden="1">Männer!$IN$1:$IQ$56</definedName>
    <definedName name="Z_67B6F342_7771_11D4_A436_0050044063A3_.wvu.PrintArea" localSheetId="0" hidden="1">Parameter!$A$1:$C$8</definedName>
    <definedName name="Z_67B6F342_7771_11D4_A436_0050044063A3_.wvu.PrintArea" localSheetId="2" hidden="1">Zinszahlen!$A$90:$F$129</definedName>
    <definedName name="Z_67B6F342_7771_11D4_A436_0050044063A3_.wvu.PrintTitles" localSheetId="4" hidden="1">Frauen!$1:$8</definedName>
    <definedName name="Z_67B6F342_7771_11D4_A436_0050044063A3_.wvu.PrintTitles" localSheetId="3" hidden="1">Männer!$1:$8</definedName>
    <definedName name="Z_67B6F342_7771_11D4_A436_0050044063A3_.wvu.PrintTitles" localSheetId="2" hidden="1">Zinszahlen!$A:$F,Zinszahlen!$1:$8</definedName>
    <definedName name="Z_67B6F343_7771_11D4_A436_0050044063A3_.wvu.Cols" localSheetId="4" hidden="1">Frauen!$CC:$CD,Frauen!$CV:$DZ,Frauen!$FN:$GR</definedName>
    <definedName name="Z_67B6F343_7771_11D4_A436_0050044063A3_.wvu.Cols" localSheetId="3" hidden="1">Männer!$CC:$CD,Männer!$CV:$DZ,Männer!$FN:$GR</definedName>
    <definedName name="Z_67B6F343_7771_11D4_A436_0050044063A3_.wvu.PrintArea" localSheetId="4" hidden="1">Frauen!$HL$1:$HT$56</definedName>
    <definedName name="Z_67B6F343_7771_11D4_A436_0050044063A3_.wvu.PrintArea" localSheetId="3" hidden="1">Männer!$IN$1:$IQ$56</definedName>
    <definedName name="Z_67B6F343_7771_11D4_A436_0050044063A3_.wvu.PrintArea" localSheetId="0" hidden="1">Parameter!$A$1:$C$8</definedName>
    <definedName name="Z_67B6F343_7771_11D4_A436_0050044063A3_.wvu.PrintArea" localSheetId="2" hidden="1">Zinszahlen!$A$90:$F$129</definedName>
    <definedName name="Z_67B6F343_7771_11D4_A436_0050044063A3_.wvu.PrintTitles" localSheetId="4" hidden="1">Frauen!$1:$8</definedName>
    <definedName name="Z_67B6F343_7771_11D4_A436_0050044063A3_.wvu.PrintTitles" localSheetId="3" hidden="1">Männer!$1:$8</definedName>
    <definedName name="Z_67B6F343_7771_11D4_A436_0050044063A3_.wvu.PrintTitles" localSheetId="2" hidden="1">Zinszahlen!$A:$F,Zinszahlen!$1:$8</definedName>
    <definedName name="Z_67B6F344_7771_11D4_A436_0050044063A3_.wvu.Cols" localSheetId="4" hidden="1">Frauen!$CC:$CD,Frauen!$CV:$DZ,Frauen!$FN:$GR</definedName>
    <definedName name="Z_67B6F344_7771_11D4_A436_0050044063A3_.wvu.Cols" localSheetId="3" hidden="1">Männer!$CC:$CD,Männer!$CV:$DZ,Männer!$FN:$GR</definedName>
    <definedName name="Z_67B6F344_7771_11D4_A436_0050044063A3_.wvu.PrintArea" localSheetId="4" hidden="1">Frauen!$HV$1:$IC$56</definedName>
    <definedName name="Z_67B6F344_7771_11D4_A436_0050044063A3_.wvu.PrintArea" localSheetId="3" hidden="1">Männer!$IN$1:$IQ$56</definedName>
    <definedName name="Z_67B6F344_7771_11D4_A436_0050044063A3_.wvu.PrintArea" localSheetId="0" hidden="1">Parameter!$A$1:$C$8</definedName>
    <definedName name="Z_67B6F344_7771_11D4_A436_0050044063A3_.wvu.PrintArea" localSheetId="2" hidden="1">Zinszahlen!$A$90:$F$129</definedName>
    <definedName name="Z_67B6F344_7771_11D4_A436_0050044063A3_.wvu.PrintTitles" localSheetId="4" hidden="1">Frauen!$1:$8</definedName>
    <definedName name="Z_67B6F344_7771_11D4_A436_0050044063A3_.wvu.PrintTitles" localSheetId="3" hidden="1">Männer!$1:$8</definedName>
    <definedName name="Z_67B6F344_7771_11D4_A436_0050044063A3_.wvu.PrintTitles" localSheetId="2" hidden="1">Zinszahlen!$A:$F,Zinszahlen!$1:$8</definedName>
    <definedName name="Z_67B6F345_7771_11D4_A436_0050044063A3_.wvu.Cols" localSheetId="4" hidden="1">Frauen!$CC:$CD,Frauen!$CV:$DZ,Frauen!$FN:$GR</definedName>
    <definedName name="Z_67B6F345_7771_11D4_A436_0050044063A3_.wvu.Cols" localSheetId="3" hidden="1">Männer!$CC:$CD,Männer!$CV:$DZ,Männer!$FN:$GR</definedName>
    <definedName name="Z_67B6F345_7771_11D4_A436_0050044063A3_.wvu.PrintArea" localSheetId="4" hidden="1">Frauen!$IE$1:$IL$57</definedName>
    <definedName name="Z_67B6F345_7771_11D4_A436_0050044063A3_.wvu.PrintArea" localSheetId="3" hidden="1">Männer!$IN$1:$IQ$56</definedName>
    <definedName name="Z_67B6F345_7771_11D4_A436_0050044063A3_.wvu.PrintArea" localSheetId="0" hidden="1">Parameter!$A$1:$C$8</definedName>
    <definedName name="Z_67B6F345_7771_11D4_A436_0050044063A3_.wvu.PrintArea" localSheetId="2" hidden="1">Zinszahlen!$A$90:$F$129</definedName>
    <definedName name="Z_67B6F345_7771_11D4_A436_0050044063A3_.wvu.PrintTitles" localSheetId="4" hidden="1">Frauen!$1:$8</definedName>
    <definedName name="Z_67B6F345_7771_11D4_A436_0050044063A3_.wvu.PrintTitles" localSheetId="3" hidden="1">Männer!$1:$8</definedName>
    <definedName name="Z_67B6F345_7771_11D4_A436_0050044063A3_.wvu.PrintTitles" localSheetId="2" hidden="1">Zinszahlen!$A:$F,Zinszahlen!$1:$8</definedName>
    <definedName name="Z_67B6F346_7771_11D4_A436_0050044063A3_.wvu.Cols" localSheetId="4" hidden="1">Frauen!$CC:$CD,Frauen!$CV:$DZ,Frauen!$FN:$GR</definedName>
    <definedName name="Z_67B6F346_7771_11D4_A436_0050044063A3_.wvu.Cols" localSheetId="3" hidden="1">Männer!$CC:$CD,Männer!$CV:$DZ,Männer!$FN:$GR</definedName>
    <definedName name="Z_67B6F346_7771_11D4_A436_0050044063A3_.wvu.PrintArea" localSheetId="4" hidden="1">Frauen!$IN$1:$IQ$56</definedName>
    <definedName name="Z_67B6F346_7771_11D4_A436_0050044063A3_.wvu.PrintArea" localSheetId="3" hidden="1">Männer!$IN$1:$IQ$56</definedName>
    <definedName name="Z_67B6F346_7771_11D4_A436_0050044063A3_.wvu.PrintArea" localSheetId="0" hidden="1">Parameter!$A$1:$C$8</definedName>
    <definedName name="Z_67B6F346_7771_11D4_A436_0050044063A3_.wvu.PrintArea" localSheetId="2" hidden="1">Zinszahlen!$A$90:$F$129</definedName>
    <definedName name="Z_67B6F346_7771_11D4_A436_0050044063A3_.wvu.PrintTitles" localSheetId="4" hidden="1">Frauen!$1:$8</definedName>
    <definedName name="Z_67B6F346_7771_11D4_A436_0050044063A3_.wvu.PrintTitles" localSheetId="3" hidden="1">Männer!$1:$8</definedName>
    <definedName name="Z_67B6F346_7771_11D4_A436_0050044063A3_.wvu.PrintTitles" localSheetId="2" hidden="1">Zinszahlen!$A:$F,Zinszahlen!$1:$8</definedName>
    <definedName name="Z_6EC1D8DB_7337_11D4_A432_0050044063A3_.wvu.Cols" localSheetId="4" hidden="1">Frauen!$CC:$CD,Frauen!$CV:$DZ,Frauen!$FN:$GR</definedName>
    <definedName name="Z_6EC1D8DB_7337_11D4_A432_0050044063A3_.wvu.Cols" localSheetId="3" hidden="1">Männer!$CC:$CD,Männer!$CV:$DZ,Männer!$FN:$GR</definedName>
    <definedName name="Z_6EC1D8DB_7337_11D4_A432_0050044063A3_.wvu.PrintArea" localSheetId="4" hidden="1">Frauen!$IN$1:$IQ$56</definedName>
    <definedName name="Z_6EC1D8DB_7337_11D4_A432_0050044063A3_.wvu.PrintArea" localSheetId="3" hidden="1">Männer!$IN$1:$IQ$56</definedName>
    <definedName name="Z_6EC1D8DB_7337_11D4_A432_0050044063A3_.wvu.PrintArea" localSheetId="0" hidden="1">Parameter!$A$1:$C$8</definedName>
    <definedName name="Z_6EC1D8DB_7337_11D4_A432_0050044063A3_.wvu.PrintArea" localSheetId="2" hidden="1">Zinszahlen!$A$90:$F$129</definedName>
    <definedName name="Z_6EC1D8DB_7337_11D4_A432_0050044063A3_.wvu.PrintTitles" localSheetId="4" hidden="1">Frauen!$1:$8</definedName>
    <definedName name="Z_6EC1D8DB_7337_11D4_A432_0050044063A3_.wvu.PrintTitles" localSheetId="3" hidden="1">Männer!$1:$8</definedName>
    <definedName name="Z_6EC1D8DB_7337_11D4_A432_0050044063A3_.wvu.PrintTitles" localSheetId="2" hidden="1">Zinszahlen!$A:$F,Zinszahlen!$1:$8</definedName>
    <definedName name="Z_E26AA399_7CC0_11D4_A43C_0050044063A3_.wvu.Cols" localSheetId="4" hidden="1">Frauen!$CC:$CD,Frauen!$CV:$DZ,Frauen!$FN:$GR</definedName>
    <definedName name="Z_E26AA399_7CC0_11D4_A43C_0050044063A3_.wvu.Cols" localSheetId="3" hidden="1">Männer!$CC:$CD,Männer!$CV:$DZ,Männer!$FN:$GR</definedName>
    <definedName name="Z_E26AA399_7CC0_11D4_A43C_0050044063A3_.wvu.PrintArea" localSheetId="4" hidden="1">Frauen!$A$1:$E$102</definedName>
    <definedName name="Z_E26AA399_7CC0_11D4_A43C_0050044063A3_.wvu.PrintArea" localSheetId="3" hidden="1">Männer!$X$1:$AF$102</definedName>
    <definedName name="Z_E26AA399_7CC0_11D4_A43C_0050044063A3_.wvu.PrintArea" localSheetId="0" hidden="1">Parameter!$A$1:$C$8</definedName>
    <definedName name="Z_E26AA399_7CC0_11D4_A43C_0050044063A3_.wvu.PrintArea" localSheetId="2" hidden="1">Zinszahlen!$A$1:$F$49</definedName>
    <definedName name="Z_E26AA399_7CC0_11D4_A43C_0050044063A3_.wvu.PrintTitles" localSheetId="4" hidden="1">Frauen!$1:$7</definedName>
    <definedName name="Z_E26AA399_7CC0_11D4_A43C_0050044063A3_.wvu.PrintTitles" localSheetId="3" hidden="1">Männer!$1:$8</definedName>
    <definedName name="Z_E26AA399_7CC0_11D4_A43C_0050044063A3_.wvu.PrintTitles" localSheetId="2" hidden="1">Zinszahlen!$A:$F,Zinszahlen!$1:$8</definedName>
    <definedName name="Zins" localSheetId="2">Parameter!$B$4</definedName>
    <definedName name="Zins">Parameter!$B$4</definedName>
    <definedName name="_xlnm.Print_Area" localSheetId="4">Frauen!$A$1:$E$102</definedName>
    <definedName name="_xlnm.Print_Area" localSheetId="3">Männer!$A$57:$E$102</definedName>
    <definedName name="_xlnm.Print_Area" localSheetId="0">Parameter!$A$1:$C$8</definedName>
    <definedName name="_xlnm.Print_Area" localSheetId="2">Zinszahlen!$A$1:$F$49</definedName>
    <definedName name="zx">Männer!$S$9:$S$102</definedName>
    <definedName name="zy">Frauen!$S$9:$S$102</definedName>
  </definedNames>
  <calcPr calcId="162913"/>
  <customWorkbookViews>
    <customWorkbookView name="MT23a" guid="{30BFA3C6-776B-11D4-A436-0050044063A3}" maximized="1" windowWidth="1020" windowHeight="553" tabRatio="506" activeSheetId="5" showComments="commIndAndComment"/>
    <customWorkbookView name="MT22a" guid="{30BFA3C5-776B-11D4-A436-0050044063A3}" maximized="1" windowWidth="1020" windowHeight="553" tabRatio="506" activeSheetId="5" showComments="commIndAndComment"/>
    <customWorkbookView name="MT21a" guid="{30BFA3C4-776B-11D4-A436-0050044063A3}" maximized="1" windowWidth="1020" windowHeight="553" tabRatio="506" activeSheetId="5" showComments="commIndAndComment"/>
    <customWorkbookView name="MT20a" guid="{30BFA3C3-776B-11D4-A436-0050044063A3}" maximized="1" windowWidth="1020" windowHeight="553" tabRatio="506" activeSheetId="5" showComments="commIndAndComment"/>
    <customWorkbookView name="MT19a" guid="{30BFA3C2-776B-11D4-A436-0050044063A3}" maximized="1" windowWidth="1020" windowHeight="553" tabRatio="506" activeSheetId="5" showComments="commIndAndComment"/>
    <customWorkbookView name="MT18a" guid="{30BFA3C1-776B-11D4-A436-0050044063A3}" maximized="1" windowWidth="1020" windowHeight="553" tabRatio="506" activeSheetId="5" showComments="commIndAndComment"/>
    <customWorkbookView name="MT17a" guid="{30BFA3C0-776B-11D4-A436-0050044063A3}" maximized="1" windowWidth="1020" windowHeight="553" tabRatio="506" activeSheetId="5" showComments="commIndAndComment"/>
    <customWorkbookView name="MT16a" guid="{30BFA3BF-776B-11D4-A436-0050044063A3}" maximized="1" windowWidth="1020" windowHeight="553" tabRatio="506" activeSheetId="5" showComments="commIndAndComment"/>
    <customWorkbookView name="MT15a" guid="{30BFA3BE-776B-11D4-A436-0050044063A3}" maximized="1" windowWidth="1020" windowHeight="553" tabRatio="506" activeSheetId="5" showComments="commIndAndComment"/>
    <customWorkbookView name="MT14a" guid="{30BFA3BD-776B-11D4-A436-0050044063A3}" maximized="1" windowWidth="1020" windowHeight="553" tabRatio="506" activeSheetId="5" showComments="commIndAndComment"/>
    <customWorkbookView name="MT13a" guid="{30BFA3BC-776B-11D4-A436-0050044063A3}" maximized="1" windowWidth="1020" windowHeight="553" tabRatio="506" activeSheetId="5" showComments="commIndAndComment"/>
    <customWorkbookView name="MT12a" guid="{30BFA3BB-776B-11D4-A436-0050044063A3}" maximized="1" windowWidth="1020" windowHeight="553" tabRatio="506" activeSheetId="5" showComments="commIndAndComment"/>
    <customWorkbookView name="MT11a" guid="{30BFA3BA-776B-11D4-A436-0050044063A3}" maximized="1" windowWidth="1020" windowHeight="553" tabRatio="506" activeSheetId="5" showComments="commIndAndComment"/>
    <customWorkbookView name="MT10a" guid="{30BFA3B9-776B-11D4-A436-0050044063A3}" maximized="1" windowWidth="1020" windowHeight="553" tabRatio="506" activeSheetId="5" showComments="commIndAndComment"/>
    <customWorkbookView name="MT9a" guid="{30BFA3B8-776B-11D4-A436-0050044063A3}" maximized="1" windowWidth="1020" windowHeight="553" tabRatio="506" activeSheetId="5" showComments="commIndAndComment"/>
    <customWorkbookView name="MT8a" guid="{30BFA3B6-776B-11D4-A436-0050044063A3}" maximized="1" windowWidth="1020" windowHeight="553" tabRatio="506" activeSheetId="5" showComments="commIndAndComment"/>
    <customWorkbookView name="MT7b" guid="{30BFA3B5-776B-11D4-A436-0050044063A3}" maximized="1" windowWidth="1020" windowHeight="553" tabRatio="506" activeSheetId="5" showComments="commIndAndComment"/>
    <customWorkbookView name="MT7a" guid="{30BFA3B4-776B-11D4-A436-0050044063A3}" maximized="1" windowWidth="1020" windowHeight="553" tabRatio="506" activeSheetId="5" showComments="commIndAndComment"/>
    <customWorkbookView name="MT6b" guid="{30BFA3B3-776B-11D4-A436-0050044063A3}" maximized="1" windowWidth="1020" windowHeight="553" tabRatio="506" activeSheetId="5" showComments="commIndAndComment"/>
    <customWorkbookView name="MT6a" guid="{30BFA3B2-776B-11D4-A436-0050044063A3}" maximized="1" windowWidth="1020" windowHeight="553" tabRatio="506" activeSheetId="5" showComments="commIndAndComment"/>
    <customWorkbookView name="MT5a" guid="{30BFA3B1-776B-11D4-A436-0050044063A3}" maximized="1" windowWidth="1020" windowHeight="553" tabRatio="506" activeSheetId="5" showComments="commIndAndComment"/>
    <customWorkbookView name="MT4a" guid="{30BFA3AF-776B-11D4-A436-0050044063A3}" maximized="1" windowWidth="1020" windowHeight="553" tabRatio="506" activeSheetId="5" showComments="commIndAndComment"/>
    <customWorkbookView name="MT3b" guid="{30BFA3AE-776B-11D4-A436-0050044063A3}" maximized="1" windowWidth="1020" windowHeight="553" tabRatio="506" activeSheetId="5" showComments="commIndAndComment"/>
    <customWorkbookView name="MT3a" guid="{30BFA3AD-776B-11D4-A436-0050044063A3}" maximized="1" windowWidth="1020" windowHeight="553" tabRatio="506" activeSheetId="5" showComments="commIndAndComment"/>
    <customWorkbookView name="MT2b" guid="{30BFA3AC-776B-11D4-A436-0050044063A3}" maximized="1" windowWidth="1020" windowHeight="553" tabRatio="506" activeSheetId="5" showComments="commIndAndComment"/>
    <customWorkbookView name="MT2a" guid="{30BFA3AB-776B-11D4-A436-0050044063A3}" maximized="1" windowWidth="1020" windowHeight="553" tabRatio="506" activeSheetId="5" showComments="commIndAndComment"/>
    <customWorkbookView name="MT1b" guid="{30BFA3AA-776B-11D4-A436-0050044063A3}" maximized="1" windowWidth="1020" windowHeight="553" tabRatio="506" activeSheetId="5" showComments="commIndAndComment"/>
    <customWorkbookView name="MT1a" guid="{30BFA3A9-776B-11D4-A436-0050044063A3}" maximized="1" windowWidth="1020" windowHeight="553" tabRatio="506" activeSheetId="5" showComments="commIndAndComment"/>
    <customWorkbookView name="Zinszahlen2" guid="{4C29A34C-6ED4-11D4-A42C-0050044063A3}" maximized="1" windowWidth="1020" windowHeight="553" tabRatio="506" activeSheetId="19" showComments="commNone"/>
    <customWorkbookView name="Zinszahlen3" guid="{4C29A34D-6ED4-11D4-A42C-0050044063A3}" maximized="1" windowWidth="1020" windowHeight="553" tabRatio="506" activeSheetId="19" showComments="commNone"/>
    <customWorkbookView name="Deckblatt" guid="{6EC1D8DB-7337-11D4-A432-0050044063A3}" maximized="1" windowWidth="1020" windowHeight="553" tabRatio="506" activeSheetId="20" showComments="commIndAndComment"/>
    <customWorkbookView name="FT1b" guid="{67B6F32A-7771-11D4-A436-0050044063A3}" maximized="1" windowWidth="1020" windowHeight="553" tabRatio="506" activeSheetId="2" showComments="commIndAndComment"/>
    <customWorkbookView name="FT1a" guid="{67B6F32B-7771-11D4-A436-0050044063A3}" maximized="1" windowWidth="1020" windowHeight="553" tabRatio="506" activeSheetId="2" showComments="commIndAndComment"/>
    <customWorkbookView name="FT2a" guid="{67B6F32C-7771-11D4-A436-0050044063A3}" maximized="1" windowWidth="1020" windowHeight="553" tabRatio="506" activeSheetId="2" showComments="commIndAndComment"/>
    <customWorkbookView name="FT2b" guid="{67B6F32D-7771-11D4-A436-0050044063A3}" maximized="1" windowWidth="1020" windowHeight="553" tabRatio="506" activeSheetId="2" showComments="commIndAndComment"/>
    <customWorkbookView name="FT3a" guid="{67B6F32E-7771-11D4-A436-0050044063A3}" maximized="1" windowWidth="1020" windowHeight="553" tabRatio="506" activeSheetId="2" showComments="commIndAndComment"/>
    <customWorkbookView name="FT3b" guid="{67B6F32F-7771-11D4-A436-0050044063A3}" maximized="1" windowWidth="1020" windowHeight="553" tabRatio="506" activeSheetId="2" showComments="commIndAndComment"/>
    <customWorkbookView name="FT4a" guid="{67B6F330-7771-11D4-A436-0050044063A3}" maximized="1" windowWidth="1020" windowHeight="553" tabRatio="506" activeSheetId="2" showComments="commIndAndComment"/>
    <customWorkbookView name="FT5a" guid="{67B6F332-7771-11D4-A436-0050044063A3}" maximized="1" windowWidth="1020" windowHeight="553" tabRatio="506" activeSheetId="2" showComments="commIndAndComment"/>
    <customWorkbookView name="FT6a" guid="{67B6F333-7771-11D4-A436-0050044063A3}" maximized="1" windowWidth="1020" windowHeight="553" tabRatio="506" activeSheetId="2" showComments="commIndAndComment"/>
    <customWorkbookView name="FT6b" guid="{67B6F334-7771-11D4-A436-0050044063A3}" maximized="1" windowWidth="1020" windowHeight="553" tabRatio="506" activeSheetId="2" showComments="commIndAndComment"/>
    <customWorkbookView name="FT7a" guid="{67B6F335-7771-11D4-A436-0050044063A3}" maximized="1" windowWidth="1020" windowHeight="553" tabRatio="506" activeSheetId="2" showComments="commIndAndComment"/>
    <customWorkbookView name="FT7b" guid="{67B6F336-7771-11D4-A436-0050044063A3}" maximized="1" windowWidth="1020" windowHeight="553" tabRatio="506" activeSheetId="2" showComments="commIndAndComment"/>
    <customWorkbookView name="FT8a" guid="{67B6F337-7771-11D4-A436-0050044063A3}" maximized="1" windowWidth="1020" windowHeight="553" tabRatio="506" activeSheetId="2" showComments="commIndAndComment"/>
    <customWorkbookView name="FT9a" guid="{67B6F338-7771-11D4-A436-0050044063A3}" maximized="1" windowWidth="1020" windowHeight="553" tabRatio="506" activeSheetId="2" showComments="commIndAndComment"/>
    <customWorkbookView name="FT10a" guid="{67B6F339-7771-11D4-A436-0050044063A3}" maximized="1" windowWidth="1020" windowHeight="553" tabRatio="506" activeSheetId="2" showComments="commIndAndComment"/>
    <customWorkbookView name="FT11a" guid="{67B6F33A-7771-11D4-A436-0050044063A3}" maximized="1" windowWidth="1020" windowHeight="553" tabRatio="506" activeSheetId="2" showComments="commIndAndComment"/>
    <customWorkbookView name="FT12a" guid="{67B6F33B-7771-11D4-A436-0050044063A3}" maximized="1" windowWidth="1020" windowHeight="553" tabRatio="506" activeSheetId="2" showComments="commIndAndComment"/>
    <customWorkbookView name="FT13a" guid="{67B6F33C-7771-11D4-A436-0050044063A3}" maximized="1" windowWidth="1020" windowHeight="553" tabRatio="506" activeSheetId="2" showComments="commIndAndComment"/>
    <customWorkbookView name="FT14a" guid="{67B6F33D-7771-11D4-A436-0050044063A3}" maximized="1" windowWidth="1020" windowHeight="553" tabRatio="506" activeSheetId="2" showComments="commIndAndComment"/>
    <customWorkbookView name="FT15a" guid="{67B6F33E-7771-11D4-A436-0050044063A3}" maximized="1" windowWidth="1020" windowHeight="553" tabRatio="506" activeSheetId="2" showComments="commIndAndComment"/>
    <customWorkbookView name="FT16a" guid="{67B6F33F-7771-11D4-A436-0050044063A3}" maximized="1" windowWidth="1020" windowHeight="553" tabRatio="506" activeSheetId="2" showComments="commIndAndComment"/>
    <customWorkbookView name="FT17a" guid="{67B6F340-7771-11D4-A436-0050044063A3}" maximized="1" windowWidth="1020" windowHeight="553" tabRatio="506" activeSheetId="2" showComments="commIndAndComment"/>
    <customWorkbookView name="FT18a" guid="{67B6F341-7771-11D4-A436-0050044063A3}" maximized="1" windowWidth="1020" windowHeight="553" tabRatio="506" activeSheetId="2" showComments="commIndAndComment"/>
    <customWorkbookView name="FT19a" guid="{67B6F342-7771-11D4-A436-0050044063A3}" maximized="1" windowWidth="1020" windowHeight="553" tabRatio="506" activeSheetId="2" showComments="commIndAndComment"/>
    <customWorkbookView name="FT20a" guid="{67B6F343-7771-11D4-A436-0050044063A3}" maximized="1" windowWidth="1020" windowHeight="553" tabRatio="506" activeSheetId="2" showComments="commIndAndComment"/>
    <customWorkbookView name="FT21a" guid="{67B6F344-7771-11D4-A436-0050044063A3}" maximized="1" windowWidth="1020" windowHeight="553" tabRatio="506" activeSheetId="2" showComments="commIndAndComment"/>
    <customWorkbookView name="FT22a" guid="{67B6F345-7771-11D4-A436-0050044063A3}" maximized="1" windowWidth="1020" windowHeight="553" tabRatio="506" activeSheetId="2" showComments="commIndAndComment"/>
    <customWorkbookView name="FT23a" guid="{67B6F346-7771-11D4-A436-0050044063A3}" maximized="1" windowWidth="1020" windowHeight="553" tabRatio="506" activeSheetId="2" showComments="commIndAndComment"/>
    <customWorkbookView name="Zinszahlen1" guid="{E26AA399-7CC0-11D4-A43C-0050044063A3}" maximized="1" windowWidth="1020" windowHeight="553" tabRatio="506" activeSheetId="19" showComments="commIndAndComment"/>
  </customWorkbookViews>
</workbook>
</file>

<file path=xl/calcChain.xml><?xml version="1.0" encoding="utf-8"?>
<calcChain xmlns="http://schemas.openxmlformats.org/spreadsheetml/2006/main">
  <c r="AV95" i="5" l="1"/>
  <c r="AV96" i="5"/>
  <c r="S55" i="48" l="1"/>
  <c r="R55" i="48"/>
  <c r="Q55" i="48"/>
  <c r="P55" i="48"/>
  <c r="P56" i="22"/>
  <c r="Q56" i="22"/>
  <c r="R56" i="22"/>
  <c r="S56" i="22"/>
  <c r="F56" i="22"/>
  <c r="G56" i="22"/>
  <c r="L56" i="22"/>
  <c r="M56" i="22"/>
  <c r="N56" i="22"/>
  <c r="O56" i="22"/>
  <c r="J56" i="22" l="1"/>
  <c r="K56" i="22" s="1"/>
  <c r="O55" i="22"/>
  <c r="N55" i="22"/>
  <c r="G55" i="22"/>
  <c r="J55" i="22" s="1"/>
  <c r="F55" i="22"/>
  <c r="L55" i="22" s="1"/>
  <c r="O54" i="22"/>
  <c r="N54" i="22"/>
  <c r="G54" i="22"/>
  <c r="M54" i="22" s="1"/>
  <c r="F54" i="22"/>
  <c r="O53" i="22"/>
  <c r="S53" i="22" s="1"/>
  <c r="N53" i="22"/>
  <c r="G53" i="22"/>
  <c r="M53" i="22" s="1"/>
  <c r="F53" i="22"/>
  <c r="J53" i="22" s="1"/>
  <c r="K53" i="22" s="1"/>
  <c r="O52" i="22"/>
  <c r="N52" i="22"/>
  <c r="G52" i="22"/>
  <c r="M52" i="22" s="1"/>
  <c r="F52" i="22"/>
  <c r="J52" i="22" s="1"/>
  <c r="K52" i="22" s="1"/>
  <c r="S52" i="22" s="1"/>
  <c r="O51" i="22"/>
  <c r="S51" i="22" s="1"/>
  <c r="N51" i="22"/>
  <c r="G51" i="22"/>
  <c r="M51" i="22" s="1"/>
  <c r="F51" i="22"/>
  <c r="J51" i="22" s="1"/>
  <c r="K51" i="22" s="1"/>
  <c r="O50" i="22"/>
  <c r="N50" i="22"/>
  <c r="G50" i="22"/>
  <c r="M50" i="22" s="1"/>
  <c r="F50" i="22"/>
  <c r="J50" i="22" s="1"/>
  <c r="K50" i="22" s="1"/>
  <c r="S50" i="22" s="1"/>
  <c r="O49" i="22"/>
  <c r="N49" i="22"/>
  <c r="G49" i="22"/>
  <c r="M49" i="22" s="1"/>
  <c r="F49" i="22"/>
  <c r="J49" i="22" s="1"/>
  <c r="K49" i="22" s="1"/>
  <c r="O48" i="22"/>
  <c r="N48" i="22"/>
  <c r="G48" i="22"/>
  <c r="M48" i="22" s="1"/>
  <c r="F48" i="22"/>
  <c r="O47" i="22"/>
  <c r="N47" i="22"/>
  <c r="G47" i="22"/>
  <c r="M47" i="22" s="1"/>
  <c r="F47" i="22"/>
  <c r="O46" i="22"/>
  <c r="N46" i="22"/>
  <c r="G46" i="22"/>
  <c r="M46" i="22" s="1"/>
  <c r="F46" i="22"/>
  <c r="O45" i="22"/>
  <c r="N45" i="22"/>
  <c r="G45" i="22"/>
  <c r="M45" i="22" s="1"/>
  <c r="F45" i="22"/>
  <c r="O44" i="22"/>
  <c r="N44" i="22"/>
  <c r="G44" i="22"/>
  <c r="M44" i="22" s="1"/>
  <c r="F44" i="22"/>
  <c r="J44" i="22" s="1"/>
  <c r="K44" i="22" s="1"/>
  <c r="S44" i="22" s="1"/>
  <c r="O43" i="22"/>
  <c r="S43" i="22" s="1"/>
  <c r="N43" i="22"/>
  <c r="G43" i="22"/>
  <c r="M43" i="22" s="1"/>
  <c r="F43" i="22"/>
  <c r="J43" i="22" s="1"/>
  <c r="K43" i="22" s="1"/>
  <c r="O42" i="22"/>
  <c r="N42" i="22"/>
  <c r="G42" i="22"/>
  <c r="M42" i="22" s="1"/>
  <c r="F42" i="22"/>
  <c r="J42" i="22" s="1"/>
  <c r="K42" i="22" s="1"/>
  <c r="S42" i="22" s="1"/>
  <c r="O41" i="22"/>
  <c r="N41" i="22"/>
  <c r="G41" i="22"/>
  <c r="M41" i="22" s="1"/>
  <c r="F41" i="22"/>
  <c r="J41" i="22" s="1"/>
  <c r="K41" i="22" s="1"/>
  <c r="O40" i="22"/>
  <c r="N40" i="22"/>
  <c r="G40" i="22"/>
  <c r="M40" i="22" s="1"/>
  <c r="F40" i="22"/>
  <c r="O39" i="22"/>
  <c r="N39" i="22"/>
  <c r="G39" i="22"/>
  <c r="M39" i="22" s="1"/>
  <c r="F39" i="22"/>
  <c r="O38" i="22"/>
  <c r="N38" i="22"/>
  <c r="G38" i="22"/>
  <c r="M38" i="22" s="1"/>
  <c r="F38" i="22"/>
  <c r="O37" i="22"/>
  <c r="N37" i="22"/>
  <c r="G37" i="22"/>
  <c r="M37" i="22" s="1"/>
  <c r="F37" i="22"/>
  <c r="O36" i="22"/>
  <c r="N36" i="22"/>
  <c r="G36" i="22"/>
  <c r="M36" i="22" s="1"/>
  <c r="F36" i="22"/>
  <c r="J36" i="22" s="1"/>
  <c r="K36" i="22" s="1"/>
  <c r="S36" i="22" s="1"/>
  <c r="O35" i="22"/>
  <c r="S35" i="22" s="1"/>
  <c r="N35" i="22"/>
  <c r="G35" i="22"/>
  <c r="M35" i="22" s="1"/>
  <c r="F35" i="22"/>
  <c r="J35" i="22" s="1"/>
  <c r="K35" i="22" s="1"/>
  <c r="O34" i="22"/>
  <c r="N34" i="22"/>
  <c r="G34" i="22"/>
  <c r="M34" i="22" s="1"/>
  <c r="F34" i="22"/>
  <c r="J34" i="22" s="1"/>
  <c r="K34" i="22" s="1"/>
  <c r="S34" i="22" s="1"/>
  <c r="O33" i="22"/>
  <c r="N33" i="22"/>
  <c r="G33" i="22"/>
  <c r="M33" i="22" s="1"/>
  <c r="F33" i="22"/>
  <c r="J33" i="22" s="1"/>
  <c r="K33" i="22" s="1"/>
  <c r="O32" i="22"/>
  <c r="N32" i="22"/>
  <c r="G32" i="22"/>
  <c r="M32" i="22" s="1"/>
  <c r="F32" i="22"/>
  <c r="O31" i="22"/>
  <c r="N31" i="22"/>
  <c r="G31" i="22"/>
  <c r="M31" i="22" s="1"/>
  <c r="F31" i="22"/>
  <c r="O30" i="22"/>
  <c r="N30" i="22"/>
  <c r="G30" i="22"/>
  <c r="M30" i="22" s="1"/>
  <c r="F30" i="22"/>
  <c r="O29" i="22"/>
  <c r="N29" i="22"/>
  <c r="G29" i="22"/>
  <c r="M29" i="22" s="1"/>
  <c r="F29" i="22"/>
  <c r="O28" i="22"/>
  <c r="N28" i="22"/>
  <c r="G28" i="22"/>
  <c r="M28" i="22" s="1"/>
  <c r="F28" i="22"/>
  <c r="J28" i="22" s="1"/>
  <c r="K28" i="22" s="1"/>
  <c r="S28" i="22" s="1"/>
  <c r="O27" i="22"/>
  <c r="S27" i="22" s="1"/>
  <c r="N27" i="22"/>
  <c r="G27" i="22"/>
  <c r="M27" i="22" s="1"/>
  <c r="F27" i="22"/>
  <c r="J27" i="22" s="1"/>
  <c r="K27" i="22" s="1"/>
  <c r="O26" i="22"/>
  <c r="N26" i="22"/>
  <c r="G26" i="22"/>
  <c r="M26" i="22" s="1"/>
  <c r="F26" i="22"/>
  <c r="J26" i="22" s="1"/>
  <c r="K26" i="22" s="1"/>
  <c r="S26" i="22" s="1"/>
  <c r="O25" i="22"/>
  <c r="N25" i="22"/>
  <c r="G25" i="22"/>
  <c r="M25" i="22" s="1"/>
  <c r="F25" i="22"/>
  <c r="J25" i="22" s="1"/>
  <c r="K25" i="22" s="1"/>
  <c r="O24" i="22"/>
  <c r="N24" i="22"/>
  <c r="G24" i="22"/>
  <c r="M24" i="22" s="1"/>
  <c r="F24" i="22"/>
  <c r="O23" i="22"/>
  <c r="N23" i="22"/>
  <c r="M23" i="22"/>
  <c r="G23" i="22"/>
  <c r="F23" i="22"/>
  <c r="O22" i="22"/>
  <c r="N22" i="22"/>
  <c r="G22" i="22"/>
  <c r="M22" i="22" s="1"/>
  <c r="F22" i="22"/>
  <c r="L22" i="22" s="1"/>
  <c r="O21" i="22"/>
  <c r="N21" i="22"/>
  <c r="G21" i="22"/>
  <c r="M21" i="22" s="1"/>
  <c r="F21" i="22"/>
  <c r="J21" i="22" s="1"/>
  <c r="K21" i="22" s="1"/>
  <c r="O20" i="22"/>
  <c r="N20" i="22"/>
  <c r="L20" i="22"/>
  <c r="G20" i="22"/>
  <c r="M20" i="22" s="1"/>
  <c r="F20" i="22"/>
  <c r="O19" i="22"/>
  <c r="N19" i="22"/>
  <c r="M19" i="22"/>
  <c r="G19" i="22"/>
  <c r="F19" i="22"/>
  <c r="O18" i="22"/>
  <c r="N18" i="22"/>
  <c r="G18" i="22"/>
  <c r="M18" i="22" s="1"/>
  <c r="F18" i="22"/>
  <c r="L18" i="22" s="1"/>
  <c r="O17" i="22"/>
  <c r="N17" i="22"/>
  <c r="G17" i="22"/>
  <c r="M17" i="22" s="1"/>
  <c r="F17" i="22"/>
  <c r="J17" i="22" s="1"/>
  <c r="K17" i="22" s="1"/>
  <c r="O16" i="22"/>
  <c r="N16" i="22"/>
  <c r="L16" i="22"/>
  <c r="G16" i="22"/>
  <c r="M16" i="22" s="1"/>
  <c r="F16" i="22"/>
  <c r="O15" i="22"/>
  <c r="N15" i="22"/>
  <c r="M15" i="22"/>
  <c r="G15" i="22"/>
  <c r="F15" i="22"/>
  <c r="O14" i="22"/>
  <c r="N14" i="22"/>
  <c r="G14" i="22"/>
  <c r="M14" i="22" s="1"/>
  <c r="F14" i="22"/>
  <c r="L14" i="22" s="1"/>
  <c r="O13" i="22"/>
  <c r="N13" i="22"/>
  <c r="J13" i="22"/>
  <c r="K13" i="22" s="1"/>
  <c r="G13" i="22"/>
  <c r="M13" i="22" s="1"/>
  <c r="F13" i="22"/>
  <c r="L13" i="22" s="1"/>
  <c r="O12" i="22"/>
  <c r="N12" i="22"/>
  <c r="G12" i="22"/>
  <c r="M12" i="22" s="1"/>
  <c r="F12" i="22"/>
  <c r="L12" i="22" s="1"/>
  <c r="O11" i="22"/>
  <c r="N11" i="22"/>
  <c r="G11" i="22"/>
  <c r="M11" i="22" s="1"/>
  <c r="F11" i="22"/>
  <c r="J11" i="22" s="1"/>
  <c r="K11" i="22" s="1"/>
  <c r="O10" i="22"/>
  <c r="N10" i="22"/>
  <c r="G10" i="22"/>
  <c r="M10" i="22" s="1"/>
  <c r="F10" i="22"/>
  <c r="L10" i="22" s="1"/>
  <c r="O9" i="22"/>
  <c r="N9" i="22"/>
  <c r="G9" i="22"/>
  <c r="M9" i="22" s="1"/>
  <c r="F9" i="22"/>
  <c r="L9" i="22" s="1"/>
  <c r="S10" i="48"/>
  <c r="S11" i="48"/>
  <c r="S12" i="48"/>
  <c r="S13" i="48"/>
  <c r="S14" i="48"/>
  <c r="S15" i="48"/>
  <c r="S16" i="48"/>
  <c r="S17" i="48"/>
  <c r="S18" i="48"/>
  <c r="S19" i="48"/>
  <c r="S20" i="48"/>
  <c r="S21" i="48"/>
  <c r="S22" i="48"/>
  <c r="S23" i="48"/>
  <c r="S24" i="48"/>
  <c r="S25" i="48"/>
  <c r="S26" i="48"/>
  <c r="S27" i="48"/>
  <c r="S28" i="48"/>
  <c r="S29" i="48"/>
  <c r="S30" i="48"/>
  <c r="S31" i="48"/>
  <c r="S32" i="48"/>
  <c r="S33" i="48"/>
  <c r="S34" i="48"/>
  <c r="S35" i="48"/>
  <c r="S36" i="48"/>
  <c r="S37" i="48"/>
  <c r="S38" i="48"/>
  <c r="S39" i="48"/>
  <c r="S40" i="48"/>
  <c r="S41" i="48"/>
  <c r="S42" i="48"/>
  <c r="S43" i="48"/>
  <c r="S44" i="48"/>
  <c r="S45" i="48"/>
  <c r="S46" i="48"/>
  <c r="S47" i="48"/>
  <c r="S48" i="48"/>
  <c r="S49" i="48"/>
  <c r="S50" i="48"/>
  <c r="S51" i="48"/>
  <c r="S52" i="48"/>
  <c r="S53" i="48"/>
  <c r="S54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R22" i="48"/>
  <c r="R23" i="48"/>
  <c r="R24" i="48"/>
  <c r="R25" i="48"/>
  <c r="R26" i="48"/>
  <c r="R27" i="48"/>
  <c r="R28" i="48"/>
  <c r="R29" i="48"/>
  <c r="R30" i="48"/>
  <c r="R31" i="48"/>
  <c r="R32" i="48"/>
  <c r="R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Q10" i="48"/>
  <c r="Q11" i="48"/>
  <c r="Q12" i="48"/>
  <c r="Q13" i="48"/>
  <c r="Q14" i="48"/>
  <c r="Q15" i="48"/>
  <c r="Q16" i="48"/>
  <c r="Q17" i="48"/>
  <c r="Q18" i="48"/>
  <c r="Q19" i="48"/>
  <c r="Q20" i="48"/>
  <c r="Q21" i="48"/>
  <c r="Q22" i="48"/>
  <c r="Q23" i="48"/>
  <c r="Q24" i="48"/>
  <c r="Q25" i="48"/>
  <c r="Q26" i="48"/>
  <c r="Q27" i="48"/>
  <c r="Q28" i="48"/>
  <c r="Q29" i="48"/>
  <c r="Q30" i="48"/>
  <c r="Q31" i="48"/>
  <c r="Q32" i="48"/>
  <c r="Q33" i="48"/>
  <c r="Q34" i="48"/>
  <c r="Q35" i="48"/>
  <c r="Q36" i="48"/>
  <c r="Q37" i="48"/>
  <c r="Q38" i="48"/>
  <c r="Q39" i="48"/>
  <c r="Q40" i="48"/>
  <c r="Q41" i="48"/>
  <c r="Q42" i="48"/>
  <c r="Q43" i="48"/>
  <c r="Q44" i="48"/>
  <c r="Q45" i="48"/>
  <c r="Q46" i="48"/>
  <c r="Q47" i="48"/>
  <c r="Q48" i="48"/>
  <c r="Q49" i="48"/>
  <c r="Q50" i="48"/>
  <c r="Q51" i="48"/>
  <c r="Q52" i="48"/>
  <c r="Q53" i="48"/>
  <c r="Q54" i="48"/>
  <c r="Q9" i="48"/>
  <c r="R9" i="48"/>
  <c r="S9" i="48"/>
  <c r="P9" i="48"/>
  <c r="P10" i="48"/>
  <c r="P11" i="48"/>
  <c r="P12" i="48"/>
  <c r="P13" i="48"/>
  <c r="P14" i="48"/>
  <c r="P15" i="48"/>
  <c r="P16" i="48"/>
  <c r="P17" i="48"/>
  <c r="P18" i="48"/>
  <c r="P19" i="48"/>
  <c r="P20" i="48"/>
  <c r="P21" i="48"/>
  <c r="P22" i="48"/>
  <c r="P23" i="48"/>
  <c r="P24" i="48"/>
  <c r="P25" i="48"/>
  <c r="P26" i="48"/>
  <c r="P27" i="48"/>
  <c r="P28" i="48"/>
  <c r="P29" i="48"/>
  <c r="P30" i="48"/>
  <c r="P31" i="48"/>
  <c r="P32" i="48"/>
  <c r="P33" i="48"/>
  <c r="P34" i="48"/>
  <c r="P35" i="48"/>
  <c r="P36" i="48"/>
  <c r="P37" i="48"/>
  <c r="P38" i="48"/>
  <c r="P39" i="48"/>
  <c r="P40" i="48"/>
  <c r="P41" i="48"/>
  <c r="P42" i="48"/>
  <c r="P43" i="48"/>
  <c r="P44" i="48"/>
  <c r="P45" i="48"/>
  <c r="P46" i="48"/>
  <c r="P47" i="48"/>
  <c r="P48" i="48"/>
  <c r="P49" i="48"/>
  <c r="P50" i="48"/>
  <c r="P51" i="48"/>
  <c r="P52" i="48"/>
  <c r="P53" i="48"/>
  <c r="P54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N10" i="48"/>
  <c r="N11" i="48"/>
  <c r="N12" i="48"/>
  <c r="N13" i="48"/>
  <c r="N14" i="48"/>
  <c r="N15" i="48"/>
  <c r="N16" i="48"/>
  <c r="N17" i="48"/>
  <c r="N18" i="48"/>
  <c r="N19" i="48"/>
  <c r="N20" i="48"/>
  <c r="N21" i="48"/>
  <c r="N22" i="48"/>
  <c r="N23" i="48"/>
  <c r="N24" i="48"/>
  <c r="N25" i="48"/>
  <c r="N26" i="48"/>
  <c r="N27" i="48"/>
  <c r="N28" i="48"/>
  <c r="N29" i="48"/>
  <c r="N30" i="48"/>
  <c r="N31" i="48"/>
  <c r="N32" i="48"/>
  <c r="N33" i="48"/>
  <c r="N34" i="48"/>
  <c r="N35" i="48"/>
  <c r="N36" i="48"/>
  <c r="N37" i="48"/>
  <c r="N38" i="48"/>
  <c r="N39" i="48"/>
  <c r="N40" i="48"/>
  <c r="N41" i="48"/>
  <c r="N42" i="48"/>
  <c r="N43" i="48"/>
  <c r="N44" i="48"/>
  <c r="N45" i="48"/>
  <c r="N46" i="48"/>
  <c r="N47" i="48"/>
  <c r="N48" i="48"/>
  <c r="N49" i="48"/>
  <c r="N50" i="48"/>
  <c r="N51" i="48"/>
  <c r="N52" i="48"/>
  <c r="N53" i="48"/>
  <c r="N54" i="48"/>
  <c r="N55" i="48"/>
  <c r="M10" i="48"/>
  <c r="M11" i="48"/>
  <c r="M12" i="48"/>
  <c r="M13" i="48"/>
  <c r="M14" i="48"/>
  <c r="M15" i="48"/>
  <c r="M16" i="48"/>
  <c r="M17" i="48"/>
  <c r="M18" i="48"/>
  <c r="M19" i="48"/>
  <c r="M20" i="48"/>
  <c r="M21" i="48"/>
  <c r="M22" i="48"/>
  <c r="M23" i="48"/>
  <c r="M24" i="48"/>
  <c r="M25" i="48"/>
  <c r="M26" i="48"/>
  <c r="M27" i="48"/>
  <c r="M28" i="48"/>
  <c r="M29" i="48"/>
  <c r="M30" i="48"/>
  <c r="M31" i="48"/>
  <c r="M32" i="48"/>
  <c r="M33" i="48"/>
  <c r="M34" i="48"/>
  <c r="M35" i="48"/>
  <c r="M36" i="48"/>
  <c r="M37" i="48"/>
  <c r="M38" i="48"/>
  <c r="M39" i="48"/>
  <c r="M40" i="48"/>
  <c r="M41" i="48"/>
  <c r="M42" i="48"/>
  <c r="M43" i="48"/>
  <c r="M44" i="48"/>
  <c r="M45" i="48"/>
  <c r="M46" i="48"/>
  <c r="M47" i="48"/>
  <c r="M48" i="48"/>
  <c r="M49" i="48"/>
  <c r="M50" i="48"/>
  <c r="M51" i="48"/>
  <c r="M52" i="48"/>
  <c r="M53" i="48"/>
  <c r="M54" i="48"/>
  <c r="M55" i="48"/>
  <c r="M9" i="48"/>
  <c r="N9" i="48"/>
  <c r="O9" i="48"/>
  <c r="L10" i="48"/>
  <c r="L11" i="48"/>
  <c r="L12" i="48"/>
  <c r="L13" i="48"/>
  <c r="L14" i="48"/>
  <c r="L15" i="48"/>
  <c r="L16" i="48"/>
  <c r="L17" i="48"/>
  <c r="L18" i="48"/>
  <c r="L19" i="48"/>
  <c r="L20" i="48"/>
  <c r="L21" i="48"/>
  <c r="L22" i="48"/>
  <c r="L23" i="48"/>
  <c r="L2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53" i="48"/>
  <c r="L54" i="48"/>
  <c r="L55" i="48"/>
  <c r="L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9" i="48"/>
  <c r="A9" i="48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A61" i="48" s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A78" i="48" s="1"/>
  <c r="A79" i="48" s="1"/>
  <c r="A80" i="48" s="1"/>
  <c r="A81" i="48" s="1"/>
  <c r="A82" i="48" s="1"/>
  <c r="A83" i="48" s="1"/>
  <c r="A84" i="48" s="1"/>
  <c r="A85" i="48" s="1"/>
  <c r="A86" i="48" s="1"/>
  <c r="A87" i="48" s="1"/>
  <c r="A88" i="48" s="1"/>
  <c r="A89" i="48" s="1"/>
  <c r="A90" i="48" s="1"/>
  <c r="A91" i="48" s="1"/>
  <c r="A92" i="48" s="1"/>
  <c r="A93" i="48" s="1"/>
  <c r="A94" i="48" s="1"/>
  <c r="A95" i="48" s="1"/>
  <c r="A96" i="48" s="1"/>
  <c r="A97" i="48" s="1"/>
  <c r="A98" i="48" s="1"/>
  <c r="A99" i="48" s="1"/>
  <c r="A100" i="48" s="1"/>
  <c r="A101" i="48" s="1"/>
  <c r="A102" i="48" s="1"/>
  <c r="E4" i="48"/>
  <c r="E2" i="48"/>
  <c r="D5" i="29"/>
  <c r="E5" i="29"/>
  <c r="F5" i="29"/>
  <c r="G5" i="29"/>
  <c r="C5" i="29"/>
  <c r="K55" i="48" l="1"/>
  <c r="K55" i="22"/>
  <c r="P55" i="22" s="1"/>
  <c r="R55" i="22"/>
  <c r="S10" i="22"/>
  <c r="P14" i="22"/>
  <c r="Q19" i="22"/>
  <c r="R9" i="22"/>
  <c r="J10" i="22"/>
  <c r="K10" i="22" s="1"/>
  <c r="L11" i="22"/>
  <c r="P11" i="22" s="1"/>
  <c r="S14" i="22"/>
  <c r="S37" i="22"/>
  <c r="Q9" i="22"/>
  <c r="Q11" i="22"/>
  <c r="R11" i="22"/>
  <c r="J12" i="22"/>
  <c r="K12" i="22" s="1"/>
  <c r="P13" i="22"/>
  <c r="R13" i="22"/>
  <c r="J14" i="22"/>
  <c r="K14" i="22" s="1"/>
  <c r="J15" i="22"/>
  <c r="K15" i="22" s="1"/>
  <c r="J19" i="22"/>
  <c r="K19" i="22" s="1"/>
  <c r="J23" i="22"/>
  <c r="K23" i="22" s="1"/>
  <c r="J29" i="22"/>
  <c r="K29" i="22" s="1"/>
  <c r="J30" i="22"/>
  <c r="K30" i="22" s="1"/>
  <c r="S30" i="22" s="1"/>
  <c r="J37" i="22"/>
  <c r="K37" i="22" s="1"/>
  <c r="J38" i="22"/>
  <c r="K38" i="22" s="1"/>
  <c r="S38" i="22" s="1"/>
  <c r="J45" i="22"/>
  <c r="K45" i="22" s="1"/>
  <c r="J46" i="22"/>
  <c r="K46" i="22" s="1"/>
  <c r="S46" i="22" s="1"/>
  <c r="J54" i="22"/>
  <c r="K54" i="22" s="1"/>
  <c r="S54" i="22" s="1"/>
  <c r="Q10" i="22"/>
  <c r="P9" i="22"/>
  <c r="Q14" i="22"/>
  <c r="J9" i="22"/>
  <c r="K9" i="22" s="1"/>
  <c r="P10" i="22"/>
  <c r="R10" i="22"/>
  <c r="S11" i="22"/>
  <c r="Q13" i="22"/>
  <c r="S13" i="22"/>
  <c r="J24" i="22"/>
  <c r="K24" i="22" s="1"/>
  <c r="S24" i="22" s="1"/>
  <c r="J31" i="22"/>
  <c r="K31" i="22" s="1"/>
  <c r="J32" i="22"/>
  <c r="K32" i="22" s="1"/>
  <c r="S32" i="22" s="1"/>
  <c r="J39" i="22"/>
  <c r="K39" i="22" s="1"/>
  <c r="J40" i="22"/>
  <c r="K40" i="22" s="1"/>
  <c r="S40" i="22" s="1"/>
  <c r="J47" i="22"/>
  <c r="K47" i="22" s="1"/>
  <c r="J48" i="22"/>
  <c r="K48" i="22" s="1"/>
  <c r="S48" i="22" s="1"/>
  <c r="Q17" i="22"/>
  <c r="Q21" i="22"/>
  <c r="S39" i="22"/>
  <c r="S25" i="22"/>
  <c r="S33" i="22"/>
  <c r="S41" i="22"/>
  <c r="S49" i="22"/>
  <c r="S15" i="22"/>
  <c r="R17" i="22"/>
  <c r="S17" i="22"/>
  <c r="R19" i="22"/>
  <c r="S19" i="22"/>
  <c r="R21" i="22"/>
  <c r="S21" i="22"/>
  <c r="R24" i="22"/>
  <c r="Q25" i="22"/>
  <c r="R26" i="22"/>
  <c r="Q27" i="22"/>
  <c r="R28" i="22"/>
  <c r="Q29" i="22"/>
  <c r="R32" i="22"/>
  <c r="Q33" i="22"/>
  <c r="R34" i="22"/>
  <c r="Q35" i="22"/>
  <c r="R36" i="22"/>
  <c r="Q37" i="22"/>
  <c r="Q39" i="22"/>
  <c r="R40" i="22"/>
  <c r="Q41" i="22"/>
  <c r="R42" i="22"/>
  <c r="Q43" i="22"/>
  <c r="R44" i="22"/>
  <c r="Q45" i="22"/>
  <c r="R48" i="22"/>
  <c r="Q49" i="22"/>
  <c r="R50" i="22"/>
  <c r="Q51" i="22"/>
  <c r="R52" i="22"/>
  <c r="Q53" i="22"/>
  <c r="R54" i="22"/>
  <c r="J16" i="22"/>
  <c r="K16" i="22" s="1"/>
  <c r="J18" i="22"/>
  <c r="K18" i="22" s="1"/>
  <c r="J20" i="22"/>
  <c r="K20" i="22" s="1"/>
  <c r="J22" i="22"/>
  <c r="K22" i="22" s="1"/>
  <c r="R14" i="22"/>
  <c r="L15" i="22"/>
  <c r="R16" i="22"/>
  <c r="L17" i="22"/>
  <c r="P17" i="22" s="1"/>
  <c r="R18" i="22"/>
  <c r="L19" i="22"/>
  <c r="P19" i="22" s="1"/>
  <c r="R20" i="22"/>
  <c r="L21" i="22"/>
  <c r="P21" i="22" s="1"/>
  <c r="L23" i="22"/>
  <c r="Q24" i="22"/>
  <c r="R25" i="22"/>
  <c r="Q26" i="22"/>
  <c r="R27" i="22"/>
  <c r="Q28" i="22"/>
  <c r="R29" i="22"/>
  <c r="Q32" i="22"/>
  <c r="R33" i="22"/>
  <c r="Q34" i="22"/>
  <c r="R35" i="22"/>
  <c r="Q36" i="22"/>
  <c r="R37" i="22"/>
  <c r="R39" i="22"/>
  <c r="Q40" i="22"/>
  <c r="R41" i="22"/>
  <c r="Q42" i="22"/>
  <c r="R43" i="22"/>
  <c r="Q44" i="22"/>
  <c r="R45" i="22"/>
  <c r="Q48" i="22"/>
  <c r="R49" i="22"/>
  <c r="Q50" i="22"/>
  <c r="R51" i="22"/>
  <c r="Q52" i="22"/>
  <c r="R53" i="22"/>
  <c r="Q54" i="22"/>
  <c r="L24" i="22"/>
  <c r="P24" i="22" s="1"/>
  <c r="L25" i="22"/>
  <c r="P25" i="22" s="1"/>
  <c r="L26" i="22"/>
  <c r="P26" i="22" s="1"/>
  <c r="L27" i="22"/>
  <c r="P27" i="22" s="1"/>
  <c r="L28" i="22"/>
  <c r="P28" i="22" s="1"/>
  <c r="L29" i="22"/>
  <c r="P29" i="22" s="1"/>
  <c r="L30" i="22"/>
  <c r="L31" i="22"/>
  <c r="L32" i="22"/>
  <c r="P32" i="22" s="1"/>
  <c r="L33" i="22"/>
  <c r="P33" i="22" s="1"/>
  <c r="L34" i="22"/>
  <c r="P34" i="22" s="1"/>
  <c r="L35" i="22"/>
  <c r="P35" i="22" s="1"/>
  <c r="L36" i="22"/>
  <c r="P36" i="22" s="1"/>
  <c r="L37" i="22"/>
  <c r="P37" i="22" s="1"/>
  <c r="L38" i="22"/>
  <c r="L39" i="22"/>
  <c r="P39" i="22" s="1"/>
  <c r="L40" i="22"/>
  <c r="P40" i="22" s="1"/>
  <c r="L41" i="22"/>
  <c r="P41" i="22" s="1"/>
  <c r="L42" i="22"/>
  <c r="P42" i="22" s="1"/>
  <c r="L43" i="22"/>
  <c r="P43" i="22" s="1"/>
  <c r="L44" i="22"/>
  <c r="P44" i="22" s="1"/>
  <c r="L45" i="22"/>
  <c r="P45" i="22" s="1"/>
  <c r="L46" i="22"/>
  <c r="L47" i="22"/>
  <c r="L48" i="22"/>
  <c r="P48" i="22" s="1"/>
  <c r="L49" i="22"/>
  <c r="P49" i="22" s="1"/>
  <c r="L50" i="22"/>
  <c r="P50" i="22" s="1"/>
  <c r="L51" i="22"/>
  <c r="P51" i="22" s="1"/>
  <c r="L52" i="22"/>
  <c r="P52" i="22" s="1"/>
  <c r="L53" i="22"/>
  <c r="P53" i="22" s="1"/>
  <c r="L54" i="22"/>
  <c r="P54" i="22" s="1"/>
  <c r="M55" i="22"/>
  <c r="D18" i="29"/>
  <c r="E18" i="29"/>
  <c r="F18" i="29"/>
  <c r="G18" i="29"/>
  <c r="D17" i="29"/>
  <c r="E17" i="29"/>
  <c r="F17" i="29"/>
  <c r="G17" i="29"/>
  <c r="D16" i="29"/>
  <c r="E16" i="29"/>
  <c r="F16" i="29"/>
  <c r="G16" i="29"/>
  <c r="D15" i="29"/>
  <c r="E15" i="29"/>
  <c r="F15" i="29"/>
  <c r="G15" i="29"/>
  <c r="C15" i="29"/>
  <c r="C16" i="29"/>
  <c r="C17" i="29"/>
  <c r="C18" i="29"/>
  <c r="C14" i="29"/>
  <c r="D14" i="29"/>
  <c r="E14" i="29"/>
  <c r="F14" i="29"/>
  <c r="G14" i="29"/>
  <c r="S55" i="22" l="1"/>
  <c r="Q55" i="22"/>
  <c r="P15" i="22"/>
  <c r="P18" i="22"/>
  <c r="S31" i="22"/>
  <c r="Q12" i="22"/>
  <c r="S9" i="22"/>
  <c r="S29" i="22"/>
  <c r="Q15" i="22"/>
  <c r="P20" i="22"/>
  <c r="P47" i="22"/>
  <c r="P31" i="22"/>
  <c r="R47" i="22"/>
  <c r="R31" i="22"/>
  <c r="P23" i="22"/>
  <c r="Q47" i="22"/>
  <c r="Q31" i="22"/>
  <c r="S23" i="22"/>
  <c r="P46" i="22"/>
  <c r="P38" i="22"/>
  <c r="P30" i="22"/>
  <c r="Q46" i="22"/>
  <c r="Q38" i="22"/>
  <c r="Q30" i="22"/>
  <c r="R46" i="22"/>
  <c r="R38" i="22"/>
  <c r="R30" i="22"/>
  <c r="R23" i="22"/>
  <c r="R15" i="22"/>
  <c r="S47" i="22"/>
  <c r="P12" i="22"/>
  <c r="S45" i="22"/>
  <c r="S12" i="22"/>
  <c r="Q23" i="22"/>
  <c r="R12" i="22"/>
  <c r="S16" i="22"/>
  <c r="Q18" i="22"/>
  <c r="S18" i="22"/>
  <c r="P22" i="22"/>
  <c r="Q16" i="22"/>
  <c r="P16" i="22"/>
  <c r="R22" i="22"/>
  <c r="S20" i="22"/>
  <c r="Q22" i="22"/>
  <c r="S22" i="22"/>
  <c r="Q20" i="22"/>
  <c r="F14" i="36"/>
  <c r="G39" i="21"/>
  <c r="G13" i="43"/>
  <c r="G13" i="21"/>
  <c r="G32" i="21"/>
  <c r="G2" i="21"/>
  <c r="G11" i="43"/>
  <c r="G7" i="21"/>
  <c r="G15" i="21"/>
  <c r="G24" i="21"/>
  <c r="G25" i="21"/>
  <c r="G8" i="43"/>
  <c r="G35" i="21"/>
  <c r="G40" i="21"/>
  <c r="G4" i="43"/>
  <c r="G22" i="21"/>
  <c r="D4" i="47"/>
  <c r="G41" i="21"/>
  <c r="G16" i="21"/>
  <c r="D3" i="44"/>
  <c r="G14" i="21"/>
  <c r="G6" i="21"/>
  <c r="G2" i="43"/>
  <c r="G12" i="43"/>
  <c r="D2" i="47"/>
  <c r="G5" i="21"/>
  <c r="G9" i="43"/>
  <c r="G23" i="21"/>
  <c r="G9" i="21"/>
  <c r="D2" i="44"/>
  <c r="G7" i="43"/>
  <c r="G38" i="21"/>
  <c r="G29" i="21"/>
  <c r="G36" i="21"/>
  <c r="G12" i="21"/>
  <c r="G3" i="43"/>
  <c r="G10" i="43"/>
  <c r="G31" i="21"/>
  <c r="G8" i="21"/>
  <c r="G20" i="21"/>
  <c r="D3" i="47"/>
  <c r="G26" i="21"/>
  <c r="G33" i="21"/>
  <c r="G6" i="43"/>
  <c r="G28" i="21"/>
  <c r="G27" i="21"/>
  <c r="T44" i="21" l="1"/>
  <c r="F3" i="47"/>
  <c r="H3" i="44"/>
  <c r="H2" i="44"/>
  <c r="G37" i="21"/>
  <c r="F3" i="44"/>
  <c r="G5" i="43"/>
  <c r="G30" i="21"/>
  <c r="F2" i="43"/>
  <c r="G4" i="21"/>
  <c r="F2" i="47"/>
  <c r="T2" i="21"/>
  <c r="G18" i="21"/>
  <c r="G34" i="21"/>
  <c r="F2" i="44"/>
  <c r="G11" i="21"/>
  <c r="F4" i="47"/>
  <c r="G10" i="21" s="1"/>
  <c r="G3" i="21"/>
  <c r="E18" i="21"/>
  <c r="T18" i="21"/>
  <c r="T7" i="21"/>
  <c r="E26" i="21"/>
  <c r="E5" i="21"/>
  <c r="T6" i="21"/>
  <c r="E31" i="21"/>
  <c r="E40" i="21"/>
  <c r="E13" i="21"/>
  <c r="T33" i="21"/>
  <c r="E2" i="21"/>
  <c r="F4" i="43"/>
  <c r="E41" i="21"/>
  <c r="F3" i="43"/>
  <c r="T23" i="21"/>
  <c r="T34" i="21"/>
  <c r="E11" i="21"/>
  <c r="T36" i="21"/>
  <c r="T13" i="21"/>
  <c r="G17" i="21"/>
  <c r="T35" i="21"/>
  <c r="T8" i="21"/>
  <c r="E23" i="21"/>
  <c r="T41" i="21"/>
  <c r="T28" i="21"/>
  <c r="E17" i="21"/>
  <c r="E9" i="21"/>
  <c r="E35" i="21"/>
  <c r="T37" i="21"/>
  <c r="E16" i="21"/>
  <c r="T12" i="21"/>
  <c r="F12" i="43"/>
  <c r="E20" i="21"/>
  <c r="T20" i="21"/>
  <c r="E22" i="21"/>
  <c r="T26" i="21"/>
  <c r="F6" i="43"/>
  <c r="T39" i="21"/>
  <c r="E12" i="21"/>
  <c r="E29" i="21"/>
  <c r="T30" i="21"/>
  <c r="T11" i="21"/>
  <c r="T5" i="21"/>
  <c r="E32" i="21"/>
  <c r="F7" i="43"/>
  <c r="F10" i="43"/>
  <c r="E14" i="21"/>
  <c r="G21" i="21"/>
  <c r="F8" i="43"/>
  <c r="T40" i="21"/>
  <c r="E34" i="21"/>
  <c r="E6" i="21"/>
  <c r="T15" i="21"/>
  <c r="E38" i="21"/>
  <c r="E27" i="21"/>
  <c r="E30" i="21"/>
  <c r="T17" i="21"/>
  <c r="T31" i="21"/>
  <c r="T3" i="21"/>
  <c r="T9" i="21"/>
  <c r="T29" i="21"/>
  <c r="T32" i="21"/>
  <c r="T14" i="21"/>
  <c r="F9" i="43"/>
  <c r="T16" i="21"/>
  <c r="T38" i="21"/>
  <c r="T25" i="21"/>
  <c r="T4" i="21"/>
  <c r="T10" i="21"/>
  <c r="T22" i="21"/>
  <c r="F11" i="43"/>
  <c r="T27" i="21"/>
  <c r="E10" i="21"/>
  <c r="E36" i="21"/>
  <c r="T24" i="21"/>
  <c r="E33" i="21"/>
  <c r="E24" i="21"/>
  <c r="F5" i="43"/>
  <c r="G19" i="21"/>
  <c r="U40" i="21" l="1"/>
  <c r="U3" i="21"/>
  <c r="U27" i="21"/>
  <c r="U31" i="21"/>
  <c r="U33" i="21"/>
  <c r="U6" i="21"/>
  <c r="U16" i="21"/>
  <c r="U10" i="21"/>
  <c r="U39" i="21"/>
  <c r="U28" i="21"/>
  <c r="U23" i="21"/>
  <c r="U36" i="21"/>
  <c r="U41" i="21"/>
  <c r="U34" i="21"/>
  <c r="U12" i="21"/>
  <c r="U24" i="21"/>
  <c r="U35" i="21"/>
  <c r="U25" i="21"/>
  <c r="U8" i="21"/>
  <c r="U13" i="21"/>
  <c r="U17" i="21"/>
  <c r="U18" i="21"/>
  <c r="U11" i="21"/>
  <c r="U15" i="21"/>
  <c r="U20" i="21"/>
  <c r="U9" i="21"/>
  <c r="U37" i="21"/>
  <c r="U7" i="21"/>
  <c r="U22" i="21"/>
  <c r="U4" i="21"/>
  <c r="U26" i="21"/>
  <c r="U5" i="21"/>
  <c r="U30" i="21"/>
  <c r="U38" i="21"/>
  <c r="U29" i="21"/>
  <c r="U32" i="21"/>
  <c r="U14" i="21"/>
  <c r="B14" i="20"/>
  <c r="E8" i="21"/>
  <c r="E37" i="21"/>
  <c r="E7" i="21"/>
  <c r="E15" i="21"/>
  <c r="T19" i="21"/>
  <c r="E25" i="21"/>
  <c r="E21" i="21"/>
  <c r="E28" i="21"/>
  <c r="T21" i="21"/>
  <c r="E39" i="21"/>
  <c r="E19" i="21"/>
  <c r="U19" i="21" l="1"/>
  <c r="U21" i="21"/>
  <c r="A3" i="45"/>
  <c r="A4" i="45" s="1"/>
  <c r="A5" i="45" s="1"/>
  <c r="A6" i="45" s="1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E4" i="21"/>
  <c r="E3" i="21"/>
  <c r="F13" i="43"/>
  <c r="I2" i="44" l="1"/>
  <c r="A4" i="43"/>
  <c r="A5" i="43"/>
  <c r="A6" i="43"/>
  <c r="A7" i="43"/>
  <c r="A8" i="43" s="1"/>
  <c r="A9" i="43" s="1"/>
  <c r="A10" i="43" s="1"/>
  <c r="A11" i="43" s="1"/>
  <c r="A12" i="43" s="1"/>
  <c r="A13" i="43" s="1"/>
  <c r="A3" i="43"/>
  <c r="M12" i="37" l="1"/>
  <c r="M11" i="37"/>
  <c r="L11" i="37"/>
  <c r="M10" i="37"/>
  <c r="L10" i="37"/>
  <c r="K10" i="37"/>
  <c r="M9" i="37"/>
  <c r="L9" i="37"/>
  <c r="K9" i="37"/>
  <c r="J9" i="37"/>
  <c r="M8" i="37"/>
  <c r="L8" i="37"/>
  <c r="K8" i="37"/>
  <c r="J8" i="37"/>
  <c r="I8" i="37"/>
  <c r="M7" i="37"/>
  <c r="L7" i="37"/>
  <c r="K7" i="37"/>
  <c r="J7" i="37"/>
  <c r="I7" i="37"/>
  <c r="H7" i="37"/>
  <c r="M6" i="37"/>
  <c r="L6" i="37"/>
  <c r="K6" i="37"/>
  <c r="J6" i="37"/>
  <c r="I6" i="37"/>
  <c r="H6" i="37"/>
  <c r="G6" i="37"/>
  <c r="M5" i="37"/>
  <c r="L5" i="37"/>
  <c r="K5" i="37"/>
  <c r="J5" i="37"/>
  <c r="I5" i="37"/>
  <c r="H5" i="37"/>
  <c r="G5" i="37"/>
  <c r="F5" i="37"/>
  <c r="M4" i="37"/>
  <c r="L4" i="37"/>
  <c r="K4" i="37"/>
  <c r="J4" i="37"/>
  <c r="I4" i="37"/>
  <c r="H4" i="37"/>
  <c r="G4" i="37"/>
  <c r="F4" i="37"/>
  <c r="E4" i="37"/>
  <c r="M3" i="37"/>
  <c r="L3" i="37"/>
  <c r="K3" i="37"/>
  <c r="J3" i="37"/>
  <c r="I3" i="37"/>
  <c r="H3" i="37"/>
  <c r="G3" i="37"/>
  <c r="F3" i="37"/>
  <c r="E3" i="37"/>
  <c r="D3" i="37"/>
  <c r="M2" i="37"/>
  <c r="L2" i="37"/>
  <c r="K2" i="37"/>
  <c r="J2" i="37"/>
  <c r="I2" i="37"/>
  <c r="H2" i="37"/>
  <c r="G2" i="37"/>
  <c r="F2" i="37"/>
  <c r="E2" i="37"/>
  <c r="D2" i="37"/>
  <c r="C2" i="37"/>
  <c r="AV45" i="28"/>
  <c r="AW45" i="28" s="1"/>
  <c r="AX45" i="28" s="1"/>
  <c r="AY45" i="28" s="1"/>
  <c r="AZ45" i="28" s="1"/>
  <c r="BA45" i="28" s="1"/>
  <c r="BB45" i="28" s="1"/>
  <c r="BC45" i="28" s="1"/>
  <c r="BD45" i="28" s="1"/>
  <c r="BE45" i="28" s="1"/>
  <c r="BF45" i="28" s="1"/>
  <c r="BG45" i="28" s="1"/>
  <c r="BH45" i="28" s="1"/>
  <c r="BI45" i="28" s="1"/>
  <c r="BJ45" i="28" s="1"/>
  <c r="BK45" i="28" s="1"/>
  <c r="AR45" i="28"/>
  <c r="AS45" i="28" s="1"/>
  <c r="AT45" i="28" s="1"/>
  <c r="AU45" i="28" s="1"/>
  <c r="AQ45" i="28"/>
  <c r="A6" i="28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" i="28"/>
  <c r="A3" i="28" s="1"/>
  <c r="A4" i="28" s="1"/>
  <c r="A5" i="28" s="1"/>
  <c r="B44" i="21"/>
  <c r="C44" i="21" s="1"/>
  <c r="F10" i="6"/>
  <c r="Y9" i="2" s="1"/>
  <c r="D4" i="6"/>
  <c r="E2" i="22" s="1"/>
  <c r="D3" i="6"/>
  <c r="A9" i="22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E4" i="22"/>
  <c r="C106" i="2"/>
  <c r="D106" i="2" s="1"/>
  <c r="E106" i="2" s="1"/>
  <c r="F106" i="2" s="1"/>
  <c r="G106" i="2" s="1"/>
  <c r="H106" i="2" s="1"/>
  <c r="I106" i="2" s="1"/>
  <c r="J106" i="2" s="1"/>
  <c r="K106" i="2" s="1"/>
  <c r="L106" i="2" s="1"/>
  <c r="M106" i="2" s="1"/>
  <c r="N106" i="2" s="1"/>
  <c r="O106" i="2" s="1"/>
  <c r="P106" i="2" s="1"/>
  <c r="Q106" i="2" s="1"/>
  <c r="R106" i="2" s="1"/>
  <c r="S106" i="2" s="1"/>
  <c r="T106" i="2" s="1"/>
  <c r="U106" i="2" s="1"/>
  <c r="V106" i="2" s="1"/>
  <c r="W106" i="2" s="1"/>
  <c r="X106" i="2" s="1"/>
  <c r="Y106" i="2" s="1"/>
  <c r="Z106" i="2" s="1"/>
  <c r="AA106" i="2" s="1"/>
  <c r="AB106" i="2" s="1"/>
  <c r="AC106" i="2" s="1"/>
  <c r="AD106" i="2" s="1"/>
  <c r="AE106" i="2" s="1"/>
  <c r="AF106" i="2" s="1"/>
  <c r="AG106" i="2" s="1"/>
  <c r="AH106" i="2" s="1"/>
  <c r="AI106" i="2" s="1"/>
  <c r="AJ106" i="2" s="1"/>
  <c r="AK106" i="2" s="1"/>
  <c r="AL106" i="2" s="1"/>
  <c r="AM106" i="2" s="1"/>
  <c r="AN106" i="2" s="1"/>
  <c r="AO106" i="2" s="1"/>
  <c r="AP106" i="2" s="1"/>
  <c r="AQ106" i="2" s="1"/>
  <c r="AR106" i="2" s="1"/>
  <c r="AS106" i="2" s="1"/>
  <c r="AT106" i="2" s="1"/>
  <c r="AU106" i="2" s="1"/>
  <c r="AV106" i="2" s="1"/>
  <c r="AW106" i="2" s="1"/>
  <c r="AX106" i="2" s="1"/>
  <c r="AY106" i="2" s="1"/>
  <c r="AZ106" i="2" s="1"/>
  <c r="BA106" i="2" s="1"/>
  <c r="BB106" i="2" s="1"/>
  <c r="BC106" i="2" s="1"/>
  <c r="BD106" i="2" s="1"/>
  <c r="BE106" i="2" s="1"/>
  <c r="BF106" i="2" s="1"/>
  <c r="BG106" i="2" s="1"/>
  <c r="BH106" i="2" s="1"/>
  <c r="BI106" i="2" s="1"/>
  <c r="BJ106" i="2" s="1"/>
  <c r="BK106" i="2" s="1"/>
  <c r="BL106" i="2" s="1"/>
  <c r="BM106" i="2" s="1"/>
  <c r="BN106" i="2" s="1"/>
  <c r="BO106" i="2" s="1"/>
  <c r="BP106" i="2" s="1"/>
  <c r="BQ106" i="2" s="1"/>
  <c r="BR106" i="2" s="1"/>
  <c r="BS106" i="2" s="1"/>
  <c r="BT106" i="2" s="1"/>
  <c r="BU106" i="2" s="1"/>
  <c r="BV106" i="2" s="1"/>
  <c r="BW106" i="2" s="1"/>
  <c r="BX106" i="2" s="1"/>
  <c r="BY106" i="2" s="1"/>
  <c r="BZ106" i="2" s="1"/>
  <c r="CA106" i="2" s="1"/>
  <c r="CB106" i="2" s="1"/>
  <c r="CC106" i="2" s="1"/>
  <c r="CD106" i="2" s="1"/>
  <c r="CE106" i="2" s="1"/>
  <c r="CF106" i="2" s="1"/>
  <c r="CG106" i="2" s="1"/>
  <c r="CH106" i="2" s="1"/>
  <c r="CI106" i="2" s="1"/>
  <c r="CJ106" i="2" s="1"/>
  <c r="CK106" i="2" s="1"/>
  <c r="CL106" i="2" s="1"/>
  <c r="CM106" i="2" s="1"/>
  <c r="CN106" i="2" s="1"/>
  <c r="CO106" i="2" s="1"/>
  <c r="CP106" i="2" s="1"/>
  <c r="CQ106" i="2" s="1"/>
  <c r="CR106" i="2" s="1"/>
  <c r="CS106" i="2" s="1"/>
  <c r="CT106" i="2" s="1"/>
  <c r="CU106" i="2" s="1"/>
  <c r="CV106" i="2" s="1"/>
  <c r="CW106" i="2" s="1"/>
  <c r="CX106" i="2" s="1"/>
  <c r="CY106" i="2" s="1"/>
  <c r="CZ106" i="2" s="1"/>
  <c r="DA106" i="2" s="1"/>
  <c r="DB106" i="2" s="1"/>
  <c r="DC106" i="2" s="1"/>
  <c r="DD106" i="2" s="1"/>
  <c r="DE106" i="2" s="1"/>
  <c r="DF106" i="2" s="1"/>
  <c r="DG106" i="2" s="1"/>
  <c r="DH106" i="2" s="1"/>
  <c r="DI106" i="2" s="1"/>
  <c r="DJ106" i="2" s="1"/>
  <c r="DK106" i="2" s="1"/>
  <c r="DL106" i="2" s="1"/>
  <c r="DM106" i="2" s="1"/>
  <c r="DN106" i="2" s="1"/>
  <c r="DO106" i="2" s="1"/>
  <c r="DP106" i="2" s="1"/>
  <c r="DQ106" i="2" s="1"/>
  <c r="DR106" i="2" s="1"/>
  <c r="DS106" i="2" s="1"/>
  <c r="DT106" i="2" s="1"/>
  <c r="DU106" i="2" s="1"/>
  <c r="DV106" i="2" s="1"/>
  <c r="DW106" i="2" s="1"/>
  <c r="DX106" i="2" s="1"/>
  <c r="DY106" i="2" s="1"/>
  <c r="DZ106" i="2" s="1"/>
  <c r="EA106" i="2" s="1"/>
  <c r="EB106" i="2" s="1"/>
  <c r="EC106" i="2" s="1"/>
  <c r="ED106" i="2" s="1"/>
  <c r="EE106" i="2" s="1"/>
  <c r="EF106" i="2" s="1"/>
  <c r="EG106" i="2" s="1"/>
  <c r="EH106" i="2" s="1"/>
  <c r="EI106" i="2" s="1"/>
  <c r="EJ106" i="2" s="1"/>
  <c r="EK106" i="2" s="1"/>
  <c r="EL106" i="2" s="1"/>
  <c r="EM106" i="2" s="1"/>
  <c r="EN106" i="2" s="1"/>
  <c r="EO106" i="2" s="1"/>
  <c r="EP106" i="2" s="1"/>
  <c r="EQ106" i="2" s="1"/>
  <c r="ER106" i="2" s="1"/>
  <c r="ES106" i="2" s="1"/>
  <c r="ET106" i="2" s="1"/>
  <c r="EU106" i="2" s="1"/>
  <c r="EV106" i="2" s="1"/>
  <c r="EW106" i="2" s="1"/>
  <c r="EX106" i="2" s="1"/>
  <c r="EY106" i="2" s="1"/>
  <c r="EZ106" i="2" s="1"/>
  <c r="FA106" i="2" s="1"/>
  <c r="FB106" i="2" s="1"/>
  <c r="FC106" i="2" s="1"/>
  <c r="FD106" i="2" s="1"/>
  <c r="FE106" i="2" s="1"/>
  <c r="FF106" i="2" s="1"/>
  <c r="FG106" i="2" s="1"/>
  <c r="FH106" i="2" s="1"/>
  <c r="FI106" i="2" s="1"/>
  <c r="FJ106" i="2" s="1"/>
  <c r="FK106" i="2" s="1"/>
  <c r="FL106" i="2" s="1"/>
  <c r="FM106" i="2" s="1"/>
  <c r="FN106" i="2" s="1"/>
  <c r="FO106" i="2" s="1"/>
  <c r="FP106" i="2" s="1"/>
  <c r="FQ106" i="2" s="1"/>
  <c r="FR106" i="2" s="1"/>
  <c r="FS106" i="2" s="1"/>
  <c r="FT106" i="2" s="1"/>
  <c r="FU106" i="2" s="1"/>
  <c r="FV106" i="2" s="1"/>
  <c r="FW106" i="2" s="1"/>
  <c r="FX106" i="2" s="1"/>
  <c r="FY106" i="2" s="1"/>
  <c r="FZ106" i="2" s="1"/>
  <c r="GA106" i="2" s="1"/>
  <c r="GB106" i="2" s="1"/>
  <c r="GC106" i="2" s="1"/>
  <c r="GD106" i="2" s="1"/>
  <c r="GE106" i="2" s="1"/>
  <c r="GF106" i="2" s="1"/>
  <c r="GG106" i="2" s="1"/>
  <c r="GH106" i="2" s="1"/>
  <c r="GI106" i="2" s="1"/>
  <c r="GJ106" i="2" s="1"/>
  <c r="GK106" i="2" s="1"/>
  <c r="GL106" i="2" s="1"/>
  <c r="GM106" i="2" s="1"/>
  <c r="GN106" i="2" s="1"/>
  <c r="GO106" i="2" s="1"/>
  <c r="GP106" i="2" s="1"/>
  <c r="GQ106" i="2" s="1"/>
  <c r="GR106" i="2" s="1"/>
  <c r="GS106" i="2" s="1"/>
  <c r="GT106" i="2" s="1"/>
  <c r="GU106" i="2" s="1"/>
  <c r="GV106" i="2" s="1"/>
  <c r="GW106" i="2" s="1"/>
  <c r="GX106" i="2" s="1"/>
  <c r="GY106" i="2" s="1"/>
  <c r="GZ106" i="2" s="1"/>
  <c r="HA106" i="2" s="1"/>
  <c r="HB106" i="2" s="1"/>
  <c r="HC106" i="2" s="1"/>
  <c r="HD106" i="2" s="1"/>
  <c r="HE106" i="2" s="1"/>
  <c r="HF106" i="2" s="1"/>
  <c r="HG106" i="2" s="1"/>
  <c r="HH106" i="2" s="1"/>
  <c r="HI106" i="2" s="1"/>
  <c r="HJ106" i="2" s="1"/>
  <c r="HK106" i="2" s="1"/>
  <c r="HL106" i="2" s="1"/>
  <c r="HM106" i="2" s="1"/>
  <c r="HN106" i="2" s="1"/>
  <c r="HO106" i="2" s="1"/>
  <c r="HP106" i="2" s="1"/>
  <c r="HQ106" i="2" s="1"/>
  <c r="HR106" i="2" s="1"/>
  <c r="HS106" i="2" s="1"/>
  <c r="HT106" i="2" s="1"/>
  <c r="HU106" i="2" s="1"/>
  <c r="HV106" i="2" s="1"/>
  <c r="HW106" i="2" s="1"/>
  <c r="HX106" i="2" s="1"/>
  <c r="HY106" i="2" s="1"/>
  <c r="HZ106" i="2" s="1"/>
  <c r="IA106" i="2" s="1"/>
  <c r="IB106" i="2" s="1"/>
  <c r="IC106" i="2" s="1"/>
  <c r="ID106" i="2" s="1"/>
  <c r="IE106" i="2" s="1"/>
  <c r="IF106" i="2" s="1"/>
  <c r="IG106" i="2" s="1"/>
  <c r="IH106" i="2" s="1"/>
  <c r="II106" i="2" s="1"/>
  <c r="IJ106" i="2" s="1"/>
  <c r="IK106" i="2" s="1"/>
  <c r="IL106" i="2" s="1"/>
  <c r="IM106" i="2" s="1"/>
  <c r="IN106" i="2" s="1"/>
  <c r="IO106" i="2" s="1"/>
  <c r="IP106" i="2" s="1"/>
  <c r="IQ106" i="2" s="1"/>
  <c r="IR106" i="2" s="1"/>
  <c r="B106" i="2"/>
  <c r="A106" i="2"/>
  <c r="GT103" i="2"/>
  <c r="GU103" i="2" s="1"/>
  <c r="GV103" i="2" s="1"/>
  <c r="GW103" i="2" s="1"/>
  <c r="GX103" i="2" s="1"/>
  <c r="GY103" i="2" s="1"/>
  <c r="GZ103" i="2" s="1"/>
  <c r="HC103" i="2" s="1"/>
  <c r="HD103" i="2" s="1"/>
  <c r="HE103" i="2" s="1"/>
  <c r="HF103" i="2" s="1"/>
  <c r="HG103" i="2" s="1"/>
  <c r="HH103" i="2" s="1"/>
  <c r="HI103" i="2" s="1"/>
  <c r="HJ103" i="2" s="1"/>
  <c r="HM103" i="2" s="1"/>
  <c r="HN103" i="2" s="1"/>
  <c r="HO103" i="2" s="1"/>
  <c r="HP103" i="2" s="1"/>
  <c r="HQ103" i="2" s="1"/>
  <c r="HR103" i="2" s="1"/>
  <c r="HS103" i="2" s="1"/>
  <c r="HT103" i="2" s="1"/>
  <c r="HW103" i="2" s="1"/>
  <c r="HX103" i="2" s="1"/>
  <c r="HY103" i="2" s="1"/>
  <c r="HZ103" i="2" s="1"/>
  <c r="IA103" i="2" s="1"/>
  <c r="IB103" i="2" s="1"/>
  <c r="IC103" i="2" s="1"/>
  <c r="FO103" i="2"/>
  <c r="FP103" i="2" s="1"/>
  <c r="FQ103" i="2" s="1"/>
  <c r="FR103" i="2" s="1"/>
  <c r="FS103" i="2" s="1"/>
  <c r="FT103" i="2" s="1"/>
  <c r="FU103" i="2" s="1"/>
  <c r="FV103" i="2" s="1"/>
  <c r="FW103" i="2" s="1"/>
  <c r="FX103" i="2" s="1"/>
  <c r="FY103" i="2" s="1"/>
  <c r="FZ103" i="2" s="1"/>
  <c r="GA103" i="2" s="1"/>
  <c r="GB103" i="2" s="1"/>
  <c r="GC103" i="2" s="1"/>
  <c r="GD103" i="2" s="1"/>
  <c r="GE103" i="2" s="1"/>
  <c r="GF103" i="2" s="1"/>
  <c r="GG103" i="2" s="1"/>
  <c r="GH103" i="2" s="1"/>
  <c r="GI103" i="2" s="1"/>
  <c r="GJ103" i="2" s="1"/>
  <c r="GK103" i="2" s="1"/>
  <c r="GL103" i="2" s="1"/>
  <c r="GM103" i="2" s="1"/>
  <c r="GN103" i="2" s="1"/>
  <c r="GO103" i="2" s="1"/>
  <c r="GP103" i="2" s="1"/>
  <c r="GQ103" i="2" s="1"/>
  <c r="GR103" i="2" s="1"/>
  <c r="EC103" i="2"/>
  <c r="ED103" i="2" s="1"/>
  <c r="EE103" i="2" s="1"/>
  <c r="EF103" i="2" s="1"/>
  <c r="EG103" i="2" s="1"/>
  <c r="EH103" i="2" s="1"/>
  <c r="EK103" i="2" s="1"/>
  <c r="EL103" i="2" s="1"/>
  <c r="EM103" i="2" s="1"/>
  <c r="EN103" i="2" s="1"/>
  <c r="EO103" i="2" s="1"/>
  <c r="EP103" i="2" s="1"/>
  <c r="EQ103" i="2" s="1"/>
  <c r="ER103" i="2" s="1"/>
  <c r="EU103" i="2" s="1"/>
  <c r="EV103" i="2" s="1"/>
  <c r="EW103" i="2" s="1"/>
  <c r="EX103" i="2" s="1"/>
  <c r="EY103" i="2" s="1"/>
  <c r="EZ103" i="2" s="1"/>
  <c r="FA103" i="2" s="1"/>
  <c r="FB103" i="2" s="1"/>
  <c r="FE103" i="2" s="1"/>
  <c r="FF103" i="2" s="1"/>
  <c r="FG103" i="2" s="1"/>
  <c r="FH103" i="2" s="1"/>
  <c r="FI103" i="2" s="1"/>
  <c r="FJ103" i="2" s="1"/>
  <c r="FK103" i="2" s="1"/>
  <c r="EB103" i="2"/>
  <c r="CW103" i="2"/>
  <c r="CX103" i="2" s="1"/>
  <c r="CY103" i="2" s="1"/>
  <c r="CZ103" i="2" s="1"/>
  <c r="DA103" i="2" s="1"/>
  <c r="DB103" i="2" s="1"/>
  <c r="DC103" i="2" s="1"/>
  <c r="DD103" i="2" s="1"/>
  <c r="DE103" i="2" s="1"/>
  <c r="DF103" i="2" s="1"/>
  <c r="DG103" i="2" s="1"/>
  <c r="DH103" i="2" s="1"/>
  <c r="DI103" i="2" s="1"/>
  <c r="DJ103" i="2" s="1"/>
  <c r="DK103" i="2" s="1"/>
  <c r="DL103" i="2" s="1"/>
  <c r="DM103" i="2" s="1"/>
  <c r="DN103" i="2" s="1"/>
  <c r="DO103" i="2" s="1"/>
  <c r="DP103" i="2" s="1"/>
  <c r="DQ103" i="2" s="1"/>
  <c r="DR103" i="2" s="1"/>
  <c r="DS103" i="2" s="1"/>
  <c r="DT103" i="2" s="1"/>
  <c r="DU103" i="2" s="1"/>
  <c r="DV103" i="2" s="1"/>
  <c r="DW103" i="2" s="1"/>
  <c r="DX103" i="2" s="1"/>
  <c r="DY103" i="2" s="1"/>
  <c r="DZ103" i="2" s="1"/>
  <c r="CD102" i="2"/>
  <c r="CC102" i="2"/>
  <c r="BD102" i="2"/>
  <c r="BC102" i="2"/>
  <c r="AV102" i="2"/>
  <c r="AU102" i="2"/>
  <c r="V102" i="2"/>
  <c r="M102" i="2"/>
  <c r="K102" i="2"/>
  <c r="CD101" i="2"/>
  <c r="CC101" i="2"/>
  <c r="BD101" i="2"/>
  <c r="BC101" i="2"/>
  <c r="AV101" i="2"/>
  <c r="AU101" i="2"/>
  <c r="M101" i="2"/>
  <c r="K101" i="2"/>
  <c r="CD100" i="2"/>
  <c r="CC100" i="2"/>
  <c r="BD100" i="2"/>
  <c r="BC100" i="2"/>
  <c r="AV100" i="2"/>
  <c r="AU100" i="2"/>
  <c r="V100" i="2"/>
  <c r="M100" i="2"/>
  <c r="K100" i="2"/>
  <c r="CD99" i="2"/>
  <c r="CC99" i="2"/>
  <c r="BD99" i="2"/>
  <c r="BC99" i="2"/>
  <c r="AV99" i="2"/>
  <c r="AU99" i="2"/>
  <c r="M99" i="2"/>
  <c r="K99" i="2"/>
  <c r="CD98" i="2"/>
  <c r="CC98" i="2"/>
  <c r="BD98" i="2"/>
  <c r="BC98" i="2"/>
  <c r="AV98" i="2"/>
  <c r="AU98" i="2"/>
  <c r="M98" i="2"/>
  <c r="K98" i="2"/>
  <c r="CD97" i="2"/>
  <c r="CC97" i="2"/>
  <c r="BD97" i="2"/>
  <c r="BC97" i="2"/>
  <c r="AV97" i="2"/>
  <c r="AU97" i="2"/>
  <c r="CD96" i="2"/>
  <c r="CC96" i="2"/>
  <c r="CD95" i="2"/>
  <c r="CC95" i="2"/>
  <c r="CD94" i="2"/>
  <c r="CC94" i="2"/>
  <c r="CD93" i="2"/>
  <c r="CC93" i="2"/>
  <c r="CD92" i="2"/>
  <c r="CC92" i="2"/>
  <c r="CD91" i="2"/>
  <c r="CC91" i="2"/>
  <c r="CD90" i="2"/>
  <c r="CC90" i="2"/>
  <c r="CD89" i="2"/>
  <c r="CC89" i="2"/>
  <c r="CD88" i="2"/>
  <c r="CC88" i="2"/>
  <c r="CD87" i="2"/>
  <c r="CC87" i="2"/>
  <c r="CD86" i="2"/>
  <c r="CC86" i="2"/>
  <c r="CD85" i="2"/>
  <c r="CC85" i="2"/>
  <c r="CD84" i="2"/>
  <c r="CC84" i="2"/>
  <c r="CD83" i="2"/>
  <c r="CC83" i="2"/>
  <c r="CD82" i="2"/>
  <c r="CC82" i="2"/>
  <c r="CD81" i="2"/>
  <c r="CC81" i="2"/>
  <c r="CD80" i="2"/>
  <c r="CC80" i="2"/>
  <c r="CD79" i="2"/>
  <c r="CC79" i="2"/>
  <c r="CD78" i="2"/>
  <c r="CC78" i="2"/>
  <c r="CD77" i="2"/>
  <c r="CC77" i="2"/>
  <c r="CD76" i="2"/>
  <c r="CC76" i="2"/>
  <c r="CD75" i="2"/>
  <c r="CC75" i="2"/>
  <c r="CD74" i="2"/>
  <c r="CC74" i="2"/>
  <c r="CD73" i="2"/>
  <c r="CC73" i="2"/>
  <c r="CD72" i="2"/>
  <c r="CC72" i="2"/>
  <c r="CD71" i="2"/>
  <c r="CC71" i="2"/>
  <c r="CD70" i="2"/>
  <c r="CC70" i="2"/>
  <c r="CD69" i="2"/>
  <c r="CC69" i="2"/>
  <c r="CD68" i="2"/>
  <c r="CC68" i="2"/>
  <c r="CD67" i="2"/>
  <c r="CC67" i="2"/>
  <c r="CD66" i="2"/>
  <c r="CC66" i="2"/>
  <c r="CD65" i="2"/>
  <c r="CC65" i="2"/>
  <c r="CD64" i="2"/>
  <c r="CC64" i="2"/>
  <c r="CD63" i="2"/>
  <c r="CC63" i="2"/>
  <c r="CD62" i="2"/>
  <c r="CC62" i="2"/>
  <c r="CD61" i="2"/>
  <c r="CC61" i="2"/>
  <c r="BH10" i="2"/>
  <c r="BF10" i="2"/>
  <c r="BG10" i="2" s="1"/>
  <c r="U10" i="2"/>
  <c r="IN9" i="2"/>
  <c r="IN10" i="2" s="1"/>
  <c r="IE9" i="2"/>
  <c r="IE10" i="2" s="1"/>
  <c r="HV9" i="2"/>
  <c r="HV10" i="2" s="1"/>
  <c r="HV11" i="2" s="1"/>
  <c r="HV12" i="2" s="1"/>
  <c r="HV13" i="2" s="1"/>
  <c r="HV14" i="2" s="1"/>
  <c r="HV15" i="2" s="1"/>
  <c r="HV16" i="2" s="1"/>
  <c r="HV17" i="2" s="1"/>
  <c r="HV18" i="2" s="1"/>
  <c r="HV19" i="2" s="1"/>
  <c r="HV20" i="2" s="1"/>
  <c r="HV21" i="2" s="1"/>
  <c r="HV22" i="2" s="1"/>
  <c r="HV23" i="2" s="1"/>
  <c r="HV24" i="2" s="1"/>
  <c r="HV25" i="2" s="1"/>
  <c r="HV26" i="2" s="1"/>
  <c r="HV27" i="2" s="1"/>
  <c r="HV28" i="2" s="1"/>
  <c r="HV29" i="2" s="1"/>
  <c r="HV30" i="2" s="1"/>
  <c r="HV31" i="2" s="1"/>
  <c r="HV32" i="2" s="1"/>
  <c r="HV33" i="2" s="1"/>
  <c r="HV34" i="2" s="1"/>
  <c r="HV35" i="2" s="1"/>
  <c r="HV36" i="2" s="1"/>
  <c r="HV37" i="2" s="1"/>
  <c r="HV38" i="2" s="1"/>
  <c r="HV39" i="2" s="1"/>
  <c r="HV40" i="2" s="1"/>
  <c r="HV41" i="2" s="1"/>
  <c r="HV42" i="2" s="1"/>
  <c r="HV43" i="2" s="1"/>
  <c r="HV44" i="2" s="1"/>
  <c r="HV45" i="2" s="1"/>
  <c r="HV46" i="2" s="1"/>
  <c r="HV47" i="2" s="1"/>
  <c r="HV48" i="2" s="1"/>
  <c r="HV49" i="2" s="1"/>
  <c r="HV50" i="2" s="1"/>
  <c r="HV51" i="2" s="1"/>
  <c r="HV52" i="2" s="1"/>
  <c r="HV53" i="2" s="1"/>
  <c r="HV54" i="2" s="1"/>
  <c r="HV55" i="2" s="1"/>
  <c r="HV56" i="2" s="1"/>
  <c r="HV57" i="2" s="1"/>
  <c r="HV58" i="2" s="1"/>
  <c r="HV59" i="2" s="1"/>
  <c r="HV60" i="2" s="1"/>
  <c r="HV61" i="2" s="1"/>
  <c r="HV62" i="2" s="1"/>
  <c r="HV63" i="2" s="1"/>
  <c r="HV64" i="2" s="1"/>
  <c r="HV65" i="2" s="1"/>
  <c r="HV66" i="2" s="1"/>
  <c r="HV67" i="2" s="1"/>
  <c r="HV68" i="2" s="1"/>
  <c r="HV69" i="2" s="1"/>
  <c r="HV70" i="2" s="1"/>
  <c r="HV71" i="2" s="1"/>
  <c r="HV72" i="2" s="1"/>
  <c r="HV73" i="2" s="1"/>
  <c r="HV74" i="2" s="1"/>
  <c r="HV75" i="2" s="1"/>
  <c r="HV76" i="2" s="1"/>
  <c r="HV77" i="2" s="1"/>
  <c r="HV78" i="2" s="1"/>
  <c r="HV79" i="2" s="1"/>
  <c r="HV80" i="2" s="1"/>
  <c r="HV81" i="2" s="1"/>
  <c r="HV82" i="2" s="1"/>
  <c r="HV83" i="2" s="1"/>
  <c r="HV84" i="2" s="1"/>
  <c r="HV85" i="2" s="1"/>
  <c r="HV86" i="2" s="1"/>
  <c r="HV87" i="2" s="1"/>
  <c r="HV88" i="2" s="1"/>
  <c r="HV89" i="2" s="1"/>
  <c r="HV90" i="2" s="1"/>
  <c r="HV91" i="2" s="1"/>
  <c r="HV92" i="2" s="1"/>
  <c r="HV93" i="2" s="1"/>
  <c r="HV94" i="2" s="1"/>
  <c r="HV95" i="2" s="1"/>
  <c r="HV96" i="2" s="1"/>
  <c r="HV97" i="2" s="1"/>
  <c r="HV98" i="2" s="1"/>
  <c r="HV99" i="2" s="1"/>
  <c r="HV100" i="2" s="1"/>
  <c r="HV101" i="2" s="1"/>
  <c r="HV102" i="2" s="1"/>
  <c r="HL9" i="2"/>
  <c r="HL10" i="2" s="1"/>
  <c r="HL11" i="2" s="1"/>
  <c r="HL12" i="2" s="1"/>
  <c r="HL13" i="2" s="1"/>
  <c r="HL14" i="2" s="1"/>
  <c r="HL15" i="2" s="1"/>
  <c r="HL16" i="2" s="1"/>
  <c r="HL17" i="2" s="1"/>
  <c r="HL18" i="2" s="1"/>
  <c r="HL19" i="2" s="1"/>
  <c r="HL20" i="2" s="1"/>
  <c r="HL21" i="2" s="1"/>
  <c r="HL22" i="2" s="1"/>
  <c r="HL23" i="2" s="1"/>
  <c r="HL24" i="2" s="1"/>
  <c r="HL25" i="2" s="1"/>
  <c r="HL26" i="2" s="1"/>
  <c r="HL27" i="2" s="1"/>
  <c r="HL28" i="2" s="1"/>
  <c r="HL29" i="2" s="1"/>
  <c r="HL30" i="2" s="1"/>
  <c r="HL31" i="2" s="1"/>
  <c r="HL32" i="2" s="1"/>
  <c r="HL33" i="2" s="1"/>
  <c r="HL34" i="2" s="1"/>
  <c r="HL35" i="2" s="1"/>
  <c r="HL36" i="2" s="1"/>
  <c r="HL37" i="2" s="1"/>
  <c r="HL38" i="2" s="1"/>
  <c r="HL39" i="2" s="1"/>
  <c r="HL40" i="2" s="1"/>
  <c r="HL41" i="2" s="1"/>
  <c r="HL42" i="2" s="1"/>
  <c r="HL43" i="2" s="1"/>
  <c r="HL44" i="2" s="1"/>
  <c r="HL45" i="2" s="1"/>
  <c r="HL46" i="2" s="1"/>
  <c r="HL47" i="2" s="1"/>
  <c r="HL48" i="2" s="1"/>
  <c r="HL49" i="2" s="1"/>
  <c r="HL50" i="2" s="1"/>
  <c r="HL51" i="2" s="1"/>
  <c r="HL52" i="2" s="1"/>
  <c r="HL53" i="2" s="1"/>
  <c r="HL54" i="2" s="1"/>
  <c r="HL55" i="2" s="1"/>
  <c r="HL56" i="2" s="1"/>
  <c r="HL57" i="2" s="1"/>
  <c r="HL58" i="2" s="1"/>
  <c r="HL59" i="2" s="1"/>
  <c r="HL60" i="2" s="1"/>
  <c r="HL61" i="2" s="1"/>
  <c r="HL62" i="2" s="1"/>
  <c r="HL63" i="2" s="1"/>
  <c r="HL64" i="2" s="1"/>
  <c r="HL65" i="2" s="1"/>
  <c r="HL66" i="2" s="1"/>
  <c r="HL67" i="2" s="1"/>
  <c r="HL68" i="2" s="1"/>
  <c r="HL69" i="2" s="1"/>
  <c r="HL70" i="2" s="1"/>
  <c r="HL71" i="2" s="1"/>
  <c r="HL72" i="2" s="1"/>
  <c r="HL73" i="2" s="1"/>
  <c r="HL74" i="2" s="1"/>
  <c r="HL75" i="2" s="1"/>
  <c r="HL76" i="2" s="1"/>
  <c r="HL77" i="2" s="1"/>
  <c r="HL78" i="2" s="1"/>
  <c r="HL79" i="2" s="1"/>
  <c r="HL80" i="2" s="1"/>
  <c r="HL81" i="2" s="1"/>
  <c r="HL82" i="2" s="1"/>
  <c r="HL83" i="2" s="1"/>
  <c r="HL84" i="2" s="1"/>
  <c r="HL85" i="2" s="1"/>
  <c r="HL86" i="2" s="1"/>
  <c r="HL87" i="2" s="1"/>
  <c r="HL88" i="2" s="1"/>
  <c r="HL89" i="2" s="1"/>
  <c r="HL90" i="2" s="1"/>
  <c r="HL91" i="2" s="1"/>
  <c r="HL92" i="2" s="1"/>
  <c r="HL93" i="2" s="1"/>
  <c r="HL94" i="2" s="1"/>
  <c r="HL95" i="2" s="1"/>
  <c r="HL96" i="2" s="1"/>
  <c r="HL97" i="2" s="1"/>
  <c r="HL98" i="2" s="1"/>
  <c r="HL99" i="2" s="1"/>
  <c r="HL100" i="2" s="1"/>
  <c r="HL101" i="2" s="1"/>
  <c r="HL102" i="2" s="1"/>
  <c r="HB9" i="2"/>
  <c r="HB10" i="2" s="1"/>
  <c r="HB11" i="2" s="1"/>
  <c r="HB12" i="2" s="1"/>
  <c r="HB13" i="2" s="1"/>
  <c r="HB14" i="2" s="1"/>
  <c r="HB15" i="2" s="1"/>
  <c r="HB16" i="2" s="1"/>
  <c r="HB17" i="2" s="1"/>
  <c r="HB18" i="2" s="1"/>
  <c r="HB19" i="2" s="1"/>
  <c r="HB20" i="2" s="1"/>
  <c r="HB21" i="2" s="1"/>
  <c r="HB22" i="2" s="1"/>
  <c r="HB23" i="2" s="1"/>
  <c r="HB24" i="2" s="1"/>
  <c r="HB25" i="2" s="1"/>
  <c r="HB26" i="2" s="1"/>
  <c r="HB27" i="2" s="1"/>
  <c r="HB28" i="2" s="1"/>
  <c r="HB29" i="2" s="1"/>
  <c r="HB30" i="2" s="1"/>
  <c r="HB31" i="2" s="1"/>
  <c r="HB32" i="2" s="1"/>
  <c r="HB33" i="2" s="1"/>
  <c r="HB34" i="2" s="1"/>
  <c r="HB35" i="2" s="1"/>
  <c r="HB36" i="2" s="1"/>
  <c r="HB37" i="2" s="1"/>
  <c r="HB38" i="2" s="1"/>
  <c r="HB39" i="2" s="1"/>
  <c r="HB40" i="2" s="1"/>
  <c r="HB41" i="2" s="1"/>
  <c r="HB42" i="2" s="1"/>
  <c r="HB43" i="2" s="1"/>
  <c r="HB44" i="2" s="1"/>
  <c r="HB45" i="2" s="1"/>
  <c r="HB46" i="2" s="1"/>
  <c r="HB47" i="2" s="1"/>
  <c r="HB48" i="2" s="1"/>
  <c r="HB49" i="2" s="1"/>
  <c r="HB50" i="2" s="1"/>
  <c r="HB51" i="2" s="1"/>
  <c r="HB52" i="2" s="1"/>
  <c r="HB53" i="2" s="1"/>
  <c r="HB54" i="2" s="1"/>
  <c r="HB55" i="2" s="1"/>
  <c r="HB56" i="2" s="1"/>
  <c r="HB57" i="2" s="1"/>
  <c r="HB58" i="2" s="1"/>
  <c r="HB59" i="2" s="1"/>
  <c r="HB60" i="2" s="1"/>
  <c r="HB61" i="2" s="1"/>
  <c r="HB62" i="2" s="1"/>
  <c r="HB63" i="2" s="1"/>
  <c r="HB64" i="2" s="1"/>
  <c r="HB65" i="2" s="1"/>
  <c r="HB66" i="2" s="1"/>
  <c r="HB67" i="2" s="1"/>
  <c r="HB68" i="2" s="1"/>
  <c r="HB69" i="2" s="1"/>
  <c r="HB70" i="2" s="1"/>
  <c r="HB71" i="2" s="1"/>
  <c r="HB72" i="2" s="1"/>
  <c r="HB73" i="2" s="1"/>
  <c r="HB74" i="2" s="1"/>
  <c r="HB75" i="2" s="1"/>
  <c r="HB76" i="2" s="1"/>
  <c r="HB77" i="2" s="1"/>
  <c r="HB78" i="2" s="1"/>
  <c r="HB79" i="2" s="1"/>
  <c r="HB80" i="2" s="1"/>
  <c r="HB81" i="2" s="1"/>
  <c r="HB82" i="2" s="1"/>
  <c r="HB83" i="2" s="1"/>
  <c r="HB84" i="2" s="1"/>
  <c r="HB85" i="2" s="1"/>
  <c r="HB86" i="2" s="1"/>
  <c r="HB87" i="2" s="1"/>
  <c r="HB88" i="2" s="1"/>
  <c r="HB89" i="2" s="1"/>
  <c r="HB90" i="2" s="1"/>
  <c r="HB91" i="2" s="1"/>
  <c r="HB92" i="2" s="1"/>
  <c r="HB93" i="2" s="1"/>
  <c r="HB94" i="2" s="1"/>
  <c r="HB95" i="2" s="1"/>
  <c r="HB96" i="2" s="1"/>
  <c r="HB97" i="2" s="1"/>
  <c r="HB98" i="2" s="1"/>
  <c r="HB99" i="2" s="1"/>
  <c r="HB100" i="2" s="1"/>
  <c r="HB101" i="2" s="1"/>
  <c r="HB102" i="2" s="1"/>
  <c r="FM9" i="2"/>
  <c r="FM10" i="2" s="1"/>
  <c r="FI9" i="2"/>
  <c r="FE9" i="2"/>
  <c r="FD9" i="2"/>
  <c r="FD10" i="2" s="1"/>
  <c r="FD11" i="2" s="1"/>
  <c r="FD12" i="2" s="1"/>
  <c r="FD13" i="2" s="1"/>
  <c r="FD14" i="2" s="1"/>
  <c r="FD15" i="2" s="1"/>
  <c r="FD16" i="2" s="1"/>
  <c r="FD17" i="2" s="1"/>
  <c r="FD18" i="2" s="1"/>
  <c r="FD19" i="2" s="1"/>
  <c r="FD20" i="2" s="1"/>
  <c r="FD21" i="2" s="1"/>
  <c r="FD22" i="2" s="1"/>
  <c r="FD23" i="2" s="1"/>
  <c r="FD24" i="2" s="1"/>
  <c r="FD25" i="2" s="1"/>
  <c r="FD26" i="2" s="1"/>
  <c r="FD27" i="2" s="1"/>
  <c r="FD28" i="2" s="1"/>
  <c r="FD29" i="2" s="1"/>
  <c r="FD30" i="2" s="1"/>
  <c r="FD31" i="2" s="1"/>
  <c r="FD32" i="2" s="1"/>
  <c r="FD33" i="2" s="1"/>
  <c r="FD34" i="2" s="1"/>
  <c r="FD35" i="2" s="1"/>
  <c r="FD36" i="2" s="1"/>
  <c r="FD37" i="2" s="1"/>
  <c r="FD38" i="2" s="1"/>
  <c r="FD39" i="2" s="1"/>
  <c r="FD40" i="2" s="1"/>
  <c r="FD41" i="2" s="1"/>
  <c r="FD42" i="2" s="1"/>
  <c r="FD43" i="2" s="1"/>
  <c r="FD44" i="2" s="1"/>
  <c r="FD45" i="2" s="1"/>
  <c r="FD46" i="2" s="1"/>
  <c r="FD47" i="2" s="1"/>
  <c r="FD48" i="2" s="1"/>
  <c r="FD49" i="2" s="1"/>
  <c r="FD50" i="2" s="1"/>
  <c r="FD51" i="2" s="1"/>
  <c r="FD52" i="2" s="1"/>
  <c r="FD53" i="2" s="1"/>
  <c r="FD54" i="2" s="1"/>
  <c r="FD55" i="2" s="1"/>
  <c r="FD56" i="2" s="1"/>
  <c r="FD57" i="2" s="1"/>
  <c r="FD58" i="2" s="1"/>
  <c r="FD59" i="2" s="1"/>
  <c r="FD60" i="2" s="1"/>
  <c r="FD61" i="2" s="1"/>
  <c r="FD62" i="2" s="1"/>
  <c r="FD63" i="2" s="1"/>
  <c r="FD64" i="2" s="1"/>
  <c r="FD65" i="2" s="1"/>
  <c r="FD66" i="2" s="1"/>
  <c r="FD67" i="2" s="1"/>
  <c r="FD68" i="2" s="1"/>
  <c r="FD69" i="2" s="1"/>
  <c r="FD70" i="2" s="1"/>
  <c r="FD71" i="2" s="1"/>
  <c r="FD72" i="2" s="1"/>
  <c r="FD73" i="2" s="1"/>
  <c r="FD74" i="2" s="1"/>
  <c r="FD75" i="2" s="1"/>
  <c r="FD76" i="2" s="1"/>
  <c r="FD77" i="2" s="1"/>
  <c r="FD78" i="2" s="1"/>
  <c r="FD79" i="2" s="1"/>
  <c r="FD80" i="2" s="1"/>
  <c r="FD81" i="2" s="1"/>
  <c r="FD82" i="2" s="1"/>
  <c r="FD83" i="2" s="1"/>
  <c r="FD84" i="2" s="1"/>
  <c r="FD85" i="2" s="1"/>
  <c r="FD86" i="2" s="1"/>
  <c r="FD87" i="2" s="1"/>
  <c r="FD88" i="2" s="1"/>
  <c r="FD89" i="2" s="1"/>
  <c r="FD90" i="2" s="1"/>
  <c r="FD91" i="2" s="1"/>
  <c r="FD92" i="2" s="1"/>
  <c r="FD93" i="2" s="1"/>
  <c r="FD94" i="2" s="1"/>
  <c r="FD95" i="2" s="1"/>
  <c r="FD96" i="2" s="1"/>
  <c r="FD97" i="2" s="1"/>
  <c r="FD98" i="2" s="1"/>
  <c r="FD99" i="2" s="1"/>
  <c r="FD100" i="2" s="1"/>
  <c r="FD101" i="2" s="1"/>
  <c r="FD102" i="2" s="1"/>
  <c r="EZ9" i="2"/>
  <c r="EV9" i="2"/>
  <c r="ET9" i="2"/>
  <c r="ET10" i="2" s="1"/>
  <c r="ET11" i="2" s="1"/>
  <c r="ET12" i="2" s="1"/>
  <c r="ET13" i="2" s="1"/>
  <c r="ET14" i="2" s="1"/>
  <c r="ET15" i="2" s="1"/>
  <c r="ET16" i="2" s="1"/>
  <c r="ET17" i="2" s="1"/>
  <c r="ET18" i="2" s="1"/>
  <c r="ET19" i="2" s="1"/>
  <c r="ET20" i="2" s="1"/>
  <c r="ET21" i="2" s="1"/>
  <c r="ET22" i="2" s="1"/>
  <c r="ET23" i="2" s="1"/>
  <c r="ET24" i="2" s="1"/>
  <c r="ET25" i="2" s="1"/>
  <c r="ET26" i="2" s="1"/>
  <c r="ET27" i="2" s="1"/>
  <c r="ET28" i="2" s="1"/>
  <c r="ET29" i="2" s="1"/>
  <c r="ET30" i="2" s="1"/>
  <c r="ET31" i="2" s="1"/>
  <c r="ET32" i="2" s="1"/>
  <c r="ET33" i="2" s="1"/>
  <c r="ET34" i="2" s="1"/>
  <c r="ET35" i="2" s="1"/>
  <c r="ET36" i="2" s="1"/>
  <c r="ET37" i="2" s="1"/>
  <c r="ET38" i="2" s="1"/>
  <c r="ET39" i="2" s="1"/>
  <c r="ET40" i="2" s="1"/>
  <c r="ET41" i="2" s="1"/>
  <c r="ET42" i="2" s="1"/>
  <c r="ET43" i="2" s="1"/>
  <c r="ET44" i="2" s="1"/>
  <c r="ET45" i="2" s="1"/>
  <c r="ET46" i="2" s="1"/>
  <c r="ET47" i="2" s="1"/>
  <c r="ET48" i="2" s="1"/>
  <c r="ET49" i="2" s="1"/>
  <c r="ET50" i="2" s="1"/>
  <c r="ET51" i="2" s="1"/>
  <c r="ET52" i="2" s="1"/>
  <c r="ET53" i="2" s="1"/>
  <c r="ET54" i="2" s="1"/>
  <c r="ET55" i="2" s="1"/>
  <c r="ET56" i="2" s="1"/>
  <c r="ET57" i="2" s="1"/>
  <c r="ET58" i="2" s="1"/>
  <c r="ET59" i="2" s="1"/>
  <c r="ET60" i="2" s="1"/>
  <c r="ET61" i="2" s="1"/>
  <c r="ET62" i="2" s="1"/>
  <c r="ET63" i="2" s="1"/>
  <c r="ET64" i="2" s="1"/>
  <c r="ET65" i="2" s="1"/>
  <c r="ET66" i="2" s="1"/>
  <c r="ET67" i="2" s="1"/>
  <c r="ET68" i="2" s="1"/>
  <c r="ET69" i="2" s="1"/>
  <c r="ET70" i="2" s="1"/>
  <c r="ET71" i="2" s="1"/>
  <c r="ET72" i="2" s="1"/>
  <c r="ET73" i="2" s="1"/>
  <c r="ET74" i="2" s="1"/>
  <c r="ET75" i="2" s="1"/>
  <c r="ET76" i="2" s="1"/>
  <c r="ET77" i="2" s="1"/>
  <c r="ET78" i="2" s="1"/>
  <c r="ET79" i="2" s="1"/>
  <c r="ET80" i="2" s="1"/>
  <c r="ET81" i="2" s="1"/>
  <c r="ET82" i="2" s="1"/>
  <c r="ET83" i="2" s="1"/>
  <c r="ET84" i="2" s="1"/>
  <c r="ET85" i="2" s="1"/>
  <c r="ET86" i="2" s="1"/>
  <c r="ET87" i="2" s="1"/>
  <c r="ET88" i="2" s="1"/>
  <c r="ET89" i="2" s="1"/>
  <c r="ET90" i="2" s="1"/>
  <c r="ET91" i="2" s="1"/>
  <c r="ET92" i="2" s="1"/>
  <c r="ET93" i="2" s="1"/>
  <c r="ET94" i="2" s="1"/>
  <c r="ET95" i="2" s="1"/>
  <c r="ET96" i="2" s="1"/>
  <c r="ET97" i="2" s="1"/>
  <c r="ET98" i="2" s="1"/>
  <c r="ET99" i="2" s="1"/>
  <c r="ET100" i="2" s="1"/>
  <c r="ET101" i="2" s="1"/>
  <c r="ET102" i="2" s="1"/>
  <c r="EJ9" i="2"/>
  <c r="EJ10" i="2" s="1"/>
  <c r="EJ11" i="2" s="1"/>
  <c r="EJ12" i="2" s="1"/>
  <c r="EJ13" i="2" s="1"/>
  <c r="EJ14" i="2" s="1"/>
  <c r="EJ15" i="2" s="1"/>
  <c r="EJ16" i="2" s="1"/>
  <c r="EJ17" i="2" s="1"/>
  <c r="EJ18" i="2" s="1"/>
  <c r="EJ19" i="2" s="1"/>
  <c r="EJ20" i="2" s="1"/>
  <c r="EJ21" i="2" s="1"/>
  <c r="EJ22" i="2" s="1"/>
  <c r="EJ23" i="2" s="1"/>
  <c r="EJ24" i="2" s="1"/>
  <c r="EJ25" i="2" s="1"/>
  <c r="EJ26" i="2" s="1"/>
  <c r="EJ27" i="2" s="1"/>
  <c r="EJ28" i="2" s="1"/>
  <c r="EJ29" i="2" s="1"/>
  <c r="EJ30" i="2" s="1"/>
  <c r="EJ31" i="2" s="1"/>
  <c r="EJ32" i="2" s="1"/>
  <c r="EJ33" i="2" s="1"/>
  <c r="EJ34" i="2" s="1"/>
  <c r="EJ35" i="2" s="1"/>
  <c r="EJ36" i="2" s="1"/>
  <c r="EJ37" i="2" s="1"/>
  <c r="EJ38" i="2" s="1"/>
  <c r="EJ39" i="2" s="1"/>
  <c r="EJ40" i="2" s="1"/>
  <c r="EJ41" i="2" s="1"/>
  <c r="EJ42" i="2" s="1"/>
  <c r="EJ43" i="2" s="1"/>
  <c r="EJ44" i="2" s="1"/>
  <c r="EJ45" i="2" s="1"/>
  <c r="EJ46" i="2" s="1"/>
  <c r="EJ47" i="2" s="1"/>
  <c r="EJ48" i="2" s="1"/>
  <c r="EJ49" i="2" s="1"/>
  <c r="EJ50" i="2" s="1"/>
  <c r="EJ51" i="2" s="1"/>
  <c r="EJ52" i="2" s="1"/>
  <c r="EJ53" i="2" s="1"/>
  <c r="EJ54" i="2" s="1"/>
  <c r="EJ55" i="2" s="1"/>
  <c r="EJ56" i="2" s="1"/>
  <c r="EJ57" i="2" s="1"/>
  <c r="EJ58" i="2" s="1"/>
  <c r="EJ59" i="2" s="1"/>
  <c r="EJ60" i="2" s="1"/>
  <c r="EJ61" i="2" s="1"/>
  <c r="EJ62" i="2" s="1"/>
  <c r="EJ63" i="2" s="1"/>
  <c r="EJ64" i="2" s="1"/>
  <c r="EJ65" i="2" s="1"/>
  <c r="EJ66" i="2" s="1"/>
  <c r="EJ67" i="2" s="1"/>
  <c r="EJ68" i="2" s="1"/>
  <c r="EJ69" i="2" s="1"/>
  <c r="EJ70" i="2" s="1"/>
  <c r="EJ71" i="2" s="1"/>
  <c r="EJ72" i="2" s="1"/>
  <c r="EJ73" i="2" s="1"/>
  <c r="EJ74" i="2" s="1"/>
  <c r="EJ75" i="2" s="1"/>
  <c r="EJ76" i="2" s="1"/>
  <c r="EJ77" i="2" s="1"/>
  <c r="EJ78" i="2" s="1"/>
  <c r="EJ79" i="2" s="1"/>
  <c r="EJ80" i="2" s="1"/>
  <c r="EJ81" i="2" s="1"/>
  <c r="EJ82" i="2" s="1"/>
  <c r="EJ83" i="2" s="1"/>
  <c r="EJ84" i="2" s="1"/>
  <c r="EJ85" i="2" s="1"/>
  <c r="EJ86" i="2" s="1"/>
  <c r="EJ87" i="2" s="1"/>
  <c r="EJ88" i="2" s="1"/>
  <c r="EJ89" i="2" s="1"/>
  <c r="EJ90" i="2" s="1"/>
  <c r="EJ91" i="2" s="1"/>
  <c r="EJ92" i="2" s="1"/>
  <c r="EJ93" i="2" s="1"/>
  <c r="EJ94" i="2" s="1"/>
  <c r="EJ95" i="2" s="1"/>
  <c r="EJ96" i="2" s="1"/>
  <c r="EJ97" i="2" s="1"/>
  <c r="EJ98" i="2" s="1"/>
  <c r="EJ99" i="2" s="1"/>
  <c r="EJ100" i="2" s="1"/>
  <c r="EJ101" i="2" s="1"/>
  <c r="EJ102" i="2" s="1"/>
  <c r="DZ9" i="2"/>
  <c r="DV9" i="2"/>
  <c r="DR9" i="2"/>
  <c r="DN9" i="2"/>
  <c r="DL9" i="2"/>
  <c r="CU9" i="2"/>
  <c r="CU10" i="2" s="1"/>
  <c r="CP9" i="2"/>
  <c r="CP10" i="2" s="1"/>
  <c r="CG9" i="2"/>
  <c r="CG10" i="2" s="1"/>
  <c r="BX9" i="2"/>
  <c r="BX10" i="2" s="1"/>
  <c r="BQ9" i="2"/>
  <c r="BQ10" i="2" s="1"/>
  <c r="BJ9" i="2"/>
  <c r="BJ10" i="2" s="1"/>
  <c r="BH9" i="2"/>
  <c r="BG9" i="2"/>
  <c r="AZ9" i="2"/>
  <c r="AZ10" i="2" s="1"/>
  <c r="AQ9" i="2"/>
  <c r="AQ10" i="2" s="1"/>
  <c r="AH9" i="2"/>
  <c r="AH10" i="2" s="1"/>
  <c r="AC9" i="2"/>
  <c r="AA9" i="2"/>
  <c r="X9" i="2"/>
  <c r="O9" i="2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G9" i="2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IQ5" i="2"/>
  <c r="IL5" i="2"/>
  <c r="CE5" i="2"/>
  <c r="BH5" i="2"/>
  <c r="IQ4" i="2"/>
  <c r="IL4" i="2"/>
  <c r="IC4" i="2"/>
  <c r="HT4" i="2"/>
  <c r="HJ4" i="2"/>
  <c r="GZ4" i="2"/>
  <c r="FK4" i="2"/>
  <c r="FB4" i="2"/>
  <c r="ER4" i="2"/>
  <c r="EH4" i="2"/>
  <c r="CS4" i="2"/>
  <c r="CN4" i="2"/>
  <c r="CE4" i="2"/>
  <c r="BV4" i="2"/>
  <c r="BO4" i="2"/>
  <c r="BD4" i="2"/>
  <c r="AX4" i="2"/>
  <c r="AO4" i="2"/>
  <c r="AF4" i="2"/>
  <c r="V4" i="2"/>
  <c r="M4" i="2"/>
  <c r="E4" i="2"/>
  <c r="IQ3" i="2"/>
  <c r="IL3" i="2"/>
  <c r="IC3" i="2"/>
  <c r="HT3" i="2"/>
  <c r="HJ3" i="2"/>
  <c r="GZ3" i="2"/>
  <c r="FK3" i="2"/>
  <c r="FB3" i="2"/>
  <c r="ER3" i="2"/>
  <c r="EH3" i="2"/>
  <c r="CS3" i="2"/>
  <c r="CN3" i="2"/>
  <c r="CE3" i="2"/>
  <c r="BV3" i="2"/>
  <c r="BO3" i="2"/>
  <c r="BH3" i="2"/>
  <c r="BD3" i="2"/>
  <c r="AX3" i="2"/>
  <c r="AO3" i="2"/>
  <c r="AF3" i="2"/>
  <c r="IQ2" i="2"/>
  <c r="IL2" i="2"/>
  <c r="IC2" i="2"/>
  <c r="HT2" i="2"/>
  <c r="HJ2" i="2"/>
  <c r="GZ2" i="2"/>
  <c r="FK2" i="2"/>
  <c r="FB2" i="2"/>
  <c r="ER2" i="2"/>
  <c r="EH2" i="2"/>
  <c r="CS2" i="2"/>
  <c r="CN2" i="2"/>
  <c r="CE2" i="2"/>
  <c r="BV2" i="2"/>
  <c r="BO2" i="2"/>
  <c r="BH2" i="2"/>
  <c r="BD2" i="2"/>
  <c r="AX2" i="2"/>
  <c r="AO2" i="2"/>
  <c r="AF2" i="2"/>
  <c r="V2" i="2"/>
  <c r="M2" i="2"/>
  <c r="E2" i="2"/>
  <c r="B105" i="5"/>
  <c r="C105" i="5" s="1"/>
  <c r="D105" i="5" s="1"/>
  <c r="E105" i="5" s="1"/>
  <c r="F105" i="5" s="1"/>
  <c r="G105" i="5" s="1"/>
  <c r="H105" i="5" s="1"/>
  <c r="I105" i="5" s="1"/>
  <c r="J105" i="5" s="1"/>
  <c r="K105" i="5" s="1"/>
  <c r="L105" i="5" s="1"/>
  <c r="M105" i="5" s="1"/>
  <c r="N105" i="5" s="1"/>
  <c r="O105" i="5" s="1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AD105" i="5" s="1"/>
  <c r="AE105" i="5" s="1"/>
  <c r="AF105" i="5" s="1"/>
  <c r="AG105" i="5" s="1"/>
  <c r="AH105" i="5" s="1"/>
  <c r="AI105" i="5" s="1"/>
  <c r="AJ105" i="5" s="1"/>
  <c r="AK105" i="5" s="1"/>
  <c r="AL105" i="5" s="1"/>
  <c r="AM105" i="5" s="1"/>
  <c r="AN105" i="5" s="1"/>
  <c r="AO105" i="5" s="1"/>
  <c r="AP105" i="5" s="1"/>
  <c r="AQ105" i="5" s="1"/>
  <c r="AR105" i="5" s="1"/>
  <c r="AS105" i="5" s="1"/>
  <c r="AT105" i="5" s="1"/>
  <c r="AU105" i="5" s="1"/>
  <c r="AV105" i="5" s="1"/>
  <c r="AW105" i="5" s="1"/>
  <c r="AX105" i="5" s="1"/>
  <c r="AY105" i="5" s="1"/>
  <c r="AZ105" i="5" s="1"/>
  <c r="BA105" i="5" s="1"/>
  <c r="BB105" i="5" s="1"/>
  <c r="BC105" i="5" s="1"/>
  <c r="BD105" i="5" s="1"/>
  <c r="BE105" i="5" s="1"/>
  <c r="BF105" i="5" s="1"/>
  <c r="BG105" i="5" s="1"/>
  <c r="BH105" i="5" s="1"/>
  <c r="BI105" i="5" s="1"/>
  <c r="BJ105" i="5" s="1"/>
  <c r="BK105" i="5" s="1"/>
  <c r="BL105" i="5" s="1"/>
  <c r="BM105" i="5" s="1"/>
  <c r="BN105" i="5" s="1"/>
  <c r="BO105" i="5" s="1"/>
  <c r="BP105" i="5" s="1"/>
  <c r="BQ105" i="5" s="1"/>
  <c r="BR105" i="5" s="1"/>
  <c r="BS105" i="5" s="1"/>
  <c r="BT105" i="5" s="1"/>
  <c r="BU105" i="5" s="1"/>
  <c r="BV105" i="5" s="1"/>
  <c r="BW105" i="5" s="1"/>
  <c r="BX105" i="5" s="1"/>
  <c r="BY105" i="5" s="1"/>
  <c r="BZ105" i="5" s="1"/>
  <c r="CA105" i="5" s="1"/>
  <c r="CB105" i="5" s="1"/>
  <c r="CC105" i="5" s="1"/>
  <c r="CD105" i="5" s="1"/>
  <c r="CE105" i="5" s="1"/>
  <c r="CF105" i="5" s="1"/>
  <c r="CG105" i="5" s="1"/>
  <c r="CH105" i="5" s="1"/>
  <c r="CI105" i="5" s="1"/>
  <c r="CJ105" i="5" s="1"/>
  <c r="CK105" i="5" s="1"/>
  <c r="CL105" i="5" s="1"/>
  <c r="CM105" i="5" s="1"/>
  <c r="CN105" i="5" s="1"/>
  <c r="CO105" i="5" s="1"/>
  <c r="CP105" i="5" s="1"/>
  <c r="CQ105" i="5" s="1"/>
  <c r="CR105" i="5" s="1"/>
  <c r="CS105" i="5" s="1"/>
  <c r="CT105" i="5" s="1"/>
  <c r="CU105" i="5" s="1"/>
  <c r="CV105" i="5" s="1"/>
  <c r="CW105" i="5" s="1"/>
  <c r="CX105" i="5" s="1"/>
  <c r="CY105" i="5" s="1"/>
  <c r="CZ105" i="5" s="1"/>
  <c r="DA105" i="5" s="1"/>
  <c r="DB105" i="5" s="1"/>
  <c r="DC105" i="5" s="1"/>
  <c r="DD105" i="5" s="1"/>
  <c r="DE105" i="5" s="1"/>
  <c r="DF105" i="5" s="1"/>
  <c r="DG105" i="5" s="1"/>
  <c r="DH105" i="5" s="1"/>
  <c r="DI105" i="5" s="1"/>
  <c r="DJ105" i="5" s="1"/>
  <c r="DK105" i="5" s="1"/>
  <c r="DL105" i="5" s="1"/>
  <c r="DM105" i="5" s="1"/>
  <c r="DN105" i="5" s="1"/>
  <c r="DO105" i="5" s="1"/>
  <c r="DP105" i="5" s="1"/>
  <c r="DQ105" i="5" s="1"/>
  <c r="DR105" i="5" s="1"/>
  <c r="DS105" i="5" s="1"/>
  <c r="DT105" i="5" s="1"/>
  <c r="DU105" i="5" s="1"/>
  <c r="DV105" i="5" s="1"/>
  <c r="DW105" i="5" s="1"/>
  <c r="DX105" i="5" s="1"/>
  <c r="DY105" i="5" s="1"/>
  <c r="DZ105" i="5" s="1"/>
  <c r="EA105" i="5" s="1"/>
  <c r="EB105" i="5" s="1"/>
  <c r="EC105" i="5" s="1"/>
  <c r="ED105" i="5" s="1"/>
  <c r="EE105" i="5" s="1"/>
  <c r="EF105" i="5" s="1"/>
  <c r="EG105" i="5" s="1"/>
  <c r="EH105" i="5" s="1"/>
  <c r="EI105" i="5" s="1"/>
  <c r="EJ105" i="5" s="1"/>
  <c r="EK105" i="5" s="1"/>
  <c r="EL105" i="5" s="1"/>
  <c r="EM105" i="5" s="1"/>
  <c r="EN105" i="5" s="1"/>
  <c r="EO105" i="5" s="1"/>
  <c r="EP105" i="5" s="1"/>
  <c r="EQ105" i="5" s="1"/>
  <c r="ER105" i="5" s="1"/>
  <c r="ES105" i="5" s="1"/>
  <c r="ET105" i="5" s="1"/>
  <c r="EU105" i="5" s="1"/>
  <c r="EV105" i="5" s="1"/>
  <c r="EW105" i="5" s="1"/>
  <c r="EX105" i="5" s="1"/>
  <c r="EY105" i="5" s="1"/>
  <c r="EZ105" i="5" s="1"/>
  <c r="FA105" i="5" s="1"/>
  <c r="FB105" i="5" s="1"/>
  <c r="FC105" i="5" s="1"/>
  <c r="FD105" i="5" s="1"/>
  <c r="FE105" i="5" s="1"/>
  <c r="FF105" i="5" s="1"/>
  <c r="FG105" i="5" s="1"/>
  <c r="FH105" i="5" s="1"/>
  <c r="FI105" i="5" s="1"/>
  <c r="FJ105" i="5" s="1"/>
  <c r="FK105" i="5" s="1"/>
  <c r="FL105" i="5" s="1"/>
  <c r="FM105" i="5" s="1"/>
  <c r="FN105" i="5" s="1"/>
  <c r="FO105" i="5" s="1"/>
  <c r="FP105" i="5" s="1"/>
  <c r="FQ105" i="5" s="1"/>
  <c r="FR105" i="5" s="1"/>
  <c r="FS105" i="5" s="1"/>
  <c r="FT105" i="5" s="1"/>
  <c r="FU105" i="5" s="1"/>
  <c r="FV105" i="5" s="1"/>
  <c r="FW105" i="5" s="1"/>
  <c r="FX105" i="5" s="1"/>
  <c r="FY105" i="5" s="1"/>
  <c r="FZ105" i="5" s="1"/>
  <c r="GA105" i="5" s="1"/>
  <c r="GB105" i="5" s="1"/>
  <c r="GC105" i="5" s="1"/>
  <c r="GD105" i="5" s="1"/>
  <c r="GE105" i="5" s="1"/>
  <c r="GF105" i="5" s="1"/>
  <c r="GG105" i="5" s="1"/>
  <c r="GH105" i="5" s="1"/>
  <c r="GI105" i="5" s="1"/>
  <c r="GJ105" i="5" s="1"/>
  <c r="GK105" i="5" s="1"/>
  <c r="GL105" i="5" s="1"/>
  <c r="GM105" i="5" s="1"/>
  <c r="GN105" i="5" s="1"/>
  <c r="GO105" i="5" s="1"/>
  <c r="GP105" i="5" s="1"/>
  <c r="GQ105" i="5" s="1"/>
  <c r="GR105" i="5" s="1"/>
  <c r="GS105" i="5" s="1"/>
  <c r="GT105" i="5" s="1"/>
  <c r="GU105" i="5" s="1"/>
  <c r="GV105" i="5" s="1"/>
  <c r="GW105" i="5" s="1"/>
  <c r="GX105" i="5" s="1"/>
  <c r="GY105" i="5" s="1"/>
  <c r="GZ105" i="5" s="1"/>
  <c r="HA105" i="5" s="1"/>
  <c r="HB105" i="5" s="1"/>
  <c r="HC105" i="5" s="1"/>
  <c r="HD105" i="5" s="1"/>
  <c r="HE105" i="5" s="1"/>
  <c r="HF105" i="5" s="1"/>
  <c r="HG105" i="5" s="1"/>
  <c r="HH105" i="5" s="1"/>
  <c r="HI105" i="5" s="1"/>
  <c r="HJ105" i="5" s="1"/>
  <c r="HK105" i="5" s="1"/>
  <c r="HL105" i="5" s="1"/>
  <c r="HM105" i="5" s="1"/>
  <c r="HN105" i="5" s="1"/>
  <c r="HO105" i="5" s="1"/>
  <c r="HP105" i="5" s="1"/>
  <c r="HQ105" i="5" s="1"/>
  <c r="HR105" i="5" s="1"/>
  <c r="HS105" i="5" s="1"/>
  <c r="HT105" i="5" s="1"/>
  <c r="HU105" i="5" s="1"/>
  <c r="HV105" i="5" s="1"/>
  <c r="HW105" i="5" s="1"/>
  <c r="HX105" i="5" s="1"/>
  <c r="HY105" i="5" s="1"/>
  <c r="HZ105" i="5" s="1"/>
  <c r="IA105" i="5" s="1"/>
  <c r="IB105" i="5" s="1"/>
  <c r="IC105" i="5" s="1"/>
  <c r="ID105" i="5" s="1"/>
  <c r="IE105" i="5" s="1"/>
  <c r="IF105" i="5" s="1"/>
  <c r="IG105" i="5" s="1"/>
  <c r="IH105" i="5" s="1"/>
  <c r="II105" i="5" s="1"/>
  <c r="IJ105" i="5" s="1"/>
  <c r="IK105" i="5" s="1"/>
  <c r="IL105" i="5" s="1"/>
  <c r="IM105" i="5" s="1"/>
  <c r="IN105" i="5" s="1"/>
  <c r="IO105" i="5" s="1"/>
  <c r="IP105" i="5" s="1"/>
  <c r="IQ105" i="5" s="1"/>
  <c r="IR105" i="5" s="1"/>
  <c r="A105" i="5"/>
  <c r="GU103" i="5"/>
  <c r="GV103" i="5" s="1"/>
  <c r="GW103" i="5" s="1"/>
  <c r="GX103" i="5" s="1"/>
  <c r="GY103" i="5" s="1"/>
  <c r="GZ103" i="5" s="1"/>
  <c r="HC103" i="5" s="1"/>
  <c r="HD103" i="5" s="1"/>
  <c r="HE103" i="5" s="1"/>
  <c r="HF103" i="5" s="1"/>
  <c r="HG103" i="5" s="1"/>
  <c r="HH103" i="5" s="1"/>
  <c r="HI103" i="5" s="1"/>
  <c r="HJ103" i="5" s="1"/>
  <c r="HM103" i="5" s="1"/>
  <c r="HN103" i="5" s="1"/>
  <c r="HO103" i="5" s="1"/>
  <c r="HP103" i="5" s="1"/>
  <c r="HQ103" i="5" s="1"/>
  <c r="HR103" i="5" s="1"/>
  <c r="HS103" i="5" s="1"/>
  <c r="HT103" i="5" s="1"/>
  <c r="HW103" i="5" s="1"/>
  <c r="HX103" i="5" s="1"/>
  <c r="HY103" i="5" s="1"/>
  <c r="HZ103" i="5" s="1"/>
  <c r="IA103" i="5" s="1"/>
  <c r="IB103" i="5" s="1"/>
  <c r="IC103" i="5" s="1"/>
  <c r="GT103" i="5"/>
  <c r="FP103" i="5"/>
  <c r="FQ103" i="5" s="1"/>
  <c r="FR103" i="5" s="1"/>
  <c r="FS103" i="5" s="1"/>
  <c r="FT103" i="5" s="1"/>
  <c r="FU103" i="5" s="1"/>
  <c r="FV103" i="5" s="1"/>
  <c r="FW103" i="5" s="1"/>
  <c r="FX103" i="5" s="1"/>
  <c r="FY103" i="5" s="1"/>
  <c r="FZ103" i="5" s="1"/>
  <c r="GA103" i="5" s="1"/>
  <c r="GB103" i="5" s="1"/>
  <c r="GC103" i="5" s="1"/>
  <c r="GD103" i="5" s="1"/>
  <c r="GE103" i="5" s="1"/>
  <c r="GF103" i="5" s="1"/>
  <c r="GG103" i="5" s="1"/>
  <c r="GH103" i="5" s="1"/>
  <c r="GI103" i="5" s="1"/>
  <c r="GJ103" i="5" s="1"/>
  <c r="GK103" i="5" s="1"/>
  <c r="GL103" i="5" s="1"/>
  <c r="GM103" i="5" s="1"/>
  <c r="GN103" i="5" s="1"/>
  <c r="GO103" i="5" s="1"/>
  <c r="GP103" i="5" s="1"/>
  <c r="GQ103" i="5" s="1"/>
  <c r="GR103" i="5" s="1"/>
  <c r="FO103" i="5"/>
  <c r="EC103" i="5"/>
  <c r="ED103" i="5" s="1"/>
  <c r="EE103" i="5" s="1"/>
  <c r="EF103" i="5" s="1"/>
  <c r="EG103" i="5" s="1"/>
  <c r="EH103" i="5" s="1"/>
  <c r="EK103" i="5" s="1"/>
  <c r="EL103" i="5" s="1"/>
  <c r="EM103" i="5" s="1"/>
  <c r="EN103" i="5" s="1"/>
  <c r="EO103" i="5" s="1"/>
  <c r="EP103" i="5" s="1"/>
  <c r="EQ103" i="5" s="1"/>
  <c r="ER103" i="5" s="1"/>
  <c r="EU103" i="5" s="1"/>
  <c r="EV103" i="5" s="1"/>
  <c r="EW103" i="5" s="1"/>
  <c r="EX103" i="5" s="1"/>
  <c r="EY103" i="5" s="1"/>
  <c r="EZ103" i="5" s="1"/>
  <c r="FA103" i="5" s="1"/>
  <c r="FB103" i="5" s="1"/>
  <c r="FE103" i="5" s="1"/>
  <c r="FF103" i="5" s="1"/>
  <c r="FG103" i="5" s="1"/>
  <c r="FH103" i="5" s="1"/>
  <c r="FI103" i="5" s="1"/>
  <c r="FJ103" i="5" s="1"/>
  <c r="FK103" i="5" s="1"/>
  <c r="EB103" i="5"/>
  <c r="CX103" i="5"/>
  <c r="CY103" i="5" s="1"/>
  <c r="CZ103" i="5" s="1"/>
  <c r="DA103" i="5" s="1"/>
  <c r="DB103" i="5" s="1"/>
  <c r="DC103" i="5" s="1"/>
  <c r="DD103" i="5" s="1"/>
  <c r="DE103" i="5" s="1"/>
  <c r="DF103" i="5" s="1"/>
  <c r="DG103" i="5" s="1"/>
  <c r="DH103" i="5" s="1"/>
  <c r="DI103" i="5" s="1"/>
  <c r="DJ103" i="5" s="1"/>
  <c r="DK103" i="5" s="1"/>
  <c r="DL103" i="5" s="1"/>
  <c r="DM103" i="5" s="1"/>
  <c r="DN103" i="5" s="1"/>
  <c r="DO103" i="5" s="1"/>
  <c r="DP103" i="5" s="1"/>
  <c r="DQ103" i="5" s="1"/>
  <c r="DR103" i="5" s="1"/>
  <c r="DS103" i="5" s="1"/>
  <c r="DT103" i="5" s="1"/>
  <c r="DU103" i="5" s="1"/>
  <c r="DV103" i="5" s="1"/>
  <c r="DW103" i="5" s="1"/>
  <c r="DX103" i="5" s="1"/>
  <c r="DY103" i="5" s="1"/>
  <c r="DZ103" i="5" s="1"/>
  <c r="CW103" i="5"/>
  <c r="CD102" i="5"/>
  <c r="CC102" i="5"/>
  <c r="BD102" i="5"/>
  <c r="BC102" i="5"/>
  <c r="AV102" i="5"/>
  <c r="AU102" i="5"/>
  <c r="V102" i="5"/>
  <c r="M102" i="5"/>
  <c r="K102" i="5"/>
  <c r="CD101" i="5"/>
  <c r="CC101" i="5"/>
  <c r="BD101" i="5"/>
  <c r="BC101" i="5"/>
  <c r="AV101" i="5"/>
  <c r="AU101" i="5"/>
  <c r="V101" i="5"/>
  <c r="M101" i="5"/>
  <c r="K101" i="5"/>
  <c r="CD100" i="5"/>
  <c r="CC100" i="5"/>
  <c r="BD100" i="5"/>
  <c r="BC100" i="5"/>
  <c r="AV100" i="5"/>
  <c r="AU100" i="5"/>
  <c r="V100" i="5"/>
  <c r="M100" i="5"/>
  <c r="K100" i="5"/>
  <c r="CD99" i="5"/>
  <c r="CC99" i="5"/>
  <c r="BD99" i="5"/>
  <c r="BC99" i="5"/>
  <c r="AV99" i="5"/>
  <c r="AU99" i="5"/>
  <c r="V99" i="5"/>
  <c r="M99" i="5"/>
  <c r="K99" i="5"/>
  <c r="CD98" i="5"/>
  <c r="CC98" i="5"/>
  <c r="BD98" i="5"/>
  <c r="BC98" i="5"/>
  <c r="AV98" i="5"/>
  <c r="AU98" i="5"/>
  <c r="V98" i="5"/>
  <c r="M98" i="5"/>
  <c r="K98" i="5"/>
  <c r="CD97" i="5"/>
  <c r="CC97" i="5"/>
  <c r="BD97" i="5"/>
  <c r="BC97" i="5"/>
  <c r="AV97" i="5"/>
  <c r="AU97" i="5"/>
  <c r="V97" i="5"/>
  <c r="M97" i="5"/>
  <c r="K97" i="5"/>
  <c r="CD96" i="5"/>
  <c r="CC96" i="5"/>
  <c r="BD96" i="5"/>
  <c r="BC96" i="5"/>
  <c r="AU96" i="5"/>
  <c r="CD95" i="5"/>
  <c r="CC95" i="5"/>
  <c r="BD95" i="5"/>
  <c r="BC95" i="5"/>
  <c r="AU95" i="5"/>
  <c r="CD94" i="5"/>
  <c r="CC94" i="5"/>
  <c r="CD93" i="5"/>
  <c r="CC93" i="5"/>
  <c r="CD92" i="5"/>
  <c r="CC92" i="5"/>
  <c r="CD91" i="5"/>
  <c r="CC91" i="5"/>
  <c r="CD90" i="5"/>
  <c r="CC90" i="5"/>
  <c r="CD89" i="5"/>
  <c r="CC89" i="5"/>
  <c r="CD88" i="5"/>
  <c r="CC88" i="5"/>
  <c r="CD87" i="5"/>
  <c r="CC87" i="5"/>
  <c r="CD86" i="5"/>
  <c r="CC86" i="5"/>
  <c r="CD85" i="5"/>
  <c r="CC85" i="5"/>
  <c r="CD84" i="5"/>
  <c r="CC84" i="5"/>
  <c r="CD83" i="5"/>
  <c r="CC83" i="5"/>
  <c r="CD82" i="5"/>
  <c r="CC82" i="5"/>
  <c r="CD81" i="5"/>
  <c r="CC81" i="5"/>
  <c r="CD80" i="5"/>
  <c r="CC80" i="5"/>
  <c r="CD79" i="5"/>
  <c r="CC79" i="5"/>
  <c r="CD78" i="5"/>
  <c r="CC78" i="5"/>
  <c r="CD77" i="5"/>
  <c r="CC77" i="5"/>
  <c r="CD76" i="5"/>
  <c r="CC76" i="5"/>
  <c r="CD75" i="5"/>
  <c r="CC75" i="5"/>
  <c r="CD74" i="5"/>
  <c r="CC74" i="5"/>
  <c r="CD73" i="5"/>
  <c r="CC73" i="5"/>
  <c r="CD72" i="5"/>
  <c r="CC72" i="5"/>
  <c r="BG10" i="5"/>
  <c r="BF10" i="5"/>
  <c r="BF11" i="5" s="1"/>
  <c r="U10" i="5"/>
  <c r="IN9" i="5"/>
  <c r="IN10" i="5" s="1"/>
  <c r="IE9" i="5"/>
  <c r="IE10" i="5" s="1"/>
  <c r="HV9" i="5"/>
  <c r="HV10" i="5" s="1"/>
  <c r="HV11" i="5" s="1"/>
  <c r="HV12" i="5" s="1"/>
  <c r="HV13" i="5" s="1"/>
  <c r="HV14" i="5" s="1"/>
  <c r="HV15" i="5" s="1"/>
  <c r="HV16" i="5" s="1"/>
  <c r="HV17" i="5" s="1"/>
  <c r="HV18" i="5" s="1"/>
  <c r="HV19" i="5" s="1"/>
  <c r="HV20" i="5" s="1"/>
  <c r="HV21" i="5" s="1"/>
  <c r="HV22" i="5" s="1"/>
  <c r="HV23" i="5" s="1"/>
  <c r="HV24" i="5" s="1"/>
  <c r="HV25" i="5" s="1"/>
  <c r="HV26" i="5" s="1"/>
  <c r="HV27" i="5" s="1"/>
  <c r="HV28" i="5" s="1"/>
  <c r="HV29" i="5" s="1"/>
  <c r="HV30" i="5" s="1"/>
  <c r="HV31" i="5" s="1"/>
  <c r="HV32" i="5" s="1"/>
  <c r="HV33" i="5" s="1"/>
  <c r="HV34" i="5" s="1"/>
  <c r="HV35" i="5" s="1"/>
  <c r="HV36" i="5" s="1"/>
  <c r="HV37" i="5" s="1"/>
  <c r="HV38" i="5" s="1"/>
  <c r="HV39" i="5" s="1"/>
  <c r="HV40" i="5" s="1"/>
  <c r="HV41" i="5" s="1"/>
  <c r="HV42" i="5" s="1"/>
  <c r="HV43" i="5" s="1"/>
  <c r="HV44" i="5" s="1"/>
  <c r="HV45" i="5" s="1"/>
  <c r="HV46" i="5" s="1"/>
  <c r="HV47" i="5" s="1"/>
  <c r="HV48" i="5" s="1"/>
  <c r="HV49" i="5" s="1"/>
  <c r="HV50" i="5" s="1"/>
  <c r="HV51" i="5" s="1"/>
  <c r="HV52" i="5" s="1"/>
  <c r="HV53" i="5" s="1"/>
  <c r="HV54" i="5" s="1"/>
  <c r="HV55" i="5" s="1"/>
  <c r="HV56" i="5" s="1"/>
  <c r="HV57" i="5" s="1"/>
  <c r="HV58" i="5" s="1"/>
  <c r="HV59" i="5" s="1"/>
  <c r="HV60" i="5" s="1"/>
  <c r="HV61" i="5" s="1"/>
  <c r="HV62" i="5" s="1"/>
  <c r="HV63" i="5" s="1"/>
  <c r="HV64" i="5" s="1"/>
  <c r="HV65" i="5" s="1"/>
  <c r="HV66" i="5" s="1"/>
  <c r="HV67" i="5" s="1"/>
  <c r="HV68" i="5" s="1"/>
  <c r="HV69" i="5" s="1"/>
  <c r="HV70" i="5" s="1"/>
  <c r="HV71" i="5" s="1"/>
  <c r="HV72" i="5" s="1"/>
  <c r="HV73" i="5" s="1"/>
  <c r="HV74" i="5" s="1"/>
  <c r="HV75" i="5" s="1"/>
  <c r="HV76" i="5" s="1"/>
  <c r="HV77" i="5" s="1"/>
  <c r="HV78" i="5" s="1"/>
  <c r="HV79" i="5" s="1"/>
  <c r="HV80" i="5" s="1"/>
  <c r="HV81" i="5" s="1"/>
  <c r="HV82" i="5" s="1"/>
  <c r="HV83" i="5" s="1"/>
  <c r="HV84" i="5" s="1"/>
  <c r="HV85" i="5" s="1"/>
  <c r="HV86" i="5" s="1"/>
  <c r="HV87" i="5" s="1"/>
  <c r="HV88" i="5" s="1"/>
  <c r="HV89" i="5" s="1"/>
  <c r="HV90" i="5" s="1"/>
  <c r="HV91" i="5" s="1"/>
  <c r="HV92" i="5" s="1"/>
  <c r="HV93" i="5" s="1"/>
  <c r="HV94" i="5" s="1"/>
  <c r="HV95" i="5" s="1"/>
  <c r="HV96" i="5" s="1"/>
  <c r="HV97" i="5" s="1"/>
  <c r="HV98" i="5" s="1"/>
  <c r="HV99" i="5" s="1"/>
  <c r="HV100" i="5" s="1"/>
  <c r="HV101" i="5" s="1"/>
  <c r="HV102" i="5" s="1"/>
  <c r="HL9" i="5"/>
  <c r="HL10" i="5" s="1"/>
  <c r="HL11" i="5" s="1"/>
  <c r="HL12" i="5" s="1"/>
  <c r="HL13" i="5" s="1"/>
  <c r="HL14" i="5" s="1"/>
  <c r="HL15" i="5" s="1"/>
  <c r="HL16" i="5" s="1"/>
  <c r="HL17" i="5" s="1"/>
  <c r="HL18" i="5" s="1"/>
  <c r="HL19" i="5" s="1"/>
  <c r="HL20" i="5" s="1"/>
  <c r="HL21" i="5" s="1"/>
  <c r="HL22" i="5" s="1"/>
  <c r="HL23" i="5" s="1"/>
  <c r="HL24" i="5" s="1"/>
  <c r="HL25" i="5" s="1"/>
  <c r="HL26" i="5" s="1"/>
  <c r="HL27" i="5" s="1"/>
  <c r="HL28" i="5" s="1"/>
  <c r="HL29" i="5" s="1"/>
  <c r="HL30" i="5" s="1"/>
  <c r="HL31" i="5" s="1"/>
  <c r="HL32" i="5" s="1"/>
  <c r="HL33" i="5" s="1"/>
  <c r="HL34" i="5" s="1"/>
  <c r="HL35" i="5" s="1"/>
  <c r="HL36" i="5" s="1"/>
  <c r="HL37" i="5" s="1"/>
  <c r="HL38" i="5" s="1"/>
  <c r="HL39" i="5" s="1"/>
  <c r="HL40" i="5" s="1"/>
  <c r="HL41" i="5" s="1"/>
  <c r="HL42" i="5" s="1"/>
  <c r="HL43" i="5" s="1"/>
  <c r="HL44" i="5" s="1"/>
  <c r="HL45" i="5" s="1"/>
  <c r="HL46" i="5" s="1"/>
  <c r="HL47" i="5" s="1"/>
  <c r="HL48" i="5" s="1"/>
  <c r="HL49" i="5" s="1"/>
  <c r="HL50" i="5" s="1"/>
  <c r="HL51" i="5" s="1"/>
  <c r="HL52" i="5" s="1"/>
  <c r="HL53" i="5" s="1"/>
  <c r="HL54" i="5" s="1"/>
  <c r="HL55" i="5" s="1"/>
  <c r="HL56" i="5" s="1"/>
  <c r="HL57" i="5" s="1"/>
  <c r="HL58" i="5" s="1"/>
  <c r="HL59" i="5" s="1"/>
  <c r="HL60" i="5" s="1"/>
  <c r="HL61" i="5" s="1"/>
  <c r="HL62" i="5" s="1"/>
  <c r="HL63" i="5" s="1"/>
  <c r="HL64" i="5" s="1"/>
  <c r="HL65" i="5" s="1"/>
  <c r="HL66" i="5" s="1"/>
  <c r="HL67" i="5" s="1"/>
  <c r="HL68" i="5" s="1"/>
  <c r="HL69" i="5" s="1"/>
  <c r="HL70" i="5" s="1"/>
  <c r="HL71" i="5" s="1"/>
  <c r="HL72" i="5" s="1"/>
  <c r="HL73" i="5" s="1"/>
  <c r="HL74" i="5" s="1"/>
  <c r="HL75" i="5" s="1"/>
  <c r="HL76" i="5" s="1"/>
  <c r="HL77" i="5" s="1"/>
  <c r="HL78" i="5" s="1"/>
  <c r="HL79" i="5" s="1"/>
  <c r="HL80" i="5" s="1"/>
  <c r="HL81" i="5" s="1"/>
  <c r="HL82" i="5" s="1"/>
  <c r="HL83" i="5" s="1"/>
  <c r="HL84" i="5" s="1"/>
  <c r="HL85" i="5" s="1"/>
  <c r="HL86" i="5" s="1"/>
  <c r="HL87" i="5" s="1"/>
  <c r="HL88" i="5" s="1"/>
  <c r="HL89" i="5" s="1"/>
  <c r="HL90" i="5" s="1"/>
  <c r="HL91" i="5" s="1"/>
  <c r="HL92" i="5" s="1"/>
  <c r="HL93" i="5" s="1"/>
  <c r="HL94" i="5" s="1"/>
  <c r="HL95" i="5" s="1"/>
  <c r="HL96" i="5" s="1"/>
  <c r="HL97" i="5" s="1"/>
  <c r="HL98" i="5" s="1"/>
  <c r="HL99" i="5" s="1"/>
  <c r="HL100" i="5" s="1"/>
  <c r="HL101" i="5" s="1"/>
  <c r="HL102" i="5" s="1"/>
  <c r="HB9" i="5"/>
  <c r="HB10" i="5" s="1"/>
  <c r="HB11" i="5" s="1"/>
  <c r="HB12" i="5" s="1"/>
  <c r="HB13" i="5" s="1"/>
  <c r="HB14" i="5" s="1"/>
  <c r="HB15" i="5" s="1"/>
  <c r="HB16" i="5" s="1"/>
  <c r="HB17" i="5" s="1"/>
  <c r="HB18" i="5" s="1"/>
  <c r="HB19" i="5" s="1"/>
  <c r="HB20" i="5" s="1"/>
  <c r="HB21" i="5" s="1"/>
  <c r="HB22" i="5" s="1"/>
  <c r="HB23" i="5" s="1"/>
  <c r="HB24" i="5" s="1"/>
  <c r="HB25" i="5" s="1"/>
  <c r="HB26" i="5" s="1"/>
  <c r="HB27" i="5" s="1"/>
  <c r="HB28" i="5" s="1"/>
  <c r="HB29" i="5" s="1"/>
  <c r="HB30" i="5" s="1"/>
  <c r="HB31" i="5" s="1"/>
  <c r="HB32" i="5" s="1"/>
  <c r="HB33" i="5" s="1"/>
  <c r="HB34" i="5" s="1"/>
  <c r="HB35" i="5" s="1"/>
  <c r="HB36" i="5" s="1"/>
  <c r="HB37" i="5" s="1"/>
  <c r="HB38" i="5" s="1"/>
  <c r="HB39" i="5" s="1"/>
  <c r="HB40" i="5" s="1"/>
  <c r="HB41" i="5" s="1"/>
  <c r="HB42" i="5" s="1"/>
  <c r="HB43" i="5" s="1"/>
  <c r="HB44" i="5" s="1"/>
  <c r="HB45" i="5" s="1"/>
  <c r="HB46" i="5" s="1"/>
  <c r="HB47" i="5" s="1"/>
  <c r="HB48" i="5" s="1"/>
  <c r="HB49" i="5" s="1"/>
  <c r="HB50" i="5" s="1"/>
  <c r="HB51" i="5" s="1"/>
  <c r="HB52" i="5" s="1"/>
  <c r="HB53" i="5" s="1"/>
  <c r="HB54" i="5" s="1"/>
  <c r="HB55" i="5" s="1"/>
  <c r="HB56" i="5" s="1"/>
  <c r="HB57" i="5" s="1"/>
  <c r="HB58" i="5" s="1"/>
  <c r="HB59" i="5" s="1"/>
  <c r="HB60" i="5" s="1"/>
  <c r="HB61" i="5" s="1"/>
  <c r="HB62" i="5" s="1"/>
  <c r="HB63" i="5" s="1"/>
  <c r="HB64" i="5" s="1"/>
  <c r="HB65" i="5" s="1"/>
  <c r="HB66" i="5" s="1"/>
  <c r="HB67" i="5" s="1"/>
  <c r="HB68" i="5" s="1"/>
  <c r="HB69" i="5" s="1"/>
  <c r="HB70" i="5" s="1"/>
  <c r="HB71" i="5" s="1"/>
  <c r="HB72" i="5" s="1"/>
  <c r="HB73" i="5" s="1"/>
  <c r="HB74" i="5" s="1"/>
  <c r="HB75" i="5" s="1"/>
  <c r="HB76" i="5" s="1"/>
  <c r="HB77" i="5" s="1"/>
  <c r="HB78" i="5" s="1"/>
  <c r="HB79" i="5" s="1"/>
  <c r="HB80" i="5" s="1"/>
  <c r="HB81" i="5" s="1"/>
  <c r="HB82" i="5" s="1"/>
  <c r="HB83" i="5" s="1"/>
  <c r="HB84" i="5" s="1"/>
  <c r="HB85" i="5" s="1"/>
  <c r="HB86" i="5" s="1"/>
  <c r="HB87" i="5" s="1"/>
  <c r="HB88" i="5" s="1"/>
  <c r="HB89" i="5" s="1"/>
  <c r="HB90" i="5" s="1"/>
  <c r="HB91" i="5" s="1"/>
  <c r="HB92" i="5" s="1"/>
  <c r="HB93" i="5" s="1"/>
  <c r="HB94" i="5" s="1"/>
  <c r="HB95" i="5" s="1"/>
  <c r="HB96" i="5" s="1"/>
  <c r="HB97" i="5" s="1"/>
  <c r="HB98" i="5" s="1"/>
  <c r="HB99" i="5" s="1"/>
  <c r="HB100" i="5" s="1"/>
  <c r="HB101" i="5" s="1"/>
  <c r="HB102" i="5" s="1"/>
  <c r="FM9" i="5"/>
  <c r="FM10" i="5" s="1"/>
  <c r="FK9" i="5"/>
  <c r="FH9" i="5"/>
  <c r="FG9" i="5"/>
  <c r="FD9" i="5"/>
  <c r="FD10" i="5" s="1"/>
  <c r="FD11" i="5" s="1"/>
  <c r="FD12" i="5" s="1"/>
  <c r="FD13" i="5" s="1"/>
  <c r="FD14" i="5" s="1"/>
  <c r="FD15" i="5" s="1"/>
  <c r="FD16" i="5" s="1"/>
  <c r="FD17" i="5" s="1"/>
  <c r="FD18" i="5" s="1"/>
  <c r="FD19" i="5" s="1"/>
  <c r="FD20" i="5" s="1"/>
  <c r="FD21" i="5" s="1"/>
  <c r="FD22" i="5" s="1"/>
  <c r="FD23" i="5" s="1"/>
  <c r="FD24" i="5" s="1"/>
  <c r="FD25" i="5" s="1"/>
  <c r="FD26" i="5" s="1"/>
  <c r="FD27" i="5" s="1"/>
  <c r="FD28" i="5" s="1"/>
  <c r="FD29" i="5" s="1"/>
  <c r="FD30" i="5" s="1"/>
  <c r="FD31" i="5" s="1"/>
  <c r="FD32" i="5" s="1"/>
  <c r="FD33" i="5" s="1"/>
  <c r="FD34" i="5" s="1"/>
  <c r="FD35" i="5" s="1"/>
  <c r="FD36" i="5" s="1"/>
  <c r="FD37" i="5" s="1"/>
  <c r="FD38" i="5" s="1"/>
  <c r="FD39" i="5" s="1"/>
  <c r="FD40" i="5" s="1"/>
  <c r="FD41" i="5" s="1"/>
  <c r="FD42" i="5" s="1"/>
  <c r="FD43" i="5" s="1"/>
  <c r="FD44" i="5" s="1"/>
  <c r="FD45" i="5" s="1"/>
  <c r="FD46" i="5" s="1"/>
  <c r="FD47" i="5" s="1"/>
  <c r="FD48" i="5" s="1"/>
  <c r="FD49" i="5" s="1"/>
  <c r="FD50" i="5" s="1"/>
  <c r="FD51" i="5" s="1"/>
  <c r="FD52" i="5" s="1"/>
  <c r="FD53" i="5" s="1"/>
  <c r="FD54" i="5" s="1"/>
  <c r="FD55" i="5" s="1"/>
  <c r="FD56" i="5" s="1"/>
  <c r="FD57" i="5" s="1"/>
  <c r="FD58" i="5" s="1"/>
  <c r="FD59" i="5" s="1"/>
  <c r="FD60" i="5" s="1"/>
  <c r="FD61" i="5" s="1"/>
  <c r="FD62" i="5" s="1"/>
  <c r="FD63" i="5" s="1"/>
  <c r="FD64" i="5" s="1"/>
  <c r="FD65" i="5" s="1"/>
  <c r="FD66" i="5" s="1"/>
  <c r="FD67" i="5" s="1"/>
  <c r="FD68" i="5" s="1"/>
  <c r="FD69" i="5" s="1"/>
  <c r="FD70" i="5" s="1"/>
  <c r="FD71" i="5" s="1"/>
  <c r="FD72" i="5" s="1"/>
  <c r="FD73" i="5" s="1"/>
  <c r="FD74" i="5" s="1"/>
  <c r="FD75" i="5" s="1"/>
  <c r="FD76" i="5" s="1"/>
  <c r="FD77" i="5" s="1"/>
  <c r="FD78" i="5" s="1"/>
  <c r="FD79" i="5" s="1"/>
  <c r="FD80" i="5" s="1"/>
  <c r="FD81" i="5" s="1"/>
  <c r="FD82" i="5" s="1"/>
  <c r="FD83" i="5" s="1"/>
  <c r="FD84" i="5" s="1"/>
  <c r="FD85" i="5" s="1"/>
  <c r="FD86" i="5" s="1"/>
  <c r="FD87" i="5" s="1"/>
  <c r="FD88" i="5" s="1"/>
  <c r="FD89" i="5" s="1"/>
  <c r="FD90" i="5" s="1"/>
  <c r="FD91" i="5" s="1"/>
  <c r="FD92" i="5" s="1"/>
  <c r="FD93" i="5" s="1"/>
  <c r="FD94" i="5" s="1"/>
  <c r="FD95" i="5" s="1"/>
  <c r="FD96" i="5" s="1"/>
  <c r="FD97" i="5" s="1"/>
  <c r="FD98" i="5" s="1"/>
  <c r="FD99" i="5" s="1"/>
  <c r="FD100" i="5" s="1"/>
  <c r="FD101" i="5" s="1"/>
  <c r="FD102" i="5" s="1"/>
  <c r="FB9" i="5"/>
  <c r="EY9" i="5"/>
  <c r="EX9" i="5"/>
  <c r="EU9" i="5"/>
  <c r="ET9" i="5"/>
  <c r="ET10" i="5" s="1"/>
  <c r="ET11" i="5" s="1"/>
  <c r="ET12" i="5" s="1"/>
  <c r="ET13" i="5" s="1"/>
  <c r="ET14" i="5" s="1"/>
  <c r="ET15" i="5" s="1"/>
  <c r="ET16" i="5" s="1"/>
  <c r="ET17" i="5" s="1"/>
  <c r="ET18" i="5" s="1"/>
  <c r="ET19" i="5" s="1"/>
  <c r="ET20" i="5" s="1"/>
  <c r="ET21" i="5" s="1"/>
  <c r="ET22" i="5" s="1"/>
  <c r="ET23" i="5" s="1"/>
  <c r="ET24" i="5" s="1"/>
  <c r="ET25" i="5" s="1"/>
  <c r="ET26" i="5" s="1"/>
  <c r="ET27" i="5" s="1"/>
  <c r="ET28" i="5" s="1"/>
  <c r="ET29" i="5" s="1"/>
  <c r="ET30" i="5" s="1"/>
  <c r="ET31" i="5" s="1"/>
  <c r="ET32" i="5" s="1"/>
  <c r="ET33" i="5" s="1"/>
  <c r="ET34" i="5" s="1"/>
  <c r="ET35" i="5" s="1"/>
  <c r="ET36" i="5" s="1"/>
  <c r="ET37" i="5" s="1"/>
  <c r="ET38" i="5" s="1"/>
  <c r="ET39" i="5" s="1"/>
  <c r="ET40" i="5" s="1"/>
  <c r="ET41" i="5" s="1"/>
  <c r="ET42" i="5" s="1"/>
  <c r="ET43" i="5" s="1"/>
  <c r="ET44" i="5" s="1"/>
  <c r="ET45" i="5" s="1"/>
  <c r="ET46" i="5" s="1"/>
  <c r="ET47" i="5" s="1"/>
  <c r="ET48" i="5" s="1"/>
  <c r="ET49" i="5" s="1"/>
  <c r="ET50" i="5" s="1"/>
  <c r="ET51" i="5" s="1"/>
  <c r="ET52" i="5" s="1"/>
  <c r="ET53" i="5" s="1"/>
  <c r="ET54" i="5" s="1"/>
  <c r="ET55" i="5" s="1"/>
  <c r="ET56" i="5" s="1"/>
  <c r="ET57" i="5" s="1"/>
  <c r="ET58" i="5" s="1"/>
  <c r="ET59" i="5" s="1"/>
  <c r="ET60" i="5" s="1"/>
  <c r="ET61" i="5" s="1"/>
  <c r="ET62" i="5" s="1"/>
  <c r="ET63" i="5" s="1"/>
  <c r="ET64" i="5" s="1"/>
  <c r="ET65" i="5" s="1"/>
  <c r="ET66" i="5" s="1"/>
  <c r="ET67" i="5" s="1"/>
  <c r="ET68" i="5" s="1"/>
  <c r="ET69" i="5" s="1"/>
  <c r="ET70" i="5" s="1"/>
  <c r="ET71" i="5" s="1"/>
  <c r="ET72" i="5" s="1"/>
  <c r="ET73" i="5" s="1"/>
  <c r="ET74" i="5" s="1"/>
  <c r="ET75" i="5" s="1"/>
  <c r="ET76" i="5" s="1"/>
  <c r="ET77" i="5" s="1"/>
  <c r="ET78" i="5" s="1"/>
  <c r="ET79" i="5" s="1"/>
  <c r="ET80" i="5" s="1"/>
  <c r="ET81" i="5" s="1"/>
  <c r="ET82" i="5" s="1"/>
  <c r="ET83" i="5" s="1"/>
  <c r="ET84" i="5" s="1"/>
  <c r="ET85" i="5" s="1"/>
  <c r="ET86" i="5" s="1"/>
  <c r="ET87" i="5" s="1"/>
  <c r="ET88" i="5" s="1"/>
  <c r="ET89" i="5" s="1"/>
  <c r="ET90" i="5" s="1"/>
  <c r="ET91" i="5" s="1"/>
  <c r="ET92" i="5" s="1"/>
  <c r="ET93" i="5" s="1"/>
  <c r="ET94" i="5" s="1"/>
  <c r="ET95" i="5" s="1"/>
  <c r="ET96" i="5" s="1"/>
  <c r="ET97" i="5" s="1"/>
  <c r="ET98" i="5" s="1"/>
  <c r="ET99" i="5" s="1"/>
  <c r="ET100" i="5" s="1"/>
  <c r="ET101" i="5" s="1"/>
  <c r="ET102" i="5" s="1"/>
  <c r="EJ9" i="5"/>
  <c r="EJ10" i="5" s="1"/>
  <c r="EJ11" i="5" s="1"/>
  <c r="EJ12" i="5" s="1"/>
  <c r="EJ13" i="5" s="1"/>
  <c r="EJ14" i="5" s="1"/>
  <c r="EJ15" i="5" s="1"/>
  <c r="EJ16" i="5" s="1"/>
  <c r="EJ17" i="5" s="1"/>
  <c r="EJ18" i="5" s="1"/>
  <c r="EJ19" i="5" s="1"/>
  <c r="EJ20" i="5" s="1"/>
  <c r="EJ21" i="5" s="1"/>
  <c r="EJ22" i="5" s="1"/>
  <c r="EJ23" i="5" s="1"/>
  <c r="EJ24" i="5" s="1"/>
  <c r="EJ25" i="5" s="1"/>
  <c r="EJ26" i="5" s="1"/>
  <c r="EJ27" i="5" s="1"/>
  <c r="EJ28" i="5" s="1"/>
  <c r="EJ29" i="5" s="1"/>
  <c r="EJ30" i="5" s="1"/>
  <c r="EJ31" i="5" s="1"/>
  <c r="EJ32" i="5" s="1"/>
  <c r="EJ33" i="5" s="1"/>
  <c r="EJ34" i="5" s="1"/>
  <c r="EJ35" i="5" s="1"/>
  <c r="EJ36" i="5" s="1"/>
  <c r="EJ37" i="5" s="1"/>
  <c r="EJ38" i="5" s="1"/>
  <c r="EJ39" i="5" s="1"/>
  <c r="EJ40" i="5" s="1"/>
  <c r="EJ41" i="5" s="1"/>
  <c r="EJ42" i="5" s="1"/>
  <c r="EJ43" i="5" s="1"/>
  <c r="EJ44" i="5" s="1"/>
  <c r="EJ45" i="5" s="1"/>
  <c r="EJ46" i="5" s="1"/>
  <c r="EJ47" i="5" s="1"/>
  <c r="EJ48" i="5" s="1"/>
  <c r="EJ49" i="5" s="1"/>
  <c r="EJ50" i="5" s="1"/>
  <c r="EJ51" i="5" s="1"/>
  <c r="EJ52" i="5" s="1"/>
  <c r="EJ53" i="5" s="1"/>
  <c r="EJ54" i="5" s="1"/>
  <c r="EJ55" i="5" s="1"/>
  <c r="EJ56" i="5" s="1"/>
  <c r="EJ57" i="5" s="1"/>
  <c r="EJ58" i="5" s="1"/>
  <c r="EJ59" i="5" s="1"/>
  <c r="EJ60" i="5" s="1"/>
  <c r="EJ61" i="5" s="1"/>
  <c r="EJ62" i="5" s="1"/>
  <c r="EJ63" i="5" s="1"/>
  <c r="EJ64" i="5" s="1"/>
  <c r="EJ65" i="5" s="1"/>
  <c r="EJ66" i="5" s="1"/>
  <c r="EJ67" i="5" s="1"/>
  <c r="EJ68" i="5" s="1"/>
  <c r="EJ69" i="5" s="1"/>
  <c r="EJ70" i="5" s="1"/>
  <c r="EJ71" i="5" s="1"/>
  <c r="EJ72" i="5" s="1"/>
  <c r="EJ73" i="5" s="1"/>
  <c r="EJ74" i="5" s="1"/>
  <c r="EJ75" i="5" s="1"/>
  <c r="EJ76" i="5" s="1"/>
  <c r="EJ77" i="5" s="1"/>
  <c r="EJ78" i="5" s="1"/>
  <c r="EJ79" i="5" s="1"/>
  <c r="EJ80" i="5" s="1"/>
  <c r="EJ81" i="5" s="1"/>
  <c r="EJ82" i="5" s="1"/>
  <c r="EJ83" i="5" s="1"/>
  <c r="EJ84" i="5" s="1"/>
  <c r="EJ85" i="5" s="1"/>
  <c r="EJ86" i="5" s="1"/>
  <c r="EJ87" i="5" s="1"/>
  <c r="EJ88" i="5" s="1"/>
  <c r="EJ89" i="5" s="1"/>
  <c r="EJ90" i="5" s="1"/>
  <c r="EJ91" i="5" s="1"/>
  <c r="EJ92" i="5" s="1"/>
  <c r="EJ93" i="5" s="1"/>
  <c r="EJ94" i="5" s="1"/>
  <c r="EJ95" i="5" s="1"/>
  <c r="EJ96" i="5" s="1"/>
  <c r="EJ97" i="5" s="1"/>
  <c r="EJ98" i="5" s="1"/>
  <c r="EJ99" i="5" s="1"/>
  <c r="EJ100" i="5" s="1"/>
  <c r="EJ101" i="5" s="1"/>
  <c r="EJ102" i="5" s="1"/>
  <c r="DY9" i="5"/>
  <c r="DX9" i="5"/>
  <c r="DU9" i="5"/>
  <c r="DT9" i="5"/>
  <c r="DQ9" i="5"/>
  <c r="DP9" i="5"/>
  <c r="DM9" i="5"/>
  <c r="DL9" i="5"/>
  <c r="CU9" i="5"/>
  <c r="CU10" i="5" s="1"/>
  <c r="CP9" i="5"/>
  <c r="CP10" i="5" s="1"/>
  <c r="CG9" i="5"/>
  <c r="CG10" i="5" s="1"/>
  <c r="BX9" i="5"/>
  <c r="BX10" i="5" s="1"/>
  <c r="BQ9" i="5"/>
  <c r="BQ10" i="5" s="1"/>
  <c r="BJ9" i="5"/>
  <c r="BJ10" i="5" s="1"/>
  <c r="BH9" i="5"/>
  <c r="BG9" i="5"/>
  <c r="AZ9" i="5"/>
  <c r="BA9" i="5" s="1"/>
  <c r="AQ9" i="5"/>
  <c r="AH9" i="5"/>
  <c r="AC9" i="5"/>
  <c r="Y9" i="5"/>
  <c r="X9" i="5"/>
  <c r="O9" i="5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G9" i="5"/>
  <c r="J9" i="5" s="1"/>
  <c r="A9" i="5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IQ5" i="5"/>
  <c r="IL5" i="5"/>
  <c r="CE5" i="5"/>
  <c r="BH5" i="5"/>
  <c r="IQ4" i="5"/>
  <c r="IL4" i="5"/>
  <c r="IC4" i="5"/>
  <c r="HT4" i="5"/>
  <c r="HJ4" i="5"/>
  <c r="GZ4" i="5"/>
  <c r="FK4" i="5"/>
  <c r="FB4" i="5"/>
  <c r="ER4" i="5"/>
  <c r="EH4" i="5"/>
  <c r="CS4" i="5"/>
  <c r="CN4" i="5"/>
  <c r="CE4" i="5"/>
  <c r="BV4" i="5"/>
  <c r="BO4" i="5"/>
  <c r="BD4" i="5"/>
  <c r="AX4" i="5"/>
  <c r="AO4" i="5"/>
  <c r="AF4" i="5"/>
  <c r="V4" i="5"/>
  <c r="M4" i="5"/>
  <c r="E4" i="5"/>
  <c r="IQ3" i="5"/>
  <c r="IL3" i="5"/>
  <c r="IC3" i="5"/>
  <c r="HT3" i="5"/>
  <c r="HJ3" i="5"/>
  <c r="GZ3" i="5"/>
  <c r="FK3" i="5"/>
  <c r="FB3" i="5"/>
  <c r="ER3" i="5"/>
  <c r="EH3" i="5"/>
  <c r="CS3" i="5"/>
  <c r="CN3" i="5"/>
  <c r="CE3" i="5"/>
  <c r="BV3" i="5"/>
  <c r="BO3" i="5"/>
  <c r="BH3" i="5"/>
  <c r="BD3" i="5"/>
  <c r="AX3" i="5"/>
  <c r="AO3" i="5"/>
  <c r="AF3" i="5"/>
  <c r="IQ2" i="5"/>
  <c r="IL2" i="5"/>
  <c r="IC2" i="5"/>
  <c r="HT2" i="5"/>
  <c r="HJ2" i="5"/>
  <c r="GZ2" i="5"/>
  <c r="FK2" i="5"/>
  <c r="FB2" i="5"/>
  <c r="ER2" i="5"/>
  <c r="EH2" i="5"/>
  <c r="CS2" i="5"/>
  <c r="CN2" i="5"/>
  <c r="CE2" i="5"/>
  <c r="BV2" i="5"/>
  <c r="BO2" i="5"/>
  <c r="BH2" i="5"/>
  <c r="BD2" i="5"/>
  <c r="AX2" i="5"/>
  <c r="AO2" i="5"/>
  <c r="AF2" i="5"/>
  <c r="V2" i="5"/>
  <c r="M2" i="5"/>
  <c r="E2" i="5"/>
  <c r="E11" i="19"/>
  <c r="F11" i="19" s="1"/>
  <c r="A11" i="19"/>
  <c r="A12" i="19" s="1"/>
  <c r="C10" i="19"/>
  <c r="B10" i="19"/>
  <c r="D10" i="19" s="1"/>
  <c r="A10" i="19"/>
  <c r="E10" i="19" s="1"/>
  <c r="F10" i="19" s="1"/>
  <c r="E9" i="19"/>
  <c r="F9" i="19" s="1"/>
  <c r="B9" i="19"/>
  <c r="D9" i="19" s="1"/>
  <c r="F4" i="19"/>
  <c r="F1" i="19"/>
  <c r="B18" i="20"/>
  <c r="B17" i="20"/>
  <c r="B16" i="20"/>
  <c r="B15" i="20"/>
  <c r="IC1" i="5" l="1"/>
  <c r="E1" i="48"/>
  <c r="D44" i="21"/>
  <c r="E44" i="21" s="1"/>
  <c r="F44" i="21" s="1"/>
  <c r="G44" i="21" s="1"/>
  <c r="H44" i="21" s="1"/>
  <c r="I44" i="21" s="1"/>
  <c r="J44" i="21" s="1"/>
  <c r="K44" i="21" s="1"/>
  <c r="L44" i="21" s="1"/>
  <c r="M44" i="21" s="1"/>
  <c r="N44" i="21" s="1"/>
  <c r="O44" i="21" s="1"/>
  <c r="P44" i="21" s="1"/>
  <c r="Q44" i="21" s="1"/>
  <c r="R44" i="21" s="1"/>
  <c r="S44" i="21" s="1"/>
  <c r="C9" i="19"/>
  <c r="AR9" i="5"/>
  <c r="H6" i="21"/>
  <c r="H8" i="21"/>
  <c r="H32" i="21"/>
  <c r="H4" i="21"/>
  <c r="H27" i="21"/>
  <c r="H10" i="21"/>
  <c r="H16" i="21"/>
  <c r="H18" i="21"/>
  <c r="H25" i="21"/>
  <c r="H3" i="21"/>
  <c r="H5" i="21"/>
  <c r="H23" i="21"/>
  <c r="H37" i="21"/>
  <c r="H7" i="21"/>
  <c r="H9" i="21"/>
  <c r="H11" i="21"/>
  <c r="H13" i="21"/>
  <c r="H21" i="21"/>
  <c r="H29" i="21"/>
  <c r="H34" i="21"/>
  <c r="H12" i="21"/>
  <c r="H14" i="21"/>
  <c r="H20" i="21"/>
  <c r="H22" i="21"/>
  <c r="H24" i="21"/>
  <c r="H26" i="21"/>
  <c r="H28" i="21"/>
  <c r="H30" i="21"/>
  <c r="H31" i="21"/>
  <c r="H33" i="21"/>
  <c r="H35" i="21"/>
  <c r="H41" i="21"/>
  <c r="H15" i="21"/>
  <c r="H17" i="21"/>
  <c r="H19" i="21"/>
  <c r="H39" i="21"/>
  <c r="H36" i="21"/>
  <c r="H38" i="21"/>
  <c r="H40" i="21"/>
  <c r="BJ11" i="5"/>
  <c r="IE11" i="5"/>
  <c r="O56" i="5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CG11" i="5"/>
  <c r="BG11" i="5"/>
  <c r="BF12" i="5"/>
  <c r="BH11" i="5"/>
  <c r="CP11" i="5"/>
  <c r="FM11" i="5"/>
  <c r="BQ11" i="5"/>
  <c r="FH10" i="5"/>
  <c r="EY10" i="5"/>
  <c r="DY10" i="5"/>
  <c r="DU10" i="5"/>
  <c r="DQ10" i="5"/>
  <c r="DM10" i="5"/>
  <c r="FK10" i="5"/>
  <c r="FG10" i="5"/>
  <c r="FB10" i="5"/>
  <c r="EX10" i="5"/>
  <c r="DX10" i="5"/>
  <c r="DT10" i="5"/>
  <c r="DP10" i="5"/>
  <c r="CU11" i="5"/>
  <c r="FJ10" i="5"/>
  <c r="FF10" i="5"/>
  <c r="FA10" i="5"/>
  <c r="EW10" i="5"/>
  <c r="DW10" i="5"/>
  <c r="DS10" i="5"/>
  <c r="DO10" i="5"/>
  <c r="FI10" i="5"/>
  <c r="FE10" i="5"/>
  <c r="EZ10" i="5"/>
  <c r="EV10" i="5"/>
  <c r="DZ10" i="5"/>
  <c r="DV10" i="5"/>
  <c r="DR10" i="5"/>
  <c r="DN10" i="5"/>
  <c r="IN11" i="5"/>
  <c r="B12" i="19"/>
  <c r="D12" i="19" s="1"/>
  <c r="E12" i="19"/>
  <c r="F12" i="19" s="1"/>
  <c r="A13" i="19"/>
  <c r="C12" i="19"/>
  <c r="BX11" i="5"/>
  <c r="B11" i="19"/>
  <c r="D11" i="19" s="1"/>
  <c r="AF1" i="5"/>
  <c r="BH1" i="5"/>
  <c r="CN1" i="5"/>
  <c r="FB1" i="5"/>
  <c r="HT1" i="5"/>
  <c r="AA9" i="5"/>
  <c r="DN9" i="5"/>
  <c r="DR9" i="5"/>
  <c r="DV9" i="5"/>
  <c r="DZ9" i="5"/>
  <c r="EV9" i="5"/>
  <c r="EZ9" i="5"/>
  <c r="FE9" i="5"/>
  <c r="FI9" i="5"/>
  <c r="X10" i="5"/>
  <c r="BH10" i="5"/>
  <c r="C11" i="19"/>
  <c r="E1" i="5"/>
  <c r="AO1" i="5"/>
  <c r="BO1" i="5"/>
  <c r="CS1" i="5"/>
  <c r="FK1" i="5"/>
  <c r="DO9" i="5"/>
  <c r="DS9" i="5"/>
  <c r="DW9" i="5"/>
  <c r="EW9" i="5"/>
  <c r="FA9" i="5"/>
  <c r="FF9" i="5"/>
  <c r="FJ9" i="5"/>
  <c r="AH10" i="5"/>
  <c r="AQ10" i="5"/>
  <c r="AZ10" i="5"/>
  <c r="E1" i="22"/>
  <c r="IC1" i="2"/>
  <c r="FK1" i="2"/>
  <c r="CS1" i="2"/>
  <c r="BO1" i="2"/>
  <c r="AO1" i="2"/>
  <c r="E1" i="2"/>
  <c r="HT1" i="2"/>
  <c r="FB1" i="2"/>
  <c r="CN1" i="2"/>
  <c r="BH1" i="2"/>
  <c r="AF1" i="2"/>
  <c r="IQ1" i="2"/>
  <c r="HJ1" i="2"/>
  <c r="ER1" i="2"/>
  <c r="CE1" i="2"/>
  <c r="BD1" i="2"/>
  <c r="V1" i="2"/>
  <c r="IL1" i="2"/>
  <c r="GZ1" i="2"/>
  <c r="EH1" i="2"/>
  <c r="BV1" i="2"/>
  <c r="AX1" i="2"/>
  <c r="M1" i="2"/>
  <c r="M1" i="5"/>
  <c r="AX1" i="5"/>
  <c r="BV1" i="5"/>
  <c r="EH1" i="5"/>
  <c r="GZ1" i="5"/>
  <c r="IL1" i="5"/>
  <c r="G10" i="5"/>
  <c r="U11" i="5"/>
  <c r="V1" i="5"/>
  <c r="BD1" i="5"/>
  <c r="CE1" i="5"/>
  <c r="ER1" i="5"/>
  <c r="HJ1" i="5"/>
  <c r="IQ1" i="5"/>
  <c r="AH11" i="2"/>
  <c r="CG11" i="2"/>
  <c r="IN11" i="2"/>
  <c r="AQ11" i="2"/>
  <c r="BJ11" i="2"/>
  <c r="CP11" i="2"/>
  <c r="AZ11" i="2"/>
  <c r="BA10" i="2"/>
  <c r="BQ11" i="2"/>
  <c r="CU11" i="2"/>
  <c r="FJ10" i="2"/>
  <c r="FF10" i="2"/>
  <c r="FA10" i="2"/>
  <c r="EW10" i="2"/>
  <c r="DW10" i="2"/>
  <c r="DS10" i="2"/>
  <c r="DO10" i="2"/>
  <c r="FI10" i="2"/>
  <c r="FE10" i="2"/>
  <c r="EZ10" i="2"/>
  <c r="EV10" i="2"/>
  <c r="DZ10" i="2"/>
  <c r="DV10" i="2"/>
  <c r="DR10" i="2"/>
  <c r="DN10" i="2"/>
  <c r="FH10" i="2"/>
  <c r="EY10" i="2"/>
  <c r="DY10" i="2"/>
  <c r="DU10" i="2"/>
  <c r="DQ10" i="2"/>
  <c r="DM10" i="2"/>
  <c r="FK10" i="2"/>
  <c r="FG10" i="2"/>
  <c r="FB10" i="2"/>
  <c r="EX10" i="2"/>
  <c r="DX10" i="2"/>
  <c r="DT10" i="2"/>
  <c r="DP10" i="2"/>
  <c r="O56" i="2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BX11" i="2"/>
  <c r="FM11" i="2"/>
  <c r="IE11" i="2"/>
  <c r="DP9" i="2"/>
  <c r="DT9" i="2"/>
  <c r="DX9" i="2"/>
  <c r="EX9" i="2"/>
  <c r="FB9" i="2"/>
  <c r="FG9" i="2"/>
  <c r="FK9" i="2"/>
  <c r="G10" i="2"/>
  <c r="U11" i="2"/>
  <c r="BF11" i="2"/>
  <c r="J9" i="2"/>
  <c r="AR9" i="2" s="1"/>
  <c r="BA9" i="2"/>
  <c r="DM9" i="2"/>
  <c r="DQ9" i="2"/>
  <c r="DU9" i="2"/>
  <c r="DY9" i="2"/>
  <c r="EU9" i="2"/>
  <c r="EY9" i="2"/>
  <c r="FH9" i="2"/>
  <c r="X10" i="2"/>
  <c r="DO9" i="2"/>
  <c r="DS9" i="2"/>
  <c r="DW9" i="2"/>
  <c r="EW9" i="2"/>
  <c r="FA9" i="2"/>
  <c r="FF9" i="2"/>
  <c r="FJ9" i="2"/>
  <c r="FM12" i="2" l="1"/>
  <c r="AH11" i="5"/>
  <c r="CP12" i="5"/>
  <c r="K14" i="21"/>
  <c r="I14" i="21"/>
  <c r="BH11" i="2"/>
  <c r="BG11" i="2"/>
  <c r="BF12" i="2"/>
  <c r="BX12" i="2"/>
  <c r="BQ12" i="2"/>
  <c r="BJ12" i="2"/>
  <c r="AQ11" i="5"/>
  <c r="BQ12" i="5"/>
  <c r="CG12" i="5"/>
  <c r="IE12" i="5"/>
  <c r="K40" i="21"/>
  <c r="I40" i="21"/>
  <c r="K19" i="21"/>
  <c r="I19" i="21"/>
  <c r="I35" i="21"/>
  <c r="K35" i="21"/>
  <c r="I28" i="21"/>
  <c r="K28" i="21"/>
  <c r="I20" i="21"/>
  <c r="K20" i="21"/>
  <c r="K29" i="21"/>
  <c r="I29" i="21"/>
  <c r="K9" i="21"/>
  <c r="I9" i="21"/>
  <c r="K23" i="21"/>
  <c r="I23" i="21"/>
  <c r="I18" i="21"/>
  <c r="K18" i="21"/>
  <c r="I4" i="21"/>
  <c r="K4" i="21"/>
  <c r="CU12" i="2"/>
  <c r="FJ11" i="2"/>
  <c r="FF11" i="2"/>
  <c r="FA11" i="2"/>
  <c r="EW11" i="2"/>
  <c r="DW11" i="2"/>
  <c r="DS11" i="2"/>
  <c r="DO11" i="2"/>
  <c r="FI11" i="2"/>
  <c r="FE11" i="2"/>
  <c r="EZ11" i="2"/>
  <c r="DZ11" i="2"/>
  <c r="DV11" i="2"/>
  <c r="DR11" i="2"/>
  <c r="DN11" i="2"/>
  <c r="FH11" i="2"/>
  <c r="EY11" i="2"/>
  <c r="DY11" i="2"/>
  <c r="DU11" i="2"/>
  <c r="DQ11" i="2"/>
  <c r="FK11" i="2"/>
  <c r="FG11" i="2"/>
  <c r="FB11" i="2"/>
  <c r="EX11" i="2"/>
  <c r="DX11" i="2"/>
  <c r="DT11" i="2"/>
  <c r="DP11" i="2"/>
  <c r="AZ12" i="2"/>
  <c r="BA11" i="2"/>
  <c r="AQ12" i="2"/>
  <c r="IN12" i="2"/>
  <c r="CG12" i="2"/>
  <c r="AH12" i="2"/>
  <c r="A14" i="19"/>
  <c r="C13" i="19"/>
  <c r="B13" i="19"/>
  <c r="D13" i="19" s="1"/>
  <c r="E13" i="19"/>
  <c r="F13" i="19" s="1"/>
  <c r="IN12" i="5"/>
  <c r="K38" i="21"/>
  <c r="I38" i="21"/>
  <c r="K17" i="21"/>
  <c r="I17" i="21"/>
  <c r="I33" i="21"/>
  <c r="K33" i="21"/>
  <c r="I26" i="21"/>
  <c r="K26" i="21"/>
  <c r="K21" i="21"/>
  <c r="I21" i="21"/>
  <c r="K7" i="21"/>
  <c r="I7" i="21"/>
  <c r="K5" i="21"/>
  <c r="I5" i="21"/>
  <c r="I32" i="21"/>
  <c r="K32" i="21"/>
  <c r="I10" i="2"/>
  <c r="H10" i="2"/>
  <c r="AA10" i="2" s="1"/>
  <c r="G11" i="2"/>
  <c r="CP12" i="2"/>
  <c r="U12" i="5"/>
  <c r="X11" i="5"/>
  <c r="K36" i="21"/>
  <c r="I36" i="21"/>
  <c r="K15" i="21"/>
  <c r="I15" i="21"/>
  <c r="I31" i="21"/>
  <c r="K31" i="21"/>
  <c r="I24" i="21"/>
  <c r="K24" i="21"/>
  <c r="K12" i="21"/>
  <c r="I12" i="21"/>
  <c r="I13" i="21"/>
  <c r="K13" i="21"/>
  <c r="K3" i="21"/>
  <c r="I3" i="21"/>
  <c r="I10" i="21"/>
  <c r="K10" i="21"/>
  <c r="I8" i="21"/>
  <c r="K8" i="21"/>
  <c r="X11" i="2"/>
  <c r="U12" i="2"/>
  <c r="IE12" i="2"/>
  <c r="BX12" i="5"/>
  <c r="I16" i="21"/>
  <c r="K16" i="21"/>
  <c r="H10" i="5"/>
  <c r="AA10" i="5" s="1"/>
  <c r="G11" i="5"/>
  <c r="I10" i="5"/>
  <c r="BA10" i="5"/>
  <c r="AZ11" i="5"/>
  <c r="FH11" i="5"/>
  <c r="EY11" i="5"/>
  <c r="DY11" i="5"/>
  <c r="DU11" i="5"/>
  <c r="DQ11" i="5"/>
  <c r="FK11" i="5"/>
  <c r="FG11" i="5"/>
  <c r="FB11" i="5"/>
  <c r="EX11" i="5"/>
  <c r="DX11" i="5"/>
  <c r="DT11" i="5"/>
  <c r="DP11" i="5"/>
  <c r="CU12" i="5"/>
  <c r="FJ11" i="5"/>
  <c r="FF11" i="5"/>
  <c r="FA11" i="5"/>
  <c r="EW11" i="5"/>
  <c r="DW11" i="5"/>
  <c r="DS11" i="5"/>
  <c r="DO11" i="5"/>
  <c r="FI11" i="5"/>
  <c r="FE11" i="5"/>
  <c r="EZ11" i="5"/>
  <c r="DZ11" i="5"/>
  <c r="DV11" i="5"/>
  <c r="DR11" i="5"/>
  <c r="DN11" i="5"/>
  <c r="FM12" i="5"/>
  <c r="BG12" i="5"/>
  <c r="BF13" i="5"/>
  <c r="BH12" i="5"/>
  <c r="BJ12" i="5"/>
  <c r="I39" i="21"/>
  <c r="K39" i="21"/>
  <c r="I41" i="21"/>
  <c r="K41" i="21"/>
  <c r="I30" i="21"/>
  <c r="K30" i="21"/>
  <c r="I22" i="21"/>
  <c r="K22" i="21"/>
  <c r="I34" i="21"/>
  <c r="K34" i="21"/>
  <c r="K11" i="21"/>
  <c r="I11" i="21"/>
  <c r="I37" i="21"/>
  <c r="K37" i="21"/>
  <c r="K25" i="21"/>
  <c r="I25" i="21"/>
  <c r="K27" i="21"/>
  <c r="I27" i="21"/>
  <c r="I6" i="21"/>
  <c r="K6" i="21"/>
  <c r="AC10" i="5" l="1"/>
  <c r="Y10" i="2"/>
  <c r="AC10" i="2"/>
  <c r="J10" i="2"/>
  <c r="AR10" i="2" s="1"/>
  <c r="J10" i="5"/>
  <c r="AR10" i="5" s="1"/>
  <c r="L3" i="21"/>
  <c r="M3" i="21"/>
  <c r="J3" i="21"/>
  <c r="J13" i="21"/>
  <c r="M13" i="21"/>
  <c r="L13" i="21"/>
  <c r="L33" i="21"/>
  <c r="J33" i="21"/>
  <c r="M33" i="21"/>
  <c r="AQ13" i="2"/>
  <c r="J11" i="21"/>
  <c r="M11" i="21"/>
  <c r="L11" i="21"/>
  <c r="J34" i="21"/>
  <c r="L34" i="21"/>
  <c r="M34" i="21"/>
  <c r="BJ13" i="5"/>
  <c r="U13" i="2"/>
  <c r="X12" i="2"/>
  <c r="L8" i="21"/>
  <c r="J8" i="21"/>
  <c r="M8" i="21"/>
  <c r="Y10" i="5"/>
  <c r="CP13" i="2"/>
  <c r="L5" i="21"/>
  <c r="M5" i="21"/>
  <c r="J5" i="21"/>
  <c r="E14" i="19"/>
  <c r="F14" i="19" s="1"/>
  <c r="A15" i="19"/>
  <c r="C14" i="19"/>
  <c r="B14" i="19"/>
  <c r="D14" i="19" s="1"/>
  <c r="AH13" i="2"/>
  <c r="CG13" i="2"/>
  <c r="IN13" i="2"/>
  <c r="J9" i="21"/>
  <c r="L9" i="21"/>
  <c r="M9" i="21"/>
  <c r="IE13" i="5"/>
  <c r="CG13" i="5"/>
  <c r="BQ13" i="2"/>
  <c r="BH12" i="2"/>
  <c r="BG12" i="2"/>
  <c r="BF13" i="2"/>
  <c r="AH12" i="5"/>
  <c r="FM13" i="2"/>
  <c r="M39" i="21"/>
  <c r="L39" i="21"/>
  <c r="J39" i="21"/>
  <c r="L31" i="21"/>
  <c r="J31" i="21"/>
  <c r="M31" i="21"/>
  <c r="J4" i="21"/>
  <c r="M4" i="21"/>
  <c r="L4" i="21"/>
  <c r="L23" i="21"/>
  <c r="J23" i="21"/>
  <c r="M23" i="21"/>
  <c r="M35" i="21"/>
  <c r="L35" i="21"/>
  <c r="J35" i="21"/>
  <c r="AQ12" i="5"/>
  <c r="L6" i="21"/>
  <c r="J6" i="21"/>
  <c r="M6" i="21"/>
  <c r="M41" i="21"/>
  <c r="L41" i="21"/>
  <c r="J41" i="21"/>
  <c r="BG13" i="5"/>
  <c r="BF14" i="5"/>
  <c r="BH13" i="5"/>
  <c r="FM13" i="5"/>
  <c r="FH12" i="5"/>
  <c r="EY12" i="5"/>
  <c r="DY12" i="5"/>
  <c r="DU12" i="5"/>
  <c r="DQ12" i="5"/>
  <c r="FK12" i="5"/>
  <c r="FG12" i="5"/>
  <c r="FB12" i="5"/>
  <c r="EX12" i="5"/>
  <c r="DX12" i="5"/>
  <c r="DT12" i="5"/>
  <c r="DP12" i="5"/>
  <c r="CU13" i="5"/>
  <c r="FJ12" i="5"/>
  <c r="FF12" i="5"/>
  <c r="FA12" i="5"/>
  <c r="DW12" i="5"/>
  <c r="DS12" i="5"/>
  <c r="DO12" i="5"/>
  <c r="FI12" i="5"/>
  <c r="FE12" i="5"/>
  <c r="EZ12" i="5"/>
  <c r="DZ12" i="5"/>
  <c r="DV12" i="5"/>
  <c r="DR12" i="5"/>
  <c r="BA11" i="5"/>
  <c r="AZ12" i="5"/>
  <c r="H11" i="5"/>
  <c r="AC11" i="5" s="1"/>
  <c r="G12" i="5"/>
  <c r="I11" i="5"/>
  <c r="L16" i="21"/>
  <c r="J16" i="21"/>
  <c r="M16" i="21"/>
  <c r="L12" i="21"/>
  <c r="J12" i="21"/>
  <c r="M12" i="21"/>
  <c r="J24" i="21"/>
  <c r="L24" i="21"/>
  <c r="M24" i="21"/>
  <c r="J36" i="21"/>
  <c r="L36" i="21"/>
  <c r="M36" i="21"/>
  <c r="J32" i="21"/>
  <c r="L32" i="21"/>
  <c r="M32" i="21"/>
  <c r="L21" i="21"/>
  <c r="J21" i="21"/>
  <c r="M21" i="21"/>
  <c r="J26" i="21"/>
  <c r="L26" i="21"/>
  <c r="M26" i="21"/>
  <c r="J38" i="21"/>
  <c r="L38" i="21"/>
  <c r="M38" i="21"/>
  <c r="IN13" i="5"/>
  <c r="CU13" i="2"/>
  <c r="FJ12" i="2"/>
  <c r="FF12" i="2"/>
  <c r="FA12" i="2"/>
  <c r="DW12" i="2"/>
  <c r="DS12" i="2"/>
  <c r="DO12" i="2"/>
  <c r="FI12" i="2"/>
  <c r="FE12" i="2"/>
  <c r="EZ12" i="2"/>
  <c r="DZ12" i="2"/>
  <c r="DV12" i="2"/>
  <c r="DR12" i="2"/>
  <c r="FH12" i="2"/>
  <c r="EY12" i="2"/>
  <c r="DY12" i="2"/>
  <c r="DU12" i="2"/>
  <c r="DQ12" i="2"/>
  <c r="FK12" i="2"/>
  <c r="FG12" i="2"/>
  <c r="FB12" i="2"/>
  <c r="EX12" i="2"/>
  <c r="DX12" i="2"/>
  <c r="DT12" i="2"/>
  <c r="DP12" i="2"/>
  <c r="J28" i="21"/>
  <c r="L28" i="21"/>
  <c r="M28" i="21"/>
  <c r="J40" i="21"/>
  <c r="L40" i="21"/>
  <c r="M40" i="21"/>
  <c r="BQ13" i="5"/>
  <c r="BJ13" i="2"/>
  <c r="I11" i="2"/>
  <c r="H11" i="2"/>
  <c r="Y11" i="2" s="1"/>
  <c r="G12" i="2"/>
  <c r="L25" i="21"/>
  <c r="J25" i="21"/>
  <c r="M25" i="21"/>
  <c r="L30" i="21"/>
  <c r="J30" i="21"/>
  <c r="M30" i="21"/>
  <c r="L27" i="21"/>
  <c r="J27" i="21"/>
  <c r="M27" i="21"/>
  <c r="M37" i="21"/>
  <c r="L37" i="21"/>
  <c r="J37" i="21"/>
  <c r="J22" i="21"/>
  <c r="L22" i="21"/>
  <c r="M22" i="21"/>
  <c r="BX13" i="5"/>
  <c r="IE13" i="2"/>
  <c r="L10" i="21"/>
  <c r="J10" i="21"/>
  <c r="M10" i="21"/>
  <c r="J15" i="21"/>
  <c r="L15" i="21"/>
  <c r="M15" i="21"/>
  <c r="AA11" i="5"/>
  <c r="Y11" i="5"/>
  <c r="X12" i="5"/>
  <c r="U13" i="5"/>
  <c r="J7" i="21"/>
  <c r="L7" i="21"/>
  <c r="M7" i="21"/>
  <c r="J17" i="21"/>
  <c r="L17" i="21"/>
  <c r="M17" i="21"/>
  <c r="AZ13" i="2"/>
  <c r="BA12" i="2"/>
  <c r="L18" i="21"/>
  <c r="J18" i="21"/>
  <c r="M18" i="21"/>
  <c r="L29" i="21"/>
  <c r="J29" i="21"/>
  <c r="M29" i="21"/>
  <c r="J20" i="21"/>
  <c r="L20" i="21"/>
  <c r="M20" i="21"/>
  <c r="L19" i="21"/>
  <c r="J19" i="21"/>
  <c r="M19" i="21"/>
  <c r="BX13" i="2"/>
  <c r="L14" i="21"/>
  <c r="M14" i="21"/>
  <c r="J14" i="21"/>
  <c r="CP13" i="5"/>
  <c r="J11" i="5" l="1"/>
  <c r="AR11" i="5" s="1"/>
  <c r="U14" i="5"/>
  <c r="CG14" i="5"/>
  <c r="CP14" i="5"/>
  <c r="BX14" i="2"/>
  <c r="X13" i="5"/>
  <c r="BJ14" i="2"/>
  <c r="CU14" i="2"/>
  <c r="FJ13" i="2"/>
  <c r="FF13" i="2"/>
  <c r="FA13" i="2"/>
  <c r="DW13" i="2"/>
  <c r="DS13" i="2"/>
  <c r="FI13" i="2"/>
  <c r="FE13" i="2"/>
  <c r="EZ13" i="2"/>
  <c r="DZ13" i="2"/>
  <c r="DV13" i="2"/>
  <c r="DR13" i="2"/>
  <c r="FH13" i="2"/>
  <c r="EY13" i="2"/>
  <c r="DY13" i="2"/>
  <c r="DU13" i="2"/>
  <c r="DQ13" i="2"/>
  <c r="FK13" i="2"/>
  <c r="FG13" i="2"/>
  <c r="FB13" i="2"/>
  <c r="DX13" i="2"/>
  <c r="DT13" i="2"/>
  <c r="DP13" i="2"/>
  <c r="BA12" i="5"/>
  <c r="AZ13" i="5"/>
  <c r="AQ13" i="5"/>
  <c r="BQ14" i="2"/>
  <c r="AA11" i="2"/>
  <c r="X13" i="2"/>
  <c r="U14" i="2"/>
  <c r="AQ14" i="2"/>
  <c r="AZ14" i="2"/>
  <c r="BA13" i="2"/>
  <c r="BQ14" i="5"/>
  <c r="FM14" i="5"/>
  <c r="FM14" i="2"/>
  <c r="BH13" i="2"/>
  <c r="BG13" i="2"/>
  <c r="BF14" i="2"/>
  <c r="IE14" i="5"/>
  <c r="IE14" i="2"/>
  <c r="BX14" i="5"/>
  <c r="IN14" i="5"/>
  <c r="H12" i="5"/>
  <c r="G13" i="5"/>
  <c r="I12" i="5"/>
  <c r="FH13" i="5"/>
  <c r="EY13" i="5"/>
  <c r="DY13" i="5"/>
  <c r="DU13" i="5"/>
  <c r="DQ13" i="5"/>
  <c r="FK13" i="5"/>
  <c r="FG13" i="5"/>
  <c r="FB13" i="5"/>
  <c r="DX13" i="5"/>
  <c r="DT13" i="5"/>
  <c r="DP13" i="5"/>
  <c r="CU14" i="5"/>
  <c r="FJ13" i="5"/>
  <c r="FF13" i="5"/>
  <c r="FA13" i="5"/>
  <c r="DW13" i="5"/>
  <c r="DS13" i="5"/>
  <c r="FI13" i="5"/>
  <c r="FE13" i="5"/>
  <c r="EZ13" i="5"/>
  <c r="DZ13" i="5"/>
  <c r="DV13" i="5"/>
  <c r="DR13" i="5"/>
  <c r="BG14" i="5"/>
  <c r="BF15" i="5"/>
  <c r="BH14" i="5"/>
  <c r="E15" i="19"/>
  <c r="F15" i="19" s="1"/>
  <c r="A16" i="19"/>
  <c r="C15" i="19"/>
  <c r="B15" i="19"/>
  <c r="D15" i="19" s="1"/>
  <c r="CP14" i="2"/>
  <c r="I12" i="2"/>
  <c r="H12" i="2"/>
  <c r="Y12" i="2" s="1"/>
  <c r="G13" i="2"/>
  <c r="J11" i="2"/>
  <c r="AH13" i="5"/>
  <c r="IN14" i="2"/>
  <c r="IP13" i="2"/>
  <c r="IO13" i="2"/>
  <c r="CG14" i="2"/>
  <c r="AH14" i="2"/>
  <c r="AC11" i="2"/>
  <c r="BJ14" i="5"/>
  <c r="AA12" i="2" l="1"/>
  <c r="J12" i="2"/>
  <c r="AR12" i="2" s="1"/>
  <c r="AZ15" i="2"/>
  <c r="BA14" i="2"/>
  <c r="X14" i="2"/>
  <c r="BX15" i="2"/>
  <c r="FM15" i="2"/>
  <c r="BJ15" i="2"/>
  <c r="X14" i="5"/>
  <c r="U15" i="5"/>
  <c r="AR11" i="2"/>
  <c r="BX15" i="5"/>
  <c r="U15" i="2"/>
  <c r="I13" i="2"/>
  <c r="H13" i="2"/>
  <c r="G14" i="2"/>
  <c r="BG15" i="5"/>
  <c r="BF16" i="5"/>
  <c r="BH15" i="5"/>
  <c r="AH14" i="5"/>
  <c r="A17" i="19"/>
  <c r="B16" i="19"/>
  <c r="D16" i="19" s="1"/>
  <c r="E16" i="19"/>
  <c r="F16" i="19" s="1"/>
  <c r="C16" i="19"/>
  <c r="J12" i="5"/>
  <c r="IE15" i="5"/>
  <c r="BQ15" i="5"/>
  <c r="AC12" i="2"/>
  <c r="BQ15" i="2"/>
  <c r="Y12" i="5"/>
  <c r="AA12" i="5"/>
  <c r="CP15" i="5"/>
  <c r="BJ15" i="5"/>
  <c r="IE15" i="2"/>
  <c r="AQ15" i="2"/>
  <c r="AQ14" i="5"/>
  <c r="AH15" i="2"/>
  <c r="CG15" i="2"/>
  <c r="IN15" i="2"/>
  <c r="IN16" i="2" s="1"/>
  <c r="IN17" i="2" s="1"/>
  <c r="IN18" i="2" s="1"/>
  <c r="IN19" i="2" s="1"/>
  <c r="IN20" i="2" s="1"/>
  <c r="IN21" i="2" s="1"/>
  <c r="IN22" i="2" s="1"/>
  <c r="IN23" i="2" s="1"/>
  <c r="IN24" i="2" s="1"/>
  <c r="IN25" i="2" s="1"/>
  <c r="IN26" i="2" s="1"/>
  <c r="IN27" i="2" s="1"/>
  <c r="IN28" i="2" s="1"/>
  <c r="IN29" i="2" s="1"/>
  <c r="IN30" i="2" s="1"/>
  <c r="IN31" i="2" s="1"/>
  <c r="IN32" i="2" s="1"/>
  <c r="IN33" i="2" s="1"/>
  <c r="IN34" i="2" s="1"/>
  <c r="IN35" i="2" s="1"/>
  <c r="IN36" i="2" s="1"/>
  <c r="IN37" i="2" s="1"/>
  <c r="IN38" i="2" s="1"/>
  <c r="IN39" i="2" s="1"/>
  <c r="IN40" i="2" s="1"/>
  <c r="IN41" i="2" s="1"/>
  <c r="IN42" i="2" s="1"/>
  <c r="IN43" i="2" s="1"/>
  <c r="IN44" i="2" s="1"/>
  <c r="IN45" i="2" s="1"/>
  <c r="IN46" i="2" s="1"/>
  <c r="IN47" i="2" s="1"/>
  <c r="IN48" i="2" s="1"/>
  <c r="IN49" i="2" s="1"/>
  <c r="IN50" i="2" s="1"/>
  <c r="IN51" i="2" s="1"/>
  <c r="IN52" i="2" s="1"/>
  <c r="IN53" i="2" s="1"/>
  <c r="IN54" i="2" s="1"/>
  <c r="IN55" i="2" s="1"/>
  <c r="IN56" i="2" s="1"/>
  <c r="IN57" i="2" s="1"/>
  <c r="IN58" i="2" s="1"/>
  <c r="IN59" i="2" s="1"/>
  <c r="IN60" i="2" s="1"/>
  <c r="IN61" i="2" s="1"/>
  <c r="IN62" i="2" s="1"/>
  <c r="IN63" i="2" s="1"/>
  <c r="IN64" i="2" s="1"/>
  <c r="IN65" i="2" s="1"/>
  <c r="IN66" i="2" s="1"/>
  <c r="IN67" i="2" s="1"/>
  <c r="IN68" i="2" s="1"/>
  <c r="IN69" i="2" s="1"/>
  <c r="IN70" i="2" s="1"/>
  <c r="IN71" i="2" s="1"/>
  <c r="IN72" i="2" s="1"/>
  <c r="IN73" i="2" s="1"/>
  <c r="IN74" i="2" s="1"/>
  <c r="IN75" i="2" s="1"/>
  <c r="IN76" i="2" s="1"/>
  <c r="IN77" i="2" s="1"/>
  <c r="IN78" i="2" s="1"/>
  <c r="IN79" i="2" s="1"/>
  <c r="IN80" i="2" s="1"/>
  <c r="IN81" i="2" s="1"/>
  <c r="IN82" i="2" s="1"/>
  <c r="IN83" i="2" s="1"/>
  <c r="IN84" i="2" s="1"/>
  <c r="IN85" i="2" s="1"/>
  <c r="IN86" i="2" s="1"/>
  <c r="IN87" i="2" s="1"/>
  <c r="IN88" i="2" s="1"/>
  <c r="IN89" i="2" s="1"/>
  <c r="IN90" i="2" s="1"/>
  <c r="IN91" i="2" s="1"/>
  <c r="IN92" i="2" s="1"/>
  <c r="IN93" i="2" s="1"/>
  <c r="IN94" i="2" s="1"/>
  <c r="IN95" i="2" s="1"/>
  <c r="IN96" i="2" s="1"/>
  <c r="IN97" i="2" s="1"/>
  <c r="IN98" i="2" s="1"/>
  <c r="IN99" i="2" s="1"/>
  <c r="IN100" i="2" s="1"/>
  <c r="IN101" i="2" s="1"/>
  <c r="IN102" i="2" s="1"/>
  <c r="IP14" i="2"/>
  <c r="IO14" i="2"/>
  <c r="FH14" i="5"/>
  <c r="DY14" i="5"/>
  <c r="DU14" i="5"/>
  <c r="DQ14" i="5"/>
  <c r="FK14" i="5"/>
  <c r="FG14" i="5"/>
  <c r="FB14" i="5"/>
  <c r="DX14" i="5"/>
  <c r="DT14" i="5"/>
  <c r="CU15" i="5"/>
  <c r="FJ14" i="5"/>
  <c r="FF14" i="5"/>
  <c r="FA14" i="5"/>
  <c r="DW14" i="5"/>
  <c r="DS14" i="5"/>
  <c r="FI14" i="5"/>
  <c r="FE14" i="5"/>
  <c r="EZ14" i="5"/>
  <c r="DZ14" i="5"/>
  <c r="DV14" i="5"/>
  <c r="DR14" i="5"/>
  <c r="CP15" i="2"/>
  <c r="H13" i="5"/>
  <c r="Y13" i="5" s="1"/>
  <c r="G14" i="5"/>
  <c r="I13" i="5"/>
  <c r="IN15" i="5"/>
  <c r="BH14" i="2"/>
  <c r="BG14" i="2"/>
  <c r="BF15" i="2"/>
  <c r="FM15" i="5"/>
  <c r="BA13" i="5"/>
  <c r="AZ14" i="5"/>
  <c r="CU15" i="2"/>
  <c r="FJ14" i="2"/>
  <c r="FF14" i="2"/>
  <c r="FA14" i="2"/>
  <c r="DW14" i="2"/>
  <c r="DS14" i="2"/>
  <c r="FI14" i="2"/>
  <c r="FE14" i="2"/>
  <c r="EZ14" i="2"/>
  <c r="DZ14" i="2"/>
  <c r="DV14" i="2"/>
  <c r="DR14" i="2"/>
  <c r="FH14" i="2"/>
  <c r="DY14" i="2"/>
  <c r="DU14" i="2"/>
  <c r="DQ14" i="2"/>
  <c r="FK14" i="2"/>
  <c r="FG14" i="2"/>
  <c r="FB14" i="2"/>
  <c r="DX14" i="2"/>
  <c r="DT14" i="2"/>
  <c r="AC12" i="5"/>
  <c r="CG15" i="5"/>
  <c r="J13" i="2" l="1"/>
  <c r="J13" i="5"/>
  <c r="AR13" i="5" s="1"/>
  <c r="AA13" i="5"/>
  <c r="BA14" i="5"/>
  <c r="AZ15" i="5"/>
  <c r="IN16" i="5"/>
  <c r="AQ15" i="5"/>
  <c r="AH15" i="5"/>
  <c r="I14" i="2"/>
  <c r="J14" i="2" s="1"/>
  <c r="H14" i="2"/>
  <c r="AA14" i="2" s="1"/>
  <c r="G15" i="2"/>
  <c r="U16" i="5"/>
  <c r="BJ16" i="2"/>
  <c r="FM16" i="2"/>
  <c r="H14" i="5"/>
  <c r="G15" i="5"/>
  <c r="I14" i="5"/>
  <c r="J14" i="5" s="1"/>
  <c r="CG16" i="2"/>
  <c r="AH16" i="2"/>
  <c r="BX16" i="2"/>
  <c r="AA13" i="2"/>
  <c r="Y14" i="2"/>
  <c r="X15" i="2"/>
  <c r="AZ16" i="2"/>
  <c r="BA15" i="2"/>
  <c r="CP16" i="2"/>
  <c r="FH15" i="5"/>
  <c r="DY15" i="5"/>
  <c r="DU15" i="5"/>
  <c r="FK15" i="5"/>
  <c r="FG15" i="5"/>
  <c r="FB15" i="5"/>
  <c r="DX15" i="5"/>
  <c r="DT15" i="5"/>
  <c r="CU16" i="5"/>
  <c r="FJ15" i="5"/>
  <c r="FF15" i="5"/>
  <c r="FA15" i="5"/>
  <c r="DW15" i="5"/>
  <c r="DS15" i="5"/>
  <c r="FI15" i="5"/>
  <c r="FE15" i="5"/>
  <c r="DZ15" i="5"/>
  <c r="DV15" i="5"/>
  <c r="DR15" i="5"/>
  <c r="BQ16" i="5"/>
  <c r="IE16" i="5"/>
  <c r="BG16" i="5"/>
  <c r="BF17" i="5"/>
  <c r="BH16" i="5"/>
  <c r="U16" i="2"/>
  <c r="AC13" i="5"/>
  <c r="Y13" i="2"/>
  <c r="CG16" i="5"/>
  <c r="CU16" i="2"/>
  <c r="FK15" i="2"/>
  <c r="FG15" i="2"/>
  <c r="FB15" i="2"/>
  <c r="DX15" i="2"/>
  <c r="DT15" i="2"/>
  <c r="FJ15" i="2"/>
  <c r="FF15" i="2"/>
  <c r="FA15" i="2"/>
  <c r="DW15" i="2"/>
  <c r="DS15" i="2"/>
  <c r="DU15" i="2"/>
  <c r="FI15" i="2"/>
  <c r="DZ15" i="2"/>
  <c r="DR15" i="2"/>
  <c r="FH15" i="2"/>
  <c r="DY15" i="2"/>
  <c r="FE15" i="2"/>
  <c r="DV15" i="2"/>
  <c r="FM16" i="5"/>
  <c r="AQ16" i="2"/>
  <c r="IE16" i="2"/>
  <c r="BJ16" i="5"/>
  <c r="BQ16" i="2"/>
  <c r="AR12" i="5"/>
  <c r="A18" i="19"/>
  <c r="C17" i="19"/>
  <c r="B17" i="19"/>
  <c r="D17" i="19" s="1"/>
  <c r="E17" i="19"/>
  <c r="F17" i="19" s="1"/>
  <c r="BX16" i="5"/>
  <c r="AC13" i="2"/>
  <c r="BF16" i="2"/>
  <c r="BH15" i="2"/>
  <c r="BG15" i="2"/>
  <c r="AR13" i="2"/>
  <c r="AA14" i="5"/>
  <c r="AC14" i="5"/>
  <c r="Y14" i="5"/>
  <c r="X15" i="5"/>
  <c r="CP16" i="5"/>
  <c r="CP17" i="5" l="1"/>
  <c r="FM17" i="5"/>
  <c r="X16" i="2"/>
  <c r="BJ17" i="2"/>
  <c r="AR14" i="5"/>
  <c r="IE17" i="2"/>
  <c r="FH16" i="2"/>
  <c r="DY16" i="2"/>
  <c r="DU16" i="2"/>
  <c r="CU17" i="2"/>
  <c r="FK16" i="2"/>
  <c r="FG16" i="2"/>
  <c r="FB16" i="2"/>
  <c r="DX16" i="2"/>
  <c r="DT16" i="2"/>
  <c r="FJ16" i="2"/>
  <c r="FF16" i="2"/>
  <c r="DW16" i="2"/>
  <c r="DS16" i="2"/>
  <c r="FI16" i="2"/>
  <c r="FE16" i="2"/>
  <c r="DZ16" i="2"/>
  <c r="DV16" i="2"/>
  <c r="CG17" i="5"/>
  <c r="BG17" i="5"/>
  <c r="BF18" i="5"/>
  <c r="BH17" i="5"/>
  <c r="BX17" i="2"/>
  <c r="AQ16" i="5"/>
  <c r="IN17" i="5"/>
  <c r="B18" i="19"/>
  <c r="D18" i="19" s="1"/>
  <c r="E18" i="19"/>
  <c r="F18" i="19" s="1"/>
  <c r="A19" i="19"/>
  <c r="C18" i="19"/>
  <c r="BQ17" i="2"/>
  <c r="BJ17" i="5"/>
  <c r="AQ17" i="2"/>
  <c r="IE17" i="5"/>
  <c r="CP17" i="2"/>
  <c r="G16" i="2"/>
  <c r="I15" i="2"/>
  <c r="H15" i="2"/>
  <c r="Y15" i="2" s="1"/>
  <c r="AR14" i="2"/>
  <c r="AH16" i="5"/>
  <c r="U17" i="2"/>
  <c r="AZ17" i="2"/>
  <c r="BA16" i="2"/>
  <c r="H15" i="5"/>
  <c r="Y15" i="5" s="1"/>
  <c r="G16" i="5"/>
  <c r="I15" i="5"/>
  <c r="U17" i="5"/>
  <c r="AA15" i="5"/>
  <c r="X16" i="5"/>
  <c r="BF17" i="2"/>
  <c r="BG16" i="2"/>
  <c r="BH16" i="2"/>
  <c r="BX17" i="5"/>
  <c r="BQ17" i="5"/>
  <c r="FH16" i="5"/>
  <c r="DY16" i="5"/>
  <c r="DU16" i="5"/>
  <c r="FK16" i="5"/>
  <c r="FG16" i="5"/>
  <c r="FB16" i="5"/>
  <c r="DX16" i="5"/>
  <c r="DT16" i="5"/>
  <c r="CU17" i="5"/>
  <c r="FJ16" i="5"/>
  <c r="FF16" i="5"/>
  <c r="DW16" i="5"/>
  <c r="DS16" i="5"/>
  <c r="FI16" i="5"/>
  <c r="FE16" i="5"/>
  <c r="DZ16" i="5"/>
  <c r="DV16" i="5"/>
  <c r="AC14" i="2"/>
  <c r="AH17" i="2"/>
  <c r="CG17" i="2"/>
  <c r="FM17" i="2"/>
  <c r="BA15" i="5"/>
  <c r="AZ16" i="5"/>
  <c r="AC15" i="2" l="1"/>
  <c r="AC15" i="5"/>
  <c r="J15" i="2"/>
  <c r="AR15" i="2" s="1"/>
  <c r="A20" i="19"/>
  <c r="C19" i="19"/>
  <c r="E19" i="19"/>
  <c r="F19" i="19" s="1"/>
  <c r="B19" i="19"/>
  <c r="D19" i="19" s="1"/>
  <c r="CG18" i="5"/>
  <c r="CU18" i="2"/>
  <c r="FK17" i="2"/>
  <c r="FG17" i="2"/>
  <c r="DX17" i="2"/>
  <c r="DT17" i="2"/>
  <c r="FJ17" i="2"/>
  <c r="FF17" i="2"/>
  <c r="DW17" i="2"/>
  <c r="FI17" i="2"/>
  <c r="FE17" i="2"/>
  <c r="DZ17" i="2"/>
  <c r="DV17" i="2"/>
  <c r="FH17" i="2"/>
  <c r="DY17" i="2"/>
  <c r="DU17" i="2"/>
  <c r="FM18" i="5"/>
  <c r="CP18" i="2"/>
  <c r="IE18" i="5"/>
  <c r="X17" i="2"/>
  <c r="BA16" i="5"/>
  <c r="AZ17" i="5"/>
  <c r="CG18" i="2"/>
  <c r="AH18" i="2"/>
  <c r="FH17" i="5"/>
  <c r="DY17" i="5"/>
  <c r="DU17" i="5"/>
  <c r="FK17" i="5"/>
  <c r="FG17" i="5"/>
  <c r="DX17" i="5"/>
  <c r="DT17" i="5"/>
  <c r="CU18" i="5"/>
  <c r="FJ17" i="5"/>
  <c r="FF17" i="5"/>
  <c r="DW17" i="5"/>
  <c r="FI17" i="5"/>
  <c r="FE17" i="5"/>
  <c r="DZ17" i="5"/>
  <c r="DV17" i="5"/>
  <c r="BH17" i="2"/>
  <c r="BF18" i="2"/>
  <c r="BG17" i="2"/>
  <c r="X17" i="5"/>
  <c r="BQ18" i="5"/>
  <c r="BX18" i="5"/>
  <c r="U18" i="2"/>
  <c r="AH17" i="5"/>
  <c r="BQ18" i="2"/>
  <c r="BJ18" i="2"/>
  <c r="AA15" i="2"/>
  <c r="IN18" i="5"/>
  <c r="BX18" i="2"/>
  <c r="FM18" i="2"/>
  <c r="J15" i="5"/>
  <c r="AQ18" i="2"/>
  <c r="BJ18" i="5"/>
  <c r="AQ17" i="5"/>
  <c r="IE18" i="2"/>
  <c r="U18" i="5"/>
  <c r="H16" i="5"/>
  <c r="G17" i="5"/>
  <c r="I16" i="5"/>
  <c r="AZ18" i="2"/>
  <c r="BA17" i="2"/>
  <c r="G17" i="2"/>
  <c r="H16" i="2"/>
  <c r="I16" i="2"/>
  <c r="BG18" i="5"/>
  <c r="BF19" i="5"/>
  <c r="BH18" i="5"/>
  <c r="CP18" i="5"/>
  <c r="J16" i="2" l="1"/>
  <c r="AR16" i="2" s="1"/>
  <c r="IN19" i="5"/>
  <c r="BH18" i="2"/>
  <c r="BF19" i="2"/>
  <c r="BG18" i="2"/>
  <c r="IE19" i="2"/>
  <c r="CP19" i="5"/>
  <c r="I17" i="2"/>
  <c r="G18" i="2"/>
  <c r="H17" i="2"/>
  <c r="AA17" i="2" s="1"/>
  <c r="U19" i="5"/>
  <c r="AR15" i="5"/>
  <c r="BX19" i="2"/>
  <c r="AH18" i="5"/>
  <c r="BG19" i="5"/>
  <c r="BF20" i="5"/>
  <c r="BH19" i="5"/>
  <c r="J16" i="5"/>
  <c r="FM19" i="2"/>
  <c r="BJ19" i="2"/>
  <c r="U19" i="2"/>
  <c r="BX19" i="5"/>
  <c r="BA17" i="5"/>
  <c r="AZ18" i="5"/>
  <c r="BQ19" i="2"/>
  <c r="CG19" i="5"/>
  <c r="BJ19" i="5"/>
  <c r="AQ19" i="2"/>
  <c r="BQ19" i="5"/>
  <c r="Y16" i="5"/>
  <c r="AA16" i="5"/>
  <c r="AC16" i="2"/>
  <c r="AA16" i="2"/>
  <c r="CP19" i="2"/>
  <c r="FM19" i="5"/>
  <c r="B20" i="19"/>
  <c r="D20" i="19" s="1"/>
  <c r="E20" i="19"/>
  <c r="F20" i="19" s="1"/>
  <c r="A21" i="19"/>
  <c r="C20" i="19"/>
  <c r="H17" i="5"/>
  <c r="AC17" i="5" s="1"/>
  <c r="G18" i="5"/>
  <c r="I17" i="5"/>
  <c r="AQ18" i="5"/>
  <c r="X18" i="5"/>
  <c r="Y16" i="2"/>
  <c r="FJ18" i="2"/>
  <c r="FF18" i="2"/>
  <c r="DW18" i="2"/>
  <c r="FI18" i="2"/>
  <c r="DZ18" i="2"/>
  <c r="DV18" i="2"/>
  <c r="FH18" i="2"/>
  <c r="DY18" i="2"/>
  <c r="DU18" i="2"/>
  <c r="CU19" i="2"/>
  <c r="FK18" i="2"/>
  <c r="FG18" i="2"/>
  <c r="DX18" i="2"/>
  <c r="AZ19" i="2"/>
  <c r="BA18" i="2"/>
  <c r="AC16" i="5"/>
  <c r="FH18" i="5"/>
  <c r="DY18" i="5"/>
  <c r="DU18" i="5"/>
  <c r="FK18" i="5"/>
  <c r="FG18" i="5"/>
  <c r="DX18" i="5"/>
  <c r="CU19" i="5"/>
  <c r="FJ18" i="5"/>
  <c r="FF18" i="5"/>
  <c r="DW18" i="5"/>
  <c r="FI18" i="5"/>
  <c r="DZ18" i="5"/>
  <c r="DV18" i="5"/>
  <c r="AH19" i="2"/>
  <c r="CG19" i="2"/>
  <c r="X18" i="2"/>
  <c r="AC17" i="2"/>
  <c r="Y17" i="2"/>
  <c r="IE19" i="5"/>
  <c r="FH19" i="5" l="1"/>
  <c r="DY19" i="5"/>
  <c r="FK19" i="5"/>
  <c r="FG19" i="5"/>
  <c r="DX19" i="5"/>
  <c r="CU20" i="5"/>
  <c r="FJ19" i="5"/>
  <c r="DW19" i="5"/>
  <c r="FI19" i="5"/>
  <c r="DZ19" i="5"/>
  <c r="DV19" i="5"/>
  <c r="FI19" i="2"/>
  <c r="DZ19" i="2"/>
  <c r="DV19" i="2"/>
  <c r="FH19" i="2"/>
  <c r="DY19" i="2"/>
  <c r="CU20" i="2"/>
  <c r="FK19" i="2"/>
  <c r="FG19" i="2"/>
  <c r="DX19" i="2"/>
  <c r="FJ19" i="2"/>
  <c r="DW19" i="2"/>
  <c r="H18" i="5"/>
  <c r="AA18" i="5" s="1"/>
  <c r="G19" i="5"/>
  <c r="I18" i="5"/>
  <c r="FM20" i="5"/>
  <c r="I18" i="2"/>
  <c r="G19" i="2"/>
  <c r="H18" i="2"/>
  <c r="Y18" i="2" s="1"/>
  <c r="CG20" i="5"/>
  <c r="BG20" i="5"/>
  <c r="BF21" i="5"/>
  <c r="BH20" i="5"/>
  <c r="CP20" i="5"/>
  <c r="IE20" i="2"/>
  <c r="IE20" i="5"/>
  <c r="Y18" i="5"/>
  <c r="X19" i="5"/>
  <c r="CP20" i="2"/>
  <c r="BA18" i="5"/>
  <c r="AZ19" i="5"/>
  <c r="U20" i="2"/>
  <c r="BJ20" i="2"/>
  <c r="AH19" i="5"/>
  <c r="J17" i="2"/>
  <c r="BH19" i="2"/>
  <c r="BF20" i="2"/>
  <c r="BG19" i="2"/>
  <c r="X19" i="2"/>
  <c r="AC18" i="2"/>
  <c r="AA18" i="2"/>
  <c r="BJ20" i="5"/>
  <c r="BQ20" i="2"/>
  <c r="FM20" i="2"/>
  <c r="BX20" i="2"/>
  <c r="IN20" i="5"/>
  <c r="CG20" i="2"/>
  <c r="AH20" i="2"/>
  <c r="AZ20" i="2"/>
  <c r="BA19" i="2"/>
  <c r="Y17" i="5"/>
  <c r="AA17" i="5"/>
  <c r="AQ19" i="5"/>
  <c r="J17" i="5"/>
  <c r="E21" i="19"/>
  <c r="F21" i="19" s="1"/>
  <c r="A22" i="19"/>
  <c r="C21" i="19"/>
  <c r="B21" i="19"/>
  <c r="D21" i="19" s="1"/>
  <c r="BQ20" i="5"/>
  <c r="AQ20" i="2"/>
  <c r="BX20" i="5"/>
  <c r="AR16" i="5"/>
  <c r="U20" i="5"/>
  <c r="AC18" i="5" l="1"/>
  <c r="J18" i="5"/>
  <c r="AR18" i="5" s="1"/>
  <c r="B22" i="19"/>
  <c r="D22" i="19" s="1"/>
  <c r="E22" i="19"/>
  <c r="F22" i="19" s="1"/>
  <c r="A23" i="19"/>
  <c r="C22" i="19"/>
  <c r="BG21" i="5"/>
  <c r="BF22" i="5"/>
  <c r="BH21" i="5"/>
  <c r="BX21" i="5"/>
  <c r="BQ21" i="5"/>
  <c r="AR17" i="2"/>
  <c r="BA19" i="5"/>
  <c r="AZ20" i="5"/>
  <c r="IE21" i="5"/>
  <c r="IE21" i="2"/>
  <c r="J18" i="2"/>
  <c r="FH20" i="2"/>
  <c r="DY20" i="2"/>
  <c r="CU21" i="2"/>
  <c r="FK20" i="2"/>
  <c r="DX20" i="2"/>
  <c r="FJ20" i="2"/>
  <c r="DW20" i="2"/>
  <c r="FI20" i="2"/>
  <c r="DZ20" i="2"/>
  <c r="CG21" i="2"/>
  <c r="AH20" i="5"/>
  <c r="AQ21" i="2"/>
  <c r="BJ21" i="5"/>
  <c r="BF21" i="2"/>
  <c r="BG20" i="2"/>
  <c r="BH20" i="2"/>
  <c r="CP21" i="2"/>
  <c r="CP21" i="5"/>
  <c r="CG21" i="5"/>
  <c r="I19" i="2"/>
  <c r="G20" i="2"/>
  <c r="H19" i="2"/>
  <c r="J19" i="2" s="1"/>
  <c r="H19" i="5"/>
  <c r="G20" i="5"/>
  <c r="I19" i="5"/>
  <c r="J19" i="5" s="1"/>
  <c r="AZ21" i="2"/>
  <c r="BA20" i="2"/>
  <c r="AH21" i="2"/>
  <c r="FM21" i="2"/>
  <c r="BJ21" i="2"/>
  <c r="AQ20" i="5"/>
  <c r="BX21" i="2"/>
  <c r="U21" i="5"/>
  <c r="AR17" i="5"/>
  <c r="IN21" i="5"/>
  <c r="BQ21" i="2"/>
  <c r="X20" i="2"/>
  <c r="U21" i="2"/>
  <c r="AA19" i="5"/>
  <c r="AC19" i="5"/>
  <c r="Y19" i="5"/>
  <c r="X20" i="5"/>
  <c r="FM21" i="5"/>
  <c r="FH20" i="5"/>
  <c r="DY20" i="5"/>
  <c r="FK20" i="5"/>
  <c r="DX20" i="5"/>
  <c r="CU21" i="5"/>
  <c r="FJ20" i="5"/>
  <c r="DW20" i="5"/>
  <c r="FI20" i="5"/>
  <c r="DZ20" i="5"/>
  <c r="Y19" i="2" l="1"/>
  <c r="AR19" i="2"/>
  <c r="AR19" i="5"/>
  <c r="X21" i="2"/>
  <c r="BJ22" i="5"/>
  <c r="AQ22" i="2"/>
  <c r="AC19" i="2"/>
  <c r="AA19" i="2"/>
  <c r="BQ22" i="2"/>
  <c r="BX22" i="2"/>
  <c r="AR18" i="2"/>
  <c r="IE22" i="2"/>
  <c r="BG22" i="5"/>
  <c r="BF23" i="5"/>
  <c r="BH22" i="5"/>
  <c r="X21" i="5"/>
  <c r="IN22" i="5"/>
  <c r="BJ22" i="2"/>
  <c r="G21" i="2"/>
  <c r="H20" i="2"/>
  <c r="I20" i="2"/>
  <c r="FM22" i="5"/>
  <c r="U22" i="2"/>
  <c r="AQ21" i="5"/>
  <c r="CP22" i="2"/>
  <c r="BH21" i="2"/>
  <c r="BF22" i="2"/>
  <c r="BG21" i="2"/>
  <c r="CG22" i="2"/>
  <c r="CU22" i="2"/>
  <c r="FK21" i="2"/>
  <c r="DX21" i="2"/>
  <c r="FJ21" i="2"/>
  <c r="FI21" i="2"/>
  <c r="DZ21" i="2"/>
  <c r="DY21" i="2"/>
  <c r="IE22" i="5"/>
  <c r="BX22" i="5"/>
  <c r="U22" i="5"/>
  <c r="CP22" i="5"/>
  <c r="BQ22" i="5"/>
  <c r="A24" i="19"/>
  <c r="C23" i="19"/>
  <c r="B23" i="19"/>
  <c r="D23" i="19" s="1"/>
  <c r="E23" i="19"/>
  <c r="F23" i="19" s="1"/>
  <c r="DY21" i="5"/>
  <c r="FK21" i="5"/>
  <c r="DX21" i="5"/>
  <c r="CU22" i="5"/>
  <c r="FJ21" i="5"/>
  <c r="FI21" i="5"/>
  <c r="DZ21" i="5"/>
  <c r="FM22" i="2"/>
  <c r="AH22" i="2"/>
  <c r="AZ22" i="2"/>
  <c r="BA21" i="2"/>
  <c r="H20" i="5"/>
  <c r="G21" i="5"/>
  <c r="I20" i="5"/>
  <c r="CG22" i="5"/>
  <c r="AH21" i="5"/>
  <c r="BA20" i="5"/>
  <c r="AZ21" i="5"/>
  <c r="J20" i="2" l="1"/>
  <c r="Y20" i="2"/>
  <c r="J20" i="5"/>
  <c r="BA21" i="5"/>
  <c r="AZ22" i="5"/>
  <c r="CG23" i="5"/>
  <c r="H21" i="5"/>
  <c r="AA21" i="5" s="1"/>
  <c r="G22" i="5"/>
  <c r="I21" i="5"/>
  <c r="AZ23" i="2"/>
  <c r="BA22" i="2"/>
  <c r="FM23" i="2"/>
  <c r="AH22" i="5"/>
  <c r="BQ23" i="5"/>
  <c r="U23" i="5"/>
  <c r="IE23" i="5"/>
  <c r="CG23" i="2"/>
  <c r="U23" i="2"/>
  <c r="I21" i="2"/>
  <c r="G22" i="2"/>
  <c r="H21" i="2"/>
  <c r="IN23" i="5"/>
  <c r="AR20" i="2"/>
  <c r="BX23" i="2"/>
  <c r="BQ23" i="2"/>
  <c r="B24" i="19"/>
  <c r="D24" i="19" s="1"/>
  <c r="E24" i="19"/>
  <c r="F24" i="19" s="1"/>
  <c r="C24" i="19"/>
  <c r="A25" i="19"/>
  <c r="CP23" i="5"/>
  <c r="BJ23" i="2"/>
  <c r="Y20" i="5"/>
  <c r="AA20" i="5"/>
  <c r="BJ23" i="5"/>
  <c r="AC20" i="2"/>
  <c r="AA20" i="2"/>
  <c r="X22" i="5"/>
  <c r="IE23" i="2"/>
  <c r="AH23" i="2"/>
  <c r="DY22" i="5"/>
  <c r="FK22" i="5"/>
  <c r="CU23" i="5"/>
  <c r="FJ22" i="5"/>
  <c r="DZ22" i="5"/>
  <c r="BX23" i="5"/>
  <c r="FJ22" i="2"/>
  <c r="DZ22" i="2"/>
  <c r="DY22" i="2"/>
  <c r="CU23" i="2"/>
  <c r="FK22" i="2"/>
  <c r="BH22" i="2"/>
  <c r="BF23" i="2"/>
  <c r="BG22" i="2"/>
  <c r="CP23" i="2"/>
  <c r="AQ22" i="5"/>
  <c r="FM23" i="5"/>
  <c r="AC20" i="5"/>
  <c r="BG23" i="5"/>
  <c r="BF24" i="5"/>
  <c r="BH23" i="5"/>
  <c r="AQ23" i="2"/>
  <c r="X22" i="2"/>
  <c r="Y21" i="5" l="1"/>
  <c r="AC21" i="5"/>
  <c r="J21" i="2"/>
  <c r="AR21" i="2" s="1"/>
  <c r="J21" i="5"/>
  <c r="AR21" i="5" s="1"/>
  <c r="X23" i="5"/>
  <c r="IE24" i="5"/>
  <c r="X23" i="2"/>
  <c r="FM24" i="5"/>
  <c r="FK23" i="5"/>
  <c r="CU24" i="5"/>
  <c r="DZ23" i="5"/>
  <c r="BQ24" i="2"/>
  <c r="BX24" i="2"/>
  <c r="CG24" i="2"/>
  <c r="AZ24" i="2"/>
  <c r="BA23" i="2"/>
  <c r="BH23" i="2"/>
  <c r="BF24" i="2"/>
  <c r="BG23" i="2"/>
  <c r="E25" i="19"/>
  <c r="F25" i="19" s="1"/>
  <c r="A26" i="19"/>
  <c r="C25" i="19"/>
  <c r="B25" i="19"/>
  <c r="D25" i="19" s="1"/>
  <c r="BQ24" i="5"/>
  <c r="AR20" i="5"/>
  <c r="CP24" i="2"/>
  <c r="AH24" i="2"/>
  <c r="BJ24" i="5"/>
  <c r="IN24" i="5"/>
  <c r="U24" i="2"/>
  <c r="AH23" i="5"/>
  <c r="AQ24" i="2"/>
  <c r="AQ23" i="5"/>
  <c r="BX24" i="5"/>
  <c r="IE24" i="2"/>
  <c r="CG24" i="5"/>
  <c r="AA21" i="2"/>
  <c r="Y21" i="2"/>
  <c r="AC21" i="2"/>
  <c r="BG24" i="5"/>
  <c r="BF25" i="5"/>
  <c r="BH24" i="5"/>
  <c r="DZ23" i="2"/>
  <c r="CU24" i="2"/>
  <c r="FK23" i="2"/>
  <c r="BJ24" i="2"/>
  <c r="CP24" i="5"/>
  <c r="I22" i="2"/>
  <c r="G23" i="2"/>
  <c r="H22" i="2"/>
  <c r="U24" i="5"/>
  <c r="FM24" i="2"/>
  <c r="H22" i="5"/>
  <c r="G23" i="5"/>
  <c r="I22" i="5"/>
  <c r="BA22" i="5"/>
  <c r="AZ23" i="5"/>
  <c r="FM25" i="2" l="1"/>
  <c r="IE25" i="2"/>
  <c r="BA23" i="5"/>
  <c r="AZ24" i="5"/>
  <c r="H23" i="5"/>
  <c r="AA23" i="5" s="1"/>
  <c r="G24" i="5"/>
  <c r="I23" i="5"/>
  <c r="J22" i="2"/>
  <c r="AQ24" i="5"/>
  <c r="AQ25" i="2"/>
  <c r="BX25" i="2"/>
  <c r="X24" i="2"/>
  <c r="IE25" i="5"/>
  <c r="X24" i="5"/>
  <c r="U25" i="5"/>
  <c r="Y22" i="5"/>
  <c r="AA22" i="5"/>
  <c r="I23" i="2"/>
  <c r="G24" i="2"/>
  <c r="H23" i="2"/>
  <c r="Y23" i="2" s="1"/>
  <c r="BJ25" i="2"/>
  <c r="CU25" i="2"/>
  <c r="A27" i="19"/>
  <c r="B26" i="19"/>
  <c r="D26" i="19" s="1"/>
  <c r="E26" i="19"/>
  <c r="F26" i="19" s="1"/>
  <c r="C26" i="19"/>
  <c r="BF25" i="2"/>
  <c r="BG24" i="2"/>
  <c r="BH24" i="2"/>
  <c r="BQ25" i="2"/>
  <c r="AA22" i="2"/>
  <c r="Y22" i="2"/>
  <c r="AC22" i="5"/>
  <c r="CP25" i="5"/>
  <c r="BX25" i="5"/>
  <c r="AH24" i="5"/>
  <c r="IP24" i="5"/>
  <c r="IO24" i="5"/>
  <c r="IN25" i="5"/>
  <c r="CP25" i="2"/>
  <c r="CU25" i="5"/>
  <c r="J22" i="5"/>
  <c r="BG25" i="5"/>
  <c r="BF26" i="5"/>
  <c r="BH25" i="5"/>
  <c r="CG25" i="5"/>
  <c r="U25" i="2"/>
  <c r="BJ25" i="5"/>
  <c r="AH25" i="2"/>
  <c r="BQ25" i="5"/>
  <c r="AZ25" i="2"/>
  <c r="BA24" i="2"/>
  <c r="CG25" i="2"/>
  <c r="FM25" i="5"/>
  <c r="AC22" i="2"/>
  <c r="AC23" i="5" l="1"/>
  <c r="FM26" i="5"/>
  <c r="BQ26" i="5"/>
  <c r="BG26" i="5"/>
  <c r="BF27" i="5"/>
  <c r="BH26" i="5"/>
  <c r="AR22" i="5"/>
  <c r="IE26" i="5"/>
  <c r="AQ25" i="5"/>
  <c r="BJ26" i="5"/>
  <c r="CP26" i="2"/>
  <c r="AH25" i="5"/>
  <c r="CP26" i="5"/>
  <c r="J23" i="2"/>
  <c r="Y23" i="5"/>
  <c r="X25" i="2"/>
  <c r="BX26" i="2"/>
  <c r="AR22" i="2"/>
  <c r="H24" i="5"/>
  <c r="AA24" i="5" s="1"/>
  <c r="G25" i="5"/>
  <c r="I24" i="5"/>
  <c r="AQ26" i="2"/>
  <c r="FM26" i="2"/>
  <c r="AH26" i="2"/>
  <c r="U26" i="2"/>
  <c r="CG26" i="5"/>
  <c r="CU26" i="5"/>
  <c r="IP25" i="5"/>
  <c r="IO25" i="5"/>
  <c r="IN26" i="5"/>
  <c r="BQ26" i="2"/>
  <c r="BH25" i="2"/>
  <c r="BF26" i="2"/>
  <c r="BG25" i="2"/>
  <c r="A28" i="19"/>
  <c r="C27" i="19"/>
  <c r="E27" i="19"/>
  <c r="F27" i="19" s="1"/>
  <c r="B27" i="19"/>
  <c r="D27" i="19" s="1"/>
  <c r="CU26" i="2"/>
  <c r="BJ26" i="2"/>
  <c r="IE26" i="2"/>
  <c r="BX26" i="5"/>
  <c r="CG26" i="2"/>
  <c r="AZ26" i="2"/>
  <c r="BA25" i="2"/>
  <c r="G25" i="2"/>
  <c r="H24" i="2"/>
  <c r="I24" i="2"/>
  <c r="U26" i="5"/>
  <c r="Y24" i="5"/>
  <c r="X25" i="5"/>
  <c r="AC23" i="2"/>
  <c r="AA23" i="2"/>
  <c r="J23" i="5"/>
  <c r="BA24" i="5"/>
  <c r="AZ25" i="5"/>
  <c r="AC24" i="5" l="1"/>
  <c r="J24" i="5"/>
  <c r="AR24" i="5" s="1"/>
  <c r="I25" i="2"/>
  <c r="G26" i="2"/>
  <c r="H25" i="2"/>
  <c r="AC25" i="2" s="1"/>
  <c r="A29" i="19"/>
  <c r="C28" i="19"/>
  <c r="E28" i="19"/>
  <c r="F28" i="19" s="1"/>
  <c r="B28" i="19"/>
  <c r="D28" i="19" s="1"/>
  <c r="CG27" i="5"/>
  <c r="BG27" i="5"/>
  <c r="BF28" i="5"/>
  <c r="BH27" i="5"/>
  <c r="IE27" i="2"/>
  <c r="AR23" i="5"/>
  <c r="BH26" i="2"/>
  <c r="BF27" i="2"/>
  <c r="BG26" i="2"/>
  <c r="X26" i="5"/>
  <c r="AZ27" i="2"/>
  <c r="BA26" i="2"/>
  <c r="CG27" i="2"/>
  <c r="CU27" i="2"/>
  <c r="IP26" i="5"/>
  <c r="IO26" i="5"/>
  <c r="IN27" i="5"/>
  <c r="U27" i="2"/>
  <c r="AH27" i="2"/>
  <c r="X26" i="2"/>
  <c r="AH26" i="5"/>
  <c r="AQ26" i="5"/>
  <c r="BQ27" i="5"/>
  <c r="BA25" i="5"/>
  <c r="AZ26" i="5"/>
  <c r="BJ27" i="2"/>
  <c r="AR23" i="2"/>
  <c r="J24" i="2"/>
  <c r="BX27" i="5"/>
  <c r="BQ27" i="2"/>
  <c r="CU27" i="5"/>
  <c r="AQ27" i="2"/>
  <c r="Y24" i="2"/>
  <c r="BJ27" i="5"/>
  <c r="IE27" i="5"/>
  <c r="FM27" i="2"/>
  <c r="U27" i="5"/>
  <c r="H25" i="5"/>
  <c r="G26" i="5"/>
  <c r="I25" i="5"/>
  <c r="BX27" i="2"/>
  <c r="AC24" i="2"/>
  <c r="AA24" i="2"/>
  <c r="CP27" i="5"/>
  <c r="CP27" i="2"/>
  <c r="FM27" i="5"/>
  <c r="FM28" i="5" l="1"/>
  <c r="BJ28" i="5"/>
  <c r="AQ28" i="2"/>
  <c r="BQ28" i="2"/>
  <c r="BJ28" i="2"/>
  <c r="CG28" i="2"/>
  <c r="X27" i="5"/>
  <c r="BF29" i="5"/>
  <c r="BG28" i="5"/>
  <c r="BH28" i="5"/>
  <c r="J25" i="5"/>
  <c r="CP28" i="5"/>
  <c r="H26" i="5"/>
  <c r="Y26" i="5" s="1"/>
  <c r="G27" i="5"/>
  <c r="I26" i="5"/>
  <c r="CU28" i="5"/>
  <c r="IN28" i="5"/>
  <c r="IN29" i="5" s="1"/>
  <c r="IN30" i="5" s="1"/>
  <c r="IN31" i="5" s="1"/>
  <c r="IN32" i="5" s="1"/>
  <c r="IN33" i="5" s="1"/>
  <c r="IN34" i="5" s="1"/>
  <c r="IN35" i="5" s="1"/>
  <c r="IN36" i="5" s="1"/>
  <c r="IN37" i="5" s="1"/>
  <c r="IN38" i="5" s="1"/>
  <c r="IN39" i="5" s="1"/>
  <c r="IN40" i="5" s="1"/>
  <c r="IN41" i="5" s="1"/>
  <c r="IN42" i="5" s="1"/>
  <c r="IN43" i="5" s="1"/>
  <c r="IN44" i="5" s="1"/>
  <c r="IN45" i="5" s="1"/>
  <c r="IN46" i="5" s="1"/>
  <c r="IN47" i="5" s="1"/>
  <c r="IN48" i="5" s="1"/>
  <c r="IN49" i="5" s="1"/>
  <c r="IN50" i="5" s="1"/>
  <c r="IN51" i="5" s="1"/>
  <c r="IN52" i="5" s="1"/>
  <c r="IN53" i="5" s="1"/>
  <c r="IN54" i="5" s="1"/>
  <c r="IN55" i="5" s="1"/>
  <c r="IN56" i="5" s="1"/>
  <c r="IN57" i="5" s="1"/>
  <c r="IN58" i="5" s="1"/>
  <c r="IN59" i="5" s="1"/>
  <c r="IN60" i="5" s="1"/>
  <c r="IN61" i="5" s="1"/>
  <c r="IN62" i="5" s="1"/>
  <c r="IN63" i="5" s="1"/>
  <c r="IN64" i="5" s="1"/>
  <c r="IN65" i="5" s="1"/>
  <c r="IN66" i="5" s="1"/>
  <c r="IN67" i="5" s="1"/>
  <c r="IN68" i="5" s="1"/>
  <c r="IN69" i="5" s="1"/>
  <c r="IN70" i="5" s="1"/>
  <c r="IN71" i="5" s="1"/>
  <c r="IN72" i="5" s="1"/>
  <c r="IN73" i="5" s="1"/>
  <c r="IN74" i="5" s="1"/>
  <c r="IN75" i="5" s="1"/>
  <c r="IN76" i="5" s="1"/>
  <c r="IN77" i="5" s="1"/>
  <c r="IN78" i="5" s="1"/>
  <c r="IN79" i="5" s="1"/>
  <c r="IN80" i="5" s="1"/>
  <c r="IN81" i="5" s="1"/>
  <c r="IN82" i="5" s="1"/>
  <c r="IN83" i="5" s="1"/>
  <c r="IN84" i="5" s="1"/>
  <c r="IN85" i="5" s="1"/>
  <c r="IN86" i="5" s="1"/>
  <c r="IN87" i="5" s="1"/>
  <c r="IN88" i="5" s="1"/>
  <c r="IN89" i="5" s="1"/>
  <c r="IN90" i="5" s="1"/>
  <c r="IN91" i="5" s="1"/>
  <c r="IN92" i="5" s="1"/>
  <c r="IN93" i="5" s="1"/>
  <c r="IN94" i="5" s="1"/>
  <c r="IN95" i="5" s="1"/>
  <c r="IN96" i="5" s="1"/>
  <c r="IN97" i="5" s="1"/>
  <c r="IN98" i="5" s="1"/>
  <c r="IN99" i="5" s="1"/>
  <c r="IN100" i="5" s="1"/>
  <c r="IN101" i="5" s="1"/>
  <c r="IN102" i="5" s="1"/>
  <c r="IP27" i="5"/>
  <c r="IO27" i="5"/>
  <c r="AZ28" i="2"/>
  <c r="BA27" i="2"/>
  <c r="BH27" i="2"/>
  <c r="BF28" i="2"/>
  <c r="BG27" i="2"/>
  <c r="CG28" i="5"/>
  <c r="A30" i="19"/>
  <c r="C29" i="19"/>
  <c r="B29" i="19"/>
  <c r="D29" i="19" s="1"/>
  <c r="E29" i="19"/>
  <c r="F29" i="19" s="1"/>
  <c r="BA26" i="5"/>
  <c r="AZ27" i="5"/>
  <c r="X27" i="2"/>
  <c r="IE28" i="2"/>
  <c r="J25" i="2"/>
  <c r="BX28" i="2"/>
  <c r="U28" i="5"/>
  <c r="FM28" i="2"/>
  <c r="IE28" i="5"/>
  <c r="BX28" i="5"/>
  <c r="BQ28" i="5"/>
  <c r="AH28" i="2"/>
  <c r="U28" i="2"/>
  <c r="Y25" i="5"/>
  <c r="AA25" i="5"/>
  <c r="CP28" i="2"/>
  <c r="AH27" i="5"/>
  <c r="AR24" i="2"/>
  <c r="AQ27" i="5"/>
  <c r="AA25" i="2"/>
  <c r="Y25" i="2"/>
  <c r="CU28" i="2"/>
  <c r="AC25" i="5"/>
  <c r="I26" i="2"/>
  <c r="G27" i="2"/>
  <c r="H26" i="2"/>
  <c r="J26" i="2" l="1"/>
  <c r="AR26" i="2" s="1"/>
  <c r="J26" i="5"/>
  <c r="AR26" i="5" s="1"/>
  <c r="AA26" i="5"/>
  <c r="CU29" i="2"/>
  <c r="AQ28" i="5"/>
  <c r="AR25" i="2"/>
  <c r="H27" i="5"/>
  <c r="AA27" i="5" s="1"/>
  <c r="G28" i="5"/>
  <c r="I27" i="5"/>
  <c r="CP29" i="5"/>
  <c r="AH28" i="5"/>
  <c r="I27" i="2"/>
  <c r="G28" i="2"/>
  <c r="H27" i="2"/>
  <c r="Y27" i="2" s="1"/>
  <c r="CP29" i="2"/>
  <c r="BQ29" i="5"/>
  <c r="FM29" i="2"/>
  <c r="X28" i="2"/>
  <c r="AR25" i="5"/>
  <c r="X28" i="5"/>
  <c r="AQ29" i="2"/>
  <c r="BH29" i="5"/>
  <c r="BF30" i="5"/>
  <c r="BG29" i="5"/>
  <c r="U29" i="2"/>
  <c r="AH29" i="2"/>
  <c r="AA26" i="2"/>
  <c r="Y26" i="2"/>
  <c r="AZ29" i="2"/>
  <c r="BA28" i="2"/>
  <c r="CU29" i="5"/>
  <c r="AC26" i="5"/>
  <c r="CG29" i="2"/>
  <c r="BJ29" i="2"/>
  <c r="BQ29" i="2"/>
  <c r="BJ29" i="5"/>
  <c r="IE29" i="5"/>
  <c r="U29" i="5"/>
  <c r="BA27" i="5"/>
  <c r="AZ28" i="5"/>
  <c r="FM29" i="5"/>
  <c r="BX29" i="5"/>
  <c r="BX29" i="2"/>
  <c r="IE29" i="2"/>
  <c r="AC26" i="2"/>
  <c r="A31" i="19"/>
  <c r="B30" i="19"/>
  <c r="D30" i="19" s="1"/>
  <c r="E30" i="19"/>
  <c r="F30" i="19" s="1"/>
  <c r="C30" i="19"/>
  <c r="CG29" i="5"/>
  <c r="BF29" i="2"/>
  <c r="BG28" i="2"/>
  <c r="BH28" i="2"/>
  <c r="AA27" i="2" l="1"/>
  <c r="AC27" i="2"/>
  <c r="J27" i="2"/>
  <c r="AR27" i="2" s="1"/>
  <c r="BH29" i="2"/>
  <c r="BF30" i="2"/>
  <c r="BG29" i="2"/>
  <c r="CG30" i="5"/>
  <c r="A32" i="19"/>
  <c r="C31" i="19"/>
  <c r="E31" i="19"/>
  <c r="F31" i="19" s="1"/>
  <c r="B31" i="19"/>
  <c r="D31" i="19" s="1"/>
  <c r="AZ29" i="5"/>
  <c r="BA28" i="5"/>
  <c r="IE30" i="5"/>
  <c r="AZ30" i="2"/>
  <c r="BA29" i="2"/>
  <c r="AH30" i="2"/>
  <c r="FM30" i="2"/>
  <c r="G29" i="2"/>
  <c r="H28" i="2"/>
  <c r="Y28" i="2" s="1"/>
  <c r="I28" i="2"/>
  <c r="AH29" i="5"/>
  <c r="G29" i="5"/>
  <c r="H28" i="5"/>
  <c r="J28" i="5" s="1"/>
  <c r="AR28" i="5" s="1"/>
  <c r="I28" i="5"/>
  <c r="BJ30" i="5"/>
  <c r="X29" i="5"/>
  <c r="CP30" i="5"/>
  <c r="U30" i="5"/>
  <c r="CU30" i="5"/>
  <c r="BH30" i="5"/>
  <c r="BF31" i="5"/>
  <c r="BG30" i="5"/>
  <c r="AQ30" i="2"/>
  <c r="Y27" i="5"/>
  <c r="X29" i="2"/>
  <c r="AA28" i="2"/>
  <c r="AC28" i="2"/>
  <c r="BQ30" i="5"/>
  <c r="CU30" i="2"/>
  <c r="IE30" i="2"/>
  <c r="BJ30" i="2"/>
  <c r="CG30" i="2"/>
  <c r="AQ29" i="5"/>
  <c r="BX30" i="2"/>
  <c r="BX30" i="5"/>
  <c r="FM30" i="5"/>
  <c r="BQ30" i="2"/>
  <c r="U30" i="2"/>
  <c r="AC27" i="5"/>
  <c r="CP30" i="2"/>
  <c r="J27" i="5"/>
  <c r="Y28" i="5" l="1"/>
  <c r="AA28" i="5"/>
  <c r="CP31" i="2"/>
  <c r="U31" i="2"/>
  <c r="X30" i="2"/>
  <c r="FM31" i="5"/>
  <c r="AQ31" i="2"/>
  <c r="U31" i="5"/>
  <c r="X30" i="5"/>
  <c r="AC29" i="5"/>
  <c r="I29" i="5"/>
  <c r="G30" i="5"/>
  <c r="H29" i="5"/>
  <c r="AH30" i="5"/>
  <c r="AZ30" i="5"/>
  <c r="BA29" i="5"/>
  <c r="E32" i="19"/>
  <c r="F32" i="19" s="1"/>
  <c r="A33" i="19"/>
  <c r="C32" i="19"/>
  <c r="B32" i="19"/>
  <c r="D32" i="19" s="1"/>
  <c r="CG31" i="5"/>
  <c r="CG31" i="2"/>
  <c r="BJ31" i="2"/>
  <c r="BH31" i="5"/>
  <c r="BF32" i="5"/>
  <c r="BG31" i="5"/>
  <c r="FM31" i="2"/>
  <c r="AH31" i="2"/>
  <c r="AZ31" i="2"/>
  <c r="BA30" i="2"/>
  <c r="AR27" i="5"/>
  <c r="BQ31" i="2"/>
  <c r="BX31" i="5"/>
  <c r="BX31" i="2"/>
  <c r="BQ31" i="5"/>
  <c r="BJ31" i="5"/>
  <c r="I29" i="2"/>
  <c r="G30" i="2"/>
  <c r="H29" i="2"/>
  <c r="AA29" i="2" s="1"/>
  <c r="IE31" i="5"/>
  <c r="BF31" i="2"/>
  <c r="BG30" i="2"/>
  <c r="BH30" i="2"/>
  <c r="AQ30" i="5"/>
  <c r="IE31" i="2"/>
  <c r="CU31" i="2"/>
  <c r="CU31" i="5"/>
  <c r="CP31" i="5"/>
  <c r="AC28" i="5"/>
  <c r="J28" i="2"/>
  <c r="Y29" i="2" l="1"/>
  <c r="FM32" i="2"/>
  <c r="AZ31" i="5"/>
  <c r="BA30" i="5"/>
  <c r="U32" i="5"/>
  <c r="U32" i="2"/>
  <c r="CU32" i="5"/>
  <c r="BF33" i="5"/>
  <c r="BG32" i="5"/>
  <c r="BH32" i="5"/>
  <c r="BJ32" i="5"/>
  <c r="AH32" i="2"/>
  <c r="J29" i="5"/>
  <c r="AQ32" i="2"/>
  <c r="AR28" i="2"/>
  <c r="CU32" i="2"/>
  <c r="AQ31" i="5"/>
  <c r="IE32" i="5"/>
  <c r="BJ32" i="2"/>
  <c r="X31" i="2"/>
  <c r="J29" i="2"/>
  <c r="BX32" i="5"/>
  <c r="BQ32" i="2"/>
  <c r="AH31" i="5"/>
  <c r="CP32" i="5"/>
  <c r="IE32" i="2"/>
  <c r="CG32" i="2"/>
  <c r="CG32" i="5"/>
  <c r="A34" i="19"/>
  <c r="C33" i="19"/>
  <c r="B33" i="19"/>
  <c r="D33" i="19" s="1"/>
  <c r="E33" i="19"/>
  <c r="F33" i="19" s="1"/>
  <c r="X31" i="5"/>
  <c r="AC30" i="5"/>
  <c r="FM32" i="5"/>
  <c r="AC29" i="2"/>
  <c r="BF32" i="2"/>
  <c r="BH31" i="2"/>
  <c r="BG31" i="2"/>
  <c r="G31" i="2"/>
  <c r="H30" i="2"/>
  <c r="I30" i="2"/>
  <c r="BQ32" i="5"/>
  <c r="BX32" i="2"/>
  <c r="BA31" i="2"/>
  <c r="AZ32" i="2"/>
  <c r="I30" i="5"/>
  <c r="G31" i="5"/>
  <c r="H30" i="5"/>
  <c r="Y30" i="5" s="1"/>
  <c r="AA29" i="5"/>
  <c r="Y29" i="5"/>
  <c r="CP32" i="2"/>
  <c r="BX33" i="5" l="1"/>
  <c r="AH33" i="2"/>
  <c r="J30" i="2"/>
  <c r="FM33" i="5"/>
  <c r="AA30" i="5"/>
  <c r="CG33" i="2"/>
  <c r="X32" i="2"/>
  <c r="IE33" i="5"/>
  <c r="CU33" i="2"/>
  <c r="AZ32" i="5"/>
  <c r="BA31" i="5"/>
  <c r="FM33" i="2"/>
  <c r="CP33" i="5"/>
  <c r="BQ33" i="2"/>
  <c r="BF34" i="5"/>
  <c r="BH33" i="5"/>
  <c r="BG33" i="5"/>
  <c r="BX33" i="2"/>
  <c r="X32" i="5"/>
  <c r="E34" i="19"/>
  <c r="F34" i="19" s="1"/>
  <c r="A35" i="19"/>
  <c r="C34" i="19"/>
  <c r="B34" i="19"/>
  <c r="D34" i="19" s="1"/>
  <c r="CG33" i="5"/>
  <c r="AH32" i="5"/>
  <c r="AR29" i="2"/>
  <c r="Y30" i="2"/>
  <c r="BJ33" i="2"/>
  <c r="AQ32" i="5"/>
  <c r="AR29" i="5"/>
  <c r="CU33" i="5"/>
  <c r="I31" i="5"/>
  <c r="G32" i="5"/>
  <c r="H31" i="5"/>
  <c r="U33" i="5"/>
  <c r="BQ33" i="5"/>
  <c r="BF33" i="2"/>
  <c r="BH32" i="2"/>
  <c r="BG32" i="2"/>
  <c r="CP33" i="2"/>
  <c r="J30" i="5"/>
  <c r="BA32" i="2"/>
  <c r="AZ33" i="2"/>
  <c r="G32" i="2"/>
  <c r="I31" i="2"/>
  <c r="H31" i="2"/>
  <c r="AC31" i="2" s="1"/>
  <c r="IE33" i="2"/>
  <c r="AC30" i="2"/>
  <c r="AA30" i="2"/>
  <c r="AQ33" i="2"/>
  <c r="BJ33" i="5"/>
  <c r="U33" i="2"/>
  <c r="IE34" i="2" l="1"/>
  <c r="CU34" i="2"/>
  <c r="G33" i="2"/>
  <c r="I32" i="2"/>
  <c r="H32" i="2"/>
  <c r="AR30" i="5"/>
  <c r="J31" i="5"/>
  <c r="CU34" i="5"/>
  <c r="CG34" i="5"/>
  <c r="AC31" i="5"/>
  <c r="AA31" i="5"/>
  <c r="Y31" i="2"/>
  <c r="AH34" i="2"/>
  <c r="U34" i="5"/>
  <c r="AR30" i="2"/>
  <c r="BA33" i="2"/>
  <c r="AZ34" i="2"/>
  <c r="CP34" i="2"/>
  <c r="BJ34" i="2"/>
  <c r="AH33" i="5"/>
  <c r="BX34" i="2"/>
  <c r="BF35" i="5"/>
  <c r="BG34" i="5"/>
  <c r="BH34" i="5"/>
  <c r="FM34" i="2"/>
  <c r="AZ33" i="5"/>
  <c r="BA32" i="5"/>
  <c r="CG34" i="2"/>
  <c r="AQ33" i="5"/>
  <c r="E35" i="19"/>
  <c r="F35" i="19" s="1"/>
  <c r="A36" i="19"/>
  <c r="C35" i="19"/>
  <c r="B35" i="19"/>
  <c r="D35" i="19" s="1"/>
  <c r="X33" i="5"/>
  <c r="AC32" i="5"/>
  <c r="FM34" i="5"/>
  <c r="U34" i="2"/>
  <c r="AQ34" i="2"/>
  <c r="BQ34" i="5"/>
  <c r="BJ34" i="5"/>
  <c r="J31" i="2"/>
  <c r="BH33" i="2"/>
  <c r="BG33" i="2"/>
  <c r="BF34" i="2"/>
  <c r="G33" i="5"/>
  <c r="H32" i="5"/>
  <c r="Y32" i="5" s="1"/>
  <c r="J32" i="5"/>
  <c r="I32" i="5"/>
  <c r="Y31" i="5"/>
  <c r="BQ34" i="2"/>
  <c r="CP34" i="5"/>
  <c r="IE34" i="5"/>
  <c r="AA31" i="2"/>
  <c r="X33" i="2"/>
  <c r="BX34" i="5"/>
  <c r="AA32" i="5" l="1"/>
  <c r="A37" i="19"/>
  <c r="E36" i="19"/>
  <c r="F36" i="19" s="1"/>
  <c r="C36" i="19"/>
  <c r="B36" i="19"/>
  <c r="D36" i="19" s="1"/>
  <c r="AR32" i="5"/>
  <c r="CG35" i="5"/>
  <c r="BQ35" i="2"/>
  <c r="G34" i="5"/>
  <c r="I33" i="5"/>
  <c r="H33" i="5"/>
  <c r="AA33" i="5" s="1"/>
  <c r="AQ35" i="2"/>
  <c r="FM35" i="5"/>
  <c r="BA33" i="5"/>
  <c r="AZ34" i="5"/>
  <c r="FM35" i="2"/>
  <c r="BJ35" i="2"/>
  <c r="CU35" i="5"/>
  <c r="I33" i="2"/>
  <c r="H33" i="2"/>
  <c r="G34" i="2"/>
  <c r="J32" i="2"/>
  <c r="IE35" i="2"/>
  <c r="U35" i="2"/>
  <c r="X34" i="5"/>
  <c r="AQ34" i="5"/>
  <c r="CG35" i="2"/>
  <c r="AZ35" i="2"/>
  <c r="BA34" i="2"/>
  <c r="BX35" i="5"/>
  <c r="AR31" i="2"/>
  <c r="BJ35" i="5"/>
  <c r="BF36" i="5"/>
  <c r="BH35" i="5"/>
  <c r="BG35" i="5"/>
  <c r="U35" i="5"/>
  <c r="AR31" i="5"/>
  <c r="CU35" i="2"/>
  <c r="AA32" i="2"/>
  <c r="Y32" i="2"/>
  <c r="X34" i="2"/>
  <c r="BF35" i="2"/>
  <c r="BH34" i="2"/>
  <c r="BG34" i="2"/>
  <c r="AC32" i="2"/>
  <c r="IE35" i="5"/>
  <c r="CP35" i="5"/>
  <c r="BQ35" i="5"/>
  <c r="BX35" i="2"/>
  <c r="AH34" i="5"/>
  <c r="CP35" i="2"/>
  <c r="AH35" i="2"/>
  <c r="J33" i="2" l="1"/>
  <c r="AR33" i="2" s="1"/>
  <c r="Y33" i="2"/>
  <c r="AA33" i="2"/>
  <c r="AC33" i="2"/>
  <c r="Y33" i="5"/>
  <c r="AC33" i="5"/>
  <c r="J33" i="5"/>
  <c r="AR33" i="5" s="1"/>
  <c r="AH36" i="2"/>
  <c r="AH35" i="5"/>
  <c r="BQ36" i="5"/>
  <c r="IE36" i="5"/>
  <c r="U36" i="5"/>
  <c r="BJ36" i="5"/>
  <c r="U36" i="2"/>
  <c r="CU36" i="5"/>
  <c r="BJ36" i="2"/>
  <c r="FM36" i="2"/>
  <c r="G35" i="5"/>
  <c r="H34" i="5"/>
  <c r="Y34" i="5" s="1"/>
  <c r="I34" i="5"/>
  <c r="A38" i="19"/>
  <c r="C37" i="19"/>
  <c r="B37" i="19"/>
  <c r="D37" i="19" s="1"/>
  <c r="E37" i="19"/>
  <c r="F37" i="19" s="1"/>
  <c r="CU36" i="2"/>
  <c r="IE36" i="2"/>
  <c r="AQ36" i="2"/>
  <c r="CG36" i="5"/>
  <c r="BF36" i="2"/>
  <c r="BH35" i="2"/>
  <c r="BG35" i="2"/>
  <c r="X35" i="5"/>
  <c r="AR32" i="2"/>
  <c r="AZ35" i="5"/>
  <c r="BA34" i="5"/>
  <c r="BX36" i="2"/>
  <c r="CP36" i="5"/>
  <c r="BX36" i="5"/>
  <c r="AQ35" i="5"/>
  <c r="G35" i="2"/>
  <c r="I34" i="2"/>
  <c r="H34" i="2"/>
  <c r="AA34" i="2" s="1"/>
  <c r="CP36" i="2"/>
  <c r="X35" i="2"/>
  <c r="Y34" i="2"/>
  <c r="BF37" i="5"/>
  <c r="BG36" i="5"/>
  <c r="BH36" i="5"/>
  <c r="BA35" i="2"/>
  <c r="AZ36" i="2"/>
  <c r="CG36" i="2"/>
  <c r="FM36" i="5"/>
  <c r="BQ36" i="2"/>
  <c r="AC34" i="2" l="1"/>
  <c r="BX37" i="2"/>
  <c r="X36" i="2"/>
  <c r="BA36" i="2"/>
  <c r="AZ37" i="2"/>
  <c r="J34" i="2"/>
  <c r="G36" i="2"/>
  <c r="I35" i="2"/>
  <c r="H35" i="2"/>
  <c r="AC35" i="2" s="1"/>
  <c r="AQ36" i="5"/>
  <c r="AA34" i="5"/>
  <c r="FM37" i="5"/>
  <c r="CG37" i="2"/>
  <c r="BF38" i="5"/>
  <c r="BH37" i="5"/>
  <c r="BG37" i="5"/>
  <c r="CP37" i="2"/>
  <c r="X36" i="5"/>
  <c r="BF37" i="2"/>
  <c r="BH36" i="2"/>
  <c r="BG36" i="2"/>
  <c r="J34" i="5"/>
  <c r="CU37" i="5"/>
  <c r="U37" i="5"/>
  <c r="IE37" i="5"/>
  <c r="BX37" i="5"/>
  <c r="AQ37" i="2"/>
  <c r="CU37" i="2"/>
  <c r="AH36" i="5"/>
  <c r="AH37" i="2"/>
  <c r="CP37" i="5"/>
  <c r="CG37" i="5"/>
  <c r="IE37" i="2"/>
  <c r="E38" i="19"/>
  <c r="F38" i="19" s="1"/>
  <c r="B38" i="19"/>
  <c r="D38" i="19" s="1"/>
  <c r="A39" i="19"/>
  <c r="C38" i="19"/>
  <c r="FM37" i="2"/>
  <c r="BJ37" i="2"/>
  <c r="BQ37" i="2"/>
  <c r="BA35" i="5"/>
  <c r="AZ36" i="5"/>
  <c r="AC34" i="5"/>
  <c r="G36" i="5"/>
  <c r="I35" i="5"/>
  <c r="H35" i="5"/>
  <c r="AA35" i="5" s="1"/>
  <c r="U37" i="2"/>
  <c r="BJ37" i="5"/>
  <c r="BQ37" i="5"/>
  <c r="AA35" i="2" l="1"/>
  <c r="J35" i="2"/>
  <c r="FM38" i="2"/>
  <c r="IE38" i="2"/>
  <c r="AH37" i="5"/>
  <c r="BH37" i="2"/>
  <c r="BG37" i="2"/>
  <c r="BF38" i="2"/>
  <c r="U38" i="2"/>
  <c r="J35" i="5"/>
  <c r="AZ37" i="5"/>
  <c r="BA36" i="5"/>
  <c r="CU38" i="2"/>
  <c r="IE38" i="5"/>
  <c r="X37" i="5"/>
  <c r="AC35" i="5"/>
  <c r="CP38" i="2"/>
  <c r="AQ37" i="5"/>
  <c r="BJ38" i="2"/>
  <c r="BQ38" i="5"/>
  <c r="BX38" i="5"/>
  <c r="U38" i="5"/>
  <c r="CU38" i="5"/>
  <c r="AR34" i="5"/>
  <c r="G37" i="2"/>
  <c r="I36" i="2"/>
  <c r="H36" i="2"/>
  <c r="AC36" i="2" s="1"/>
  <c r="BA37" i="2"/>
  <c r="AZ38" i="2"/>
  <c r="Y35" i="2"/>
  <c r="G37" i="5"/>
  <c r="H36" i="5"/>
  <c r="AA36" i="5" s="1"/>
  <c r="I36" i="5"/>
  <c r="AQ38" i="2"/>
  <c r="AR35" i="2"/>
  <c r="X37" i="2"/>
  <c r="BX38" i="2"/>
  <c r="BJ38" i="5"/>
  <c r="BQ38" i="2"/>
  <c r="A40" i="19"/>
  <c r="C39" i="19"/>
  <c r="E39" i="19"/>
  <c r="F39" i="19" s="1"/>
  <c r="B39" i="19"/>
  <c r="D39" i="19" s="1"/>
  <c r="CG38" i="5"/>
  <c r="CP38" i="5"/>
  <c r="AH38" i="2"/>
  <c r="Y35" i="5"/>
  <c r="BF39" i="5"/>
  <c r="BG38" i="5"/>
  <c r="BH38" i="5"/>
  <c r="CG38" i="2"/>
  <c r="FM38" i="5"/>
  <c r="AR34" i="2"/>
  <c r="AA36" i="2" l="1"/>
  <c r="Y36" i="2"/>
  <c r="AC36" i="5"/>
  <c r="BX39" i="2"/>
  <c r="AZ39" i="2"/>
  <c r="BA38" i="2"/>
  <c r="CC9" i="5"/>
  <c r="FM39" i="5"/>
  <c r="CG39" i="5"/>
  <c r="X38" i="2"/>
  <c r="AQ39" i="2"/>
  <c r="Y36" i="5"/>
  <c r="BF39" i="2"/>
  <c r="BH38" i="2"/>
  <c r="BG38" i="2"/>
  <c r="AH38" i="5"/>
  <c r="FM39" i="2"/>
  <c r="U39" i="5"/>
  <c r="BA37" i="5"/>
  <c r="AZ38" i="5"/>
  <c r="CC10" i="2"/>
  <c r="CC9" i="2"/>
  <c r="G38" i="5"/>
  <c r="I37" i="5"/>
  <c r="H37" i="5"/>
  <c r="J37" i="5" s="1"/>
  <c r="I37" i="2"/>
  <c r="H37" i="2"/>
  <c r="AA37" i="2" s="1"/>
  <c r="G38" i="2"/>
  <c r="CU39" i="5"/>
  <c r="BX39" i="5"/>
  <c r="AQ38" i="5"/>
  <c r="CP39" i="2"/>
  <c r="X38" i="5"/>
  <c r="IE39" i="5"/>
  <c r="CU39" i="2"/>
  <c r="AR35" i="5"/>
  <c r="U39" i="2"/>
  <c r="BJ39" i="2"/>
  <c r="CG39" i="2"/>
  <c r="AH39" i="2"/>
  <c r="CP39" i="5"/>
  <c r="BF40" i="5"/>
  <c r="BH39" i="5"/>
  <c r="BG39" i="5"/>
  <c r="B40" i="19"/>
  <c r="D40" i="19" s="1"/>
  <c r="E40" i="19"/>
  <c r="F40" i="19" s="1"/>
  <c r="A41" i="19"/>
  <c r="C40" i="19"/>
  <c r="BQ39" i="2"/>
  <c r="BJ39" i="5"/>
  <c r="J36" i="5"/>
  <c r="J36" i="2"/>
  <c r="BQ39" i="5"/>
  <c r="IE39" i="2"/>
  <c r="Y37" i="2" l="1"/>
  <c r="AC37" i="5"/>
  <c r="AR37" i="5"/>
  <c r="AH40" i="2"/>
  <c r="G39" i="5"/>
  <c r="H38" i="5"/>
  <c r="I38" i="5"/>
  <c r="AR36" i="5"/>
  <c r="IE40" i="2"/>
  <c r="BQ40" i="5"/>
  <c r="BF41" i="5"/>
  <c r="BG40" i="5"/>
  <c r="BH40" i="5"/>
  <c r="AR36" i="2"/>
  <c r="BJ40" i="5"/>
  <c r="BQ40" i="2"/>
  <c r="Y37" i="5"/>
  <c r="AQ39" i="5"/>
  <c r="AZ39" i="5"/>
  <c r="BA38" i="5"/>
  <c r="BF40" i="2"/>
  <c r="BH39" i="2"/>
  <c r="BG39" i="2"/>
  <c r="BA39" i="2"/>
  <c r="AZ40" i="2"/>
  <c r="U40" i="2"/>
  <c r="AA38" i="5"/>
  <c r="X39" i="5"/>
  <c r="E41" i="19"/>
  <c r="F41" i="19" s="1"/>
  <c r="A42" i="19"/>
  <c r="C41" i="19"/>
  <c r="B41" i="19"/>
  <c r="D41" i="19" s="1"/>
  <c r="CU40" i="2"/>
  <c r="CP40" i="2"/>
  <c r="CU40" i="5"/>
  <c r="J37" i="2"/>
  <c r="FM40" i="2"/>
  <c r="AH39" i="5"/>
  <c r="AQ40" i="2"/>
  <c r="AC37" i="2"/>
  <c r="BX40" i="2"/>
  <c r="CG40" i="2"/>
  <c r="BJ40" i="2"/>
  <c r="IE40" i="5"/>
  <c r="U40" i="5"/>
  <c r="X39" i="2"/>
  <c r="CP40" i="5"/>
  <c r="AA37" i="5"/>
  <c r="BX40" i="5"/>
  <c r="G39" i="2"/>
  <c r="I38" i="2"/>
  <c r="H38" i="2"/>
  <c r="Y38" i="2" s="1"/>
  <c r="CG40" i="5"/>
  <c r="FM40" i="5"/>
  <c r="CC10" i="5"/>
  <c r="J38" i="5" l="1"/>
  <c r="AR38" i="5" s="1"/>
  <c r="Y38" i="5"/>
  <c r="J38" i="2"/>
  <c r="AR38" i="2" s="1"/>
  <c r="AC38" i="5"/>
  <c r="AQ41" i="2"/>
  <c r="CU41" i="2"/>
  <c r="CP41" i="5"/>
  <c r="U41" i="5"/>
  <c r="IE41" i="5"/>
  <c r="BJ41" i="2"/>
  <c r="CG41" i="2"/>
  <c r="AR37" i="2"/>
  <c r="CC12" i="2" s="1"/>
  <c r="CU41" i="5"/>
  <c r="BA39" i="5"/>
  <c r="AZ40" i="5"/>
  <c r="BJ41" i="5"/>
  <c r="BQ41" i="5"/>
  <c r="IE41" i="2"/>
  <c r="AH40" i="5"/>
  <c r="CP41" i="2"/>
  <c r="CC12" i="5"/>
  <c r="AH41" i="2"/>
  <c r="G40" i="2"/>
  <c r="I39" i="2"/>
  <c r="H39" i="2"/>
  <c r="AC39" i="2" s="1"/>
  <c r="X40" i="2"/>
  <c r="AA39" i="2"/>
  <c r="BX41" i="2"/>
  <c r="G40" i="5"/>
  <c r="I39" i="5"/>
  <c r="H39" i="5"/>
  <c r="AA39" i="5" s="1"/>
  <c r="CC13" i="5"/>
  <c r="CG41" i="5"/>
  <c r="B42" i="19"/>
  <c r="D42" i="19" s="1"/>
  <c r="E42" i="19"/>
  <c r="F42" i="19" s="1"/>
  <c r="A43" i="19"/>
  <c r="C42" i="19"/>
  <c r="U41" i="2"/>
  <c r="BF41" i="2"/>
  <c r="BH40" i="2"/>
  <c r="BG40" i="2"/>
  <c r="AQ40" i="5"/>
  <c r="BQ41" i="2"/>
  <c r="CC11" i="2"/>
  <c r="BF42" i="5"/>
  <c r="BH41" i="5"/>
  <c r="BG41" i="5"/>
  <c r="FM41" i="5"/>
  <c r="BX41" i="5"/>
  <c r="AC38" i="2"/>
  <c r="AA38" i="2"/>
  <c r="FM41" i="2"/>
  <c r="CC11" i="5"/>
  <c r="AC39" i="5"/>
  <c r="Y39" i="5"/>
  <c r="X40" i="5"/>
  <c r="BA40" i="2"/>
  <c r="AZ41" i="2"/>
  <c r="Y39" i="2" l="1"/>
  <c r="J39" i="2"/>
  <c r="AR39" i="2" s="1"/>
  <c r="CC14" i="2" s="1"/>
  <c r="AZ42" i="2"/>
  <c r="BA41" i="2"/>
  <c r="U42" i="2"/>
  <c r="BF43" i="5"/>
  <c r="BG42" i="5"/>
  <c r="BH42" i="5"/>
  <c r="BQ42" i="2"/>
  <c r="AH42" i="2"/>
  <c r="IE42" i="2"/>
  <c r="IE42" i="5"/>
  <c r="AQ42" i="2"/>
  <c r="CG42" i="2"/>
  <c r="CP42" i="5"/>
  <c r="X41" i="5"/>
  <c r="AQ41" i="5"/>
  <c r="BF42" i="2"/>
  <c r="BH41" i="2"/>
  <c r="BG41" i="2"/>
  <c r="A44" i="19"/>
  <c r="C43" i="19"/>
  <c r="B43" i="19"/>
  <c r="D43" i="19" s="1"/>
  <c r="E43" i="19"/>
  <c r="F43" i="19" s="1"/>
  <c r="J39" i="5"/>
  <c r="BX42" i="2"/>
  <c r="G41" i="2"/>
  <c r="I40" i="2"/>
  <c r="H40" i="2"/>
  <c r="Y40" i="2" s="1"/>
  <c r="CP42" i="2"/>
  <c r="BJ42" i="5"/>
  <c r="CU42" i="5"/>
  <c r="CC13" i="2"/>
  <c r="BJ42" i="2"/>
  <c r="FM42" i="2"/>
  <c r="X41" i="2"/>
  <c r="AC40" i="2"/>
  <c r="BQ42" i="5"/>
  <c r="AZ41" i="5"/>
  <c r="BA40" i="5"/>
  <c r="U42" i="5"/>
  <c r="BX42" i="5"/>
  <c r="FM42" i="5"/>
  <c r="CG42" i="5"/>
  <c r="G41" i="5"/>
  <c r="H40" i="5"/>
  <c r="AA40" i="5" s="1"/>
  <c r="I40" i="5"/>
  <c r="J40" i="5" s="1"/>
  <c r="AR40" i="5" s="1"/>
  <c r="AH41" i="5"/>
  <c r="CU42" i="2"/>
  <c r="AA40" i="2" l="1"/>
  <c r="Y40" i="5"/>
  <c r="AQ43" i="2"/>
  <c r="AH42" i="5"/>
  <c r="G42" i="5"/>
  <c r="I41" i="5"/>
  <c r="H41" i="5"/>
  <c r="BX43" i="5"/>
  <c r="BA41" i="5"/>
  <c r="AZ42" i="5"/>
  <c r="BJ43" i="2"/>
  <c r="J40" i="2"/>
  <c r="BX43" i="2"/>
  <c r="AC40" i="5"/>
  <c r="IE43" i="5"/>
  <c r="CU43" i="2"/>
  <c r="FM43" i="2"/>
  <c r="CU43" i="5"/>
  <c r="BJ43" i="5"/>
  <c r="BF43" i="2"/>
  <c r="BH42" i="2"/>
  <c r="BG42" i="2"/>
  <c r="AQ42" i="5"/>
  <c r="X42" i="5"/>
  <c r="CG43" i="2"/>
  <c r="AH43" i="2"/>
  <c r="BF44" i="5"/>
  <c r="BH43" i="5"/>
  <c r="BG43" i="5"/>
  <c r="U43" i="2"/>
  <c r="FM43" i="5"/>
  <c r="X42" i="2"/>
  <c r="AC41" i="2"/>
  <c r="G42" i="2"/>
  <c r="I41" i="2"/>
  <c r="H41" i="2"/>
  <c r="AZ43" i="2"/>
  <c r="BA42" i="2"/>
  <c r="CG43" i="5"/>
  <c r="U43" i="5"/>
  <c r="BQ43" i="5"/>
  <c r="CP43" i="2"/>
  <c r="AR39" i="5"/>
  <c r="E44" i="19"/>
  <c r="F44" i="19" s="1"/>
  <c r="C44" i="19"/>
  <c r="A45" i="19"/>
  <c r="B44" i="19"/>
  <c r="D44" i="19" s="1"/>
  <c r="CP43" i="5"/>
  <c r="IE43" i="2"/>
  <c r="BQ43" i="2"/>
  <c r="J41" i="5" l="1"/>
  <c r="AR41" i="5" s="1"/>
  <c r="CP44" i="2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BQ44" i="5"/>
  <c r="BA43" i="2"/>
  <c r="AZ44" i="2"/>
  <c r="CP44" i="5"/>
  <c r="CG44" i="5"/>
  <c r="Y41" i="2"/>
  <c r="AA41" i="2"/>
  <c r="X43" i="2"/>
  <c r="FM44" i="5"/>
  <c r="X43" i="5"/>
  <c r="AC41" i="5"/>
  <c r="CU44" i="5"/>
  <c r="BX44" i="2"/>
  <c r="BJ44" i="2"/>
  <c r="G43" i="5"/>
  <c r="H42" i="5"/>
  <c r="I42" i="5"/>
  <c r="U44" i="2"/>
  <c r="AA41" i="5"/>
  <c r="AQ43" i="5"/>
  <c r="BF44" i="2"/>
  <c r="BH43" i="2"/>
  <c r="BG43" i="2"/>
  <c r="FM44" i="2"/>
  <c r="CU44" i="2"/>
  <c r="BX44" i="5"/>
  <c r="BQ44" i="2"/>
  <c r="BF45" i="5"/>
  <c r="BG44" i="5"/>
  <c r="BH44" i="5"/>
  <c r="AQ44" i="2"/>
  <c r="IE44" i="2"/>
  <c r="CC15" i="5"/>
  <c r="CC14" i="5"/>
  <c r="U44" i="5"/>
  <c r="E45" i="19"/>
  <c r="F45" i="19" s="1"/>
  <c r="A46" i="19"/>
  <c r="C45" i="19"/>
  <c r="B45" i="19"/>
  <c r="D45" i="19" s="1"/>
  <c r="J41" i="2"/>
  <c r="G43" i="2"/>
  <c r="I42" i="2"/>
  <c r="H42" i="2"/>
  <c r="AA42" i="2" s="1"/>
  <c r="AH44" i="2"/>
  <c r="CG44" i="2"/>
  <c r="Y41" i="5"/>
  <c r="BJ44" i="5"/>
  <c r="IE44" i="5"/>
  <c r="AR40" i="2"/>
  <c r="AZ43" i="5"/>
  <c r="BA42" i="5"/>
  <c r="AH43" i="5"/>
  <c r="CU45" i="2" l="1"/>
  <c r="Y42" i="5"/>
  <c r="CG45" i="2"/>
  <c r="AH45" i="2"/>
  <c r="J42" i="2"/>
  <c r="G44" i="2"/>
  <c r="I43" i="2"/>
  <c r="H43" i="2"/>
  <c r="AC43" i="2" s="1"/>
  <c r="A47" i="19"/>
  <c r="B46" i="19"/>
  <c r="D46" i="19" s="1"/>
  <c r="E46" i="19"/>
  <c r="F46" i="19" s="1"/>
  <c r="C46" i="19"/>
  <c r="IE45" i="2"/>
  <c r="FM45" i="2"/>
  <c r="J42" i="5"/>
  <c r="BJ45" i="2"/>
  <c r="BX45" i="2"/>
  <c r="FM45" i="5"/>
  <c r="BQ45" i="5"/>
  <c r="AQ45" i="2"/>
  <c r="BJ45" i="5"/>
  <c r="BF46" i="5"/>
  <c r="BH45" i="5"/>
  <c r="BG45" i="5"/>
  <c r="BQ45" i="2"/>
  <c r="BF45" i="2"/>
  <c r="BH44" i="2"/>
  <c r="BG44" i="2"/>
  <c r="AQ44" i="5"/>
  <c r="U45" i="2"/>
  <c r="CU45" i="5"/>
  <c r="AC42" i="5"/>
  <c r="AA42" i="5"/>
  <c r="AC42" i="2"/>
  <c r="CG45" i="5"/>
  <c r="AR41" i="2"/>
  <c r="Y42" i="2"/>
  <c r="X44" i="2"/>
  <c r="BA44" i="2"/>
  <c r="AZ45" i="2"/>
  <c r="CC16" i="5"/>
  <c r="AH44" i="5"/>
  <c r="CC15" i="2"/>
  <c r="BA43" i="5"/>
  <c r="AZ44" i="5"/>
  <c r="IE45" i="5"/>
  <c r="U45" i="5"/>
  <c r="BX45" i="5"/>
  <c r="G44" i="5"/>
  <c r="I43" i="5"/>
  <c r="H43" i="5"/>
  <c r="AC43" i="5"/>
  <c r="X44" i="5"/>
  <c r="CP45" i="5"/>
  <c r="AA43" i="2" l="1"/>
  <c r="Y43" i="2"/>
  <c r="J43" i="5"/>
  <c r="AR43" i="5" s="1"/>
  <c r="X45" i="5"/>
  <c r="CG46" i="5"/>
  <c r="AR42" i="5"/>
  <c r="CP46" i="5"/>
  <c r="IE46" i="5"/>
  <c r="AA43" i="5"/>
  <c r="Y43" i="5"/>
  <c r="CC16" i="2"/>
  <c r="AH45" i="5"/>
  <c r="CU46" i="5"/>
  <c r="BQ46" i="2"/>
  <c r="BQ46" i="5"/>
  <c r="AR42" i="2"/>
  <c r="AZ45" i="5"/>
  <c r="BA44" i="5"/>
  <c r="U46" i="2"/>
  <c r="AQ45" i="5"/>
  <c r="BF46" i="2"/>
  <c r="BG45" i="2"/>
  <c r="BH45" i="2"/>
  <c r="BJ46" i="5"/>
  <c r="AQ46" i="2"/>
  <c r="FM46" i="5"/>
  <c r="IE46" i="2"/>
  <c r="A48" i="19"/>
  <c r="C47" i="19"/>
  <c r="E47" i="19"/>
  <c r="F47" i="19" s="1"/>
  <c r="B47" i="19"/>
  <c r="D47" i="19" s="1"/>
  <c r="J43" i="2"/>
  <c r="CU46" i="2"/>
  <c r="G45" i="5"/>
  <c r="H44" i="5"/>
  <c r="AC44" i="5" s="1"/>
  <c r="I44" i="5"/>
  <c r="BX46" i="5"/>
  <c r="AZ46" i="2"/>
  <c r="BA45" i="2"/>
  <c r="CC17" i="2"/>
  <c r="BJ46" i="2"/>
  <c r="AH46" i="2"/>
  <c r="CG46" i="2"/>
  <c r="U46" i="5"/>
  <c r="X45" i="2"/>
  <c r="BF47" i="5"/>
  <c r="BG46" i="5"/>
  <c r="BH46" i="5"/>
  <c r="BX46" i="2"/>
  <c r="FM46" i="2"/>
  <c r="G45" i="2"/>
  <c r="I44" i="2"/>
  <c r="H44" i="2"/>
  <c r="AA44" i="5" l="1"/>
  <c r="G46" i="2"/>
  <c r="H45" i="2"/>
  <c r="Y45" i="2" s="1"/>
  <c r="I45" i="2"/>
  <c r="BF48" i="5"/>
  <c r="BH47" i="5"/>
  <c r="BG47" i="5"/>
  <c r="X46" i="2"/>
  <c r="AC44" i="2"/>
  <c r="CG47" i="2"/>
  <c r="AH47" i="2"/>
  <c r="BJ47" i="5"/>
  <c r="CU47" i="5"/>
  <c r="AH46" i="5"/>
  <c r="CC19" i="5"/>
  <c r="CC20" i="5"/>
  <c r="CC18" i="5"/>
  <c r="CC17" i="5"/>
  <c r="Y44" i="5"/>
  <c r="FM47" i="2"/>
  <c r="AA44" i="2"/>
  <c r="BX47" i="5"/>
  <c r="G46" i="5"/>
  <c r="I45" i="5"/>
  <c r="H45" i="5"/>
  <c r="AA45" i="5" s="1"/>
  <c r="CU47" i="2"/>
  <c r="IE47" i="2"/>
  <c r="FM47" i="5"/>
  <c r="AQ47" i="2"/>
  <c r="BF47" i="2"/>
  <c r="BH46" i="2"/>
  <c r="BG46" i="2"/>
  <c r="AQ46" i="5"/>
  <c r="BA45" i="5"/>
  <c r="AZ46" i="5"/>
  <c r="CG47" i="5"/>
  <c r="AC45" i="5"/>
  <c r="Y45" i="5"/>
  <c r="X46" i="5"/>
  <c r="BQ47" i="5"/>
  <c r="BQ47" i="2"/>
  <c r="IE47" i="5"/>
  <c r="BX47" i="2"/>
  <c r="U47" i="5"/>
  <c r="J44" i="2"/>
  <c r="Y44" i="2"/>
  <c r="BJ47" i="2"/>
  <c r="BA46" i="2"/>
  <c r="AZ47" i="2"/>
  <c r="J44" i="5"/>
  <c r="AR43" i="2"/>
  <c r="C48" i="19"/>
  <c r="B48" i="19"/>
  <c r="D48" i="19" s="1"/>
  <c r="E48" i="19"/>
  <c r="F48" i="19" s="1"/>
  <c r="A49" i="19"/>
  <c r="U47" i="2"/>
  <c r="CP47" i="5"/>
  <c r="J45" i="2" l="1"/>
  <c r="J45" i="5"/>
  <c r="AR44" i="2"/>
  <c r="CC19" i="2" s="1"/>
  <c r="BX48" i="5"/>
  <c r="AH47" i="5"/>
  <c r="AR45" i="2"/>
  <c r="BX48" i="2"/>
  <c r="U48" i="2"/>
  <c r="AZ48" i="2"/>
  <c r="BA47" i="2"/>
  <c r="BJ48" i="2"/>
  <c r="BQ48" i="2"/>
  <c r="X47" i="5"/>
  <c r="CG48" i="5"/>
  <c r="AR45" i="5"/>
  <c r="CP48" i="5"/>
  <c r="A50" i="19"/>
  <c r="C49" i="19"/>
  <c r="B49" i="19"/>
  <c r="D49" i="19" s="1"/>
  <c r="E49" i="19"/>
  <c r="F49" i="19" s="1"/>
  <c r="IE48" i="5"/>
  <c r="CC18" i="2"/>
  <c r="AZ47" i="5"/>
  <c r="BA46" i="5"/>
  <c r="X47" i="2"/>
  <c r="AA46" i="2"/>
  <c r="G47" i="2"/>
  <c r="I46" i="2"/>
  <c r="H46" i="2"/>
  <c r="Y46" i="2" s="1"/>
  <c r="AR44" i="5"/>
  <c r="U48" i="5"/>
  <c r="FM48" i="5"/>
  <c r="BQ48" i="5"/>
  <c r="AQ47" i="5"/>
  <c r="BF48" i="2"/>
  <c r="BG47" i="2"/>
  <c r="BH47" i="2"/>
  <c r="AQ48" i="2"/>
  <c r="IE48" i="2"/>
  <c r="CU48" i="2"/>
  <c r="G47" i="5"/>
  <c r="H46" i="5"/>
  <c r="I46" i="5"/>
  <c r="FM48" i="2"/>
  <c r="FM49" i="2" s="1"/>
  <c r="FM50" i="2" s="1"/>
  <c r="FM51" i="2" s="1"/>
  <c r="FM52" i="2" s="1"/>
  <c r="FM53" i="2" s="1"/>
  <c r="FM54" i="2" s="1"/>
  <c r="BJ48" i="5"/>
  <c r="CU48" i="5"/>
  <c r="AH48" i="2"/>
  <c r="CG48" i="2"/>
  <c r="AC45" i="2"/>
  <c r="AA45" i="2"/>
  <c r="BG48" i="5"/>
  <c r="BF49" i="5"/>
  <c r="BH48" i="5"/>
  <c r="J46" i="5" l="1"/>
  <c r="AR46" i="5" s="1"/>
  <c r="FM55" i="2"/>
  <c r="GY54" i="2"/>
  <c r="FM49" i="5"/>
  <c r="CG49" i="5"/>
  <c r="X48" i="5"/>
  <c r="BJ49" i="2"/>
  <c r="BJ49" i="5"/>
  <c r="BQ49" i="5"/>
  <c r="J46" i="2"/>
  <c r="BX49" i="2"/>
  <c r="CC20" i="2"/>
  <c r="CU49" i="2"/>
  <c r="IE49" i="2"/>
  <c r="CP49" i="5"/>
  <c r="U49" i="5"/>
  <c r="G48" i="2"/>
  <c r="H47" i="2"/>
  <c r="I47" i="2"/>
  <c r="AA47" i="2"/>
  <c r="X48" i="2"/>
  <c r="AC47" i="2"/>
  <c r="AC46" i="2"/>
  <c r="C50" i="19"/>
  <c r="B50" i="19"/>
  <c r="D50" i="19" s="1"/>
  <c r="E50" i="19"/>
  <c r="F50" i="19" s="1"/>
  <c r="A51" i="19"/>
  <c r="Y46" i="5"/>
  <c r="CG49" i="2"/>
  <c r="AH49" i="2"/>
  <c r="CU49" i="5"/>
  <c r="G48" i="5"/>
  <c r="I47" i="5"/>
  <c r="H47" i="5"/>
  <c r="AA47" i="5" s="1"/>
  <c r="AQ49" i="2"/>
  <c r="BF49" i="2"/>
  <c r="BH48" i="2"/>
  <c r="BG48" i="2"/>
  <c r="AQ48" i="5"/>
  <c r="AH48" i="5"/>
  <c r="BH49" i="5"/>
  <c r="BF50" i="5"/>
  <c r="BG49" i="5"/>
  <c r="CC24" i="5"/>
  <c r="CC25" i="5"/>
  <c r="CC26" i="5"/>
  <c r="CC23" i="5"/>
  <c r="CC21" i="5"/>
  <c r="CC22" i="5"/>
  <c r="BA47" i="5"/>
  <c r="AZ48" i="5"/>
  <c r="IE49" i="5"/>
  <c r="AC46" i="5"/>
  <c r="AA46" i="5"/>
  <c r="BQ49" i="2"/>
  <c r="BA48" i="2"/>
  <c r="AZ49" i="2"/>
  <c r="U49" i="2"/>
  <c r="BX49" i="5"/>
  <c r="J47" i="2" l="1"/>
  <c r="CC27" i="5"/>
  <c r="CC28" i="5"/>
  <c r="CC29" i="5"/>
  <c r="AR47" i="2"/>
  <c r="BX50" i="5"/>
  <c r="AH49" i="5"/>
  <c r="AH50" i="2"/>
  <c r="Y47" i="2"/>
  <c r="IE50" i="2"/>
  <c r="X49" i="5"/>
  <c r="AC47" i="5"/>
  <c r="FM56" i="2"/>
  <c r="GY55" i="2"/>
  <c r="CG50" i="2"/>
  <c r="U50" i="5"/>
  <c r="A52" i="19"/>
  <c r="C51" i="19"/>
  <c r="E51" i="19"/>
  <c r="F51" i="19" s="1"/>
  <c r="B51" i="19"/>
  <c r="D51" i="19" s="1"/>
  <c r="X49" i="2"/>
  <c r="AR46" i="2"/>
  <c r="CG50" i="5"/>
  <c r="U50" i="2"/>
  <c r="AQ49" i="5"/>
  <c r="BF50" i="2"/>
  <c r="BH49" i="2"/>
  <c r="BG49" i="2"/>
  <c r="AQ50" i="2"/>
  <c r="IE50" i="5"/>
  <c r="J47" i="5"/>
  <c r="BA49" i="2"/>
  <c r="AZ50" i="2"/>
  <c r="BQ50" i="2"/>
  <c r="AZ49" i="5"/>
  <c r="BA48" i="5"/>
  <c r="BH50" i="5"/>
  <c r="BF51" i="5"/>
  <c r="BG50" i="5"/>
  <c r="H48" i="5"/>
  <c r="J48" i="5" s="1"/>
  <c r="AR48" i="5" s="1"/>
  <c r="G49" i="5"/>
  <c r="I48" i="5"/>
  <c r="CU50" i="5"/>
  <c r="G49" i="2"/>
  <c r="I48" i="2"/>
  <c r="H48" i="2"/>
  <c r="Y48" i="2" s="1"/>
  <c r="CP50" i="5"/>
  <c r="CP51" i="5" s="1"/>
  <c r="CP52" i="5" s="1"/>
  <c r="CP53" i="5" s="1"/>
  <c r="CP54" i="5" s="1"/>
  <c r="CP55" i="5" s="1"/>
  <c r="CP56" i="5" s="1"/>
  <c r="CP57" i="5" s="1"/>
  <c r="CP58" i="5" s="1"/>
  <c r="CP59" i="5" s="1"/>
  <c r="CP60" i="5" s="1"/>
  <c r="CP61" i="5" s="1"/>
  <c r="CP62" i="5" s="1"/>
  <c r="CP63" i="5" s="1"/>
  <c r="CP64" i="5" s="1"/>
  <c r="CP65" i="5" s="1"/>
  <c r="CP66" i="5" s="1"/>
  <c r="CP67" i="5" s="1"/>
  <c r="CP68" i="5" s="1"/>
  <c r="CP69" i="5" s="1"/>
  <c r="CP70" i="5" s="1"/>
  <c r="CP71" i="5" s="1"/>
  <c r="CP72" i="5" s="1"/>
  <c r="CP73" i="5" s="1"/>
  <c r="CP74" i="5" s="1"/>
  <c r="CP75" i="5" s="1"/>
  <c r="CP76" i="5" s="1"/>
  <c r="CP77" i="5" s="1"/>
  <c r="CP78" i="5" s="1"/>
  <c r="CP79" i="5" s="1"/>
  <c r="CP80" i="5" s="1"/>
  <c r="CP81" i="5" s="1"/>
  <c r="CP82" i="5" s="1"/>
  <c r="CP83" i="5" s="1"/>
  <c r="CP84" i="5" s="1"/>
  <c r="CP85" i="5" s="1"/>
  <c r="CP86" i="5" s="1"/>
  <c r="CP87" i="5" s="1"/>
  <c r="CP88" i="5" s="1"/>
  <c r="CP89" i="5" s="1"/>
  <c r="CP90" i="5" s="1"/>
  <c r="CP91" i="5" s="1"/>
  <c r="CP92" i="5" s="1"/>
  <c r="CP93" i="5" s="1"/>
  <c r="CP94" i="5" s="1"/>
  <c r="CP95" i="5" s="1"/>
  <c r="CP96" i="5" s="1"/>
  <c r="CP97" i="5" s="1"/>
  <c r="CP98" i="5" s="1"/>
  <c r="CP99" i="5" s="1"/>
  <c r="CP100" i="5" s="1"/>
  <c r="CP101" i="5" s="1"/>
  <c r="CP102" i="5" s="1"/>
  <c r="CU50" i="2"/>
  <c r="BX50" i="2"/>
  <c r="BQ50" i="5"/>
  <c r="BJ50" i="5"/>
  <c r="BJ50" i="2"/>
  <c r="Y47" i="5"/>
  <c r="FM50" i="5"/>
  <c r="AC48" i="2" l="1"/>
  <c r="J48" i="2"/>
  <c r="BX51" i="2"/>
  <c r="AR48" i="2"/>
  <c r="CC23" i="2" s="1"/>
  <c r="IE51" i="2"/>
  <c r="FM51" i="5"/>
  <c r="BJ51" i="2"/>
  <c r="I49" i="5"/>
  <c r="G50" i="5"/>
  <c r="H49" i="5"/>
  <c r="BQ51" i="2"/>
  <c r="AR47" i="5"/>
  <c r="CG51" i="5"/>
  <c r="CC22" i="2"/>
  <c r="CC21" i="2"/>
  <c r="C52" i="19"/>
  <c r="B52" i="19"/>
  <c r="D52" i="19" s="1"/>
  <c r="E52" i="19"/>
  <c r="F52" i="19" s="1"/>
  <c r="A53" i="19"/>
  <c r="AH50" i="5"/>
  <c r="BJ51" i="5"/>
  <c r="BQ51" i="5"/>
  <c r="BA50" i="2"/>
  <c r="AZ51" i="2"/>
  <c r="CU51" i="2"/>
  <c r="G50" i="2"/>
  <c r="I49" i="2"/>
  <c r="H49" i="2"/>
  <c r="AC49" i="2" s="1"/>
  <c r="BG51" i="5"/>
  <c r="BF52" i="5"/>
  <c r="BH51" i="5"/>
  <c r="AZ50" i="5"/>
  <c r="BA49" i="5"/>
  <c r="AQ51" i="2"/>
  <c r="BF51" i="2"/>
  <c r="BH50" i="2"/>
  <c r="BG50" i="2"/>
  <c r="FM57" i="2"/>
  <c r="GY56" i="2"/>
  <c r="Y48" i="5"/>
  <c r="X50" i="5"/>
  <c r="AC49" i="5"/>
  <c r="Y49" i="5"/>
  <c r="AA49" i="5"/>
  <c r="AH51" i="2"/>
  <c r="CG51" i="2"/>
  <c r="CU51" i="5"/>
  <c r="IE51" i="5"/>
  <c r="AQ50" i="5"/>
  <c r="U51" i="2"/>
  <c r="AA48" i="2"/>
  <c r="X50" i="2"/>
  <c r="U51" i="5"/>
  <c r="AC48" i="5"/>
  <c r="AA48" i="5"/>
  <c r="BX51" i="5"/>
  <c r="AA49" i="2" l="1"/>
  <c r="Y49" i="2"/>
  <c r="U52" i="5"/>
  <c r="I50" i="5"/>
  <c r="G51" i="5"/>
  <c r="H50" i="5"/>
  <c r="J50" i="5" s="1"/>
  <c r="AR50" i="5" s="1"/>
  <c r="AQ51" i="5"/>
  <c r="CU52" i="5"/>
  <c r="AH52" i="2"/>
  <c r="X51" i="2"/>
  <c r="IE52" i="5"/>
  <c r="CG52" i="2"/>
  <c r="FM58" i="2"/>
  <c r="GZ57" i="2"/>
  <c r="GV57" i="2"/>
  <c r="GY57" i="2"/>
  <c r="GU57" i="2"/>
  <c r="GX57" i="2"/>
  <c r="GW57" i="2"/>
  <c r="BG52" i="5"/>
  <c r="BF53" i="5"/>
  <c r="BH52" i="5"/>
  <c r="BA51" i="2"/>
  <c r="AZ52" i="2"/>
  <c r="BJ52" i="2"/>
  <c r="FM52" i="5"/>
  <c r="FM53" i="5" s="1"/>
  <c r="FM54" i="5" s="1"/>
  <c r="BX52" i="5"/>
  <c r="U52" i="2"/>
  <c r="AH51" i="5"/>
  <c r="BX52" i="2"/>
  <c r="BF52" i="2"/>
  <c r="BH51" i="2"/>
  <c r="BG51" i="2"/>
  <c r="AQ52" i="2"/>
  <c r="AZ51" i="5"/>
  <c r="BA50" i="5"/>
  <c r="J49" i="2"/>
  <c r="BQ52" i="2"/>
  <c r="IE52" i="2"/>
  <c r="X51" i="5"/>
  <c r="AC50" i="5"/>
  <c r="G51" i="2"/>
  <c r="I50" i="2"/>
  <c r="H50" i="2"/>
  <c r="AC50" i="2" s="1"/>
  <c r="CU52" i="2"/>
  <c r="BQ52" i="5"/>
  <c r="BJ52" i="5"/>
  <c r="A54" i="19"/>
  <c r="C53" i="19"/>
  <c r="B53" i="19"/>
  <c r="D53" i="19" s="1"/>
  <c r="E53" i="19"/>
  <c r="F53" i="19" s="1"/>
  <c r="CG52" i="5"/>
  <c r="CC32" i="5"/>
  <c r="CC33" i="5"/>
  <c r="CC30" i="5"/>
  <c r="CC31" i="5"/>
  <c r="J49" i="5"/>
  <c r="AA50" i="5" l="1"/>
  <c r="J50" i="2"/>
  <c r="AR50" i="2" s="1"/>
  <c r="Y50" i="5"/>
  <c r="BJ53" i="5"/>
  <c r="CG53" i="5"/>
  <c r="B54" i="19"/>
  <c r="D54" i="19" s="1"/>
  <c r="E54" i="19"/>
  <c r="F54" i="19" s="1"/>
  <c r="A55" i="19"/>
  <c r="C54" i="19"/>
  <c r="BQ53" i="5"/>
  <c r="G52" i="2"/>
  <c r="I51" i="2"/>
  <c r="H51" i="2"/>
  <c r="Y51" i="2" s="1"/>
  <c r="IE53" i="2"/>
  <c r="BQ53" i="2"/>
  <c r="BA51" i="5"/>
  <c r="AZ52" i="5"/>
  <c r="AQ53" i="2"/>
  <c r="BF53" i="2"/>
  <c r="BH52" i="2"/>
  <c r="BG52" i="2"/>
  <c r="BX53" i="2"/>
  <c r="BJ53" i="2"/>
  <c r="BG53" i="5"/>
  <c r="BF54" i="5"/>
  <c r="BH53" i="5"/>
  <c r="CG53" i="2"/>
  <c r="Y50" i="2"/>
  <c r="FM59" i="2"/>
  <c r="GZ58" i="2"/>
  <c r="GV58" i="2"/>
  <c r="GY58" i="2"/>
  <c r="GU58" i="2"/>
  <c r="GX58" i="2"/>
  <c r="GW58" i="2"/>
  <c r="AQ52" i="5"/>
  <c r="X52" i="5"/>
  <c r="AR49" i="2"/>
  <c r="AH52" i="5"/>
  <c r="IE53" i="5"/>
  <c r="AH53" i="2"/>
  <c r="H51" i="5"/>
  <c r="G52" i="5"/>
  <c r="I51" i="5"/>
  <c r="U53" i="5"/>
  <c r="AR49" i="5"/>
  <c r="BA52" i="2"/>
  <c r="AZ53" i="2"/>
  <c r="CU53" i="2"/>
  <c r="U53" i="2"/>
  <c r="BX53" i="5"/>
  <c r="FM55" i="5"/>
  <c r="GY54" i="5"/>
  <c r="AA50" i="2"/>
  <c r="X52" i="2"/>
  <c r="CU53" i="5"/>
  <c r="AC51" i="2" l="1"/>
  <c r="J51" i="2"/>
  <c r="AA51" i="2"/>
  <c r="BA53" i="2"/>
  <c r="AZ54" i="2"/>
  <c r="AH53" i="5"/>
  <c r="Y51" i="5"/>
  <c r="U54" i="2"/>
  <c r="CU54" i="2"/>
  <c r="U54" i="5"/>
  <c r="H52" i="5"/>
  <c r="G53" i="5"/>
  <c r="I52" i="5"/>
  <c r="AH54" i="2"/>
  <c r="X53" i="5"/>
  <c r="GX59" i="2"/>
  <c r="GW59" i="2"/>
  <c r="FM60" i="2"/>
  <c r="GZ59" i="2"/>
  <c r="GV59" i="2"/>
  <c r="GY59" i="2"/>
  <c r="GU59" i="2"/>
  <c r="BX54" i="2"/>
  <c r="G53" i="2"/>
  <c r="I52" i="2"/>
  <c r="H52" i="2"/>
  <c r="AA52" i="2" s="1"/>
  <c r="AQ54" i="2"/>
  <c r="FM56" i="5"/>
  <c r="GY55" i="5"/>
  <c r="BX54" i="5"/>
  <c r="IE54" i="5"/>
  <c r="CC25" i="2"/>
  <c r="CC26" i="2"/>
  <c r="CC41" i="2"/>
  <c r="CC42" i="2"/>
  <c r="CC43" i="2"/>
  <c r="CC24" i="2"/>
  <c r="AC51" i="5"/>
  <c r="AQ53" i="5"/>
  <c r="CG54" i="2"/>
  <c r="BF55" i="5"/>
  <c r="BG54" i="5"/>
  <c r="BH54" i="5"/>
  <c r="BQ54" i="2"/>
  <c r="IE54" i="2"/>
  <c r="BJ54" i="5"/>
  <c r="CC36" i="5"/>
  <c r="CC37" i="5"/>
  <c r="CC35" i="5"/>
  <c r="CC34" i="5"/>
  <c r="AA51" i="5"/>
  <c r="BF54" i="2"/>
  <c r="BH53" i="2"/>
  <c r="BG53" i="2"/>
  <c r="A56" i="19"/>
  <c r="C55" i="19"/>
  <c r="E55" i="19"/>
  <c r="F55" i="19" s="1"/>
  <c r="B55" i="19"/>
  <c r="D55" i="19" s="1"/>
  <c r="CU54" i="5"/>
  <c r="Y52" i="2"/>
  <c r="X53" i="2"/>
  <c r="J51" i="5"/>
  <c r="BJ54" i="2"/>
  <c r="BA52" i="5"/>
  <c r="AZ53" i="5"/>
  <c r="AR51" i="2"/>
  <c r="CC39" i="2" s="1"/>
  <c r="BQ54" i="5"/>
  <c r="CG54" i="5"/>
  <c r="AC52" i="2" l="1"/>
  <c r="BQ55" i="5"/>
  <c r="B56" i="19"/>
  <c r="D56" i="19" s="1"/>
  <c r="E56" i="19"/>
  <c r="F56" i="19" s="1"/>
  <c r="A57" i="19"/>
  <c r="C56" i="19"/>
  <c r="BX55" i="2"/>
  <c r="AR51" i="5"/>
  <c r="CC27" i="2"/>
  <c r="BA53" i="5"/>
  <c r="AZ54" i="5"/>
  <c r="CU55" i="5"/>
  <c r="CC40" i="2"/>
  <c r="BH54" i="2"/>
  <c r="BF55" i="2"/>
  <c r="BG54" i="2"/>
  <c r="CG55" i="2"/>
  <c r="BX55" i="5"/>
  <c r="G54" i="2"/>
  <c r="I53" i="2"/>
  <c r="H53" i="2"/>
  <c r="Y53" i="2" s="1"/>
  <c r="AC52" i="5"/>
  <c r="H53" i="5"/>
  <c r="AC53" i="5" s="1"/>
  <c r="G54" i="5"/>
  <c r="I53" i="5"/>
  <c r="X54" i="5"/>
  <c r="U55" i="5"/>
  <c r="CU55" i="2"/>
  <c r="AC53" i="2"/>
  <c r="X54" i="2"/>
  <c r="BJ55" i="5"/>
  <c r="AQ54" i="5"/>
  <c r="IE55" i="5"/>
  <c r="FM61" i="2"/>
  <c r="GZ60" i="2"/>
  <c r="GV60" i="2"/>
  <c r="GY60" i="2"/>
  <c r="GU60" i="2"/>
  <c r="GX60" i="2"/>
  <c r="GW60" i="2"/>
  <c r="AH54" i="5"/>
  <c r="BJ55" i="2"/>
  <c r="CC45" i="2"/>
  <c r="BH55" i="5"/>
  <c r="BF56" i="5"/>
  <c r="BG55" i="5"/>
  <c r="FM57" i="5"/>
  <c r="GY56" i="5"/>
  <c r="AQ55" i="2"/>
  <c r="CG55" i="5"/>
  <c r="CC44" i="2"/>
  <c r="IE55" i="2"/>
  <c r="BQ55" i="2"/>
  <c r="J52" i="2"/>
  <c r="Y52" i="5"/>
  <c r="AA52" i="5"/>
  <c r="AH55" i="2"/>
  <c r="J52" i="5"/>
  <c r="U55" i="2"/>
  <c r="AZ55" i="2"/>
  <c r="BA54" i="2"/>
  <c r="AA53" i="2" l="1"/>
  <c r="AA53" i="5"/>
  <c r="Y53" i="5"/>
  <c r="J53" i="5"/>
  <c r="AR53" i="5" s="1"/>
  <c r="BH56" i="5"/>
  <c r="BF57" i="5"/>
  <c r="BG56" i="5"/>
  <c r="AH55" i="5"/>
  <c r="GX61" i="2"/>
  <c r="GW61" i="2"/>
  <c r="FM62" i="2"/>
  <c r="GZ61" i="2"/>
  <c r="GV61" i="2"/>
  <c r="GY61" i="2"/>
  <c r="GU61" i="2"/>
  <c r="AQ55" i="5"/>
  <c r="BX56" i="5"/>
  <c r="CC38" i="5"/>
  <c r="CC39" i="5"/>
  <c r="BX56" i="2"/>
  <c r="U56" i="2"/>
  <c r="BQ56" i="2"/>
  <c r="GW57" i="5"/>
  <c r="FM58" i="5"/>
  <c r="GZ57" i="5"/>
  <c r="GV57" i="5"/>
  <c r="GY57" i="5"/>
  <c r="GU57" i="5"/>
  <c r="GX57" i="5"/>
  <c r="CU56" i="2"/>
  <c r="BH55" i="2"/>
  <c r="BF56" i="2"/>
  <c r="BG55" i="2"/>
  <c r="AZ55" i="5"/>
  <c r="BA54" i="5"/>
  <c r="AZ56" i="2"/>
  <c r="BA55" i="2"/>
  <c r="AR52" i="5"/>
  <c r="CC41" i="5" s="1"/>
  <c r="AH56" i="2"/>
  <c r="BJ56" i="2"/>
  <c r="X55" i="2"/>
  <c r="G55" i="5"/>
  <c r="H54" i="5"/>
  <c r="I54" i="5"/>
  <c r="J53" i="2"/>
  <c r="CU56" i="5"/>
  <c r="E57" i="19"/>
  <c r="F57" i="19" s="1"/>
  <c r="A58" i="19"/>
  <c r="C57" i="19"/>
  <c r="B57" i="19"/>
  <c r="D57" i="19" s="1"/>
  <c r="AR52" i="2"/>
  <c r="IE56" i="2"/>
  <c r="CG56" i="5"/>
  <c r="AQ56" i="2"/>
  <c r="IE56" i="5"/>
  <c r="BJ56" i="5"/>
  <c r="U56" i="5"/>
  <c r="X55" i="5"/>
  <c r="I54" i="2"/>
  <c r="G55" i="2"/>
  <c r="H54" i="2"/>
  <c r="Y54" i="2" s="1"/>
  <c r="CG56" i="2"/>
  <c r="BQ56" i="5"/>
  <c r="AA54" i="2" l="1"/>
  <c r="I55" i="2"/>
  <c r="G56" i="2"/>
  <c r="H55" i="2"/>
  <c r="Y55" i="2" s="1"/>
  <c r="U57" i="5"/>
  <c r="AZ57" i="2"/>
  <c r="BA56" i="2"/>
  <c r="U57" i="2"/>
  <c r="BJ57" i="5"/>
  <c r="IE57" i="5"/>
  <c r="AR53" i="2"/>
  <c r="CC35" i="2" s="1"/>
  <c r="BJ57" i="2"/>
  <c r="CC42" i="5"/>
  <c r="CC43" i="5"/>
  <c r="AZ56" i="5"/>
  <c r="BA55" i="5"/>
  <c r="GY58" i="5"/>
  <c r="GU58" i="5"/>
  <c r="GX58" i="5"/>
  <c r="GW58" i="5"/>
  <c r="FM59" i="5"/>
  <c r="GZ58" i="5"/>
  <c r="GV58" i="5"/>
  <c r="AQ56" i="5"/>
  <c r="BQ57" i="5"/>
  <c r="X56" i="5"/>
  <c r="CG57" i="5"/>
  <c r="J54" i="5"/>
  <c r="X56" i="2"/>
  <c r="AA55" i="2"/>
  <c r="AH57" i="2"/>
  <c r="CU57" i="2"/>
  <c r="BQ57" i="2"/>
  <c r="BX57" i="2"/>
  <c r="FM63" i="2"/>
  <c r="GZ62" i="2"/>
  <c r="GV62" i="2"/>
  <c r="GY62" i="2"/>
  <c r="GU62" i="2"/>
  <c r="GX62" i="2"/>
  <c r="GW62" i="2"/>
  <c r="AQ57" i="2"/>
  <c r="BX57" i="5"/>
  <c r="Y54" i="5"/>
  <c r="CC46" i="2"/>
  <c r="CC28" i="2"/>
  <c r="CC37" i="2"/>
  <c r="CC38" i="2"/>
  <c r="CU57" i="5"/>
  <c r="CC40" i="5"/>
  <c r="CG57" i="2"/>
  <c r="J54" i="2"/>
  <c r="AC54" i="5"/>
  <c r="AA54" i="5"/>
  <c r="IE57" i="2"/>
  <c r="B58" i="19"/>
  <c r="D58" i="19" s="1"/>
  <c r="E58" i="19"/>
  <c r="F58" i="19" s="1"/>
  <c r="A59" i="19"/>
  <c r="C58" i="19"/>
  <c r="I55" i="5"/>
  <c r="G56" i="5"/>
  <c r="H55" i="5"/>
  <c r="Y55" i="5" s="1"/>
  <c r="AC54" i="2"/>
  <c r="BF57" i="2"/>
  <c r="BH56" i="2"/>
  <c r="BG56" i="2"/>
  <c r="AH56" i="5"/>
  <c r="BF58" i="5"/>
  <c r="BH57" i="5"/>
  <c r="BG57" i="5"/>
  <c r="CC36" i="2" l="1"/>
  <c r="CC47" i="2"/>
  <c r="AC55" i="2"/>
  <c r="AA55" i="5"/>
  <c r="CC29" i="2"/>
  <c r="CC30" i="2"/>
  <c r="I56" i="5"/>
  <c r="G57" i="5"/>
  <c r="H56" i="5"/>
  <c r="AA56" i="5" s="1"/>
  <c r="X57" i="2"/>
  <c r="BJ58" i="2"/>
  <c r="BO57" i="2"/>
  <c r="BK57" i="2"/>
  <c r="BN57" i="2"/>
  <c r="BM57" i="2"/>
  <c r="BL57" i="2"/>
  <c r="U58" i="2"/>
  <c r="CU58" i="2"/>
  <c r="FJ57" i="2"/>
  <c r="FF57" i="2"/>
  <c r="FA57" i="2"/>
  <c r="EW57" i="2"/>
  <c r="ER57" i="2"/>
  <c r="EN57" i="2"/>
  <c r="EE57" i="2"/>
  <c r="EA57" i="2"/>
  <c r="DW57" i="2"/>
  <c r="DS57" i="2"/>
  <c r="DO57" i="2"/>
  <c r="DK57" i="2"/>
  <c r="DG57" i="2"/>
  <c r="DC57" i="2"/>
  <c r="CY57" i="2"/>
  <c r="FI57" i="2"/>
  <c r="FE57" i="2"/>
  <c r="EZ57" i="2"/>
  <c r="EV57" i="2"/>
  <c r="EQ57" i="2"/>
  <c r="EM57" i="2"/>
  <c r="EH57" i="2"/>
  <c r="ED57" i="2"/>
  <c r="DZ57" i="2"/>
  <c r="DV57" i="2"/>
  <c r="DR57" i="2"/>
  <c r="DN57" i="2"/>
  <c r="DJ57" i="2"/>
  <c r="DF57" i="2"/>
  <c r="DB57" i="2"/>
  <c r="CX57" i="2"/>
  <c r="EU57" i="2"/>
  <c r="EL57" i="2"/>
  <c r="EC57" i="2"/>
  <c r="DU57" i="2"/>
  <c r="DM57" i="2"/>
  <c r="DE57" i="2"/>
  <c r="CW57" i="2"/>
  <c r="FK57" i="2"/>
  <c r="FB57" i="2"/>
  <c r="EK57" i="2"/>
  <c r="EB57" i="2"/>
  <c r="DT57" i="2"/>
  <c r="DL57" i="2"/>
  <c r="DD57" i="2"/>
  <c r="CV57" i="2"/>
  <c r="FH57" i="2"/>
  <c r="EY57" i="2"/>
  <c r="EP57" i="2"/>
  <c r="EG57" i="2"/>
  <c r="DY57" i="2"/>
  <c r="DQ57" i="2"/>
  <c r="DI57" i="2"/>
  <c r="DA57" i="2"/>
  <c r="FG57" i="2"/>
  <c r="EX57" i="2"/>
  <c r="EO57" i="2"/>
  <c r="EF57" i="2"/>
  <c r="DX57" i="2"/>
  <c r="DP57" i="2"/>
  <c r="DH57" i="2"/>
  <c r="CZ57" i="2"/>
  <c r="FK57" i="5"/>
  <c r="FG57" i="5"/>
  <c r="FB57" i="5"/>
  <c r="EX57" i="5"/>
  <c r="EO57" i="5"/>
  <c r="EK57" i="5"/>
  <c r="EF57" i="5"/>
  <c r="EB57" i="5"/>
  <c r="DX57" i="5"/>
  <c r="FJ57" i="5"/>
  <c r="FF57" i="5"/>
  <c r="FA57" i="5"/>
  <c r="EW57" i="5"/>
  <c r="ER57" i="5"/>
  <c r="EN57" i="5"/>
  <c r="EE57" i="5"/>
  <c r="EA57" i="5"/>
  <c r="DW57" i="5"/>
  <c r="FI57" i="5"/>
  <c r="FE57" i="5"/>
  <c r="EZ57" i="5"/>
  <c r="EV57" i="5"/>
  <c r="EQ57" i="5"/>
  <c r="EM57" i="5"/>
  <c r="EH57" i="5"/>
  <c r="ED57" i="5"/>
  <c r="DZ57" i="5"/>
  <c r="DV57" i="5"/>
  <c r="CU58" i="5"/>
  <c r="FH57" i="5"/>
  <c r="EY57" i="5"/>
  <c r="EU57" i="5"/>
  <c r="EP57" i="5"/>
  <c r="EL57" i="5"/>
  <c r="EG57" i="5"/>
  <c r="DU57" i="5"/>
  <c r="DQ57" i="5"/>
  <c r="DM57" i="5"/>
  <c r="DI57" i="5"/>
  <c r="DE57" i="5"/>
  <c r="DA57" i="5"/>
  <c r="CW57" i="5"/>
  <c r="DT57" i="5"/>
  <c r="DP57" i="5"/>
  <c r="DL57" i="5"/>
  <c r="DH57" i="5"/>
  <c r="DD57" i="5"/>
  <c r="CZ57" i="5"/>
  <c r="CV57" i="5"/>
  <c r="EC57" i="5"/>
  <c r="DS57" i="5"/>
  <c r="DO57" i="5"/>
  <c r="DK57" i="5"/>
  <c r="DG57" i="5"/>
  <c r="DC57" i="5"/>
  <c r="CY57" i="5"/>
  <c r="DY57" i="5"/>
  <c r="DR57" i="5"/>
  <c r="DN57" i="5"/>
  <c r="DJ57" i="5"/>
  <c r="DF57" i="5"/>
  <c r="DB57" i="5"/>
  <c r="CX57" i="5"/>
  <c r="AQ58" i="2"/>
  <c r="AX57" i="2"/>
  <c r="AW57" i="2"/>
  <c r="AT57" i="2"/>
  <c r="U58" i="5"/>
  <c r="J55" i="5"/>
  <c r="BX58" i="2"/>
  <c r="BY57" i="2"/>
  <c r="CB57" i="2"/>
  <c r="CA57" i="2"/>
  <c r="BZ57" i="2"/>
  <c r="AR54" i="5"/>
  <c r="X57" i="5"/>
  <c r="AQ57" i="5"/>
  <c r="IJ57" i="5"/>
  <c r="IF57" i="5"/>
  <c r="II57" i="5"/>
  <c r="IH57" i="5"/>
  <c r="IE58" i="5"/>
  <c r="IK57" i="5"/>
  <c r="IG57" i="5"/>
  <c r="AZ58" i="2"/>
  <c r="BA57" i="2"/>
  <c r="BF59" i="5"/>
  <c r="BH58" i="5"/>
  <c r="BG58" i="5"/>
  <c r="AH57" i="5"/>
  <c r="GX63" i="2"/>
  <c r="GW63" i="2"/>
  <c r="FM64" i="2"/>
  <c r="GZ63" i="2"/>
  <c r="GV63" i="2"/>
  <c r="GY63" i="2"/>
  <c r="GU63" i="2"/>
  <c r="BT57" i="2"/>
  <c r="BQ58" i="2"/>
  <c r="BS57" i="2"/>
  <c r="BR57" i="2"/>
  <c r="BV57" i="2"/>
  <c r="BU57" i="2"/>
  <c r="AH58" i="2"/>
  <c r="AO57" i="2"/>
  <c r="AN57" i="2"/>
  <c r="AK57" i="2"/>
  <c r="AZ57" i="5"/>
  <c r="BA56" i="5"/>
  <c r="J55" i="2"/>
  <c r="A60" i="19"/>
  <c r="C59" i="19"/>
  <c r="B59" i="19"/>
  <c r="D59" i="19" s="1"/>
  <c r="E59" i="19"/>
  <c r="F59" i="19" s="1"/>
  <c r="IE58" i="2"/>
  <c r="II57" i="2"/>
  <c r="IH57" i="2"/>
  <c r="IK57" i="2"/>
  <c r="IJ57" i="2"/>
  <c r="IG57" i="2"/>
  <c r="IF57" i="2"/>
  <c r="AR54" i="2"/>
  <c r="CC32" i="2" s="1"/>
  <c r="CG58" i="2"/>
  <c r="CL57" i="2"/>
  <c r="CH57" i="2"/>
  <c r="CK57" i="2"/>
  <c r="CJ57" i="2"/>
  <c r="CI57" i="2"/>
  <c r="CM57" i="2"/>
  <c r="BX58" i="5"/>
  <c r="CA57" i="5"/>
  <c r="BZ57" i="5"/>
  <c r="BY57" i="5"/>
  <c r="CB57" i="5"/>
  <c r="CG58" i="5"/>
  <c r="CJ57" i="5"/>
  <c r="CM57" i="5"/>
  <c r="CI57" i="5"/>
  <c r="CL57" i="5"/>
  <c r="CH57" i="5"/>
  <c r="CK57" i="5"/>
  <c r="AC55" i="5"/>
  <c r="BQ58" i="5"/>
  <c r="BV57" i="5"/>
  <c r="BR57" i="5"/>
  <c r="BU57" i="5"/>
  <c r="BT57" i="5"/>
  <c r="BS57" i="5"/>
  <c r="GW59" i="5"/>
  <c r="FM60" i="5"/>
  <c r="GZ59" i="5"/>
  <c r="GV59" i="5"/>
  <c r="GY59" i="5"/>
  <c r="GU59" i="5"/>
  <c r="GX59" i="5"/>
  <c r="BJ58" i="5"/>
  <c r="BM57" i="5"/>
  <c r="BL57" i="5"/>
  <c r="BO57" i="5"/>
  <c r="BK57" i="5"/>
  <c r="BN57" i="5"/>
  <c r="I56" i="2"/>
  <c r="G57" i="2"/>
  <c r="H56" i="2"/>
  <c r="BF58" i="2"/>
  <c r="BH57" i="2"/>
  <c r="BG57" i="2"/>
  <c r="CC33" i="2" l="1"/>
  <c r="AB50" i="5"/>
  <c r="AB49" i="5"/>
  <c r="AB51" i="5"/>
  <c r="Y56" i="5"/>
  <c r="Z48" i="5" s="1"/>
  <c r="AE48" i="5" s="1"/>
  <c r="AC56" i="5"/>
  <c r="AD53" i="5" s="1"/>
  <c r="CC48" i="2"/>
  <c r="CC31" i="2"/>
  <c r="CC34" i="2"/>
  <c r="AB52" i="5"/>
  <c r="AB54" i="5"/>
  <c r="AB53" i="5"/>
  <c r="AB56" i="5"/>
  <c r="BN58" i="5"/>
  <c r="BM58" i="5"/>
  <c r="BJ59" i="5"/>
  <c r="BL58" i="5"/>
  <c r="BO58" i="5"/>
  <c r="BK58" i="5"/>
  <c r="AZ58" i="5"/>
  <c r="BA57" i="5"/>
  <c r="AH58" i="5"/>
  <c r="AO57" i="5"/>
  <c r="AK57" i="5"/>
  <c r="AN57" i="5"/>
  <c r="AD10" i="5"/>
  <c r="AD14" i="5"/>
  <c r="AD12" i="5"/>
  <c r="AD15" i="5"/>
  <c r="AD18" i="5"/>
  <c r="AD19" i="5"/>
  <c r="AD23" i="5"/>
  <c r="AD24" i="5"/>
  <c r="AD29" i="5"/>
  <c r="AD28" i="5"/>
  <c r="AD30" i="5"/>
  <c r="AD32" i="5"/>
  <c r="AD33" i="5"/>
  <c r="AD35" i="5"/>
  <c r="AD41" i="5"/>
  <c r="AD39" i="5"/>
  <c r="AD43" i="5"/>
  <c r="AD45" i="5"/>
  <c r="AD47" i="5"/>
  <c r="AD49" i="5"/>
  <c r="AD50" i="5"/>
  <c r="U59" i="2"/>
  <c r="G58" i="5"/>
  <c r="I57" i="5"/>
  <c r="H57" i="5"/>
  <c r="Y57" i="5" s="1"/>
  <c r="AR55" i="2"/>
  <c r="CC49" i="2" s="1"/>
  <c r="AM58" i="2"/>
  <c r="AL58" i="2"/>
  <c r="AO58" i="2"/>
  <c r="AK58" i="2"/>
  <c r="AH59" i="2"/>
  <c r="AN58" i="2"/>
  <c r="AJ58" i="2"/>
  <c r="AI58" i="2"/>
  <c r="AQ58" i="5"/>
  <c r="AX57" i="5"/>
  <c r="AT57" i="5"/>
  <c r="AW57" i="5"/>
  <c r="X58" i="5"/>
  <c r="AF57" i="5"/>
  <c r="AB57" i="5"/>
  <c r="AE57" i="5"/>
  <c r="AA57" i="5"/>
  <c r="AD57" i="5"/>
  <c r="Z57" i="5"/>
  <c r="AC57" i="5"/>
  <c r="BY58" i="2"/>
  <c r="CB58" i="2"/>
  <c r="CE58" i="2"/>
  <c r="CA58" i="2"/>
  <c r="BX59" i="2"/>
  <c r="BZ58" i="2"/>
  <c r="H57" i="2"/>
  <c r="G58" i="2"/>
  <c r="I57" i="2"/>
  <c r="BQ59" i="5"/>
  <c r="BS58" i="5"/>
  <c r="BV58" i="5"/>
  <c r="BR58" i="5"/>
  <c r="BU58" i="5"/>
  <c r="BT58" i="5"/>
  <c r="BT58" i="2"/>
  <c r="BQ59" i="2"/>
  <c r="BS58" i="2"/>
  <c r="BV58" i="2"/>
  <c r="BR58" i="2"/>
  <c r="BU58" i="2"/>
  <c r="IL58" i="5"/>
  <c r="IH58" i="5"/>
  <c r="IE59" i="5"/>
  <c r="IK58" i="5"/>
  <c r="IG58" i="5"/>
  <c r="IJ58" i="5"/>
  <c r="IF58" i="5"/>
  <c r="II58" i="5"/>
  <c r="CC45" i="5"/>
  <c r="CC44" i="5"/>
  <c r="Z54" i="5"/>
  <c r="AE54" i="5" s="1"/>
  <c r="U59" i="5"/>
  <c r="FJ58" i="2"/>
  <c r="FF58" i="2"/>
  <c r="FA58" i="2"/>
  <c r="EW58" i="2"/>
  <c r="ER58" i="2"/>
  <c r="EN58" i="2"/>
  <c r="EE58" i="2"/>
  <c r="EA58" i="2"/>
  <c r="DW58" i="2"/>
  <c r="DS58" i="2"/>
  <c r="DO58" i="2"/>
  <c r="DK58" i="2"/>
  <c r="DG58" i="2"/>
  <c r="DC58" i="2"/>
  <c r="CY58" i="2"/>
  <c r="FI58" i="2"/>
  <c r="FE58" i="2"/>
  <c r="EZ58" i="2"/>
  <c r="EV58" i="2"/>
  <c r="EQ58" i="2"/>
  <c r="EM58" i="2"/>
  <c r="EH58" i="2"/>
  <c r="ED58" i="2"/>
  <c r="DZ58" i="2"/>
  <c r="DV58" i="2"/>
  <c r="DR58" i="2"/>
  <c r="DN58" i="2"/>
  <c r="DJ58" i="2"/>
  <c r="DF58" i="2"/>
  <c r="DB58" i="2"/>
  <c r="CX58" i="2"/>
  <c r="CU59" i="2"/>
  <c r="FH58" i="2"/>
  <c r="EY58" i="2"/>
  <c r="EU58" i="2"/>
  <c r="EP58" i="2"/>
  <c r="EL58" i="2"/>
  <c r="EG58" i="2"/>
  <c r="EC58" i="2"/>
  <c r="DY58" i="2"/>
  <c r="DU58" i="2"/>
  <c r="DQ58" i="2"/>
  <c r="DM58" i="2"/>
  <c r="DI58" i="2"/>
  <c r="DE58" i="2"/>
  <c r="DA58" i="2"/>
  <c r="CW58" i="2"/>
  <c r="FK58" i="2"/>
  <c r="FG58" i="2"/>
  <c r="FB58" i="2"/>
  <c r="EX58" i="2"/>
  <c r="EO58" i="2"/>
  <c r="EK58" i="2"/>
  <c r="EF58" i="2"/>
  <c r="EB58" i="2"/>
  <c r="DX58" i="2"/>
  <c r="DT58" i="2"/>
  <c r="DP58" i="2"/>
  <c r="DL58" i="2"/>
  <c r="DH58" i="2"/>
  <c r="DD58" i="2"/>
  <c r="CZ58" i="2"/>
  <c r="CV58" i="2"/>
  <c r="X58" i="2"/>
  <c r="AE57" i="2"/>
  <c r="AA57" i="2"/>
  <c r="AD57" i="2"/>
  <c r="Z57" i="2"/>
  <c r="AC57" i="2"/>
  <c r="Y57" i="2"/>
  <c r="AF57" i="2"/>
  <c r="AB57" i="2"/>
  <c r="J56" i="5"/>
  <c r="CL58" i="2"/>
  <c r="CH58" i="2"/>
  <c r="CK58" i="2"/>
  <c r="CN58" i="2"/>
  <c r="CJ58" i="2"/>
  <c r="CG59" i="2"/>
  <c r="CM58" i="2"/>
  <c r="CI58" i="2"/>
  <c r="FM65" i="2"/>
  <c r="GZ64" i="2"/>
  <c r="GV64" i="2"/>
  <c r="GY64" i="2"/>
  <c r="GU64" i="2"/>
  <c r="GX64" i="2"/>
  <c r="GW64" i="2"/>
  <c r="BG59" i="5"/>
  <c r="BF60" i="5"/>
  <c r="BH59" i="5"/>
  <c r="AX58" i="2"/>
  <c r="AT58" i="2"/>
  <c r="AQ59" i="2"/>
  <c r="AW58" i="2"/>
  <c r="Y56" i="2"/>
  <c r="AD51" i="5"/>
  <c r="AR55" i="5"/>
  <c r="CC46" i="5" s="1"/>
  <c r="AC56" i="2"/>
  <c r="AA56" i="2"/>
  <c r="BF59" i="2"/>
  <c r="BH58" i="2"/>
  <c r="BG58" i="2"/>
  <c r="J56" i="2"/>
  <c r="GY60" i="5"/>
  <c r="GU60" i="5"/>
  <c r="GX60" i="5"/>
  <c r="GW60" i="5"/>
  <c r="FM61" i="5"/>
  <c r="GZ60" i="5"/>
  <c r="GV60" i="5"/>
  <c r="CK58" i="5"/>
  <c r="CN58" i="5"/>
  <c r="CJ58" i="5"/>
  <c r="CG59" i="5"/>
  <c r="CM58" i="5"/>
  <c r="CI58" i="5"/>
  <c r="CL58" i="5"/>
  <c r="CH58" i="5"/>
  <c r="CB58" i="5"/>
  <c r="CE58" i="5"/>
  <c r="CA58" i="5"/>
  <c r="BX59" i="5"/>
  <c r="BZ58" i="5"/>
  <c r="BY58" i="5"/>
  <c r="II58" i="2"/>
  <c r="IL58" i="2"/>
  <c r="IH58" i="2"/>
  <c r="IE59" i="2"/>
  <c r="IK58" i="2"/>
  <c r="IG58" i="2"/>
  <c r="IJ58" i="2"/>
  <c r="IF58" i="2"/>
  <c r="B60" i="19"/>
  <c r="D60" i="19" s="1"/>
  <c r="E60" i="19"/>
  <c r="F60" i="19" s="1"/>
  <c r="C60" i="19"/>
  <c r="A61" i="19"/>
  <c r="BA58" i="2"/>
  <c r="AZ59" i="2"/>
  <c r="AB9" i="5"/>
  <c r="AB10" i="5"/>
  <c r="AB12" i="5"/>
  <c r="AB13" i="5"/>
  <c r="AB11" i="5"/>
  <c r="AB15" i="5"/>
  <c r="AB16" i="5"/>
  <c r="AB14" i="5"/>
  <c r="AB17" i="5"/>
  <c r="AB18" i="5"/>
  <c r="AB19" i="5"/>
  <c r="AB21" i="5"/>
  <c r="AB23" i="5"/>
  <c r="AB20" i="5"/>
  <c r="AB22" i="5"/>
  <c r="AB26" i="5"/>
  <c r="AB24" i="5"/>
  <c r="AB25" i="5"/>
  <c r="AB27" i="5"/>
  <c r="AB30" i="5"/>
  <c r="AB35" i="5"/>
  <c r="AB28" i="5"/>
  <c r="AB29" i="5"/>
  <c r="AB33" i="5"/>
  <c r="AB31" i="5"/>
  <c r="AB32" i="5"/>
  <c r="AB36" i="5"/>
  <c r="AB34" i="5"/>
  <c r="AB37" i="5"/>
  <c r="AB38" i="5"/>
  <c r="AB39" i="5"/>
  <c r="AB42" i="5"/>
  <c r="AB40" i="5"/>
  <c r="AB43" i="5"/>
  <c r="AB41" i="5"/>
  <c r="AB44" i="5"/>
  <c r="AB45" i="5"/>
  <c r="AB47" i="5"/>
  <c r="AB46" i="5"/>
  <c r="AB48" i="5"/>
  <c r="Z19" i="5"/>
  <c r="AE19" i="5" s="1"/>
  <c r="Z22" i="5"/>
  <c r="AE22" i="5" s="1"/>
  <c r="Z31" i="5"/>
  <c r="AE31" i="5" s="1"/>
  <c r="Z40" i="5"/>
  <c r="AE40" i="5" s="1"/>
  <c r="Z52" i="5"/>
  <c r="AE52" i="5" s="1"/>
  <c r="AB55" i="5"/>
  <c r="FI58" i="5"/>
  <c r="FE58" i="5"/>
  <c r="EZ58" i="5"/>
  <c r="EV58" i="5"/>
  <c r="EQ58" i="5"/>
  <c r="EM58" i="5"/>
  <c r="EH58" i="5"/>
  <c r="ED58" i="5"/>
  <c r="DZ58" i="5"/>
  <c r="DV58" i="5"/>
  <c r="DR58" i="5"/>
  <c r="DN58" i="5"/>
  <c r="DJ58" i="5"/>
  <c r="DF58" i="5"/>
  <c r="DB58" i="5"/>
  <c r="CX58" i="5"/>
  <c r="CU59" i="5"/>
  <c r="FH58" i="5"/>
  <c r="EY58" i="5"/>
  <c r="EU58" i="5"/>
  <c r="EP58" i="5"/>
  <c r="EL58" i="5"/>
  <c r="EG58" i="5"/>
  <c r="EC58" i="5"/>
  <c r="DY58" i="5"/>
  <c r="DU58" i="5"/>
  <c r="DQ58" i="5"/>
  <c r="DM58" i="5"/>
  <c r="DI58" i="5"/>
  <c r="DE58" i="5"/>
  <c r="DA58" i="5"/>
  <c r="CW58" i="5"/>
  <c r="FK58" i="5"/>
  <c r="FG58" i="5"/>
  <c r="FB58" i="5"/>
  <c r="EX58" i="5"/>
  <c r="EO58" i="5"/>
  <c r="EK58" i="5"/>
  <c r="EF58" i="5"/>
  <c r="EB58" i="5"/>
  <c r="DX58" i="5"/>
  <c r="DT58" i="5"/>
  <c r="DP58" i="5"/>
  <c r="DL58" i="5"/>
  <c r="DH58" i="5"/>
  <c r="DD58" i="5"/>
  <c r="CZ58" i="5"/>
  <c r="CV58" i="5"/>
  <c r="FJ58" i="5"/>
  <c r="FF58" i="5"/>
  <c r="FA58" i="5"/>
  <c r="EW58" i="5"/>
  <c r="ER58" i="5"/>
  <c r="EN58" i="5"/>
  <c r="EE58" i="5"/>
  <c r="EA58" i="5"/>
  <c r="DW58" i="5"/>
  <c r="DS58" i="5"/>
  <c r="DO58" i="5"/>
  <c r="DK58" i="5"/>
  <c r="DG58" i="5"/>
  <c r="DC58" i="5"/>
  <c r="CY58" i="5"/>
  <c r="BO58" i="2"/>
  <c r="BK58" i="2"/>
  <c r="BN58" i="2"/>
  <c r="BM58" i="2"/>
  <c r="BJ59" i="2"/>
  <c r="BL58" i="2"/>
  <c r="AD54" i="5"/>
  <c r="Z45" i="5" l="1"/>
  <c r="AE45" i="5" s="1"/>
  <c r="Z32" i="5"/>
  <c r="AE32" i="5" s="1"/>
  <c r="AF32" i="5" s="1"/>
  <c r="Z10" i="5"/>
  <c r="AE10" i="5" s="1"/>
  <c r="AF10" i="5" s="1"/>
  <c r="Z38" i="5"/>
  <c r="AE38" i="5" s="1"/>
  <c r="AF38" i="5" s="1"/>
  <c r="Z21" i="5"/>
  <c r="AE21" i="5" s="1"/>
  <c r="Z49" i="5"/>
  <c r="AE49" i="5" s="1"/>
  <c r="AF49" i="5" s="1"/>
  <c r="Z39" i="5"/>
  <c r="AE39" i="5" s="1"/>
  <c r="AF39" i="5" s="1"/>
  <c r="Z27" i="5"/>
  <c r="AE27" i="5" s="1"/>
  <c r="AF27" i="5" s="1"/>
  <c r="Z24" i="5"/>
  <c r="AE24" i="5" s="1"/>
  <c r="AF24" i="5" s="1"/>
  <c r="Z12" i="5"/>
  <c r="AE12" i="5" s="1"/>
  <c r="AF12" i="5" s="1"/>
  <c r="Z55" i="5"/>
  <c r="AE55" i="5" s="1"/>
  <c r="AF55" i="5" s="1"/>
  <c r="Z47" i="5"/>
  <c r="AE47" i="5" s="1"/>
  <c r="AF47" i="5" s="1"/>
  <c r="Z37" i="5"/>
  <c r="AE37" i="5" s="1"/>
  <c r="AF37" i="5" s="1"/>
  <c r="Z29" i="5"/>
  <c r="AE29" i="5" s="1"/>
  <c r="AF29" i="5" s="1"/>
  <c r="Z15" i="5"/>
  <c r="AE15" i="5" s="1"/>
  <c r="AF15" i="5" s="1"/>
  <c r="Z13" i="5"/>
  <c r="AE13" i="5" s="1"/>
  <c r="AF13" i="5" s="1"/>
  <c r="Z41" i="5"/>
  <c r="AE41" i="5" s="1"/>
  <c r="AF41" i="5" s="1"/>
  <c r="Z36" i="5"/>
  <c r="AE36" i="5" s="1"/>
  <c r="AF36" i="5" s="1"/>
  <c r="Z25" i="5"/>
  <c r="AE25" i="5" s="1"/>
  <c r="AF25" i="5" s="1"/>
  <c r="Z16" i="5"/>
  <c r="AE16" i="5" s="1"/>
  <c r="AF16" i="5" s="1"/>
  <c r="Z14" i="5"/>
  <c r="AE14" i="5" s="1"/>
  <c r="AF14" i="5" s="1"/>
  <c r="Z42" i="5"/>
  <c r="AE42" i="5" s="1"/>
  <c r="AF42" i="5" s="1"/>
  <c r="Z34" i="5"/>
  <c r="AE34" i="5" s="1"/>
  <c r="AF34" i="5" s="1"/>
  <c r="Z28" i="5"/>
  <c r="AE28" i="5" s="1"/>
  <c r="AF28" i="5" s="1"/>
  <c r="Z23" i="5"/>
  <c r="AE23" i="5" s="1"/>
  <c r="AF23" i="5" s="1"/>
  <c r="Z18" i="5"/>
  <c r="AE18" i="5" s="1"/>
  <c r="Z46" i="5"/>
  <c r="AE46" i="5" s="1"/>
  <c r="AF46" i="5" s="1"/>
  <c r="Z44" i="5"/>
  <c r="AE44" i="5" s="1"/>
  <c r="AF44" i="5" s="1"/>
  <c r="Z43" i="5"/>
  <c r="AE43" i="5" s="1"/>
  <c r="AF43" i="5" s="1"/>
  <c r="Z35" i="5"/>
  <c r="AE35" i="5" s="1"/>
  <c r="AF35" i="5" s="1"/>
  <c r="Z33" i="5"/>
  <c r="AE33" i="5" s="1"/>
  <c r="AF33" i="5" s="1"/>
  <c r="Z30" i="5"/>
  <c r="AE30" i="5" s="1"/>
  <c r="AF30" i="5" s="1"/>
  <c r="Z26" i="5"/>
  <c r="AE26" i="5" s="1"/>
  <c r="AF26" i="5" s="1"/>
  <c r="Z20" i="5"/>
  <c r="AE20" i="5" s="1"/>
  <c r="AF20" i="5" s="1"/>
  <c r="Z17" i="5"/>
  <c r="AE17" i="5" s="1"/>
  <c r="AF17" i="5" s="1"/>
  <c r="Z11" i="5"/>
  <c r="AE11" i="5" s="1"/>
  <c r="AF11" i="5" s="1"/>
  <c r="Z9" i="5"/>
  <c r="AE9" i="5" s="1"/>
  <c r="AF9" i="5" s="1"/>
  <c r="Z51" i="5"/>
  <c r="AE51" i="5" s="1"/>
  <c r="AF51" i="5" s="1"/>
  <c r="AD48" i="5"/>
  <c r="AD44" i="5"/>
  <c r="AD42" i="5"/>
  <c r="AD37" i="5"/>
  <c r="AD34" i="5"/>
  <c r="AD27" i="5"/>
  <c r="AD26" i="5"/>
  <c r="AD22" i="5"/>
  <c r="AD16" i="5"/>
  <c r="AD13" i="5"/>
  <c r="AD9" i="5"/>
  <c r="Z50" i="5"/>
  <c r="AE50" i="5" s="1"/>
  <c r="AF50" i="5" s="1"/>
  <c r="Z53" i="5"/>
  <c r="AE53" i="5" s="1"/>
  <c r="AF53" i="5" s="1"/>
  <c r="Z56" i="5"/>
  <c r="AE56" i="5" s="1"/>
  <c r="AF56" i="5" s="1"/>
  <c r="AD55" i="5"/>
  <c r="AD56" i="5"/>
  <c r="AD52" i="5"/>
  <c r="J57" i="5"/>
  <c r="AR57" i="5" s="1"/>
  <c r="AD46" i="5"/>
  <c r="AD40" i="5"/>
  <c r="AD38" i="5"/>
  <c r="AD36" i="5"/>
  <c r="AD31" i="5"/>
  <c r="AD25" i="5"/>
  <c r="AD21" i="5"/>
  <c r="AD20" i="5"/>
  <c r="AD17" i="5"/>
  <c r="AD11" i="5"/>
  <c r="J57" i="2"/>
  <c r="L57" i="2" s="1"/>
  <c r="AF48" i="5"/>
  <c r="AD9" i="2"/>
  <c r="AD12" i="2"/>
  <c r="AD10" i="2"/>
  <c r="AD11" i="2"/>
  <c r="AD15" i="2"/>
  <c r="AD17" i="2"/>
  <c r="AD13" i="2"/>
  <c r="AD14" i="2"/>
  <c r="AD16" i="2"/>
  <c r="AD18" i="2"/>
  <c r="AD19" i="2"/>
  <c r="AD20" i="2"/>
  <c r="AD21" i="2"/>
  <c r="AD22" i="2"/>
  <c r="AD27" i="2"/>
  <c r="AD24" i="2"/>
  <c r="AD25" i="2"/>
  <c r="AD23" i="2"/>
  <c r="AD26" i="2"/>
  <c r="AD30" i="2"/>
  <c r="AD29" i="2"/>
  <c r="AD28" i="2"/>
  <c r="AD31" i="2"/>
  <c r="AD33" i="2"/>
  <c r="AD32" i="2"/>
  <c r="AD34" i="2"/>
  <c r="AD36" i="2"/>
  <c r="AD37" i="2"/>
  <c r="AD35" i="2"/>
  <c r="AD38" i="2"/>
  <c r="AD39" i="2"/>
  <c r="AD41" i="2"/>
  <c r="AD43" i="2"/>
  <c r="AD40" i="2"/>
  <c r="AD45" i="2"/>
  <c r="AD44" i="2"/>
  <c r="AD42" i="2"/>
  <c r="AD47" i="2"/>
  <c r="AD46" i="2"/>
  <c r="AD50" i="2"/>
  <c r="AD48" i="2"/>
  <c r="AD49" i="2"/>
  <c r="AD55" i="2"/>
  <c r="AD52" i="2"/>
  <c r="AD53" i="2"/>
  <c r="AD51" i="2"/>
  <c r="AD54" i="2"/>
  <c r="AD56" i="2"/>
  <c r="AX59" i="2"/>
  <c r="AT59" i="2"/>
  <c r="AQ60" i="2"/>
  <c r="AW59" i="2"/>
  <c r="BJ60" i="5"/>
  <c r="BL59" i="5"/>
  <c r="BO59" i="5"/>
  <c r="BK59" i="5"/>
  <c r="BN59" i="5"/>
  <c r="BM59" i="5"/>
  <c r="BF60" i="2"/>
  <c r="BH59" i="2"/>
  <c r="BG59" i="2"/>
  <c r="X59" i="2"/>
  <c r="AC58" i="2"/>
  <c r="Y58" i="2"/>
  <c r="AF58" i="2"/>
  <c r="AB58" i="2"/>
  <c r="AE58" i="2"/>
  <c r="AA58" i="2"/>
  <c r="AD58" i="2"/>
  <c r="Z58" i="2"/>
  <c r="BM59" i="2"/>
  <c r="BJ60" i="2"/>
  <c r="BL59" i="2"/>
  <c r="BO59" i="2"/>
  <c r="BK59" i="2"/>
  <c r="BN59" i="2"/>
  <c r="AF52" i="5"/>
  <c r="FK59" i="5"/>
  <c r="FG59" i="5"/>
  <c r="FB59" i="5"/>
  <c r="EX59" i="5"/>
  <c r="EO59" i="5"/>
  <c r="EK59" i="5"/>
  <c r="EF59" i="5"/>
  <c r="EB59" i="5"/>
  <c r="DX59" i="5"/>
  <c r="DT59" i="5"/>
  <c r="DP59" i="5"/>
  <c r="DL59" i="5"/>
  <c r="DH59" i="5"/>
  <c r="DD59" i="5"/>
  <c r="CZ59" i="5"/>
  <c r="CV59" i="5"/>
  <c r="FJ59" i="5"/>
  <c r="FF59" i="5"/>
  <c r="FA59" i="5"/>
  <c r="EW59" i="5"/>
  <c r="ER59" i="5"/>
  <c r="EN59" i="5"/>
  <c r="EE59" i="5"/>
  <c r="EA59" i="5"/>
  <c r="DW59" i="5"/>
  <c r="DS59" i="5"/>
  <c r="DO59" i="5"/>
  <c r="DK59" i="5"/>
  <c r="DG59" i="5"/>
  <c r="DC59" i="5"/>
  <c r="CY59" i="5"/>
  <c r="FI59" i="5"/>
  <c r="FE59" i="5"/>
  <c r="EZ59" i="5"/>
  <c r="EV59" i="5"/>
  <c r="EQ59" i="5"/>
  <c r="EM59" i="5"/>
  <c r="EH59" i="5"/>
  <c r="ED59" i="5"/>
  <c r="DZ59" i="5"/>
  <c r="DV59" i="5"/>
  <c r="DR59" i="5"/>
  <c r="DN59" i="5"/>
  <c r="DJ59" i="5"/>
  <c r="DF59" i="5"/>
  <c r="DB59" i="5"/>
  <c r="CX59" i="5"/>
  <c r="CU60" i="5"/>
  <c r="FH59" i="5"/>
  <c r="EY59" i="5"/>
  <c r="EU59" i="5"/>
  <c r="EP59" i="5"/>
  <c r="EL59" i="5"/>
  <c r="EG59" i="5"/>
  <c r="EC59" i="5"/>
  <c r="DY59" i="5"/>
  <c r="DU59" i="5"/>
  <c r="DQ59" i="5"/>
  <c r="DM59" i="5"/>
  <c r="DI59" i="5"/>
  <c r="DE59" i="5"/>
  <c r="DA59" i="5"/>
  <c r="CW59" i="5"/>
  <c r="AF45" i="5"/>
  <c r="AF40" i="5"/>
  <c r="AF31" i="5"/>
  <c r="AF22" i="5"/>
  <c r="AF21" i="5"/>
  <c r="AF19" i="5"/>
  <c r="AZ60" i="2"/>
  <c r="BA59" i="2"/>
  <c r="E61" i="19"/>
  <c r="F61" i="19" s="1"/>
  <c r="A62" i="19"/>
  <c r="C61" i="19"/>
  <c r="B61" i="19"/>
  <c r="D61" i="19" s="1"/>
  <c r="IE60" i="2"/>
  <c r="IK59" i="2"/>
  <c r="IG59" i="2"/>
  <c r="IJ59" i="2"/>
  <c r="IF59" i="2"/>
  <c r="II59" i="2"/>
  <c r="IL59" i="2"/>
  <c r="IH59" i="2"/>
  <c r="AB9" i="2"/>
  <c r="AB12" i="2"/>
  <c r="AB14" i="2"/>
  <c r="AB10" i="2"/>
  <c r="AB11" i="2"/>
  <c r="AB13" i="2"/>
  <c r="AB16" i="2"/>
  <c r="AB15" i="2"/>
  <c r="AB19" i="2"/>
  <c r="AB18" i="2"/>
  <c r="AB17" i="2"/>
  <c r="AB20" i="2"/>
  <c r="AB21" i="2"/>
  <c r="AB24" i="2"/>
  <c r="AB23" i="2"/>
  <c r="AB22" i="2"/>
  <c r="AB26" i="2"/>
  <c r="AB27" i="2"/>
  <c r="AB25" i="2"/>
  <c r="AB28" i="2"/>
  <c r="AB29" i="2"/>
  <c r="AB30" i="2"/>
  <c r="AB31" i="2"/>
  <c r="AB32" i="2"/>
  <c r="AB33" i="2"/>
  <c r="AB36" i="2"/>
  <c r="AB35" i="2"/>
  <c r="AB34" i="2"/>
  <c r="AB37" i="2"/>
  <c r="AB39" i="2"/>
  <c r="AB38" i="2"/>
  <c r="AB42" i="2"/>
  <c r="AB40" i="2"/>
  <c r="AB44" i="2"/>
  <c r="AB41" i="2"/>
  <c r="AB45" i="2"/>
  <c r="AB46" i="2"/>
  <c r="AB43" i="2"/>
  <c r="AB47" i="2"/>
  <c r="AB51" i="2"/>
  <c r="AB48" i="2"/>
  <c r="AB50" i="2"/>
  <c r="AB55" i="2"/>
  <c r="AB52" i="2"/>
  <c r="AB56" i="2"/>
  <c r="AB49" i="2"/>
  <c r="AB53" i="2"/>
  <c r="AB54" i="2"/>
  <c r="AR56" i="5"/>
  <c r="AT54" i="5" s="1"/>
  <c r="U60" i="5"/>
  <c r="BV59" i="2"/>
  <c r="BR59" i="2"/>
  <c r="BU59" i="2"/>
  <c r="BT59" i="2"/>
  <c r="BQ60" i="2"/>
  <c r="BS59" i="2"/>
  <c r="BU59" i="5"/>
  <c r="BT59" i="5"/>
  <c r="BQ60" i="5"/>
  <c r="BS59" i="5"/>
  <c r="BV59" i="5"/>
  <c r="BR59" i="5"/>
  <c r="AX58" i="5"/>
  <c r="AT58" i="5"/>
  <c r="AQ59" i="5"/>
  <c r="AW58" i="5"/>
  <c r="AO59" i="2"/>
  <c r="AK59" i="2"/>
  <c r="AH60" i="2"/>
  <c r="AN59" i="2"/>
  <c r="AJ59" i="2"/>
  <c r="AM59" i="2"/>
  <c r="AI59" i="2"/>
  <c r="AL59" i="2"/>
  <c r="U60" i="2"/>
  <c r="GW61" i="5"/>
  <c r="FM62" i="5"/>
  <c r="GZ61" i="5"/>
  <c r="GV61" i="5"/>
  <c r="GY61" i="5"/>
  <c r="GU61" i="5"/>
  <c r="GX61" i="5"/>
  <c r="AF54" i="5"/>
  <c r="AF18" i="5"/>
  <c r="CE59" i="2"/>
  <c r="CA59" i="2"/>
  <c r="BX60" i="2"/>
  <c r="BZ59" i="2"/>
  <c r="BY59" i="2"/>
  <c r="CB59" i="2"/>
  <c r="J58" i="5"/>
  <c r="L58" i="5" s="1"/>
  <c r="G59" i="5"/>
  <c r="I58" i="5"/>
  <c r="H58" i="5"/>
  <c r="AZ59" i="5"/>
  <c r="BA58" i="5"/>
  <c r="BX60" i="5"/>
  <c r="BZ59" i="5"/>
  <c r="BY59" i="5"/>
  <c r="CB59" i="5"/>
  <c r="CE59" i="5"/>
  <c r="CA59" i="5"/>
  <c r="CG60" i="5"/>
  <c r="CM59" i="5"/>
  <c r="CI59" i="5"/>
  <c r="CL59" i="5"/>
  <c r="CH59" i="5"/>
  <c r="CK59" i="5"/>
  <c r="CN59" i="5"/>
  <c r="CJ59" i="5"/>
  <c r="CN59" i="2"/>
  <c r="CJ59" i="2"/>
  <c r="CG60" i="2"/>
  <c r="CM59" i="2"/>
  <c r="CI59" i="2"/>
  <c r="CL59" i="2"/>
  <c r="CH59" i="2"/>
  <c r="CK59" i="2"/>
  <c r="AR56" i="2"/>
  <c r="AT52" i="2" s="1"/>
  <c r="Z9" i="2"/>
  <c r="AE9" i="2" s="1"/>
  <c r="AF9" i="2" s="1"/>
  <c r="Z10" i="2"/>
  <c r="AE10" i="2" s="1"/>
  <c r="AF10" i="2" s="1"/>
  <c r="Z11" i="2"/>
  <c r="AE11" i="2" s="1"/>
  <c r="AF11" i="2" s="1"/>
  <c r="Z12" i="2"/>
  <c r="AE12" i="2" s="1"/>
  <c r="AF12" i="2" s="1"/>
  <c r="Z14" i="2"/>
  <c r="AE14" i="2" s="1"/>
  <c r="AF14" i="2" s="1"/>
  <c r="Z13" i="2"/>
  <c r="AE13" i="2" s="1"/>
  <c r="AF13" i="2" s="1"/>
  <c r="Z15" i="2"/>
  <c r="AE15" i="2" s="1"/>
  <c r="AF15" i="2" s="1"/>
  <c r="Z17" i="2"/>
  <c r="AE17" i="2" s="1"/>
  <c r="AF17" i="2" s="1"/>
  <c r="Z16" i="2"/>
  <c r="AE16" i="2" s="1"/>
  <c r="AF16" i="2" s="1"/>
  <c r="Z18" i="2"/>
  <c r="AE18" i="2" s="1"/>
  <c r="AF18" i="2" s="1"/>
  <c r="Z20" i="2"/>
  <c r="AE20" i="2" s="1"/>
  <c r="AF20" i="2" s="1"/>
  <c r="Z19" i="2"/>
  <c r="AE19" i="2" s="1"/>
  <c r="AF19" i="2" s="1"/>
  <c r="Z23" i="2"/>
  <c r="AE23" i="2" s="1"/>
  <c r="AF23" i="2" s="1"/>
  <c r="Z21" i="2"/>
  <c r="AE21" i="2" s="1"/>
  <c r="AF21" i="2" s="1"/>
  <c r="Z22" i="2"/>
  <c r="AE22" i="2" s="1"/>
  <c r="AF22" i="2" s="1"/>
  <c r="Z24" i="2"/>
  <c r="AE24" i="2" s="1"/>
  <c r="AF24" i="2" s="1"/>
  <c r="Z27" i="2"/>
  <c r="AE27" i="2" s="1"/>
  <c r="AF27" i="2" s="1"/>
  <c r="Z25" i="2"/>
  <c r="AE25" i="2" s="1"/>
  <c r="AF25" i="2" s="1"/>
  <c r="Z26" i="2"/>
  <c r="AE26" i="2" s="1"/>
  <c r="AF26" i="2" s="1"/>
  <c r="Z30" i="2"/>
  <c r="AE30" i="2" s="1"/>
  <c r="AF30" i="2" s="1"/>
  <c r="Z28" i="2"/>
  <c r="AE28" i="2" s="1"/>
  <c r="AF28" i="2" s="1"/>
  <c r="Z29" i="2"/>
  <c r="AE29" i="2" s="1"/>
  <c r="AF29" i="2" s="1"/>
  <c r="Z31" i="2"/>
  <c r="AE31" i="2" s="1"/>
  <c r="AF31" i="2" s="1"/>
  <c r="Z32" i="2"/>
  <c r="AE32" i="2" s="1"/>
  <c r="AF32" i="2" s="1"/>
  <c r="Z36" i="2"/>
  <c r="AE36" i="2" s="1"/>
  <c r="AF36" i="2" s="1"/>
  <c r="Z33" i="2"/>
  <c r="AE33" i="2" s="1"/>
  <c r="AF33" i="2" s="1"/>
  <c r="Z34" i="2"/>
  <c r="AE34" i="2" s="1"/>
  <c r="AF34" i="2" s="1"/>
  <c r="Z35" i="2"/>
  <c r="AE35" i="2" s="1"/>
  <c r="AF35" i="2" s="1"/>
  <c r="Z37" i="2"/>
  <c r="AE37" i="2" s="1"/>
  <c r="AF37" i="2" s="1"/>
  <c r="Z38" i="2"/>
  <c r="AE38" i="2" s="1"/>
  <c r="AF38" i="2" s="1"/>
  <c r="Z39" i="2"/>
  <c r="AE39" i="2" s="1"/>
  <c r="AF39" i="2" s="1"/>
  <c r="Z42" i="2"/>
  <c r="AE42" i="2" s="1"/>
  <c r="AF42" i="2" s="1"/>
  <c r="Z40" i="2"/>
  <c r="AE40" i="2" s="1"/>
  <c r="AF40" i="2" s="1"/>
  <c r="Z41" i="2"/>
  <c r="AE41" i="2" s="1"/>
  <c r="AF41" i="2" s="1"/>
  <c r="Z48" i="2"/>
  <c r="AE48" i="2" s="1"/>
  <c r="AF48" i="2" s="1"/>
  <c r="Z44" i="2"/>
  <c r="AE44" i="2" s="1"/>
  <c r="AF44" i="2" s="1"/>
  <c r="Z43" i="2"/>
  <c r="AE43" i="2" s="1"/>
  <c r="AF43" i="2" s="1"/>
  <c r="Z45" i="2"/>
  <c r="AE45" i="2" s="1"/>
  <c r="AF45" i="2" s="1"/>
  <c r="Z46" i="2"/>
  <c r="AE46" i="2" s="1"/>
  <c r="AF46" i="2" s="1"/>
  <c r="Z47" i="2"/>
  <c r="AE47" i="2" s="1"/>
  <c r="AF47" i="2" s="1"/>
  <c r="Z50" i="2"/>
  <c r="AE50" i="2" s="1"/>
  <c r="AF50" i="2" s="1"/>
  <c r="Z52" i="2"/>
  <c r="AE52" i="2" s="1"/>
  <c r="AF52" i="2" s="1"/>
  <c r="Z49" i="2"/>
  <c r="AE49" i="2" s="1"/>
  <c r="AF49" i="2" s="1"/>
  <c r="Z55" i="2"/>
  <c r="AE55" i="2" s="1"/>
  <c r="AF55" i="2" s="1"/>
  <c r="Z51" i="2"/>
  <c r="AE51" i="2" s="1"/>
  <c r="AF51" i="2" s="1"/>
  <c r="Z56" i="2"/>
  <c r="AE56" i="2" s="1"/>
  <c r="AF56" i="2" s="1"/>
  <c r="Z53" i="2"/>
  <c r="AE53" i="2" s="1"/>
  <c r="AF53" i="2" s="1"/>
  <c r="Z54" i="2"/>
  <c r="AE54" i="2" s="1"/>
  <c r="AF54" i="2" s="1"/>
  <c r="BF61" i="5"/>
  <c r="BH60" i="5"/>
  <c r="BG60" i="5"/>
  <c r="FM66" i="2"/>
  <c r="GX65" i="2"/>
  <c r="GW65" i="2"/>
  <c r="GZ65" i="2"/>
  <c r="GV65" i="2"/>
  <c r="GY65" i="2"/>
  <c r="GU65" i="2"/>
  <c r="CU60" i="2"/>
  <c r="FH59" i="2"/>
  <c r="EY59" i="2"/>
  <c r="EU59" i="2"/>
  <c r="EP59" i="2"/>
  <c r="EL59" i="2"/>
  <c r="EG59" i="2"/>
  <c r="EC59" i="2"/>
  <c r="DY59" i="2"/>
  <c r="DU59" i="2"/>
  <c r="DQ59" i="2"/>
  <c r="DM59" i="2"/>
  <c r="DI59" i="2"/>
  <c r="DE59" i="2"/>
  <c r="DA59" i="2"/>
  <c r="CW59" i="2"/>
  <c r="FK59" i="2"/>
  <c r="FG59" i="2"/>
  <c r="FB59" i="2"/>
  <c r="EX59" i="2"/>
  <c r="EO59" i="2"/>
  <c r="EK59" i="2"/>
  <c r="EF59" i="2"/>
  <c r="EB59" i="2"/>
  <c r="DX59" i="2"/>
  <c r="DT59" i="2"/>
  <c r="DP59" i="2"/>
  <c r="DL59" i="2"/>
  <c r="DH59" i="2"/>
  <c r="DD59" i="2"/>
  <c r="CZ59" i="2"/>
  <c r="CV59" i="2"/>
  <c r="FJ59" i="2"/>
  <c r="FF59" i="2"/>
  <c r="FA59" i="2"/>
  <c r="EW59" i="2"/>
  <c r="ER59" i="2"/>
  <c r="EN59" i="2"/>
  <c r="EE59" i="2"/>
  <c r="EA59" i="2"/>
  <c r="DW59" i="2"/>
  <c r="DS59" i="2"/>
  <c r="DO59" i="2"/>
  <c r="DK59" i="2"/>
  <c r="DG59" i="2"/>
  <c r="DC59" i="2"/>
  <c r="CY59" i="2"/>
  <c r="FI59" i="2"/>
  <c r="FE59" i="2"/>
  <c r="EZ59" i="2"/>
  <c r="EV59" i="2"/>
  <c r="EQ59" i="2"/>
  <c r="EM59" i="2"/>
  <c r="EH59" i="2"/>
  <c r="ED59" i="2"/>
  <c r="DZ59" i="2"/>
  <c r="DV59" i="2"/>
  <c r="DR59" i="2"/>
  <c r="DN59" i="2"/>
  <c r="DJ59" i="2"/>
  <c r="DF59" i="2"/>
  <c r="DB59" i="2"/>
  <c r="CX59" i="2"/>
  <c r="IJ59" i="5"/>
  <c r="IF59" i="5"/>
  <c r="II59" i="5"/>
  <c r="IL59" i="5"/>
  <c r="IH59" i="5"/>
  <c r="IE60" i="5"/>
  <c r="IK59" i="5"/>
  <c r="IG59" i="5"/>
  <c r="G59" i="2"/>
  <c r="I58" i="2"/>
  <c r="H58" i="2"/>
  <c r="AC58" i="5"/>
  <c r="Y58" i="5"/>
  <c r="AF58" i="5"/>
  <c r="AB58" i="5"/>
  <c r="AE58" i="5"/>
  <c r="AA58" i="5"/>
  <c r="X59" i="5"/>
  <c r="AD58" i="5"/>
  <c r="Z58" i="5"/>
  <c r="L57" i="5"/>
  <c r="AL58" i="5"/>
  <c r="AO58" i="5"/>
  <c r="AK58" i="5"/>
  <c r="AH59" i="5"/>
  <c r="AN58" i="5"/>
  <c r="AJ58" i="5"/>
  <c r="AM58" i="5"/>
  <c r="AI58" i="5"/>
  <c r="AR57" i="2" l="1"/>
  <c r="J58" i="2"/>
  <c r="AT53" i="2"/>
  <c r="AW53" i="2" s="1"/>
  <c r="CC48" i="5"/>
  <c r="CC47" i="5"/>
  <c r="AT50" i="5"/>
  <c r="AX50" i="5" s="1"/>
  <c r="AT51" i="5"/>
  <c r="AX51" i="5" s="1"/>
  <c r="AT55" i="2"/>
  <c r="AX55" i="2" s="1"/>
  <c r="CC50" i="2"/>
  <c r="AT53" i="5"/>
  <c r="AX53" i="5" s="1"/>
  <c r="AT55" i="5"/>
  <c r="AW55" i="5" s="1"/>
  <c r="AT50" i="2"/>
  <c r="AW50" i="2" s="1"/>
  <c r="AW54" i="5"/>
  <c r="AX54" i="5"/>
  <c r="AW52" i="2"/>
  <c r="AX52" i="2"/>
  <c r="FJ60" i="2"/>
  <c r="FF60" i="2"/>
  <c r="FA60" i="2"/>
  <c r="EW60" i="2"/>
  <c r="ER60" i="2"/>
  <c r="EN60" i="2"/>
  <c r="EE60" i="2"/>
  <c r="EA60" i="2"/>
  <c r="DW60" i="2"/>
  <c r="DS60" i="2"/>
  <c r="DO60" i="2"/>
  <c r="DK60" i="2"/>
  <c r="DG60" i="2"/>
  <c r="DC60" i="2"/>
  <c r="CY60" i="2"/>
  <c r="FI60" i="2"/>
  <c r="FE60" i="2"/>
  <c r="EZ60" i="2"/>
  <c r="EV60" i="2"/>
  <c r="EQ60" i="2"/>
  <c r="EM60" i="2"/>
  <c r="EH60" i="2"/>
  <c r="ED60" i="2"/>
  <c r="DZ60" i="2"/>
  <c r="DV60" i="2"/>
  <c r="DR60" i="2"/>
  <c r="DN60" i="2"/>
  <c r="DJ60" i="2"/>
  <c r="DF60" i="2"/>
  <c r="DB60" i="2"/>
  <c r="CX60" i="2"/>
  <c r="CU61" i="2"/>
  <c r="FH60" i="2"/>
  <c r="EY60" i="2"/>
  <c r="EU60" i="2"/>
  <c r="EP60" i="2"/>
  <c r="EL60" i="2"/>
  <c r="EG60" i="2"/>
  <c r="EC60" i="2"/>
  <c r="DY60" i="2"/>
  <c r="DU60" i="2"/>
  <c r="DQ60" i="2"/>
  <c r="DM60" i="2"/>
  <c r="DI60" i="2"/>
  <c r="DE60" i="2"/>
  <c r="DA60" i="2"/>
  <c r="CW60" i="2"/>
  <c r="FK60" i="2"/>
  <c r="FG60" i="2"/>
  <c r="FB60" i="2"/>
  <c r="EX60" i="2"/>
  <c r="EO60" i="2"/>
  <c r="EK60" i="2"/>
  <c r="EF60" i="2"/>
  <c r="EB60" i="2"/>
  <c r="DX60" i="2"/>
  <c r="DT60" i="2"/>
  <c r="DP60" i="2"/>
  <c r="DL60" i="2"/>
  <c r="DH60" i="2"/>
  <c r="DD60" i="2"/>
  <c r="CZ60" i="2"/>
  <c r="CV60" i="2"/>
  <c r="AM60" i="2"/>
  <c r="AI60" i="2"/>
  <c r="AL60" i="2"/>
  <c r="AO60" i="2"/>
  <c r="AK60" i="2"/>
  <c r="AH61" i="2"/>
  <c r="AN60" i="2"/>
  <c r="AJ60" i="2"/>
  <c r="G60" i="2"/>
  <c r="I59" i="2"/>
  <c r="H59" i="2"/>
  <c r="J59" i="2"/>
  <c r="IO12" i="2" s="1"/>
  <c r="IP12" i="2" s="1"/>
  <c r="AE59" i="5"/>
  <c r="AA59" i="5"/>
  <c r="X60" i="5"/>
  <c r="AD59" i="5"/>
  <c r="Z59" i="5"/>
  <c r="AC59" i="5"/>
  <c r="Y59" i="5"/>
  <c r="AF59" i="5"/>
  <c r="AB59" i="5"/>
  <c r="BG61" i="5"/>
  <c r="BF62" i="5"/>
  <c r="BH61" i="5"/>
  <c r="AH60" i="5"/>
  <c r="AN59" i="5"/>
  <c r="AJ59" i="5"/>
  <c r="AM59" i="5"/>
  <c r="AI59" i="5"/>
  <c r="AL59" i="5"/>
  <c r="AO59" i="5"/>
  <c r="AK59" i="5"/>
  <c r="L56" i="5"/>
  <c r="AI57" i="5"/>
  <c r="L58" i="2"/>
  <c r="FM67" i="2"/>
  <c r="GX66" i="2"/>
  <c r="GW66" i="2"/>
  <c r="GY66" i="2"/>
  <c r="GV66" i="2"/>
  <c r="GU66" i="2"/>
  <c r="GZ66" i="2"/>
  <c r="CK60" i="5"/>
  <c r="CN60" i="5"/>
  <c r="CJ60" i="5"/>
  <c r="CG61" i="5"/>
  <c r="CM60" i="5"/>
  <c r="CI60" i="5"/>
  <c r="CL60" i="5"/>
  <c r="CH60" i="5"/>
  <c r="CB60" i="5"/>
  <c r="CE60" i="5"/>
  <c r="CA60" i="5"/>
  <c r="BX61" i="5"/>
  <c r="BZ60" i="5"/>
  <c r="BY60" i="5"/>
  <c r="BY60" i="2"/>
  <c r="CB60" i="2"/>
  <c r="CE60" i="2"/>
  <c r="CA60" i="2"/>
  <c r="BX61" i="2"/>
  <c r="BZ60" i="2"/>
  <c r="AR58" i="5"/>
  <c r="BQ61" i="5"/>
  <c r="BS60" i="5"/>
  <c r="BV60" i="5"/>
  <c r="BR60" i="5"/>
  <c r="BU60" i="5"/>
  <c r="BT60" i="5"/>
  <c r="U61" i="5"/>
  <c r="II60" i="2"/>
  <c r="IL60" i="2"/>
  <c r="IH60" i="2"/>
  <c r="IE61" i="2"/>
  <c r="IK60" i="2"/>
  <c r="IG60" i="2"/>
  <c r="IJ60" i="2"/>
  <c r="IF60" i="2"/>
  <c r="FI60" i="5"/>
  <c r="FE60" i="5"/>
  <c r="EZ60" i="5"/>
  <c r="EV60" i="5"/>
  <c r="EQ60" i="5"/>
  <c r="EM60" i="5"/>
  <c r="EH60" i="5"/>
  <c r="ED60" i="5"/>
  <c r="DZ60" i="5"/>
  <c r="DV60" i="5"/>
  <c r="DR60" i="5"/>
  <c r="DN60" i="5"/>
  <c r="DJ60" i="5"/>
  <c r="DF60" i="5"/>
  <c r="DB60" i="5"/>
  <c r="CX60" i="5"/>
  <c r="CU61" i="5"/>
  <c r="FH60" i="5"/>
  <c r="EY60" i="5"/>
  <c r="EU60" i="5"/>
  <c r="EP60" i="5"/>
  <c r="EL60" i="5"/>
  <c r="EG60" i="5"/>
  <c r="EC60" i="5"/>
  <c r="DY60" i="5"/>
  <c r="DU60" i="5"/>
  <c r="DQ60" i="5"/>
  <c r="DM60" i="5"/>
  <c r="DI60" i="5"/>
  <c r="DE60" i="5"/>
  <c r="DA60" i="5"/>
  <c r="CW60" i="5"/>
  <c r="FK60" i="5"/>
  <c r="FG60" i="5"/>
  <c r="FB60" i="5"/>
  <c r="EX60" i="5"/>
  <c r="EO60" i="5"/>
  <c r="EK60" i="5"/>
  <c r="EF60" i="5"/>
  <c r="EB60" i="5"/>
  <c r="DX60" i="5"/>
  <c r="DT60" i="5"/>
  <c r="DP60" i="5"/>
  <c r="DL60" i="5"/>
  <c r="DH60" i="5"/>
  <c r="DD60" i="5"/>
  <c r="CZ60" i="5"/>
  <c r="CV60" i="5"/>
  <c r="FJ60" i="5"/>
  <c r="FF60" i="5"/>
  <c r="FA60" i="5"/>
  <c r="EW60" i="5"/>
  <c r="ER60" i="5"/>
  <c r="EN60" i="5"/>
  <c r="EE60" i="5"/>
  <c r="EA60" i="5"/>
  <c r="DW60" i="5"/>
  <c r="DS60" i="5"/>
  <c r="DO60" i="5"/>
  <c r="DK60" i="5"/>
  <c r="DG60" i="5"/>
  <c r="DC60" i="5"/>
  <c r="CY60" i="5"/>
  <c r="BF61" i="2"/>
  <c r="BH60" i="2"/>
  <c r="BG60" i="2"/>
  <c r="AF59" i="2"/>
  <c r="AB59" i="2"/>
  <c r="AE59" i="2"/>
  <c r="AA59" i="2"/>
  <c r="X60" i="2"/>
  <c r="AD59" i="2"/>
  <c r="Z59" i="2"/>
  <c r="AC59" i="2"/>
  <c r="Y59" i="2"/>
  <c r="AR58" i="2"/>
  <c r="CC52" i="2" s="1"/>
  <c r="IL60" i="5"/>
  <c r="IH60" i="5"/>
  <c r="IE61" i="5"/>
  <c r="IK60" i="5"/>
  <c r="IG60" i="5"/>
  <c r="IJ60" i="5"/>
  <c r="IF60" i="5"/>
  <c r="II60" i="5"/>
  <c r="CL60" i="2"/>
  <c r="CH60" i="2"/>
  <c r="CK60" i="2"/>
  <c r="CN60" i="2"/>
  <c r="CJ60" i="2"/>
  <c r="CG61" i="2"/>
  <c r="CM60" i="2"/>
  <c r="CI60" i="2"/>
  <c r="GY62" i="5"/>
  <c r="GU62" i="5"/>
  <c r="GX62" i="5"/>
  <c r="GW62" i="5"/>
  <c r="FM63" i="5"/>
  <c r="GZ62" i="5"/>
  <c r="GV62" i="5"/>
  <c r="AQ60" i="5"/>
  <c r="AW59" i="5"/>
  <c r="AX59" i="5"/>
  <c r="AT59" i="5"/>
  <c r="BT60" i="2"/>
  <c r="BQ61" i="2"/>
  <c r="BS60" i="2"/>
  <c r="BV60" i="2"/>
  <c r="BR60" i="2"/>
  <c r="BU60" i="2"/>
  <c r="AT13" i="5"/>
  <c r="AT10" i="5"/>
  <c r="AT9" i="5"/>
  <c r="AT11" i="5"/>
  <c r="AT14" i="5"/>
  <c r="AT12" i="5"/>
  <c r="AT18" i="5"/>
  <c r="AT17" i="5"/>
  <c r="AT16" i="5"/>
  <c r="AT15" i="5"/>
  <c r="AT19" i="5"/>
  <c r="AT21" i="5"/>
  <c r="AT20" i="5"/>
  <c r="AT22" i="5"/>
  <c r="AT23" i="5"/>
  <c r="AT24" i="5"/>
  <c r="AT25" i="5"/>
  <c r="AT26" i="5"/>
  <c r="AT27" i="5"/>
  <c r="AT28" i="5"/>
  <c r="AT32" i="5"/>
  <c r="AT29" i="5"/>
  <c r="AT30" i="5"/>
  <c r="AT33" i="5"/>
  <c r="AT34" i="5"/>
  <c r="AT31" i="5"/>
  <c r="AT36" i="5"/>
  <c r="AT35" i="5"/>
  <c r="AT37" i="5"/>
  <c r="AT39" i="5"/>
  <c r="AT40" i="5"/>
  <c r="CC49" i="5"/>
  <c r="AT41" i="5"/>
  <c r="AT38" i="5"/>
  <c r="AT43" i="5"/>
  <c r="AT42" i="5"/>
  <c r="AT44" i="5"/>
  <c r="AT45" i="5"/>
  <c r="AT46" i="5"/>
  <c r="AT47" i="5"/>
  <c r="AT48" i="5"/>
  <c r="AT56" i="5"/>
  <c r="AT49" i="5"/>
  <c r="AT52" i="5"/>
  <c r="BA60" i="2"/>
  <c r="AZ61" i="2"/>
  <c r="AX60" i="2"/>
  <c r="AT60" i="2"/>
  <c r="AQ61" i="2"/>
  <c r="AW60" i="2"/>
  <c r="L56" i="2"/>
  <c r="AI57" i="2"/>
  <c r="AZ60" i="5"/>
  <c r="BA59" i="5"/>
  <c r="H59" i="5"/>
  <c r="J59" i="5"/>
  <c r="L59" i="5" s="1"/>
  <c r="G60" i="5"/>
  <c r="I59" i="5"/>
  <c r="AT9" i="2"/>
  <c r="AT10" i="2"/>
  <c r="AT12" i="2"/>
  <c r="AT11" i="2"/>
  <c r="AT13" i="2"/>
  <c r="AT14" i="2"/>
  <c r="AT15" i="2"/>
  <c r="AT19" i="2"/>
  <c r="AT16" i="2"/>
  <c r="AT17" i="2"/>
  <c r="AT18" i="2"/>
  <c r="AT20" i="2"/>
  <c r="AT21" i="2"/>
  <c r="AT22" i="2"/>
  <c r="AT23" i="2"/>
  <c r="AT24" i="2"/>
  <c r="AT28" i="2"/>
  <c r="AT27" i="2"/>
  <c r="AT25" i="2"/>
  <c r="AT26" i="2"/>
  <c r="AT29" i="2"/>
  <c r="AT30" i="2"/>
  <c r="AT31" i="2"/>
  <c r="AT32" i="2"/>
  <c r="AT33" i="2"/>
  <c r="AT35" i="2"/>
  <c r="AT34" i="2"/>
  <c r="AT36" i="2"/>
  <c r="AT40" i="2"/>
  <c r="AT39" i="2"/>
  <c r="AT38" i="2"/>
  <c r="AT37" i="2"/>
  <c r="AT41" i="2"/>
  <c r="AT43" i="2"/>
  <c r="AT42" i="2"/>
  <c r="CC51" i="2"/>
  <c r="AT44" i="2"/>
  <c r="AT45" i="2"/>
  <c r="AT56" i="2"/>
  <c r="AT46" i="2"/>
  <c r="AT49" i="2"/>
  <c r="AT48" i="2"/>
  <c r="AT47" i="2"/>
  <c r="AT54" i="2"/>
  <c r="AT51" i="2"/>
  <c r="U61" i="2"/>
  <c r="B62" i="19"/>
  <c r="D62" i="19" s="1"/>
  <c r="E62" i="19"/>
  <c r="F62" i="19" s="1"/>
  <c r="A63" i="19"/>
  <c r="C62" i="19"/>
  <c r="BO60" i="2"/>
  <c r="BK60" i="2"/>
  <c r="BN60" i="2"/>
  <c r="BM60" i="2"/>
  <c r="BJ61" i="2"/>
  <c r="BL60" i="2"/>
  <c r="BN60" i="5"/>
  <c r="BM60" i="5"/>
  <c r="BJ61" i="5"/>
  <c r="BL60" i="5"/>
  <c r="BO60" i="5"/>
  <c r="BK60" i="5"/>
  <c r="AW55" i="2" l="1"/>
  <c r="AW50" i="5"/>
  <c r="AX53" i="2"/>
  <c r="AW51" i="5"/>
  <c r="AW53" i="5"/>
  <c r="AX50" i="2"/>
  <c r="AX55" i="5"/>
  <c r="IE62" i="2"/>
  <c r="IK61" i="2"/>
  <c r="IG61" i="2"/>
  <c r="IJ61" i="2"/>
  <c r="IF61" i="2"/>
  <c r="II61" i="2"/>
  <c r="IL61" i="2"/>
  <c r="IH61" i="2"/>
  <c r="BU61" i="5"/>
  <c r="BT61" i="5"/>
  <c r="BQ62" i="5"/>
  <c r="BS61" i="5"/>
  <c r="BV61" i="5"/>
  <c r="BR61" i="5"/>
  <c r="AW48" i="2"/>
  <c r="AX48" i="2"/>
  <c r="AW46" i="2"/>
  <c r="AX46" i="2"/>
  <c r="AX36" i="2"/>
  <c r="AW36" i="2"/>
  <c r="U62" i="2"/>
  <c r="AX51" i="2"/>
  <c r="AW51" i="2"/>
  <c r="AX42" i="2"/>
  <c r="AW42" i="2"/>
  <c r="AX34" i="2"/>
  <c r="AW34" i="2"/>
  <c r="AX31" i="2"/>
  <c r="AW31" i="2"/>
  <c r="AX23" i="2"/>
  <c r="AW23" i="2"/>
  <c r="AX18" i="2"/>
  <c r="AW18" i="2"/>
  <c r="AW12" i="2"/>
  <c r="AX12" i="2"/>
  <c r="AW54" i="2"/>
  <c r="AX54" i="2"/>
  <c r="AW49" i="2"/>
  <c r="AX49" i="2"/>
  <c r="AW45" i="2"/>
  <c r="AX45" i="2"/>
  <c r="AW43" i="2"/>
  <c r="AX43" i="2"/>
  <c r="AW39" i="2"/>
  <c r="AX39" i="2"/>
  <c r="AW35" i="2"/>
  <c r="AX35" i="2"/>
  <c r="AX30" i="2"/>
  <c r="AW30" i="2"/>
  <c r="AX27" i="2"/>
  <c r="AW27" i="2"/>
  <c r="AW22" i="2"/>
  <c r="AX22" i="2"/>
  <c r="AX17" i="2"/>
  <c r="AW17" i="2"/>
  <c r="AX14" i="2"/>
  <c r="AW14" i="2"/>
  <c r="AW10" i="2"/>
  <c r="AX10" i="2"/>
  <c r="AZ61" i="5"/>
  <c r="BA60" i="5"/>
  <c r="AW48" i="5"/>
  <c r="AX48" i="5"/>
  <c r="AW44" i="5"/>
  <c r="AX44" i="5"/>
  <c r="AW41" i="5"/>
  <c r="AX41" i="5"/>
  <c r="AX37" i="5"/>
  <c r="AW37" i="5"/>
  <c r="AX34" i="5"/>
  <c r="AW34" i="5"/>
  <c r="AW32" i="5"/>
  <c r="AX32" i="5"/>
  <c r="AX25" i="5"/>
  <c r="AW25" i="5"/>
  <c r="AX20" i="5"/>
  <c r="AW20" i="5"/>
  <c r="AX16" i="5"/>
  <c r="AW16" i="5"/>
  <c r="AX14" i="5"/>
  <c r="AW14" i="5"/>
  <c r="AX13" i="5"/>
  <c r="AW13" i="5"/>
  <c r="BV61" i="2"/>
  <c r="BR61" i="2"/>
  <c r="BU61" i="2"/>
  <c r="BT61" i="2"/>
  <c r="BQ62" i="2"/>
  <c r="BS61" i="2"/>
  <c r="AR59" i="5"/>
  <c r="CC52" i="5" s="1"/>
  <c r="FK61" i="5"/>
  <c r="FG61" i="5"/>
  <c r="FB61" i="5"/>
  <c r="EX61" i="5"/>
  <c r="EO61" i="5"/>
  <c r="EK61" i="5"/>
  <c r="EF61" i="5"/>
  <c r="EB61" i="5"/>
  <c r="DX61" i="5"/>
  <c r="DT61" i="5"/>
  <c r="DP61" i="5"/>
  <c r="DL61" i="5"/>
  <c r="DH61" i="5"/>
  <c r="DD61" i="5"/>
  <c r="CZ61" i="5"/>
  <c r="CV61" i="5"/>
  <c r="FJ61" i="5"/>
  <c r="FF61" i="5"/>
  <c r="FA61" i="5"/>
  <c r="EW61" i="5"/>
  <c r="ER61" i="5"/>
  <c r="EN61" i="5"/>
  <c r="EE61" i="5"/>
  <c r="EA61" i="5"/>
  <c r="DW61" i="5"/>
  <c r="DS61" i="5"/>
  <c r="DO61" i="5"/>
  <c r="DK61" i="5"/>
  <c r="DG61" i="5"/>
  <c r="DC61" i="5"/>
  <c r="CY61" i="5"/>
  <c r="FI61" i="5"/>
  <c r="FE61" i="5"/>
  <c r="EZ61" i="5"/>
  <c r="EV61" i="5"/>
  <c r="EQ61" i="5"/>
  <c r="EM61" i="5"/>
  <c r="EH61" i="5"/>
  <c r="ED61" i="5"/>
  <c r="DZ61" i="5"/>
  <c r="DV61" i="5"/>
  <c r="DR61" i="5"/>
  <c r="DN61" i="5"/>
  <c r="DJ61" i="5"/>
  <c r="DF61" i="5"/>
  <c r="DB61" i="5"/>
  <c r="CX61" i="5"/>
  <c r="CU62" i="5"/>
  <c r="FH61" i="5"/>
  <c r="EY61" i="5"/>
  <c r="EU61" i="5"/>
  <c r="EP61" i="5"/>
  <c r="EL61" i="5"/>
  <c r="EG61" i="5"/>
  <c r="EC61" i="5"/>
  <c r="DY61" i="5"/>
  <c r="DU61" i="5"/>
  <c r="DQ61" i="5"/>
  <c r="DM61" i="5"/>
  <c r="DI61" i="5"/>
  <c r="DE61" i="5"/>
  <c r="DA61" i="5"/>
  <c r="CW61" i="5"/>
  <c r="CE61" i="2"/>
  <c r="CA61" i="2"/>
  <c r="BX62" i="2"/>
  <c r="BZ61" i="2"/>
  <c r="BY61" i="2"/>
  <c r="CB61" i="2"/>
  <c r="GX67" i="2"/>
  <c r="GW67" i="2"/>
  <c r="FM68" i="2"/>
  <c r="GZ67" i="2"/>
  <c r="GV67" i="2"/>
  <c r="GY67" i="2"/>
  <c r="GU67" i="2"/>
  <c r="AL60" i="5"/>
  <c r="AO60" i="5"/>
  <c r="AK60" i="5"/>
  <c r="AH61" i="5"/>
  <c r="AN60" i="5"/>
  <c r="AJ60" i="5"/>
  <c r="AM60" i="5"/>
  <c r="AI60" i="5"/>
  <c r="CU62" i="2"/>
  <c r="FH61" i="2"/>
  <c r="EY61" i="2"/>
  <c r="EU61" i="2"/>
  <c r="EP61" i="2"/>
  <c r="EL61" i="2"/>
  <c r="EG61" i="2"/>
  <c r="EC61" i="2"/>
  <c r="DY61" i="2"/>
  <c r="DU61" i="2"/>
  <c r="DQ61" i="2"/>
  <c r="DM61" i="2"/>
  <c r="DI61" i="2"/>
  <c r="DE61" i="2"/>
  <c r="DA61" i="2"/>
  <c r="CW61" i="2"/>
  <c r="FK61" i="2"/>
  <c r="FG61" i="2"/>
  <c r="FB61" i="2"/>
  <c r="EX61" i="2"/>
  <c r="EO61" i="2"/>
  <c r="EK61" i="2"/>
  <c r="EF61" i="2"/>
  <c r="EB61" i="2"/>
  <c r="DX61" i="2"/>
  <c r="DT61" i="2"/>
  <c r="DP61" i="2"/>
  <c r="DL61" i="2"/>
  <c r="DH61" i="2"/>
  <c r="DD61" i="2"/>
  <c r="CZ61" i="2"/>
  <c r="CV61" i="2"/>
  <c r="FJ61" i="2"/>
  <c r="FF61" i="2"/>
  <c r="FA61" i="2"/>
  <c r="EW61" i="2"/>
  <c r="ER61" i="2"/>
  <c r="EN61" i="2"/>
  <c r="EE61" i="2"/>
  <c r="EA61" i="2"/>
  <c r="DW61" i="2"/>
  <c r="DS61" i="2"/>
  <c r="DO61" i="2"/>
  <c r="DK61" i="2"/>
  <c r="DG61" i="2"/>
  <c r="DC61" i="2"/>
  <c r="CY61" i="2"/>
  <c r="FI61" i="2"/>
  <c r="FE61" i="2"/>
  <c r="EZ61" i="2"/>
  <c r="EV61" i="2"/>
  <c r="EQ61" i="2"/>
  <c r="EM61" i="2"/>
  <c r="EH61" i="2"/>
  <c r="ED61" i="2"/>
  <c r="DZ61" i="2"/>
  <c r="DV61" i="2"/>
  <c r="DR61" i="2"/>
  <c r="DN61" i="2"/>
  <c r="DJ61" i="2"/>
  <c r="DF61" i="2"/>
  <c r="DB61" i="2"/>
  <c r="CX61" i="2"/>
  <c r="BJ62" i="5"/>
  <c r="BL61" i="5"/>
  <c r="BO61" i="5"/>
  <c r="BK61" i="5"/>
  <c r="BN61" i="5"/>
  <c r="BM61" i="5"/>
  <c r="BM61" i="2"/>
  <c r="BJ62" i="2"/>
  <c r="BL61" i="2"/>
  <c r="BO61" i="2"/>
  <c r="BK61" i="2"/>
  <c r="BN61" i="2"/>
  <c r="AX47" i="2"/>
  <c r="AW47" i="2"/>
  <c r="AX41" i="2"/>
  <c r="AW41" i="2"/>
  <c r="AX40" i="2"/>
  <c r="AW40" i="2"/>
  <c r="AX29" i="2"/>
  <c r="AW29" i="2"/>
  <c r="AW16" i="2"/>
  <c r="AX16" i="2"/>
  <c r="AX13" i="2"/>
  <c r="AW13" i="2"/>
  <c r="AW28" i="5"/>
  <c r="AX28" i="5"/>
  <c r="AX24" i="5"/>
  <c r="AW24" i="5"/>
  <c r="AX17" i="5"/>
  <c r="AW17" i="5"/>
  <c r="GW63" i="5"/>
  <c r="FM64" i="5"/>
  <c r="GZ63" i="5"/>
  <c r="GV63" i="5"/>
  <c r="GY63" i="5"/>
  <c r="GU63" i="5"/>
  <c r="GX63" i="5"/>
  <c r="AR59" i="2"/>
  <c r="AW32" i="2"/>
  <c r="AX32" i="2"/>
  <c r="AW26" i="2"/>
  <c r="AX26" i="2"/>
  <c r="AX24" i="2"/>
  <c r="AW24" i="2"/>
  <c r="AX20" i="2"/>
  <c r="AW20" i="2"/>
  <c r="AW19" i="2"/>
  <c r="AX19" i="2"/>
  <c r="AW11" i="2"/>
  <c r="AX11" i="2"/>
  <c r="AX61" i="2"/>
  <c r="AT61" i="2"/>
  <c r="AQ62" i="2"/>
  <c r="AW61" i="2"/>
  <c r="AZ62" i="2"/>
  <c r="BA61" i="2"/>
  <c r="AW52" i="5"/>
  <c r="AX52" i="5"/>
  <c r="AX49" i="5"/>
  <c r="AW49" i="5"/>
  <c r="AX46" i="5"/>
  <c r="AW46" i="5"/>
  <c r="AW43" i="5"/>
  <c r="AX43" i="5"/>
  <c r="AW40" i="5"/>
  <c r="AX40" i="5"/>
  <c r="AW36" i="5"/>
  <c r="AX36" i="5"/>
  <c r="AW30" i="5"/>
  <c r="AX30" i="5"/>
  <c r="AW27" i="5"/>
  <c r="AX27" i="5"/>
  <c r="AW23" i="5"/>
  <c r="AX23" i="5"/>
  <c r="AX19" i="5"/>
  <c r="AW19" i="5"/>
  <c r="AX18" i="5"/>
  <c r="AW18" i="5"/>
  <c r="AW9" i="5"/>
  <c r="AX9" i="5"/>
  <c r="AX60" i="5"/>
  <c r="AT60" i="5"/>
  <c r="AQ61" i="5"/>
  <c r="AW60" i="5"/>
  <c r="X61" i="2"/>
  <c r="AD60" i="2"/>
  <c r="Z60" i="2"/>
  <c r="AC60" i="2"/>
  <c r="Y60" i="2"/>
  <c r="AF60" i="2"/>
  <c r="AB60" i="2"/>
  <c r="AE60" i="2"/>
  <c r="AA60" i="2"/>
  <c r="CC50" i="5"/>
  <c r="CC51" i="5"/>
  <c r="BF63" i="5"/>
  <c r="BH62" i="5"/>
  <c r="BG62" i="5"/>
  <c r="AC60" i="5"/>
  <c r="Y60" i="5"/>
  <c r="AF60" i="5"/>
  <c r="AB60" i="5"/>
  <c r="AE60" i="5"/>
  <c r="AA60" i="5"/>
  <c r="X61" i="5"/>
  <c r="AD60" i="5"/>
  <c r="Z60" i="5"/>
  <c r="A64" i="19"/>
  <c r="C63" i="19"/>
  <c r="E63" i="19"/>
  <c r="F63" i="19" s="1"/>
  <c r="B63" i="19"/>
  <c r="D63" i="19" s="1"/>
  <c r="AW44" i="2"/>
  <c r="AX44" i="2"/>
  <c r="AW33" i="2"/>
  <c r="AX33" i="2"/>
  <c r="AX28" i="2"/>
  <c r="AW28" i="2"/>
  <c r="AW21" i="2"/>
  <c r="AX21" i="2"/>
  <c r="AW9" i="2"/>
  <c r="AX9" i="2"/>
  <c r="L55" i="2"/>
  <c r="AI56" i="2"/>
  <c r="IJ56" i="2"/>
  <c r="AW47" i="5"/>
  <c r="AX47" i="5"/>
  <c r="AW42" i="5"/>
  <c r="AX42" i="5"/>
  <c r="AX35" i="5"/>
  <c r="AW35" i="5"/>
  <c r="AW33" i="5"/>
  <c r="AX33" i="5"/>
  <c r="AW21" i="5"/>
  <c r="AX21" i="5"/>
  <c r="AW11" i="5"/>
  <c r="AX11" i="5"/>
  <c r="CN61" i="2"/>
  <c r="CJ61" i="2"/>
  <c r="CG62" i="2"/>
  <c r="CM61" i="2"/>
  <c r="CI61" i="2"/>
  <c r="CL61" i="2"/>
  <c r="CH61" i="2"/>
  <c r="CK61" i="2"/>
  <c r="IJ61" i="5"/>
  <c r="IF61" i="5"/>
  <c r="II61" i="5"/>
  <c r="IL61" i="5"/>
  <c r="IH61" i="5"/>
  <c r="IE62" i="5"/>
  <c r="IK61" i="5"/>
  <c r="IG61" i="5"/>
  <c r="J60" i="2"/>
  <c r="L60" i="2" s="1"/>
  <c r="G61" i="2"/>
  <c r="I60" i="2"/>
  <c r="H60" i="2"/>
  <c r="AW37" i="2"/>
  <c r="AX37" i="2"/>
  <c r="AW56" i="2"/>
  <c r="AX56" i="2"/>
  <c r="AX38" i="2"/>
  <c r="AW38" i="2"/>
  <c r="AW25" i="2"/>
  <c r="AX25" i="2"/>
  <c r="AW15" i="2"/>
  <c r="AX15" i="2"/>
  <c r="J60" i="5"/>
  <c r="L60" i="5" s="1"/>
  <c r="G61" i="5"/>
  <c r="I60" i="5"/>
  <c r="H60" i="5"/>
  <c r="AX56" i="5"/>
  <c r="AW56" i="5"/>
  <c r="AX45" i="5"/>
  <c r="AW45" i="5"/>
  <c r="AX38" i="5"/>
  <c r="AW38" i="5"/>
  <c r="AW39" i="5"/>
  <c r="AX39" i="5"/>
  <c r="AW31" i="5"/>
  <c r="AX31" i="5"/>
  <c r="AW29" i="5"/>
  <c r="AX29" i="5"/>
  <c r="AX26" i="5"/>
  <c r="AW26" i="5"/>
  <c r="AX22" i="5"/>
  <c r="AW22" i="5"/>
  <c r="AW15" i="5"/>
  <c r="AX15" i="5"/>
  <c r="AX12" i="5"/>
  <c r="AW12" i="5"/>
  <c r="AW10" i="5"/>
  <c r="AX10" i="5"/>
  <c r="BF62" i="2"/>
  <c r="BH61" i="2"/>
  <c r="BG61" i="2"/>
  <c r="U62" i="5"/>
  <c r="BX62" i="5"/>
  <c r="BZ61" i="5"/>
  <c r="BY61" i="5"/>
  <c r="CB61" i="5"/>
  <c r="CE61" i="5"/>
  <c r="CA61" i="5"/>
  <c r="CG62" i="5"/>
  <c r="CM61" i="5"/>
  <c r="CI61" i="5"/>
  <c r="CL61" i="5"/>
  <c r="CH61" i="5"/>
  <c r="CK61" i="5"/>
  <c r="CN61" i="5"/>
  <c r="CJ61" i="5"/>
  <c r="L55" i="5"/>
  <c r="IJ56" i="5"/>
  <c r="AI56" i="5"/>
  <c r="L59" i="2"/>
  <c r="AO61" i="2"/>
  <c r="AK61" i="2"/>
  <c r="AH62" i="2"/>
  <c r="AN61" i="2"/>
  <c r="AJ61" i="2"/>
  <c r="AM61" i="2"/>
  <c r="AI61" i="2"/>
  <c r="AL61" i="2"/>
  <c r="AR60" i="5" l="1"/>
  <c r="CB62" i="5"/>
  <c r="CE62" i="5"/>
  <c r="CA62" i="5"/>
  <c r="BX63" i="5"/>
  <c r="BZ62" i="5"/>
  <c r="BY62" i="5"/>
  <c r="BA62" i="2"/>
  <c r="AZ63" i="2"/>
  <c r="CC54" i="2"/>
  <c r="CL62" i="2"/>
  <c r="CH62" i="2"/>
  <c r="CK62" i="2"/>
  <c r="CN62" i="2"/>
  <c r="CJ62" i="2"/>
  <c r="CG63" i="2"/>
  <c r="CM62" i="2"/>
  <c r="CI62" i="2"/>
  <c r="H61" i="5"/>
  <c r="J61" i="5"/>
  <c r="L61" i="5" s="1"/>
  <c r="G62" i="5"/>
  <c r="I61" i="5"/>
  <c r="G62" i="2"/>
  <c r="I61" i="2"/>
  <c r="H61" i="2"/>
  <c r="J61" i="2"/>
  <c r="L61" i="2" s="1"/>
  <c r="IL62" i="5"/>
  <c r="IH62" i="5"/>
  <c r="IE63" i="5"/>
  <c r="IK62" i="5"/>
  <c r="IG62" i="5"/>
  <c r="IJ62" i="5"/>
  <c r="IF62" i="5"/>
  <c r="II62" i="5"/>
  <c r="AK56" i="5"/>
  <c r="AR60" i="2"/>
  <c r="AI55" i="2"/>
  <c r="IJ55" i="2"/>
  <c r="L54" i="2"/>
  <c r="BG63" i="5"/>
  <c r="BF64" i="5"/>
  <c r="BH63" i="5"/>
  <c r="AX62" i="2"/>
  <c r="AT62" i="2"/>
  <c r="AQ63" i="2"/>
  <c r="AW62" i="2"/>
  <c r="GY64" i="5"/>
  <c r="GU64" i="5"/>
  <c r="GX64" i="5"/>
  <c r="GW64" i="5"/>
  <c r="FM65" i="5"/>
  <c r="GZ64" i="5"/>
  <c r="GV64" i="5"/>
  <c r="BO62" i="2"/>
  <c r="BK62" i="2"/>
  <c r="BN62" i="2"/>
  <c r="BM62" i="2"/>
  <c r="BJ63" i="2"/>
  <c r="BL62" i="2"/>
  <c r="AH62" i="5"/>
  <c r="AN61" i="5"/>
  <c r="AJ61" i="5"/>
  <c r="AM61" i="5"/>
  <c r="AI61" i="5"/>
  <c r="AL61" i="5"/>
  <c r="AO61" i="5"/>
  <c r="AK61" i="5"/>
  <c r="FM69" i="2"/>
  <c r="GZ68" i="2"/>
  <c r="GV68" i="2"/>
  <c r="GY68" i="2"/>
  <c r="GU68" i="2"/>
  <c r="GX68" i="2"/>
  <c r="GW68" i="2"/>
  <c r="BT62" i="2"/>
  <c r="BQ63" i="2"/>
  <c r="BS62" i="2"/>
  <c r="BV62" i="2"/>
  <c r="BR62" i="2"/>
  <c r="BU62" i="2"/>
  <c r="U63" i="2"/>
  <c r="II62" i="2"/>
  <c r="IL62" i="2"/>
  <c r="IH62" i="2"/>
  <c r="IE63" i="2"/>
  <c r="IK62" i="2"/>
  <c r="IG62" i="2"/>
  <c r="IJ62" i="2"/>
  <c r="IF62" i="2"/>
  <c r="AF61" i="2"/>
  <c r="AB61" i="2"/>
  <c r="AE61" i="2"/>
  <c r="AA61" i="2"/>
  <c r="X62" i="2"/>
  <c r="AD61" i="2"/>
  <c r="Z61" i="2"/>
  <c r="AC61" i="2"/>
  <c r="Y61" i="2"/>
  <c r="AZ62" i="5"/>
  <c r="BA61" i="5"/>
  <c r="IJ55" i="5"/>
  <c r="L54" i="5"/>
  <c r="AI55" i="5"/>
  <c r="FJ62" i="2"/>
  <c r="FF62" i="2"/>
  <c r="FA62" i="2"/>
  <c r="EW62" i="2"/>
  <c r="ER62" i="2"/>
  <c r="EN62" i="2"/>
  <c r="EE62" i="2"/>
  <c r="EA62" i="2"/>
  <c r="DW62" i="2"/>
  <c r="DS62" i="2"/>
  <c r="DO62" i="2"/>
  <c r="DK62" i="2"/>
  <c r="DG62" i="2"/>
  <c r="DC62" i="2"/>
  <c r="CY62" i="2"/>
  <c r="FI62" i="2"/>
  <c r="FE62" i="2"/>
  <c r="EZ62" i="2"/>
  <c r="EV62" i="2"/>
  <c r="EQ62" i="2"/>
  <c r="EM62" i="2"/>
  <c r="EH62" i="2"/>
  <c r="ED62" i="2"/>
  <c r="DZ62" i="2"/>
  <c r="DV62" i="2"/>
  <c r="DR62" i="2"/>
  <c r="DN62" i="2"/>
  <c r="DJ62" i="2"/>
  <c r="DF62" i="2"/>
  <c r="DB62" i="2"/>
  <c r="CX62" i="2"/>
  <c r="CU63" i="2"/>
  <c r="FH62" i="2"/>
  <c r="EY62" i="2"/>
  <c r="EU62" i="2"/>
  <c r="EP62" i="2"/>
  <c r="EL62" i="2"/>
  <c r="EG62" i="2"/>
  <c r="EC62" i="2"/>
  <c r="DY62" i="2"/>
  <c r="DU62" i="2"/>
  <c r="DQ62" i="2"/>
  <c r="DM62" i="2"/>
  <c r="DI62" i="2"/>
  <c r="DE62" i="2"/>
  <c r="DA62" i="2"/>
  <c r="CW62" i="2"/>
  <c r="FK62" i="2"/>
  <c r="FG62" i="2"/>
  <c r="FB62" i="2"/>
  <c r="EX62" i="2"/>
  <c r="EO62" i="2"/>
  <c r="EK62" i="2"/>
  <c r="EF62" i="2"/>
  <c r="EB62" i="2"/>
  <c r="DX62" i="2"/>
  <c r="DT62" i="2"/>
  <c r="DP62" i="2"/>
  <c r="DL62" i="2"/>
  <c r="DH62" i="2"/>
  <c r="DD62" i="2"/>
  <c r="CZ62" i="2"/>
  <c r="CV62" i="2"/>
  <c r="FI62" i="5"/>
  <c r="FE62" i="5"/>
  <c r="EZ62" i="5"/>
  <c r="EV62" i="5"/>
  <c r="EQ62" i="5"/>
  <c r="EM62" i="5"/>
  <c r="EH62" i="5"/>
  <c r="ED62" i="5"/>
  <c r="DZ62" i="5"/>
  <c r="DV62" i="5"/>
  <c r="DR62" i="5"/>
  <c r="DN62" i="5"/>
  <c r="DJ62" i="5"/>
  <c r="DF62" i="5"/>
  <c r="DB62" i="5"/>
  <c r="CX62" i="5"/>
  <c r="CU63" i="5"/>
  <c r="FH62" i="5"/>
  <c r="EY62" i="5"/>
  <c r="EU62" i="5"/>
  <c r="EP62" i="5"/>
  <c r="EL62" i="5"/>
  <c r="EG62" i="5"/>
  <c r="EC62" i="5"/>
  <c r="DY62" i="5"/>
  <c r="DU62" i="5"/>
  <c r="DQ62" i="5"/>
  <c r="DM62" i="5"/>
  <c r="DI62" i="5"/>
  <c r="DE62" i="5"/>
  <c r="DA62" i="5"/>
  <c r="CW62" i="5"/>
  <c r="FK62" i="5"/>
  <c r="FG62" i="5"/>
  <c r="FB62" i="5"/>
  <c r="EX62" i="5"/>
  <c r="EO62" i="5"/>
  <c r="EK62" i="5"/>
  <c r="EF62" i="5"/>
  <c r="EB62" i="5"/>
  <c r="DX62" i="5"/>
  <c r="DT62" i="5"/>
  <c r="DP62" i="5"/>
  <c r="DL62" i="5"/>
  <c r="DH62" i="5"/>
  <c r="DD62" i="5"/>
  <c r="CZ62" i="5"/>
  <c r="CV62" i="5"/>
  <c r="FJ62" i="5"/>
  <c r="FF62" i="5"/>
  <c r="FA62" i="5"/>
  <c r="EW62" i="5"/>
  <c r="ER62" i="5"/>
  <c r="EN62" i="5"/>
  <c r="EE62" i="5"/>
  <c r="EA62" i="5"/>
  <c r="DW62" i="5"/>
  <c r="DS62" i="5"/>
  <c r="DO62" i="5"/>
  <c r="DK62" i="5"/>
  <c r="DG62" i="5"/>
  <c r="DC62" i="5"/>
  <c r="CY62" i="5"/>
  <c r="CC53" i="2"/>
  <c r="BQ63" i="5"/>
  <c r="BS62" i="5"/>
  <c r="BV62" i="5"/>
  <c r="BR62" i="5"/>
  <c r="BU62" i="5"/>
  <c r="BT62" i="5"/>
  <c r="CK62" i="5"/>
  <c r="CN62" i="5"/>
  <c r="CJ62" i="5"/>
  <c r="CG63" i="5"/>
  <c r="CM62" i="5"/>
  <c r="CI62" i="5"/>
  <c r="CL62" i="5"/>
  <c r="CH62" i="5"/>
  <c r="U63" i="5"/>
  <c r="BF63" i="2"/>
  <c r="BH62" i="2"/>
  <c r="BG62" i="2"/>
  <c r="AQ62" i="5"/>
  <c r="AW61" i="5"/>
  <c r="AR61" i="5"/>
  <c r="AX61" i="5"/>
  <c r="AT61" i="5"/>
  <c r="AM62" i="2"/>
  <c r="AI62" i="2"/>
  <c r="AL62" i="2"/>
  <c r="AO62" i="2"/>
  <c r="AK62" i="2"/>
  <c r="AH63" i="2"/>
  <c r="AN62" i="2"/>
  <c r="AJ62" i="2"/>
  <c r="AK56" i="2"/>
  <c r="B64" i="19"/>
  <c r="D64" i="19" s="1"/>
  <c r="E64" i="19"/>
  <c r="F64" i="19" s="1"/>
  <c r="A65" i="19"/>
  <c r="C64" i="19"/>
  <c r="AE61" i="5"/>
  <c r="AA61" i="5"/>
  <c r="X62" i="5"/>
  <c r="AD61" i="5"/>
  <c r="Z61" i="5"/>
  <c r="AC61" i="5"/>
  <c r="Y61" i="5"/>
  <c r="AF61" i="5"/>
  <c r="AB61" i="5"/>
  <c r="BN62" i="5"/>
  <c r="BM62" i="5"/>
  <c r="BJ63" i="5"/>
  <c r="BL62" i="5"/>
  <c r="BO62" i="5"/>
  <c r="BK62" i="5"/>
  <c r="BY62" i="2"/>
  <c r="CB62" i="2"/>
  <c r="CE62" i="2"/>
  <c r="CA62" i="2"/>
  <c r="BX63" i="2"/>
  <c r="BZ62" i="2"/>
  <c r="CC55" i="5" l="1"/>
  <c r="CC53" i="5"/>
  <c r="CC54" i="5"/>
  <c r="CE63" i="2"/>
  <c r="CA63" i="2"/>
  <c r="BX64" i="2"/>
  <c r="BZ63" i="2"/>
  <c r="BY63" i="2"/>
  <c r="CB63" i="2"/>
  <c r="BJ64" i="5"/>
  <c r="BL63" i="5"/>
  <c r="BO63" i="5"/>
  <c r="BK63" i="5"/>
  <c r="BN63" i="5"/>
  <c r="BM63" i="5"/>
  <c r="AX62" i="5"/>
  <c r="AT62" i="5"/>
  <c r="AQ63" i="5"/>
  <c r="AW62" i="5"/>
  <c r="AK55" i="5"/>
  <c r="U64" i="2"/>
  <c r="BF65" i="5"/>
  <c r="BH64" i="5"/>
  <c r="BG64" i="5"/>
  <c r="IJ63" i="5"/>
  <c r="IF63" i="5"/>
  <c r="II63" i="5"/>
  <c r="IL63" i="5"/>
  <c r="IH63" i="5"/>
  <c r="IE64" i="5"/>
  <c r="IK63" i="5"/>
  <c r="IG63" i="5"/>
  <c r="BX64" i="5"/>
  <c r="BZ63" i="5"/>
  <c r="BY63" i="5"/>
  <c r="CB63" i="5"/>
  <c r="CE63" i="5"/>
  <c r="CA63" i="5"/>
  <c r="BF64" i="2"/>
  <c r="BH63" i="2"/>
  <c r="BG63" i="2"/>
  <c r="AZ63" i="5"/>
  <c r="BA62" i="5"/>
  <c r="AC62" i="5"/>
  <c r="Y62" i="5"/>
  <c r="AF62" i="5"/>
  <c r="AB62" i="5"/>
  <c r="AE62" i="5"/>
  <c r="AA62" i="5"/>
  <c r="X63" i="5"/>
  <c r="AD62" i="5"/>
  <c r="Z62" i="5"/>
  <c r="E65" i="19"/>
  <c r="F65" i="19" s="1"/>
  <c r="A66" i="19"/>
  <c r="C65" i="19"/>
  <c r="B65" i="19"/>
  <c r="D65" i="19" s="1"/>
  <c r="IJ54" i="5"/>
  <c r="L53" i="5"/>
  <c r="AI54" i="5"/>
  <c r="X63" i="2"/>
  <c r="AD62" i="2"/>
  <c r="Z62" i="2"/>
  <c r="AC62" i="2"/>
  <c r="Y62" i="2"/>
  <c r="AF62" i="2"/>
  <c r="AB62" i="2"/>
  <c r="AE62" i="2"/>
  <c r="AA62" i="2"/>
  <c r="GW65" i="5"/>
  <c r="FM66" i="5"/>
  <c r="GZ65" i="5"/>
  <c r="GV65" i="5"/>
  <c r="GY65" i="5"/>
  <c r="GU65" i="5"/>
  <c r="GX65" i="5"/>
  <c r="AO56" i="5"/>
  <c r="AN56" i="5"/>
  <c r="U64" i="5"/>
  <c r="BV63" i="2"/>
  <c r="BR63" i="2"/>
  <c r="BU63" i="2"/>
  <c r="BT63" i="2"/>
  <c r="BQ64" i="2"/>
  <c r="BS63" i="2"/>
  <c r="GX69" i="2"/>
  <c r="GW69" i="2"/>
  <c r="FM70" i="2"/>
  <c r="GZ69" i="2"/>
  <c r="GV69" i="2"/>
  <c r="GY69" i="2"/>
  <c r="GU69" i="2"/>
  <c r="AL62" i="5"/>
  <c r="AO62" i="5"/>
  <c r="AK62" i="5"/>
  <c r="AH63" i="5"/>
  <c r="AN62" i="5"/>
  <c r="AJ62" i="5"/>
  <c r="AM62" i="5"/>
  <c r="AI62" i="5"/>
  <c r="AX63" i="2"/>
  <c r="AT63" i="2"/>
  <c r="AQ64" i="2"/>
  <c r="AW63" i="2"/>
  <c r="IJ54" i="2"/>
  <c r="L53" i="2"/>
  <c r="AI54" i="2"/>
  <c r="AK55" i="2"/>
  <c r="J62" i="5"/>
  <c r="L62" i="5" s="1"/>
  <c r="G63" i="5"/>
  <c r="I62" i="5"/>
  <c r="H62" i="5"/>
  <c r="AN56" i="2"/>
  <c r="AO56" i="2"/>
  <c r="CG64" i="5"/>
  <c r="CM63" i="5"/>
  <c r="CI63" i="5"/>
  <c r="CL63" i="5"/>
  <c r="CH63" i="5"/>
  <c r="CK63" i="5"/>
  <c r="CN63" i="5"/>
  <c r="CJ63" i="5"/>
  <c r="AO63" i="2"/>
  <c r="AK63" i="2"/>
  <c r="AH64" i="2"/>
  <c r="AN63" i="2"/>
  <c r="AJ63" i="2"/>
  <c r="AM63" i="2"/>
  <c r="AI63" i="2"/>
  <c r="AL63" i="2"/>
  <c r="BU63" i="5"/>
  <c r="BT63" i="5"/>
  <c r="BQ64" i="5"/>
  <c r="BS63" i="5"/>
  <c r="BV63" i="5"/>
  <c r="BR63" i="5"/>
  <c r="FK63" i="5"/>
  <c r="FG63" i="5"/>
  <c r="FB63" i="5"/>
  <c r="EX63" i="5"/>
  <c r="EO63" i="5"/>
  <c r="EK63" i="5"/>
  <c r="EF63" i="5"/>
  <c r="EB63" i="5"/>
  <c r="DX63" i="5"/>
  <c r="DT63" i="5"/>
  <c r="DP63" i="5"/>
  <c r="DL63" i="5"/>
  <c r="DH63" i="5"/>
  <c r="DD63" i="5"/>
  <c r="CZ63" i="5"/>
  <c r="CV63" i="5"/>
  <c r="FJ63" i="5"/>
  <c r="FF63" i="5"/>
  <c r="FA63" i="5"/>
  <c r="EW63" i="5"/>
  <c r="ER63" i="5"/>
  <c r="EN63" i="5"/>
  <c r="EE63" i="5"/>
  <c r="EA63" i="5"/>
  <c r="DW63" i="5"/>
  <c r="DS63" i="5"/>
  <c r="DO63" i="5"/>
  <c r="DK63" i="5"/>
  <c r="DG63" i="5"/>
  <c r="DC63" i="5"/>
  <c r="CY63" i="5"/>
  <c r="FI63" i="5"/>
  <c r="FE63" i="5"/>
  <c r="EZ63" i="5"/>
  <c r="EV63" i="5"/>
  <c r="EQ63" i="5"/>
  <c r="EM63" i="5"/>
  <c r="EH63" i="5"/>
  <c r="ED63" i="5"/>
  <c r="DZ63" i="5"/>
  <c r="DV63" i="5"/>
  <c r="DR63" i="5"/>
  <c r="DN63" i="5"/>
  <c r="DJ63" i="5"/>
  <c r="DF63" i="5"/>
  <c r="DB63" i="5"/>
  <c r="CX63" i="5"/>
  <c r="CU64" i="5"/>
  <c r="FH63" i="5"/>
  <c r="EY63" i="5"/>
  <c r="EU63" i="5"/>
  <c r="EP63" i="5"/>
  <c r="EL63" i="5"/>
  <c r="EG63" i="5"/>
  <c r="EC63" i="5"/>
  <c r="DY63" i="5"/>
  <c r="DU63" i="5"/>
  <c r="DQ63" i="5"/>
  <c r="DM63" i="5"/>
  <c r="DI63" i="5"/>
  <c r="DE63" i="5"/>
  <c r="DA63" i="5"/>
  <c r="CW63" i="5"/>
  <c r="CU64" i="2"/>
  <c r="FH63" i="2"/>
  <c r="EY63" i="2"/>
  <c r="EU63" i="2"/>
  <c r="EP63" i="2"/>
  <c r="EL63" i="2"/>
  <c r="EG63" i="2"/>
  <c r="EC63" i="2"/>
  <c r="DY63" i="2"/>
  <c r="DU63" i="2"/>
  <c r="DQ63" i="2"/>
  <c r="DM63" i="2"/>
  <c r="DI63" i="2"/>
  <c r="DE63" i="2"/>
  <c r="DA63" i="2"/>
  <c r="CW63" i="2"/>
  <c r="FK63" i="2"/>
  <c r="FG63" i="2"/>
  <c r="FB63" i="2"/>
  <c r="EX63" i="2"/>
  <c r="EO63" i="2"/>
  <c r="EK63" i="2"/>
  <c r="EF63" i="2"/>
  <c r="EB63" i="2"/>
  <c r="DX63" i="2"/>
  <c r="DT63" i="2"/>
  <c r="DP63" i="2"/>
  <c r="DL63" i="2"/>
  <c r="DH63" i="2"/>
  <c r="DD63" i="2"/>
  <c r="CZ63" i="2"/>
  <c r="CV63" i="2"/>
  <c r="FJ63" i="2"/>
  <c r="FF63" i="2"/>
  <c r="FA63" i="2"/>
  <c r="EW63" i="2"/>
  <c r="ER63" i="2"/>
  <c r="EN63" i="2"/>
  <c r="EE63" i="2"/>
  <c r="EA63" i="2"/>
  <c r="DW63" i="2"/>
  <c r="DS63" i="2"/>
  <c r="DO63" i="2"/>
  <c r="DK63" i="2"/>
  <c r="DG63" i="2"/>
  <c r="DC63" i="2"/>
  <c r="CY63" i="2"/>
  <c r="FI63" i="2"/>
  <c r="FE63" i="2"/>
  <c r="EZ63" i="2"/>
  <c r="EV63" i="2"/>
  <c r="EQ63" i="2"/>
  <c r="EM63" i="2"/>
  <c r="EH63" i="2"/>
  <c r="ED63" i="2"/>
  <c r="DZ63" i="2"/>
  <c r="DV63" i="2"/>
  <c r="DR63" i="2"/>
  <c r="DN63" i="2"/>
  <c r="DJ63" i="2"/>
  <c r="DF63" i="2"/>
  <c r="DB63" i="2"/>
  <c r="CX63" i="2"/>
  <c r="IE64" i="2"/>
  <c r="IK63" i="2"/>
  <c r="IG63" i="2"/>
  <c r="IJ63" i="2"/>
  <c r="IF63" i="2"/>
  <c r="II63" i="2"/>
  <c r="IL63" i="2"/>
  <c r="IH63" i="2"/>
  <c r="BM63" i="2"/>
  <c r="BJ64" i="2"/>
  <c r="BL63" i="2"/>
  <c r="BO63" i="2"/>
  <c r="BK63" i="2"/>
  <c r="BN63" i="2"/>
  <c r="IQ12" i="2"/>
  <c r="AR61" i="2"/>
  <c r="CC56" i="2" s="1"/>
  <c r="J62" i="2"/>
  <c r="L62" i="2" s="1"/>
  <c r="G63" i="2"/>
  <c r="I62" i="2"/>
  <c r="H62" i="2"/>
  <c r="CN63" i="2"/>
  <c r="CJ63" i="2"/>
  <c r="CG64" i="2"/>
  <c r="CM63" i="2"/>
  <c r="CI63" i="2"/>
  <c r="CL63" i="2"/>
  <c r="CH63" i="2"/>
  <c r="CK63" i="2"/>
  <c r="CC55" i="2"/>
  <c r="AZ64" i="2"/>
  <c r="BA63" i="2"/>
  <c r="BT64" i="2" l="1"/>
  <c r="BQ65" i="2"/>
  <c r="BS64" i="2"/>
  <c r="BV64" i="2"/>
  <c r="BR64" i="2"/>
  <c r="BU64" i="2"/>
  <c r="BA64" i="2"/>
  <c r="AZ65" i="2"/>
  <c r="CL64" i="2"/>
  <c r="CH64" i="2"/>
  <c r="CK64" i="2"/>
  <c r="CN64" i="2"/>
  <c r="CJ64" i="2"/>
  <c r="CG65" i="2"/>
  <c r="CM64" i="2"/>
  <c r="CI64" i="2"/>
  <c r="II64" i="2"/>
  <c r="IL64" i="2"/>
  <c r="IH64" i="2"/>
  <c r="IE65" i="2"/>
  <c r="IK64" i="2"/>
  <c r="IG64" i="2"/>
  <c r="IJ64" i="2"/>
  <c r="IF64" i="2"/>
  <c r="FJ64" i="2"/>
  <c r="FF64" i="2"/>
  <c r="FA64" i="2"/>
  <c r="EW64" i="2"/>
  <c r="ER64" i="2"/>
  <c r="EN64" i="2"/>
  <c r="EE64" i="2"/>
  <c r="EA64" i="2"/>
  <c r="DW64" i="2"/>
  <c r="DS64" i="2"/>
  <c r="DO64" i="2"/>
  <c r="DK64" i="2"/>
  <c r="DG64" i="2"/>
  <c r="DC64" i="2"/>
  <c r="CY64" i="2"/>
  <c r="FI64" i="2"/>
  <c r="FE64" i="2"/>
  <c r="EZ64" i="2"/>
  <c r="EV64" i="2"/>
  <c r="EQ64" i="2"/>
  <c r="EM64" i="2"/>
  <c r="EH64" i="2"/>
  <c r="ED64" i="2"/>
  <c r="DZ64" i="2"/>
  <c r="DV64" i="2"/>
  <c r="DR64" i="2"/>
  <c r="DN64" i="2"/>
  <c r="DJ64" i="2"/>
  <c r="DF64" i="2"/>
  <c r="DB64" i="2"/>
  <c r="CX64" i="2"/>
  <c r="CU65" i="2"/>
  <c r="FH64" i="2"/>
  <c r="EY64" i="2"/>
  <c r="EU64" i="2"/>
  <c r="EP64" i="2"/>
  <c r="EL64" i="2"/>
  <c r="EG64" i="2"/>
  <c r="EC64" i="2"/>
  <c r="DY64" i="2"/>
  <c r="DU64" i="2"/>
  <c r="DQ64" i="2"/>
  <c r="DM64" i="2"/>
  <c r="DI64" i="2"/>
  <c r="DE64" i="2"/>
  <c r="DA64" i="2"/>
  <c r="CW64" i="2"/>
  <c r="FK64" i="2"/>
  <c r="FG64" i="2"/>
  <c r="FB64" i="2"/>
  <c r="EX64" i="2"/>
  <c r="EO64" i="2"/>
  <c r="EK64" i="2"/>
  <c r="EF64" i="2"/>
  <c r="EB64" i="2"/>
  <c r="DX64" i="2"/>
  <c r="DT64" i="2"/>
  <c r="DP64" i="2"/>
  <c r="DL64" i="2"/>
  <c r="DH64" i="2"/>
  <c r="DD64" i="2"/>
  <c r="CZ64" i="2"/>
  <c r="CV64" i="2"/>
  <c r="FI64" i="5"/>
  <c r="FE64" i="5"/>
  <c r="EZ64" i="5"/>
  <c r="EV64" i="5"/>
  <c r="EQ64" i="5"/>
  <c r="EM64" i="5"/>
  <c r="EH64" i="5"/>
  <c r="ED64" i="5"/>
  <c r="DZ64" i="5"/>
  <c r="DV64" i="5"/>
  <c r="DR64" i="5"/>
  <c r="DN64" i="5"/>
  <c r="DJ64" i="5"/>
  <c r="DF64" i="5"/>
  <c r="DB64" i="5"/>
  <c r="CX64" i="5"/>
  <c r="CU65" i="5"/>
  <c r="FH64" i="5"/>
  <c r="EY64" i="5"/>
  <c r="EU64" i="5"/>
  <c r="EP64" i="5"/>
  <c r="EL64" i="5"/>
  <c r="EG64" i="5"/>
  <c r="EC64" i="5"/>
  <c r="DY64" i="5"/>
  <c r="DU64" i="5"/>
  <c r="DQ64" i="5"/>
  <c r="DM64" i="5"/>
  <c r="DI64" i="5"/>
  <c r="DE64" i="5"/>
  <c r="DA64" i="5"/>
  <c r="CW64" i="5"/>
  <c r="FK64" i="5"/>
  <c r="FG64" i="5"/>
  <c r="FB64" i="5"/>
  <c r="EX64" i="5"/>
  <c r="EO64" i="5"/>
  <c r="EK64" i="5"/>
  <c r="EF64" i="5"/>
  <c r="EB64" i="5"/>
  <c r="DX64" i="5"/>
  <c r="DT64" i="5"/>
  <c r="DP64" i="5"/>
  <c r="DL64" i="5"/>
  <c r="DH64" i="5"/>
  <c r="DD64" i="5"/>
  <c r="CZ64" i="5"/>
  <c r="CV64" i="5"/>
  <c r="FJ64" i="5"/>
  <c r="FF64" i="5"/>
  <c r="FA64" i="5"/>
  <c r="EW64" i="5"/>
  <c r="ER64" i="5"/>
  <c r="EN64" i="5"/>
  <c r="EE64" i="5"/>
  <c r="EA64" i="5"/>
  <c r="DW64" i="5"/>
  <c r="DS64" i="5"/>
  <c r="DO64" i="5"/>
  <c r="DK64" i="5"/>
  <c r="DG64" i="5"/>
  <c r="DC64" i="5"/>
  <c r="CY64" i="5"/>
  <c r="CK64" i="5"/>
  <c r="CN64" i="5"/>
  <c r="CJ64" i="5"/>
  <c r="CG65" i="5"/>
  <c r="CM64" i="5"/>
  <c r="CI64" i="5"/>
  <c r="CL64" i="5"/>
  <c r="CH64" i="5"/>
  <c r="AK54" i="2"/>
  <c r="IJ53" i="2"/>
  <c r="L52" i="2"/>
  <c r="AI53" i="2"/>
  <c r="BF65" i="2"/>
  <c r="BH64" i="2"/>
  <c r="BG64" i="2"/>
  <c r="CB64" i="5"/>
  <c r="CE64" i="5"/>
  <c r="CA64" i="5"/>
  <c r="BX65" i="5"/>
  <c r="BZ64" i="5"/>
  <c r="BY64" i="5"/>
  <c r="IQ13" i="2"/>
  <c r="AK54" i="5"/>
  <c r="AN55" i="5"/>
  <c r="AO55" i="5"/>
  <c r="BN64" i="5"/>
  <c r="BM64" i="5"/>
  <c r="BJ65" i="5"/>
  <c r="BL64" i="5"/>
  <c r="BO64" i="5"/>
  <c r="BK64" i="5"/>
  <c r="G64" i="2"/>
  <c r="I63" i="2"/>
  <c r="H63" i="2"/>
  <c r="J63" i="2"/>
  <c r="L63" i="2" s="1"/>
  <c r="BO64" i="2"/>
  <c r="BK64" i="2"/>
  <c r="BN64" i="2"/>
  <c r="BM64" i="2"/>
  <c r="BJ65" i="2"/>
  <c r="BL64" i="2"/>
  <c r="H63" i="5"/>
  <c r="J63" i="5"/>
  <c r="L63" i="5" s="1"/>
  <c r="G64" i="5"/>
  <c r="I63" i="5"/>
  <c r="AO55" i="2"/>
  <c r="AN55" i="2"/>
  <c r="AX64" i="2"/>
  <c r="AT64" i="2"/>
  <c r="AQ65" i="2"/>
  <c r="AW64" i="2"/>
  <c r="U65" i="5"/>
  <c r="L52" i="5"/>
  <c r="IJ53" i="5"/>
  <c r="AI53" i="5"/>
  <c r="BG65" i="5"/>
  <c r="BF66" i="5"/>
  <c r="BH65" i="5"/>
  <c r="U65" i="2"/>
  <c r="AM64" i="2"/>
  <c r="AI64" i="2"/>
  <c r="AL64" i="2"/>
  <c r="AO64" i="2"/>
  <c r="AK64" i="2"/>
  <c r="AH65" i="2"/>
  <c r="AN64" i="2"/>
  <c r="AJ64" i="2"/>
  <c r="AH64" i="5"/>
  <c r="AN63" i="5"/>
  <c r="AJ63" i="5"/>
  <c r="AM63" i="5"/>
  <c r="AI63" i="5"/>
  <c r="AL63" i="5"/>
  <c r="AO63" i="5"/>
  <c r="AK63" i="5"/>
  <c r="FM71" i="2"/>
  <c r="GZ70" i="2"/>
  <c r="GV70" i="2"/>
  <c r="GY70" i="2"/>
  <c r="GU70" i="2"/>
  <c r="GX70" i="2"/>
  <c r="GW70" i="2"/>
  <c r="A67" i="19"/>
  <c r="B66" i="19"/>
  <c r="D66" i="19" s="1"/>
  <c r="E66" i="19"/>
  <c r="F66" i="19" s="1"/>
  <c r="C66" i="19"/>
  <c r="AE63" i="5"/>
  <c r="AA63" i="5"/>
  <c r="X64" i="5"/>
  <c r="AD63" i="5"/>
  <c r="Z63" i="5"/>
  <c r="AC63" i="5"/>
  <c r="Y63" i="5"/>
  <c r="AF63" i="5"/>
  <c r="AB63" i="5"/>
  <c r="AZ64" i="5"/>
  <c r="BA63" i="5"/>
  <c r="IL64" i="5"/>
  <c r="IH64" i="5"/>
  <c r="IE65" i="5"/>
  <c r="IK64" i="5"/>
  <c r="IG64" i="5"/>
  <c r="IJ64" i="5"/>
  <c r="IF64" i="5"/>
  <c r="II64" i="5"/>
  <c r="AQ64" i="5"/>
  <c r="AW63" i="5"/>
  <c r="AX63" i="5"/>
  <c r="AT63" i="5"/>
  <c r="BY64" i="2"/>
  <c r="CB64" i="2"/>
  <c r="CE64" i="2"/>
  <c r="CA64" i="2"/>
  <c r="BX65" i="2"/>
  <c r="BZ64" i="2"/>
  <c r="AR62" i="2"/>
  <c r="BQ65" i="5"/>
  <c r="BS64" i="5"/>
  <c r="BV64" i="5"/>
  <c r="BR64" i="5"/>
  <c r="BU64" i="5"/>
  <c r="BT64" i="5"/>
  <c r="GY66" i="5"/>
  <c r="GU66" i="5"/>
  <c r="GX66" i="5"/>
  <c r="GW66" i="5"/>
  <c r="FM67" i="5"/>
  <c r="GZ66" i="5"/>
  <c r="GV66" i="5"/>
  <c r="AF63" i="2"/>
  <c r="AB63" i="2"/>
  <c r="AE63" i="2"/>
  <c r="AA63" i="2"/>
  <c r="X64" i="2"/>
  <c r="AD63" i="2"/>
  <c r="Z63" i="2"/>
  <c r="AC63" i="2"/>
  <c r="Y63" i="2"/>
  <c r="AR62" i="5"/>
  <c r="AR63" i="5" l="1"/>
  <c r="CC57" i="5" s="1"/>
  <c r="GW67" i="5"/>
  <c r="FM68" i="5"/>
  <c r="GZ67" i="5"/>
  <c r="GV67" i="5"/>
  <c r="GY67" i="5"/>
  <c r="GU67" i="5"/>
  <c r="GX67" i="5"/>
  <c r="AO54" i="5"/>
  <c r="AN54" i="5"/>
  <c r="IQ14" i="2"/>
  <c r="IJ65" i="5"/>
  <c r="IF65" i="5"/>
  <c r="II65" i="5"/>
  <c r="IL65" i="5"/>
  <c r="IH65" i="5"/>
  <c r="IE66" i="5"/>
  <c r="IK65" i="5"/>
  <c r="IG65" i="5"/>
  <c r="AZ65" i="5"/>
  <c r="BA64" i="5"/>
  <c r="AO65" i="2"/>
  <c r="AK65" i="2"/>
  <c r="AH66" i="2"/>
  <c r="AN65" i="2"/>
  <c r="AJ65" i="2"/>
  <c r="AM65" i="2"/>
  <c r="AI65" i="2"/>
  <c r="AL65" i="2"/>
  <c r="U66" i="5"/>
  <c r="AR63" i="2"/>
  <c r="CC58" i="2" s="1"/>
  <c r="J64" i="2"/>
  <c r="L64" i="2" s="1"/>
  <c r="G65" i="2"/>
  <c r="I64" i="2"/>
  <c r="H64" i="2"/>
  <c r="BJ66" i="5"/>
  <c r="BL65" i="5"/>
  <c r="BO65" i="5"/>
  <c r="BK65" i="5"/>
  <c r="BN65" i="5"/>
  <c r="BM65" i="5"/>
  <c r="BF66" i="2"/>
  <c r="BH65" i="2"/>
  <c r="BG65" i="2"/>
  <c r="AO54" i="2"/>
  <c r="AN54" i="2"/>
  <c r="J64" i="5"/>
  <c r="L64" i="5" s="1"/>
  <c r="G65" i="5"/>
  <c r="I64" i="5"/>
  <c r="H64" i="5"/>
  <c r="BA65" i="2"/>
  <c r="AZ66" i="2"/>
  <c r="AK53" i="5"/>
  <c r="L51" i="5"/>
  <c r="IJ52" i="5"/>
  <c r="AI52" i="5"/>
  <c r="AX65" i="2"/>
  <c r="AT65" i="2"/>
  <c r="AQ66" i="2"/>
  <c r="AW65" i="2"/>
  <c r="BX66" i="5"/>
  <c r="BZ65" i="5"/>
  <c r="BY65" i="5"/>
  <c r="CB65" i="5"/>
  <c r="CE65" i="5"/>
  <c r="CA65" i="5"/>
  <c r="BU65" i="5"/>
  <c r="BT65" i="5"/>
  <c r="BQ66" i="5"/>
  <c r="BS65" i="5"/>
  <c r="BV65" i="5"/>
  <c r="BR65" i="5"/>
  <c r="CE65" i="2"/>
  <c r="CA65" i="2"/>
  <c r="BX66" i="2"/>
  <c r="BZ65" i="2"/>
  <c r="BY65" i="2"/>
  <c r="CB65" i="2"/>
  <c r="A68" i="19"/>
  <c r="C67" i="19"/>
  <c r="E67" i="19"/>
  <c r="F67" i="19" s="1"/>
  <c r="B67" i="19"/>
  <c r="D67" i="19" s="1"/>
  <c r="GX71" i="2"/>
  <c r="GW71" i="2"/>
  <c r="FM72" i="2"/>
  <c r="GZ71" i="2"/>
  <c r="GV71" i="2"/>
  <c r="GY71" i="2"/>
  <c r="GU71" i="2"/>
  <c r="AL64" i="5"/>
  <c r="AO64" i="5"/>
  <c r="AK64" i="5"/>
  <c r="AH65" i="5"/>
  <c r="AN64" i="5"/>
  <c r="AJ64" i="5"/>
  <c r="AM64" i="5"/>
  <c r="AI64" i="5"/>
  <c r="BF67" i="5"/>
  <c r="BH66" i="5"/>
  <c r="BG66" i="5"/>
  <c r="CG66" i="5"/>
  <c r="CM65" i="5"/>
  <c r="CI65" i="5"/>
  <c r="CL65" i="5"/>
  <c r="CH65" i="5"/>
  <c r="CK65" i="5"/>
  <c r="CN65" i="5"/>
  <c r="CJ65" i="5"/>
  <c r="X65" i="2"/>
  <c r="AD64" i="2"/>
  <c r="Z64" i="2"/>
  <c r="AC64" i="2"/>
  <c r="Y64" i="2"/>
  <c r="AF64" i="2"/>
  <c r="AB64" i="2"/>
  <c r="AE64" i="2"/>
  <c r="AA64" i="2"/>
  <c r="AX64" i="5"/>
  <c r="AT64" i="5"/>
  <c r="AQ65" i="5"/>
  <c r="AW64" i="5"/>
  <c r="AR64" i="5"/>
  <c r="CC56" i="5"/>
  <c r="AC64" i="5"/>
  <c r="Y64" i="5"/>
  <c r="AF64" i="5"/>
  <c r="AB64" i="5"/>
  <c r="AE64" i="5"/>
  <c r="AA64" i="5"/>
  <c r="X65" i="5"/>
  <c r="AD64" i="5"/>
  <c r="Z64" i="5"/>
  <c r="U66" i="2"/>
  <c r="BM65" i="2"/>
  <c r="BL65" i="2"/>
  <c r="BO65" i="2"/>
  <c r="BK65" i="2"/>
  <c r="BJ66" i="2"/>
  <c r="BN65" i="2"/>
  <c r="CC57" i="2"/>
  <c r="AK53" i="2"/>
  <c r="L51" i="2"/>
  <c r="AI52" i="2"/>
  <c r="IJ52" i="2"/>
  <c r="FK65" i="5"/>
  <c r="FG65" i="5"/>
  <c r="FB65" i="5"/>
  <c r="EX65" i="5"/>
  <c r="EO65" i="5"/>
  <c r="EK65" i="5"/>
  <c r="EF65" i="5"/>
  <c r="EB65" i="5"/>
  <c r="DX65" i="5"/>
  <c r="DT65" i="5"/>
  <c r="DP65" i="5"/>
  <c r="DL65" i="5"/>
  <c r="DH65" i="5"/>
  <c r="DD65" i="5"/>
  <c r="CZ65" i="5"/>
  <c r="CV65" i="5"/>
  <c r="FJ65" i="5"/>
  <c r="FF65" i="5"/>
  <c r="FA65" i="5"/>
  <c r="EW65" i="5"/>
  <c r="ER65" i="5"/>
  <c r="EN65" i="5"/>
  <c r="EE65" i="5"/>
  <c r="EA65" i="5"/>
  <c r="DW65" i="5"/>
  <c r="DS65" i="5"/>
  <c r="DO65" i="5"/>
  <c r="DK65" i="5"/>
  <c r="DG65" i="5"/>
  <c r="DC65" i="5"/>
  <c r="CY65" i="5"/>
  <c r="FI65" i="5"/>
  <c r="FE65" i="5"/>
  <c r="EZ65" i="5"/>
  <c r="EV65" i="5"/>
  <c r="EQ65" i="5"/>
  <c r="EM65" i="5"/>
  <c r="EH65" i="5"/>
  <c r="ED65" i="5"/>
  <c r="DZ65" i="5"/>
  <c r="DV65" i="5"/>
  <c r="DR65" i="5"/>
  <c r="DN65" i="5"/>
  <c r="DJ65" i="5"/>
  <c r="DF65" i="5"/>
  <c r="DB65" i="5"/>
  <c r="CX65" i="5"/>
  <c r="CU66" i="5"/>
  <c r="FH65" i="5"/>
  <c r="EY65" i="5"/>
  <c r="EU65" i="5"/>
  <c r="EP65" i="5"/>
  <c r="EL65" i="5"/>
  <c r="EG65" i="5"/>
  <c r="EC65" i="5"/>
  <c r="DY65" i="5"/>
  <c r="DU65" i="5"/>
  <c r="DQ65" i="5"/>
  <c r="DM65" i="5"/>
  <c r="DI65" i="5"/>
  <c r="DE65" i="5"/>
  <c r="DA65" i="5"/>
  <c r="CW65" i="5"/>
  <c r="FH65" i="2"/>
  <c r="EY65" i="2"/>
  <c r="EU65" i="2"/>
  <c r="EP65" i="2"/>
  <c r="EL65" i="2"/>
  <c r="EG65" i="2"/>
  <c r="EC65" i="2"/>
  <c r="DY65" i="2"/>
  <c r="DU65" i="2"/>
  <c r="DQ65" i="2"/>
  <c r="DM65" i="2"/>
  <c r="DI65" i="2"/>
  <c r="DE65" i="2"/>
  <c r="DA65" i="2"/>
  <c r="CW65" i="2"/>
  <c r="FK65" i="2"/>
  <c r="FG65" i="2"/>
  <c r="FB65" i="2"/>
  <c r="EX65" i="2"/>
  <c r="EO65" i="2"/>
  <c r="EK65" i="2"/>
  <c r="EF65" i="2"/>
  <c r="EB65" i="2"/>
  <c r="DX65" i="2"/>
  <c r="DT65" i="2"/>
  <c r="DP65" i="2"/>
  <c r="DL65" i="2"/>
  <c r="DH65" i="2"/>
  <c r="DD65" i="2"/>
  <c r="CZ65" i="2"/>
  <c r="CV65" i="2"/>
  <c r="FJ65" i="2"/>
  <c r="FF65" i="2"/>
  <c r="FA65" i="2"/>
  <c r="EW65" i="2"/>
  <c r="ER65" i="2"/>
  <c r="EN65" i="2"/>
  <c r="EE65" i="2"/>
  <c r="EA65" i="2"/>
  <c r="DW65" i="2"/>
  <c r="DS65" i="2"/>
  <c r="DO65" i="2"/>
  <c r="DK65" i="2"/>
  <c r="DG65" i="2"/>
  <c r="DC65" i="2"/>
  <c r="CY65" i="2"/>
  <c r="CU66" i="2"/>
  <c r="FI65" i="2"/>
  <c r="FE65" i="2"/>
  <c r="EZ65" i="2"/>
  <c r="EV65" i="2"/>
  <c r="EQ65" i="2"/>
  <c r="EM65" i="2"/>
  <c r="EH65" i="2"/>
  <c r="ED65" i="2"/>
  <c r="DZ65" i="2"/>
  <c r="DV65" i="2"/>
  <c r="DR65" i="2"/>
  <c r="DN65" i="2"/>
  <c r="DJ65" i="2"/>
  <c r="DF65" i="2"/>
  <c r="DB65" i="2"/>
  <c r="CX65" i="2"/>
  <c r="IK65" i="2"/>
  <c r="IG65" i="2"/>
  <c r="IE66" i="2"/>
  <c r="IJ65" i="2"/>
  <c r="IF65" i="2"/>
  <c r="II65" i="2"/>
  <c r="IL65" i="2"/>
  <c r="IH65" i="2"/>
  <c r="CG66" i="2"/>
  <c r="CN65" i="2"/>
  <c r="CJ65" i="2"/>
  <c r="CM65" i="2"/>
  <c r="CI65" i="2"/>
  <c r="CL65" i="2"/>
  <c r="CH65" i="2"/>
  <c r="CK65" i="2"/>
  <c r="BQ66" i="2"/>
  <c r="BV65" i="2"/>
  <c r="BR65" i="2"/>
  <c r="BU65" i="2"/>
  <c r="BT65" i="2"/>
  <c r="BS65" i="2"/>
  <c r="CC58" i="5" l="1"/>
  <c r="IE67" i="2"/>
  <c r="IK66" i="2"/>
  <c r="IG66" i="2"/>
  <c r="IJ66" i="2"/>
  <c r="IF66" i="2"/>
  <c r="IH66" i="2"/>
  <c r="IL66" i="2"/>
  <c r="II66" i="2"/>
  <c r="BQ67" i="5"/>
  <c r="BS66" i="5"/>
  <c r="BV66" i="5"/>
  <c r="BR66" i="5"/>
  <c r="BU66" i="5"/>
  <c r="BT66" i="5"/>
  <c r="CU67" i="2"/>
  <c r="FH66" i="2"/>
  <c r="EY66" i="2"/>
  <c r="EU66" i="2"/>
  <c r="EP66" i="2"/>
  <c r="EL66" i="2"/>
  <c r="EG66" i="2"/>
  <c r="EC66" i="2"/>
  <c r="DY66" i="2"/>
  <c r="DU66" i="2"/>
  <c r="DQ66" i="2"/>
  <c r="DM66" i="2"/>
  <c r="DI66" i="2"/>
  <c r="DE66" i="2"/>
  <c r="DA66" i="2"/>
  <c r="CW66" i="2"/>
  <c r="FK66" i="2"/>
  <c r="FG66" i="2"/>
  <c r="FB66" i="2"/>
  <c r="EX66" i="2"/>
  <c r="EO66" i="2"/>
  <c r="EK66" i="2"/>
  <c r="EF66" i="2"/>
  <c r="EB66" i="2"/>
  <c r="DX66" i="2"/>
  <c r="DT66" i="2"/>
  <c r="DP66" i="2"/>
  <c r="DL66" i="2"/>
  <c r="DH66" i="2"/>
  <c r="DD66" i="2"/>
  <c r="CZ66" i="2"/>
  <c r="CV66" i="2"/>
  <c r="FI66" i="2"/>
  <c r="EZ66" i="2"/>
  <c r="EQ66" i="2"/>
  <c r="EH66" i="2"/>
  <c r="DZ66" i="2"/>
  <c r="DR66" i="2"/>
  <c r="DJ66" i="2"/>
  <c r="DB66" i="2"/>
  <c r="FF66" i="2"/>
  <c r="EW66" i="2"/>
  <c r="EN66" i="2"/>
  <c r="EE66" i="2"/>
  <c r="DW66" i="2"/>
  <c r="DO66" i="2"/>
  <c r="DG66" i="2"/>
  <c r="CY66" i="2"/>
  <c r="FE66" i="2"/>
  <c r="EV66" i="2"/>
  <c r="EM66" i="2"/>
  <c r="ED66" i="2"/>
  <c r="DV66" i="2"/>
  <c r="DN66" i="2"/>
  <c r="DF66" i="2"/>
  <c r="CX66" i="2"/>
  <c r="FJ66" i="2"/>
  <c r="FA66" i="2"/>
  <c r="ER66" i="2"/>
  <c r="EA66" i="2"/>
  <c r="DS66" i="2"/>
  <c r="DK66" i="2"/>
  <c r="DC66" i="2"/>
  <c r="AN53" i="2"/>
  <c r="AO53" i="2"/>
  <c r="U67" i="2"/>
  <c r="AE65" i="5"/>
  <c r="AA65" i="5"/>
  <c r="X66" i="5"/>
  <c r="AD65" i="5"/>
  <c r="Z65" i="5"/>
  <c r="AC65" i="5"/>
  <c r="Y65" i="5"/>
  <c r="AF65" i="5"/>
  <c r="AB65" i="5"/>
  <c r="AQ66" i="5"/>
  <c r="AW65" i="5"/>
  <c r="AX65" i="5"/>
  <c r="AT65" i="5"/>
  <c r="AF65" i="2"/>
  <c r="AB65" i="2"/>
  <c r="AE65" i="2"/>
  <c r="AA65" i="2"/>
  <c r="X66" i="2"/>
  <c r="AD65" i="2"/>
  <c r="Z65" i="2"/>
  <c r="AC65" i="2"/>
  <c r="Y65" i="2"/>
  <c r="BG67" i="5"/>
  <c r="BF68" i="5"/>
  <c r="BH67" i="5"/>
  <c r="CB66" i="5"/>
  <c r="CE66" i="5"/>
  <c r="CA66" i="5"/>
  <c r="BX67" i="5"/>
  <c r="BZ66" i="5"/>
  <c r="BY66" i="5"/>
  <c r="IJ51" i="5"/>
  <c r="L50" i="5"/>
  <c r="AI51" i="5"/>
  <c r="AZ67" i="2"/>
  <c r="BA66" i="2"/>
  <c r="AR64" i="2"/>
  <c r="CC59" i="2" s="1"/>
  <c r="IL66" i="5"/>
  <c r="IH66" i="5"/>
  <c r="IE67" i="5"/>
  <c r="IK66" i="5"/>
  <c r="IG66" i="5"/>
  <c r="IJ66" i="5"/>
  <c r="IF66" i="5"/>
  <c r="II66" i="5"/>
  <c r="FM73" i="2"/>
  <c r="GZ72" i="2"/>
  <c r="GV72" i="2"/>
  <c r="GY72" i="2"/>
  <c r="GU72" i="2"/>
  <c r="GX72" i="2"/>
  <c r="GW72" i="2"/>
  <c r="AX66" i="2"/>
  <c r="AT66" i="2"/>
  <c r="AQ67" i="2"/>
  <c r="AW66" i="2"/>
  <c r="AK52" i="5"/>
  <c r="H65" i="5"/>
  <c r="J65" i="5"/>
  <c r="L65" i="5" s="1"/>
  <c r="G66" i="5"/>
  <c r="I65" i="5"/>
  <c r="U67" i="5"/>
  <c r="CC59" i="5"/>
  <c r="GY68" i="5"/>
  <c r="GU68" i="5"/>
  <c r="GX68" i="5"/>
  <c r="GW68" i="5"/>
  <c r="FM69" i="5"/>
  <c r="GZ68" i="5"/>
  <c r="GV68" i="5"/>
  <c r="CK66" i="5"/>
  <c r="CN66" i="5"/>
  <c r="CJ66" i="5"/>
  <c r="CG67" i="5"/>
  <c r="CM66" i="5"/>
  <c r="CI66" i="5"/>
  <c r="CL66" i="5"/>
  <c r="CH66" i="5"/>
  <c r="AH66" i="5"/>
  <c r="AN65" i="5"/>
  <c r="AJ65" i="5"/>
  <c r="AM65" i="5"/>
  <c r="AI65" i="5"/>
  <c r="AL65" i="5"/>
  <c r="AO65" i="5"/>
  <c r="AK65" i="5"/>
  <c r="BF67" i="2"/>
  <c r="BH66" i="2"/>
  <c r="BG66" i="2"/>
  <c r="AH67" i="2"/>
  <c r="AM66" i="2"/>
  <c r="AI66" i="2"/>
  <c r="AL66" i="2"/>
  <c r="AO66" i="2"/>
  <c r="AK66" i="2"/>
  <c r="AN66" i="2"/>
  <c r="AJ66" i="2"/>
  <c r="AZ66" i="5"/>
  <c r="BA65" i="5"/>
  <c r="BQ67" i="2"/>
  <c r="BV66" i="2"/>
  <c r="BR66" i="2"/>
  <c r="BU66" i="2"/>
  <c r="BT66" i="2"/>
  <c r="BS66" i="2"/>
  <c r="CN66" i="2"/>
  <c r="CJ66" i="2"/>
  <c r="CG67" i="2"/>
  <c r="CM66" i="2"/>
  <c r="CI66" i="2"/>
  <c r="CL66" i="2"/>
  <c r="CK66" i="2"/>
  <c r="CH66" i="2"/>
  <c r="FI66" i="5"/>
  <c r="FE66" i="5"/>
  <c r="EZ66" i="5"/>
  <c r="EV66" i="5"/>
  <c r="EQ66" i="5"/>
  <c r="EM66" i="5"/>
  <c r="EH66" i="5"/>
  <c r="ED66" i="5"/>
  <c r="DZ66" i="5"/>
  <c r="DV66" i="5"/>
  <c r="DR66" i="5"/>
  <c r="DN66" i="5"/>
  <c r="DJ66" i="5"/>
  <c r="DF66" i="5"/>
  <c r="DB66" i="5"/>
  <c r="CX66" i="5"/>
  <c r="CU67" i="5"/>
  <c r="FH66" i="5"/>
  <c r="EY66" i="5"/>
  <c r="EU66" i="5"/>
  <c r="EP66" i="5"/>
  <c r="EL66" i="5"/>
  <c r="EG66" i="5"/>
  <c r="EC66" i="5"/>
  <c r="DY66" i="5"/>
  <c r="DU66" i="5"/>
  <c r="DQ66" i="5"/>
  <c r="DM66" i="5"/>
  <c r="DI66" i="5"/>
  <c r="DE66" i="5"/>
  <c r="DA66" i="5"/>
  <c r="CW66" i="5"/>
  <c r="FK66" i="5"/>
  <c r="FG66" i="5"/>
  <c r="FB66" i="5"/>
  <c r="EX66" i="5"/>
  <c r="EO66" i="5"/>
  <c r="EK66" i="5"/>
  <c r="EF66" i="5"/>
  <c r="EB66" i="5"/>
  <c r="DX66" i="5"/>
  <c r="DT66" i="5"/>
  <c r="DP66" i="5"/>
  <c r="DL66" i="5"/>
  <c r="DH66" i="5"/>
  <c r="DD66" i="5"/>
  <c r="CZ66" i="5"/>
  <c r="CV66" i="5"/>
  <c r="FJ66" i="5"/>
  <c r="FF66" i="5"/>
  <c r="FA66" i="5"/>
  <c r="EW66" i="5"/>
  <c r="ER66" i="5"/>
  <c r="EN66" i="5"/>
  <c r="EE66" i="5"/>
  <c r="EA66" i="5"/>
  <c r="DW66" i="5"/>
  <c r="DS66" i="5"/>
  <c r="DO66" i="5"/>
  <c r="DK66" i="5"/>
  <c r="DG66" i="5"/>
  <c r="DC66" i="5"/>
  <c r="CY66" i="5"/>
  <c r="AK52" i="2"/>
  <c r="AI51" i="2"/>
  <c r="IJ51" i="2"/>
  <c r="L50" i="2"/>
  <c r="BM66" i="2"/>
  <c r="BJ67" i="2"/>
  <c r="BL66" i="2"/>
  <c r="BO66" i="2"/>
  <c r="BN66" i="2"/>
  <c r="BK66" i="2"/>
  <c r="C68" i="19"/>
  <c r="B68" i="19"/>
  <c r="D68" i="19" s="1"/>
  <c r="E68" i="19"/>
  <c r="F68" i="19" s="1"/>
  <c r="A69" i="19"/>
  <c r="CE66" i="2"/>
  <c r="CA66" i="2"/>
  <c r="BX67" i="2"/>
  <c r="BZ66" i="2"/>
  <c r="BY66" i="2"/>
  <c r="CB66" i="2"/>
  <c r="AN53" i="5"/>
  <c r="AO53" i="5"/>
  <c r="BN66" i="5"/>
  <c r="BM66" i="5"/>
  <c r="BJ67" i="5"/>
  <c r="BL66" i="5"/>
  <c r="BO66" i="5"/>
  <c r="BK66" i="5"/>
  <c r="G66" i="2"/>
  <c r="I65" i="2"/>
  <c r="H65" i="2"/>
  <c r="J65" i="2"/>
  <c r="L65" i="2" s="1"/>
  <c r="AR65" i="5" l="1"/>
  <c r="IJ50" i="2"/>
  <c r="L49" i="2"/>
  <c r="AI50" i="2"/>
  <c r="BV67" i="2"/>
  <c r="BU67" i="2"/>
  <c r="BT67" i="2"/>
  <c r="BQ68" i="2"/>
  <c r="BS67" i="2"/>
  <c r="BR67" i="2"/>
  <c r="AR65" i="2"/>
  <c r="CC60" i="2" s="1"/>
  <c r="G67" i="2"/>
  <c r="J66" i="2"/>
  <c r="L66" i="2" s="1"/>
  <c r="I66" i="2"/>
  <c r="H66" i="2"/>
  <c r="BJ68" i="5"/>
  <c r="BL67" i="5"/>
  <c r="BO67" i="5"/>
  <c r="BK67" i="5"/>
  <c r="BN67" i="5"/>
  <c r="BM67" i="5"/>
  <c r="A70" i="19"/>
  <c r="C69" i="19"/>
  <c r="B69" i="19"/>
  <c r="D69" i="19" s="1"/>
  <c r="E69" i="19"/>
  <c r="F69" i="19" s="1"/>
  <c r="CE67" i="2"/>
  <c r="CA67" i="2"/>
  <c r="BX68" i="2"/>
  <c r="BZ67" i="2"/>
  <c r="BY67" i="2"/>
  <c r="CB67" i="2"/>
  <c r="IJ67" i="5"/>
  <c r="IF67" i="5"/>
  <c r="II67" i="5"/>
  <c r="IL67" i="5"/>
  <c r="IH67" i="5"/>
  <c r="IE68" i="5"/>
  <c r="IK67" i="5"/>
  <c r="IG67" i="5"/>
  <c r="BF69" i="5"/>
  <c r="BH68" i="5"/>
  <c r="BG68" i="5"/>
  <c r="BU67" i="5"/>
  <c r="BT67" i="5"/>
  <c r="BQ68" i="5"/>
  <c r="BS67" i="5"/>
  <c r="BV67" i="5"/>
  <c r="BR67" i="5"/>
  <c r="IE68" i="2"/>
  <c r="IK67" i="2"/>
  <c r="IG67" i="2"/>
  <c r="IJ67" i="2"/>
  <c r="IF67" i="2"/>
  <c r="II67" i="2"/>
  <c r="IL67" i="2"/>
  <c r="IH67" i="2"/>
  <c r="AO52" i="2"/>
  <c r="AN52" i="2"/>
  <c r="CN67" i="2"/>
  <c r="CJ67" i="2"/>
  <c r="CG68" i="2"/>
  <c r="CM67" i="2"/>
  <c r="CI67" i="2"/>
  <c r="CL67" i="2"/>
  <c r="CH67" i="2"/>
  <c r="CK67" i="2"/>
  <c r="AL66" i="5"/>
  <c r="AO66" i="5"/>
  <c r="AK66" i="5"/>
  <c r="AH67" i="5"/>
  <c r="AN66" i="5"/>
  <c r="AJ66" i="5"/>
  <c r="AM66" i="5"/>
  <c r="AI66" i="5"/>
  <c r="J66" i="5"/>
  <c r="L66" i="5" s="1"/>
  <c r="G67" i="5"/>
  <c r="I66" i="5"/>
  <c r="H66" i="5"/>
  <c r="BF68" i="2"/>
  <c r="BG67" i="2"/>
  <c r="BH67" i="2"/>
  <c r="CG68" i="5"/>
  <c r="CM67" i="5"/>
  <c r="CI67" i="5"/>
  <c r="CL67" i="5"/>
  <c r="CH67" i="5"/>
  <c r="CK67" i="5"/>
  <c r="CN67" i="5"/>
  <c r="CJ67" i="5"/>
  <c r="AQ68" i="2"/>
  <c r="AW67" i="2"/>
  <c r="AT67" i="2"/>
  <c r="AX67" i="2"/>
  <c r="CC60" i="5"/>
  <c r="GX73" i="2"/>
  <c r="GW73" i="2"/>
  <c r="FM74" i="2"/>
  <c r="GZ73" i="2"/>
  <c r="GV73" i="2"/>
  <c r="GY73" i="2"/>
  <c r="GU73" i="2"/>
  <c r="AD66" i="2"/>
  <c r="Z66" i="2"/>
  <c r="AC66" i="2"/>
  <c r="Y66" i="2"/>
  <c r="AF66" i="2"/>
  <c r="AB66" i="2"/>
  <c r="X67" i="2"/>
  <c r="AE66" i="2"/>
  <c r="AA66" i="2"/>
  <c r="AC66" i="5"/>
  <c r="Y66" i="5"/>
  <c r="AF66" i="5"/>
  <c r="AB66" i="5"/>
  <c r="AE66" i="5"/>
  <c r="AA66" i="5"/>
  <c r="X67" i="5"/>
  <c r="AD66" i="5"/>
  <c r="Z66" i="5"/>
  <c r="CU68" i="2"/>
  <c r="FH67" i="2"/>
  <c r="EY67" i="2"/>
  <c r="EU67" i="2"/>
  <c r="EP67" i="2"/>
  <c r="EL67" i="2"/>
  <c r="EG67" i="2"/>
  <c r="EC67" i="2"/>
  <c r="DY67" i="2"/>
  <c r="DU67" i="2"/>
  <c r="DQ67" i="2"/>
  <c r="DM67" i="2"/>
  <c r="DI67" i="2"/>
  <c r="DE67" i="2"/>
  <c r="DA67" i="2"/>
  <c r="CW67" i="2"/>
  <c r="FK67" i="2"/>
  <c r="FG67" i="2"/>
  <c r="FB67" i="2"/>
  <c r="EX67" i="2"/>
  <c r="EO67" i="2"/>
  <c r="EK67" i="2"/>
  <c r="EF67" i="2"/>
  <c r="EB67" i="2"/>
  <c r="DX67" i="2"/>
  <c r="DT67" i="2"/>
  <c r="DP67" i="2"/>
  <c r="DL67" i="2"/>
  <c r="DH67" i="2"/>
  <c r="DD67" i="2"/>
  <c r="CZ67" i="2"/>
  <c r="CV67" i="2"/>
  <c r="FJ67" i="2"/>
  <c r="FF67" i="2"/>
  <c r="FA67" i="2"/>
  <c r="EW67" i="2"/>
  <c r="ER67" i="2"/>
  <c r="EN67" i="2"/>
  <c r="EE67" i="2"/>
  <c r="EA67" i="2"/>
  <c r="DW67" i="2"/>
  <c r="DS67" i="2"/>
  <c r="DO67" i="2"/>
  <c r="DK67" i="2"/>
  <c r="DG67" i="2"/>
  <c r="DC67" i="2"/>
  <c r="CY67" i="2"/>
  <c r="FI67" i="2"/>
  <c r="FE67" i="2"/>
  <c r="EZ67" i="2"/>
  <c r="EV67" i="2"/>
  <c r="EQ67" i="2"/>
  <c r="EM67" i="2"/>
  <c r="EH67" i="2"/>
  <c r="ED67" i="2"/>
  <c r="DZ67" i="2"/>
  <c r="DV67" i="2"/>
  <c r="DR67" i="2"/>
  <c r="DN67" i="2"/>
  <c r="DJ67" i="2"/>
  <c r="DF67" i="2"/>
  <c r="DB67" i="2"/>
  <c r="CX67" i="2"/>
  <c r="AZ68" i="2"/>
  <c r="BA67" i="2"/>
  <c r="U68" i="2"/>
  <c r="BJ68" i="2"/>
  <c r="BO67" i="2"/>
  <c r="BK67" i="2"/>
  <c r="BN67" i="2"/>
  <c r="BM67" i="2"/>
  <c r="BL67" i="2"/>
  <c r="AK51" i="2"/>
  <c r="FK67" i="5"/>
  <c r="FG67" i="5"/>
  <c r="FB67" i="5"/>
  <c r="EX67" i="5"/>
  <c r="EO67" i="5"/>
  <c r="EK67" i="5"/>
  <c r="EF67" i="5"/>
  <c r="EB67" i="5"/>
  <c r="DX67" i="5"/>
  <c r="DT67" i="5"/>
  <c r="DP67" i="5"/>
  <c r="DL67" i="5"/>
  <c r="DH67" i="5"/>
  <c r="DD67" i="5"/>
  <c r="CZ67" i="5"/>
  <c r="CV67" i="5"/>
  <c r="FJ67" i="5"/>
  <c r="FF67" i="5"/>
  <c r="FA67" i="5"/>
  <c r="EW67" i="5"/>
  <c r="ER67" i="5"/>
  <c r="EN67" i="5"/>
  <c r="EE67" i="5"/>
  <c r="EA67" i="5"/>
  <c r="DW67" i="5"/>
  <c r="DS67" i="5"/>
  <c r="DO67" i="5"/>
  <c r="DK67" i="5"/>
  <c r="DG67" i="5"/>
  <c r="DC67" i="5"/>
  <c r="CY67" i="5"/>
  <c r="FI67" i="5"/>
  <c r="FE67" i="5"/>
  <c r="EZ67" i="5"/>
  <c r="EV67" i="5"/>
  <c r="EQ67" i="5"/>
  <c r="EM67" i="5"/>
  <c r="EH67" i="5"/>
  <c r="ED67" i="5"/>
  <c r="DZ67" i="5"/>
  <c r="DV67" i="5"/>
  <c r="DR67" i="5"/>
  <c r="DN67" i="5"/>
  <c r="DJ67" i="5"/>
  <c r="DF67" i="5"/>
  <c r="DB67" i="5"/>
  <c r="CX67" i="5"/>
  <c r="CU68" i="5"/>
  <c r="FH67" i="5"/>
  <c r="EY67" i="5"/>
  <c r="EU67" i="5"/>
  <c r="EP67" i="5"/>
  <c r="EL67" i="5"/>
  <c r="EG67" i="5"/>
  <c r="EC67" i="5"/>
  <c r="DY67" i="5"/>
  <c r="DU67" i="5"/>
  <c r="DQ67" i="5"/>
  <c r="DM67" i="5"/>
  <c r="DI67" i="5"/>
  <c r="DE67" i="5"/>
  <c r="DA67" i="5"/>
  <c r="CW67" i="5"/>
  <c r="AZ67" i="5"/>
  <c r="BA66" i="5"/>
  <c r="AH68" i="2"/>
  <c r="AM67" i="2"/>
  <c r="AI67" i="2"/>
  <c r="AL67" i="2"/>
  <c r="AN67" i="2"/>
  <c r="AK67" i="2"/>
  <c r="AJ67" i="2"/>
  <c r="AO67" i="2"/>
  <c r="GW69" i="5"/>
  <c r="FM70" i="5"/>
  <c r="GZ69" i="5"/>
  <c r="GV69" i="5"/>
  <c r="GY69" i="5"/>
  <c r="GU69" i="5"/>
  <c r="GX69" i="5"/>
  <c r="U68" i="5"/>
  <c r="AO52" i="5"/>
  <c r="AN52" i="5"/>
  <c r="AK51" i="5"/>
  <c r="L49" i="5"/>
  <c r="IJ50" i="5"/>
  <c r="AI50" i="5"/>
  <c r="BX68" i="5"/>
  <c r="BZ67" i="5"/>
  <c r="BY67" i="5"/>
  <c r="CB67" i="5"/>
  <c r="CE67" i="5"/>
  <c r="CA67" i="5"/>
  <c r="AX66" i="5"/>
  <c r="AT66" i="5"/>
  <c r="AQ67" i="5"/>
  <c r="AW66" i="5"/>
  <c r="AR66" i="5" l="1"/>
  <c r="CC61" i="5" s="1"/>
  <c r="AE67" i="5"/>
  <c r="AA67" i="5"/>
  <c r="X68" i="5"/>
  <c r="AD67" i="5"/>
  <c r="Z67" i="5"/>
  <c r="AC67" i="5"/>
  <c r="Y67" i="5"/>
  <c r="AF67" i="5"/>
  <c r="AB67" i="5"/>
  <c r="AX68" i="2"/>
  <c r="AT68" i="2"/>
  <c r="AQ69" i="2"/>
  <c r="AW68" i="2"/>
  <c r="CL68" i="2"/>
  <c r="CH68" i="2"/>
  <c r="CK68" i="2"/>
  <c r="CN68" i="2"/>
  <c r="CJ68" i="2"/>
  <c r="CG69" i="2"/>
  <c r="CM68" i="2"/>
  <c r="CI68" i="2"/>
  <c r="II68" i="2"/>
  <c r="IL68" i="2"/>
  <c r="IH68" i="2"/>
  <c r="IE69" i="2"/>
  <c r="IK68" i="2"/>
  <c r="IG68" i="2"/>
  <c r="IJ68" i="2"/>
  <c r="IF68" i="2"/>
  <c r="BQ69" i="5"/>
  <c r="BS68" i="5"/>
  <c r="BV68" i="5"/>
  <c r="BR68" i="5"/>
  <c r="BU68" i="5"/>
  <c r="BT68" i="5"/>
  <c r="CB68" i="5"/>
  <c r="CE68" i="5"/>
  <c r="CA68" i="5"/>
  <c r="BX69" i="5"/>
  <c r="BZ68" i="5"/>
  <c r="BY68" i="5"/>
  <c r="AQ68" i="5"/>
  <c r="AW67" i="5"/>
  <c r="AX67" i="5"/>
  <c r="AT67" i="5"/>
  <c r="AK50" i="5"/>
  <c r="AZ68" i="5"/>
  <c r="BA67" i="5"/>
  <c r="FI68" i="5"/>
  <c r="FE68" i="5"/>
  <c r="EZ68" i="5"/>
  <c r="EV68" i="5"/>
  <c r="EQ68" i="5"/>
  <c r="EM68" i="5"/>
  <c r="EH68" i="5"/>
  <c r="ED68" i="5"/>
  <c r="DZ68" i="5"/>
  <c r="DV68" i="5"/>
  <c r="DR68" i="5"/>
  <c r="DN68" i="5"/>
  <c r="DJ68" i="5"/>
  <c r="DF68" i="5"/>
  <c r="DB68" i="5"/>
  <c r="CX68" i="5"/>
  <c r="CU69" i="5"/>
  <c r="FH68" i="5"/>
  <c r="EY68" i="5"/>
  <c r="EU68" i="5"/>
  <c r="EP68" i="5"/>
  <c r="EL68" i="5"/>
  <c r="EG68" i="5"/>
  <c r="EC68" i="5"/>
  <c r="DY68" i="5"/>
  <c r="DU68" i="5"/>
  <c r="DQ68" i="5"/>
  <c r="DM68" i="5"/>
  <c r="DI68" i="5"/>
  <c r="DE68" i="5"/>
  <c r="DA68" i="5"/>
  <c r="CW68" i="5"/>
  <c r="FK68" i="5"/>
  <c r="FG68" i="5"/>
  <c r="FB68" i="5"/>
  <c r="EX68" i="5"/>
  <c r="EO68" i="5"/>
  <c r="EK68" i="5"/>
  <c r="EF68" i="5"/>
  <c r="EB68" i="5"/>
  <c r="DX68" i="5"/>
  <c r="DT68" i="5"/>
  <c r="DP68" i="5"/>
  <c r="DL68" i="5"/>
  <c r="DH68" i="5"/>
  <c r="DD68" i="5"/>
  <c r="CZ68" i="5"/>
  <c r="CV68" i="5"/>
  <c r="FJ68" i="5"/>
  <c r="FF68" i="5"/>
  <c r="FA68" i="5"/>
  <c r="EW68" i="5"/>
  <c r="ER68" i="5"/>
  <c r="EN68" i="5"/>
  <c r="EE68" i="5"/>
  <c r="EA68" i="5"/>
  <c r="DW68" i="5"/>
  <c r="DS68" i="5"/>
  <c r="DO68" i="5"/>
  <c r="DK68" i="5"/>
  <c r="DG68" i="5"/>
  <c r="DC68" i="5"/>
  <c r="CY68" i="5"/>
  <c r="BO68" i="2"/>
  <c r="BK68" i="2"/>
  <c r="BN68" i="2"/>
  <c r="BM68" i="2"/>
  <c r="BJ69" i="2"/>
  <c r="BL68" i="2"/>
  <c r="GZ74" i="2"/>
  <c r="GV74" i="2"/>
  <c r="FM75" i="2"/>
  <c r="GY74" i="2"/>
  <c r="GU74" i="2"/>
  <c r="GX74" i="2"/>
  <c r="GW74" i="2"/>
  <c r="CK68" i="5"/>
  <c r="CN68" i="5"/>
  <c r="CJ68" i="5"/>
  <c r="CG69" i="5"/>
  <c r="CM68" i="5"/>
  <c r="CI68" i="5"/>
  <c r="CL68" i="5"/>
  <c r="CH68" i="5"/>
  <c r="AH68" i="5"/>
  <c r="AN67" i="5"/>
  <c r="AJ67" i="5"/>
  <c r="AM67" i="5"/>
  <c r="AI67" i="5"/>
  <c r="AL67" i="5"/>
  <c r="AO67" i="5"/>
  <c r="AK67" i="5"/>
  <c r="BY68" i="2"/>
  <c r="CB68" i="2"/>
  <c r="CE68" i="2"/>
  <c r="CA68" i="2"/>
  <c r="BX69" i="2"/>
  <c r="BZ68" i="2"/>
  <c r="B70" i="19"/>
  <c r="D70" i="19" s="1"/>
  <c r="E70" i="19"/>
  <c r="F70" i="19" s="1"/>
  <c r="A71" i="19"/>
  <c r="C70" i="19"/>
  <c r="CC62" i="5"/>
  <c r="AK50" i="2"/>
  <c r="AO51" i="5"/>
  <c r="AN51" i="5"/>
  <c r="U69" i="2"/>
  <c r="AI49" i="2"/>
  <c r="IJ49" i="2"/>
  <c r="L48" i="2"/>
  <c r="U69" i="5"/>
  <c r="AM68" i="2"/>
  <c r="AI68" i="2"/>
  <c r="AL68" i="2"/>
  <c r="AO68" i="2"/>
  <c r="AK68" i="2"/>
  <c r="AH69" i="2"/>
  <c r="AN68" i="2"/>
  <c r="AJ68" i="2"/>
  <c r="FJ68" i="2"/>
  <c r="FF68" i="2"/>
  <c r="FA68" i="2"/>
  <c r="EW68" i="2"/>
  <c r="ER68" i="2"/>
  <c r="EN68" i="2"/>
  <c r="EE68" i="2"/>
  <c r="EA68" i="2"/>
  <c r="DW68" i="2"/>
  <c r="DS68" i="2"/>
  <c r="DO68" i="2"/>
  <c r="DK68" i="2"/>
  <c r="DG68" i="2"/>
  <c r="DC68" i="2"/>
  <c r="CY68" i="2"/>
  <c r="FI68" i="2"/>
  <c r="FE68" i="2"/>
  <c r="EZ68" i="2"/>
  <c r="EV68" i="2"/>
  <c r="EQ68" i="2"/>
  <c r="EM68" i="2"/>
  <c r="EH68" i="2"/>
  <c r="ED68" i="2"/>
  <c r="DZ68" i="2"/>
  <c r="DV68" i="2"/>
  <c r="DR68" i="2"/>
  <c r="DN68" i="2"/>
  <c r="DJ68" i="2"/>
  <c r="DF68" i="2"/>
  <c r="DB68" i="2"/>
  <c r="CX68" i="2"/>
  <c r="CU69" i="2"/>
  <c r="FH68" i="2"/>
  <c r="EY68" i="2"/>
  <c r="EU68" i="2"/>
  <c r="EP68" i="2"/>
  <c r="EL68" i="2"/>
  <c r="EG68" i="2"/>
  <c r="EC68" i="2"/>
  <c r="DY68" i="2"/>
  <c r="DU68" i="2"/>
  <c r="DQ68" i="2"/>
  <c r="DM68" i="2"/>
  <c r="DI68" i="2"/>
  <c r="DE68" i="2"/>
  <c r="DA68" i="2"/>
  <c r="CW68" i="2"/>
  <c r="FK68" i="2"/>
  <c r="FG68" i="2"/>
  <c r="FB68" i="2"/>
  <c r="EX68" i="2"/>
  <c r="EO68" i="2"/>
  <c r="EK68" i="2"/>
  <c r="EF68" i="2"/>
  <c r="EB68" i="2"/>
  <c r="DX68" i="2"/>
  <c r="DT68" i="2"/>
  <c r="DP68" i="2"/>
  <c r="DL68" i="2"/>
  <c r="DH68" i="2"/>
  <c r="DD68" i="2"/>
  <c r="CZ68" i="2"/>
  <c r="CV68" i="2"/>
  <c r="X68" i="2"/>
  <c r="AD67" i="2"/>
  <c r="Z67" i="2"/>
  <c r="AC67" i="2"/>
  <c r="Y67" i="2"/>
  <c r="AE67" i="2"/>
  <c r="AB67" i="2"/>
  <c r="AA67" i="2"/>
  <c r="AF67" i="2"/>
  <c r="H67" i="5"/>
  <c r="J67" i="5"/>
  <c r="G68" i="5"/>
  <c r="I67" i="5"/>
  <c r="IL68" i="5"/>
  <c r="IH68" i="5"/>
  <c r="IE69" i="5"/>
  <c r="IK68" i="5"/>
  <c r="IG68" i="5"/>
  <c r="IJ68" i="5"/>
  <c r="IF68" i="5"/>
  <c r="II68" i="5"/>
  <c r="BN68" i="5"/>
  <c r="BM68" i="5"/>
  <c r="BJ69" i="5"/>
  <c r="BL68" i="5"/>
  <c r="BO68" i="5"/>
  <c r="BK68" i="5"/>
  <c r="AR66" i="2"/>
  <c r="GY70" i="5"/>
  <c r="GU70" i="5"/>
  <c r="GX70" i="5"/>
  <c r="GW70" i="5"/>
  <c r="FM71" i="5"/>
  <c r="GZ70" i="5"/>
  <c r="GV70" i="5"/>
  <c r="AN51" i="2"/>
  <c r="AO51" i="2"/>
  <c r="L48" i="5"/>
  <c r="IJ49" i="5"/>
  <c r="AI49" i="5"/>
  <c r="BA68" i="2"/>
  <c r="AZ69" i="2"/>
  <c r="BF69" i="2"/>
  <c r="BH68" i="2"/>
  <c r="BG68" i="2"/>
  <c r="BG69" i="5"/>
  <c r="BF70" i="5"/>
  <c r="BH69" i="5"/>
  <c r="G68" i="2"/>
  <c r="J67" i="2"/>
  <c r="H67" i="2"/>
  <c r="I67" i="2"/>
  <c r="BT68" i="2"/>
  <c r="BQ69" i="2"/>
  <c r="BS68" i="2"/>
  <c r="BV68" i="2"/>
  <c r="BR68" i="2"/>
  <c r="BU68" i="2"/>
  <c r="A72" i="19" l="1"/>
  <c r="C71" i="19"/>
  <c r="E71" i="19"/>
  <c r="F71" i="19" s="1"/>
  <c r="B71" i="19"/>
  <c r="D71" i="19" s="1"/>
  <c r="BF70" i="2"/>
  <c r="BH69" i="2"/>
  <c r="BG69" i="2"/>
  <c r="IJ48" i="5"/>
  <c r="L47" i="5"/>
  <c r="AI48" i="5"/>
  <c r="BJ70" i="5"/>
  <c r="BL69" i="5"/>
  <c r="BO69" i="5"/>
  <c r="BK69" i="5"/>
  <c r="BN69" i="5"/>
  <c r="BM69" i="5"/>
  <c r="IJ69" i="5"/>
  <c r="IF69" i="5"/>
  <c r="II69" i="5"/>
  <c r="IL69" i="5"/>
  <c r="IH69" i="5"/>
  <c r="IE70" i="5"/>
  <c r="IK69" i="5"/>
  <c r="IG69" i="5"/>
  <c r="J68" i="5"/>
  <c r="G69" i="5"/>
  <c r="I68" i="5"/>
  <c r="H68" i="5"/>
  <c r="X69" i="2"/>
  <c r="AD68" i="2"/>
  <c r="Z68" i="2"/>
  <c r="AC68" i="2"/>
  <c r="Y68" i="2"/>
  <c r="AF68" i="2"/>
  <c r="AB68" i="2"/>
  <c r="AE68" i="2"/>
  <c r="AA68" i="2"/>
  <c r="CU70" i="2"/>
  <c r="FH69" i="2"/>
  <c r="EY69" i="2"/>
  <c r="EU69" i="2"/>
  <c r="EP69" i="2"/>
  <c r="EL69" i="2"/>
  <c r="EG69" i="2"/>
  <c r="EC69" i="2"/>
  <c r="DY69" i="2"/>
  <c r="DU69" i="2"/>
  <c r="DQ69" i="2"/>
  <c r="DM69" i="2"/>
  <c r="DI69" i="2"/>
  <c r="DE69" i="2"/>
  <c r="DA69" i="2"/>
  <c r="CW69" i="2"/>
  <c r="FK69" i="2"/>
  <c r="FG69" i="2"/>
  <c r="FB69" i="2"/>
  <c r="EX69" i="2"/>
  <c r="EO69" i="2"/>
  <c r="EK69" i="2"/>
  <c r="EF69" i="2"/>
  <c r="EB69" i="2"/>
  <c r="DX69" i="2"/>
  <c r="DT69" i="2"/>
  <c r="DP69" i="2"/>
  <c r="DL69" i="2"/>
  <c r="DH69" i="2"/>
  <c r="DD69" i="2"/>
  <c r="CZ69" i="2"/>
  <c r="CV69" i="2"/>
  <c r="FJ69" i="2"/>
  <c r="FF69" i="2"/>
  <c r="FA69" i="2"/>
  <c r="EW69" i="2"/>
  <c r="ER69" i="2"/>
  <c r="EN69" i="2"/>
  <c r="EE69" i="2"/>
  <c r="EA69" i="2"/>
  <c r="DW69" i="2"/>
  <c r="DS69" i="2"/>
  <c r="DO69" i="2"/>
  <c r="DK69" i="2"/>
  <c r="DG69" i="2"/>
  <c r="DC69" i="2"/>
  <c r="CY69" i="2"/>
  <c r="FI69" i="2"/>
  <c r="FE69" i="2"/>
  <c r="EZ69" i="2"/>
  <c r="EV69" i="2"/>
  <c r="EQ69" i="2"/>
  <c r="EM69" i="2"/>
  <c r="EH69" i="2"/>
  <c r="ED69" i="2"/>
  <c r="DZ69" i="2"/>
  <c r="DV69" i="2"/>
  <c r="DR69" i="2"/>
  <c r="DN69" i="2"/>
  <c r="DJ69" i="2"/>
  <c r="DF69" i="2"/>
  <c r="DB69" i="2"/>
  <c r="CX69" i="2"/>
  <c r="IJ48" i="2"/>
  <c r="L47" i="2"/>
  <c r="AI48" i="2"/>
  <c r="AL68" i="5"/>
  <c r="AO68" i="5"/>
  <c r="AK68" i="5"/>
  <c r="AH69" i="5"/>
  <c r="AN68" i="5"/>
  <c r="AJ68" i="5"/>
  <c r="AM68" i="5"/>
  <c r="AI68" i="5"/>
  <c r="BM69" i="2"/>
  <c r="BJ70" i="2"/>
  <c r="BL69" i="2"/>
  <c r="BO69" i="2"/>
  <c r="BK69" i="2"/>
  <c r="BN69" i="2"/>
  <c r="IE70" i="2"/>
  <c r="IK69" i="2"/>
  <c r="IG69" i="2"/>
  <c r="IJ69" i="2"/>
  <c r="IF69" i="2"/>
  <c r="II69" i="2"/>
  <c r="IL69" i="2"/>
  <c r="IH69" i="2"/>
  <c r="AX69" i="2"/>
  <c r="AT69" i="2"/>
  <c r="AQ70" i="2"/>
  <c r="AW69" i="2"/>
  <c r="BV69" i="2"/>
  <c r="BR69" i="2"/>
  <c r="BU69" i="2"/>
  <c r="BT69" i="2"/>
  <c r="BQ70" i="2"/>
  <c r="BS69" i="2"/>
  <c r="J68" i="2"/>
  <c r="G69" i="2"/>
  <c r="I68" i="2"/>
  <c r="H68" i="2"/>
  <c r="AO69" i="2"/>
  <c r="AK69" i="2"/>
  <c r="AH70" i="2"/>
  <c r="AN69" i="2"/>
  <c r="AJ69" i="2"/>
  <c r="AM69" i="2"/>
  <c r="AI69" i="2"/>
  <c r="AL69" i="2"/>
  <c r="U70" i="2"/>
  <c r="CE69" i="2"/>
  <c r="CA69" i="2"/>
  <c r="BX70" i="2"/>
  <c r="BZ69" i="2"/>
  <c r="BY69" i="2"/>
  <c r="CB69" i="2"/>
  <c r="BX70" i="5"/>
  <c r="BZ69" i="5"/>
  <c r="BY69" i="5"/>
  <c r="CB69" i="5"/>
  <c r="CE69" i="5"/>
  <c r="CA69" i="5"/>
  <c r="CN69" i="2"/>
  <c r="CJ69" i="2"/>
  <c r="CG70" i="2"/>
  <c r="CM69" i="2"/>
  <c r="CI69" i="2"/>
  <c r="CL69" i="2"/>
  <c r="CH69" i="2"/>
  <c r="CK69" i="2"/>
  <c r="AR67" i="2"/>
  <c r="AZ69" i="5"/>
  <c r="BA68" i="5"/>
  <c r="AX68" i="5"/>
  <c r="AT68" i="5"/>
  <c r="AQ69" i="5"/>
  <c r="AW68" i="5"/>
  <c r="AR68" i="5"/>
  <c r="BF71" i="5"/>
  <c r="BH70" i="5"/>
  <c r="BG70" i="5"/>
  <c r="AZ70" i="2"/>
  <c r="BA69" i="2"/>
  <c r="L67" i="2"/>
  <c r="AK49" i="5"/>
  <c r="GW71" i="5"/>
  <c r="FM72" i="5"/>
  <c r="GZ71" i="5"/>
  <c r="GV71" i="5"/>
  <c r="GY71" i="5"/>
  <c r="GU71" i="5"/>
  <c r="GX71" i="5"/>
  <c r="L67" i="5"/>
  <c r="U70" i="5"/>
  <c r="AK49" i="2"/>
  <c r="AO50" i="2"/>
  <c r="AN50" i="2"/>
  <c r="CG70" i="5"/>
  <c r="CM69" i="5"/>
  <c r="CI69" i="5"/>
  <c r="CL69" i="5"/>
  <c r="CH69" i="5"/>
  <c r="CK69" i="5"/>
  <c r="CN69" i="5"/>
  <c r="CJ69" i="5"/>
  <c r="FM76" i="2"/>
  <c r="GZ75" i="2"/>
  <c r="GV75" i="2"/>
  <c r="GY75" i="2"/>
  <c r="GU75" i="2"/>
  <c r="GW75" i="2"/>
  <c r="GX75" i="2"/>
  <c r="FK69" i="5"/>
  <c r="FG69" i="5"/>
  <c r="FB69" i="5"/>
  <c r="EX69" i="5"/>
  <c r="EO69" i="5"/>
  <c r="EK69" i="5"/>
  <c r="EF69" i="5"/>
  <c r="EB69" i="5"/>
  <c r="DX69" i="5"/>
  <c r="DT69" i="5"/>
  <c r="DP69" i="5"/>
  <c r="DL69" i="5"/>
  <c r="DH69" i="5"/>
  <c r="DD69" i="5"/>
  <c r="CZ69" i="5"/>
  <c r="CV69" i="5"/>
  <c r="FJ69" i="5"/>
  <c r="FF69" i="5"/>
  <c r="FA69" i="5"/>
  <c r="EW69" i="5"/>
  <c r="ER69" i="5"/>
  <c r="EN69" i="5"/>
  <c r="EE69" i="5"/>
  <c r="EA69" i="5"/>
  <c r="DW69" i="5"/>
  <c r="DS69" i="5"/>
  <c r="DO69" i="5"/>
  <c r="DK69" i="5"/>
  <c r="DG69" i="5"/>
  <c r="DC69" i="5"/>
  <c r="CY69" i="5"/>
  <c r="FI69" i="5"/>
  <c r="FE69" i="5"/>
  <c r="EZ69" i="5"/>
  <c r="EV69" i="5"/>
  <c r="EQ69" i="5"/>
  <c r="EM69" i="5"/>
  <c r="EH69" i="5"/>
  <c r="ED69" i="5"/>
  <c r="DZ69" i="5"/>
  <c r="DV69" i="5"/>
  <c r="DR69" i="5"/>
  <c r="DN69" i="5"/>
  <c r="DJ69" i="5"/>
  <c r="DF69" i="5"/>
  <c r="DB69" i="5"/>
  <c r="CX69" i="5"/>
  <c r="CU70" i="5"/>
  <c r="FH69" i="5"/>
  <c r="EY69" i="5"/>
  <c r="EU69" i="5"/>
  <c r="EP69" i="5"/>
  <c r="EL69" i="5"/>
  <c r="EG69" i="5"/>
  <c r="EC69" i="5"/>
  <c r="DY69" i="5"/>
  <c r="DU69" i="5"/>
  <c r="DQ69" i="5"/>
  <c r="DM69" i="5"/>
  <c r="DI69" i="5"/>
  <c r="DE69" i="5"/>
  <c r="DA69" i="5"/>
  <c r="CW69" i="5"/>
  <c r="AO50" i="5"/>
  <c r="AN50" i="5"/>
  <c r="AR67" i="5"/>
  <c r="BU69" i="5"/>
  <c r="BT69" i="5"/>
  <c r="BQ70" i="5"/>
  <c r="BS69" i="5"/>
  <c r="BV69" i="5"/>
  <c r="BR69" i="5"/>
  <c r="AC68" i="5"/>
  <c r="Y68" i="5"/>
  <c r="AF68" i="5"/>
  <c r="AB68" i="5"/>
  <c r="AE68" i="5"/>
  <c r="AA68" i="5"/>
  <c r="X69" i="5"/>
  <c r="AD68" i="5"/>
  <c r="Z68" i="5"/>
  <c r="BQ71" i="5" l="1"/>
  <c r="BS70" i="5"/>
  <c r="BV70" i="5"/>
  <c r="BR70" i="5"/>
  <c r="BU70" i="5"/>
  <c r="BT70" i="5"/>
  <c r="GY72" i="5"/>
  <c r="GU72" i="5"/>
  <c r="GX72" i="5"/>
  <c r="GW72" i="5"/>
  <c r="FM73" i="5"/>
  <c r="GZ72" i="5"/>
  <c r="GV72" i="5"/>
  <c r="G70" i="2"/>
  <c r="I69" i="2"/>
  <c r="H69" i="2"/>
  <c r="J69" i="2"/>
  <c r="II70" i="2"/>
  <c r="IL70" i="2"/>
  <c r="IH70" i="2"/>
  <c r="IE71" i="2"/>
  <c r="IK70" i="2"/>
  <c r="IG70" i="2"/>
  <c r="IJ70" i="2"/>
  <c r="IF70" i="2"/>
  <c r="FI70" i="5"/>
  <c r="FE70" i="5"/>
  <c r="EZ70" i="5"/>
  <c r="EV70" i="5"/>
  <c r="EQ70" i="5"/>
  <c r="EM70" i="5"/>
  <c r="EH70" i="5"/>
  <c r="ED70" i="5"/>
  <c r="DZ70" i="5"/>
  <c r="DV70" i="5"/>
  <c r="DR70" i="5"/>
  <c r="DN70" i="5"/>
  <c r="DJ70" i="5"/>
  <c r="DF70" i="5"/>
  <c r="DB70" i="5"/>
  <c r="CX70" i="5"/>
  <c r="CU71" i="5"/>
  <c r="FH70" i="5"/>
  <c r="EY70" i="5"/>
  <c r="EU70" i="5"/>
  <c r="EP70" i="5"/>
  <c r="EL70" i="5"/>
  <c r="EG70" i="5"/>
  <c r="EC70" i="5"/>
  <c r="DY70" i="5"/>
  <c r="DU70" i="5"/>
  <c r="DQ70" i="5"/>
  <c r="DM70" i="5"/>
  <c r="DI70" i="5"/>
  <c r="DE70" i="5"/>
  <c r="DA70" i="5"/>
  <c r="CW70" i="5"/>
  <c r="FK70" i="5"/>
  <c r="FG70" i="5"/>
  <c r="FB70" i="5"/>
  <c r="EX70" i="5"/>
  <c r="EO70" i="5"/>
  <c r="EK70" i="5"/>
  <c r="EF70" i="5"/>
  <c r="EB70" i="5"/>
  <c r="DX70" i="5"/>
  <c r="DT70" i="5"/>
  <c r="DP70" i="5"/>
  <c r="DL70" i="5"/>
  <c r="DH70" i="5"/>
  <c r="DD70" i="5"/>
  <c r="CZ70" i="5"/>
  <c r="CV70" i="5"/>
  <c r="FJ70" i="5"/>
  <c r="FF70" i="5"/>
  <c r="FA70" i="5"/>
  <c r="EW70" i="5"/>
  <c r="ER70" i="5"/>
  <c r="EN70" i="5"/>
  <c r="EE70" i="5"/>
  <c r="EA70" i="5"/>
  <c r="DW70" i="5"/>
  <c r="DS70" i="5"/>
  <c r="DO70" i="5"/>
  <c r="DK70" i="5"/>
  <c r="DG70" i="5"/>
  <c r="DC70" i="5"/>
  <c r="CY70" i="5"/>
  <c r="AN49" i="2"/>
  <c r="AO49" i="2"/>
  <c r="AZ70" i="5"/>
  <c r="BA69" i="5"/>
  <c r="AR68" i="2"/>
  <c r="BO70" i="2"/>
  <c r="BK70" i="2"/>
  <c r="BN70" i="2"/>
  <c r="BM70" i="2"/>
  <c r="BJ71" i="2"/>
  <c r="BL70" i="2"/>
  <c r="H69" i="5"/>
  <c r="J69" i="5"/>
  <c r="L69" i="5" s="1"/>
  <c r="G70" i="5"/>
  <c r="I69" i="5"/>
  <c r="AE69" i="5"/>
  <c r="AA69" i="5"/>
  <c r="X70" i="5"/>
  <c r="AD69" i="5"/>
  <c r="Z69" i="5"/>
  <c r="AC69" i="5"/>
  <c r="Y69" i="5"/>
  <c r="AF69" i="5"/>
  <c r="AB69" i="5"/>
  <c r="AN49" i="5"/>
  <c r="AO49" i="5"/>
  <c r="BG71" i="5"/>
  <c r="BF72" i="5"/>
  <c r="BH71" i="5"/>
  <c r="CC64" i="5"/>
  <c r="CC63" i="5"/>
  <c r="FM77" i="2"/>
  <c r="GZ76" i="2"/>
  <c r="GV76" i="2"/>
  <c r="GY76" i="2"/>
  <c r="GU76" i="2"/>
  <c r="GX76" i="2"/>
  <c r="GW76" i="2"/>
  <c r="CK70" i="5"/>
  <c r="CN70" i="5"/>
  <c r="CJ70" i="5"/>
  <c r="CG71" i="5"/>
  <c r="CM70" i="5"/>
  <c r="CI70" i="5"/>
  <c r="CL70" i="5"/>
  <c r="CH70" i="5"/>
  <c r="U71" i="5"/>
  <c r="BA70" i="2"/>
  <c r="AZ71" i="2"/>
  <c r="BY70" i="2"/>
  <c r="CB70" i="2"/>
  <c r="CE70" i="2"/>
  <c r="CA70" i="2"/>
  <c r="BX71" i="2"/>
  <c r="BZ70" i="2"/>
  <c r="AM70" i="2"/>
  <c r="AI70" i="2"/>
  <c r="AL70" i="2"/>
  <c r="AO70" i="2"/>
  <c r="AK70" i="2"/>
  <c r="AH71" i="2"/>
  <c r="AN70" i="2"/>
  <c r="AJ70" i="2"/>
  <c r="BT70" i="2"/>
  <c r="BQ71" i="2"/>
  <c r="BS70" i="2"/>
  <c r="BV70" i="2"/>
  <c r="BR70" i="2"/>
  <c r="BU70" i="2"/>
  <c r="AH70" i="5"/>
  <c r="AN69" i="5"/>
  <c r="AJ69" i="5"/>
  <c r="AM69" i="5"/>
  <c r="AI69" i="5"/>
  <c r="AL69" i="5"/>
  <c r="AO69" i="5"/>
  <c r="AK69" i="5"/>
  <c r="AK48" i="2"/>
  <c r="L68" i="5"/>
  <c r="AK48" i="5"/>
  <c r="U71" i="2"/>
  <c r="L46" i="2"/>
  <c r="AI47" i="2"/>
  <c r="IJ47" i="2"/>
  <c r="FJ70" i="2"/>
  <c r="FF70" i="2"/>
  <c r="FA70" i="2"/>
  <c r="EW70" i="2"/>
  <c r="ER70" i="2"/>
  <c r="EN70" i="2"/>
  <c r="EE70" i="2"/>
  <c r="EA70" i="2"/>
  <c r="DW70" i="2"/>
  <c r="DS70" i="2"/>
  <c r="DO70" i="2"/>
  <c r="DK70" i="2"/>
  <c r="DG70" i="2"/>
  <c r="DC70" i="2"/>
  <c r="CY70" i="2"/>
  <c r="FI70" i="2"/>
  <c r="FE70" i="2"/>
  <c r="EZ70" i="2"/>
  <c r="EV70" i="2"/>
  <c r="EQ70" i="2"/>
  <c r="EM70" i="2"/>
  <c r="EH70" i="2"/>
  <c r="ED70" i="2"/>
  <c r="DZ70" i="2"/>
  <c r="DV70" i="2"/>
  <c r="DR70" i="2"/>
  <c r="DN70" i="2"/>
  <c r="DJ70" i="2"/>
  <c r="DF70" i="2"/>
  <c r="DB70" i="2"/>
  <c r="CX70" i="2"/>
  <c r="CU71" i="2"/>
  <c r="FH70" i="2"/>
  <c r="EY70" i="2"/>
  <c r="EU70" i="2"/>
  <c r="EP70" i="2"/>
  <c r="EL70" i="2"/>
  <c r="EG70" i="2"/>
  <c r="EC70" i="2"/>
  <c r="DY70" i="2"/>
  <c r="DU70" i="2"/>
  <c r="DQ70" i="2"/>
  <c r="DM70" i="2"/>
  <c r="DI70" i="2"/>
  <c r="DE70" i="2"/>
  <c r="DA70" i="2"/>
  <c r="CW70" i="2"/>
  <c r="FK70" i="2"/>
  <c r="FG70" i="2"/>
  <c r="FB70" i="2"/>
  <c r="EX70" i="2"/>
  <c r="EO70" i="2"/>
  <c r="EK70" i="2"/>
  <c r="EF70" i="2"/>
  <c r="EB70" i="2"/>
  <c r="DX70" i="2"/>
  <c r="DT70" i="2"/>
  <c r="DP70" i="2"/>
  <c r="DL70" i="2"/>
  <c r="DH70" i="2"/>
  <c r="DD70" i="2"/>
  <c r="CZ70" i="2"/>
  <c r="CV70" i="2"/>
  <c r="BN70" i="5"/>
  <c r="BM70" i="5"/>
  <c r="BJ71" i="5"/>
  <c r="BL70" i="5"/>
  <c r="BO70" i="5"/>
  <c r="BK70" i="5"/>
  <c r="BF71" i="2"/>
  <c r="BH70" i="2"/>
  <c r="BG70" i="2"/>
  <c r="CL70" i="2"/>
  <c r="CH70" i="2"/>
  <c r="CK70" i="2"/>
  <c r="CN70" i="2"/>
  <c r="CJ70" i="2"/>
  <c r="CG71" i="2"/>
  <c r="CM70" i="2"/>
  <c r="CI70" i="2"/>
  <c r="AQ70" i="5"/>
  <c r="AW69" i="5"/>
  <c r="AX69" i="5"/>
  <c r="AT69" i="5"/>
  <c r="AF69" i="2"/>
  <c r="AB69" i="2"/>
  <c r="AE69" i="2"/>
  <c r="AA69" i="2"/>
  <c r="X70" i="2"/>
  <c r="AD69" i="2"/>
  <c r="Z69" i="2"/>
  <c r="AC69" i="2"/>
  <c r="Y69" i="2"/>
  <c r="IL70" i="5"/>
  <c r="IH70" i="5"/>
  <c r="IE71" i="5"/>
  <c r="IK70" i="5"/>
  <c r="IG70" i="5"/>
  <c r="IJ70" i="5"/>
  <c r="IF70" i="5"/>
  <c r="II70" i="5"/>
  <c r="CB70" i="5"/>
  <c r="CE70" i="5"/>
  <c r="CA70" i="5"/>
  <c r="BX71" i="5"/>
  <c r="BZ70" i="5"/>
  <c r="BY70" i="5"/>
  <c r="L68" i="2"/>
  <c r="AX70" i="2"/>
  <c r="AT70" i="2"/>
  <c r="AQ71" i="2"/>
  <c r="AW70" i="2"/>
  <c r="L46" i="5"/>
  <c r="IJ47" i="5"/>
  <c r="AI47" i="5"/>
  <c r="B72" i="19"/>
  <c r="D72" i="19" s="1"/>
  <c r="E72" i="19"/>
  <c r="F72" i="19" s="1"/>
  <c r="A73" i="19"/>
  <c r="C72" i="19"/>
  <c r="AR69" i="5" l="1"/>
  <c r="CC65" i="5" s="1"/>
  <c r="L45" i="5"/>
  <c r="IJ46" i="5"/>
  <c r="AI46" i="5"/>
  <c r="AK47" i="5"/>
  <c r="AX71" i="2"/>
  <c r="AT71" i="2"/>
  <c r="AQ72" i="2"/>
  <c r="AW71" i="2"/>
  <c r="X71" i="2"/>
  <c r="AD70" i="2"/>
  <c r="Z70" i="2"/>
  <c r="AC70" i="2"/>
  <c r="Y70" i="2"/>
  <c r="AF70" i="2"/>
  <c r="AB70" i="2"/>
  <c r="AE70" i="2"/>
  <c r="AA70" i="2"/>
  <c r="BJ72" i="5"/>
  <c r="BL71" i="5"/>
  <c r="BO71" i="5"/>
  <c r="BK71" i="5"/>
  <c r="BN71" i="5"/>
  <c r="BM71" i="5"/>
  <c r="AO48" i="2"/>
  <c r="AN48" i="2"/>
  <c r="AL70" i="5"/>
  <c r="AO70" i="5"/>
  <c r="AK70" i="5"/>
  <c r="AH71" i="5"/>
  <c r="AN70" i="5"/>
  <c r="AJ70" i="5"/>
  <c r="AM70" i="5"/>
  <c r="AI70" i="5"/>
  <c r="GX77" i="2"/>
  <c r="GW77" i="2"/>
  <c r="FM78" i="2"/>
  <c r="GZ77" i="2"/>
  <c r="GV77" i="2"/>
  <c r="GY77" i="2"/>
  <c r="GU77" i="2"/>
  <c r="BM71" i="2"/>
  <c r="BJ72" i="2"/>
  <c r="BL71" i="2"/>
  <c r="BO71" i="2"/>
  <c r="BK71" i="2"/>
  <c r="BN71" i="2"/>
  <c r="IE72" i="2"/>
  <c r="IK71" i="2"/>
  <c r="IG71" i="2"/>
  <c r="IJ71" i="2"/>
  <c r="IF71" i="2"/>
  <c r="II71" i="2"/>
  <c r="IL71" i="2"/>
  <c r="IH71" i="2"/>
  <c r="AR69" i="2"/>
  <c r="J70" i="2"/>
  <c r="L70" i="2" s="1"/>
  <c r="G71" i="2"/>
  <c r="I70" i="2"/>
  <c r="H70" i="2"/>
  <c r="BU71" i="5"/>
  <c r="BT71" i="5"/>
  <c r="BQ72" i="5"/>
  <c r="BS71" i="5"/>
  <c r="BV71" i="5"/>
  <c r="BR71" i="5"/>
  <c r="E73" i="19"/>
  <c r="F73" i="19" s="1"/>
  <c r="A74" i="19"/>
  <c r="C73" i="19"/>
  <c r="B73" i="19"/>
  <c r="D73" i="19" s="1"/>
  <c r="BF72" i="2"/>
  <c r="BH71" i="2"/>
  <c r="BG71" i="2"/>
  <c r="CU72" i="2"/>
  <c r="FH71" i="2"/>
  <c r="EY71" i="2"/>
  <c r="EU71" i="2"/>
  <c r="EP71" i="2"/>
  <c r="EL71" i="2"/>
  <c r="EG71" i="2"/>
  <c r="EC71" i="2"/>
  <c r="DY71" i="2"/>
  <c r="DU71" i="2"/>
  <c r="DQ71" i="2"/>
  <c r="DM71" i="2"/>
  <c r="DI71" i="2"/>
  <c r="DE71" i="2"/>
  <c r="DA71" i="2"/>
  <c r="CW71" i="2"/>
  <c r="FK71" i="2"/>
  <c r="FG71" i="2"/>
  <c r="FB71" i="2"/>
  <c r="EX71" i="2"/>
  <c r="EO71" i="2"/>
  <c r="EK71" i="2"/>
  <c r="EF71" i="2"/>
  <c r="EB71" i="2"/>
  <c r="DX71" i="2"/>
  <c r="DT71" i="2"/>
  <c r="DP71" i="2"/>
  <c r="DL71" i="2"/>
  <c r="DH71" i="2"/>
  <c r="DD71" i="2"/>
  <c r="CZ71" i="2"/>
  <c r="CV71" i="2"/>
  <c r="FJ71" i="2"/>
  <c r="FF71" i="2"/>
  <c r="FA71" i="2"/>
  <c r="EW71" i="2"/>
  <c r="ER71" i="2"/>
  <c r="EN71" i="2"/>
  <c r="EE71" i="2"/>
  <c r="EA71" i="2"/>
  <c r="DW71" i="2"/>
  <c r="DS71" i="2"/>
  <c r="DO71" i="2"/>
  <c r="DK71" i="2"/>
  <c r="DG71" i="2"/>
  <c r="DC71" i="2"/>
  <c r="CY71" i="2"/>
  <c r="FI71" i="2"/>
  <c r="FE71" i="2"/>
  <c r="EZ71" i="2"/>
  <c r="EV71" i="2"/>
  <c r="EQ71" i="2"/>
  <c r="EM71" i="2"/>
  <c r="EH71" i="2"/>
  <c r="ED71" i="2"/>
  <c r="DZ71" i="2"/>
  <c r="DV71" i="2"/>
  <c r="DR71" i="2"/>
  <c r="DN71" i="2"/>
  <c r="DJ71" i="2"/>
  <c r="DF71" i="2"/>
  <c r="DB71" i="2"/>
  <c r="CX71" i="2"/>
  <c r="AO71" i="2"/>
  <c r="AK71" i="2"/>
  <c r="AH72" i="2"/>
  <c r="AN71" i="2"/>
  <c r="AJ71" i="2"/>
  <c r="AM71" i="2"/>
  <c r="AI71" i="2"/>
  <c r="AL71" i="2"/>
  <c r="AZ72" i="2"/>
  <c r="BA71" i="2"/>
  <c r="CG72" i="5"/>
  <c r="CM71" i="5"/>
  <c r="CI71" i="5"/>
  <c r="CL71" i="5"/>
  <c r="CH71" i="5"/>
  <c r="CK71" i="5"/>
  <c r="CN71" i="5"/>
  <c r="CJ71" i="5"/>
  <c r="FK71" i="5"/>
  <c r="FG71" i="5"/>
  <c r="FB71" i="5"/>
  <c r="EX71" i="5"/>
  <c r="EO71" i="5"/>
  <c r="EK71" i="5"/>
  <c r="EF71" i="5"/>
  <c r="EB71" i="5"/>
  <c r="DX71" i="5"/>
  <c r="DT71" i="5"/>
  <c r="DP71" i="5"/>
  <c r="DL71" i="5"/>
  <c r="DH71" i="5"/>
  <c r="DD71" i="5"/>
  <c r="CZ71" i="5"/>
  <c r="CV71" i="5"/>
  <c r="FJ71" i="5"/>
  <c r="FF71" i="5"/>
  <c r="FA71" i="5"/>
  <c r="EW71" i="5"/>
  <c r="ER71" i="5"/>
  <c r="EN71" i="5"/>
  <c r="EE71" i="5"/>
  <c r="EA71" i="5"/>
  <c r="DW71" i="5"/>
  <c r="DS71" i="5"/>
  <c r="DO71" i="5"/>
  <c r="DK71" i="5"/>
  <c r="DG71" i="5"/>
  <c r="DC71" i="5"/>
  <c r="CY71" i="5"/>
  <c r="FI71" i="5"/>
  <c r="FE71" i="5"/>
  <c r="EZ71" i="5"/>
  <c r="EV71" i="5"/>
  <c r="EQ71" i="5"/>
  <c r="EM71" i="5"/>
  <c r="EH71" i="5"/>
  <c r="ED71" i="5"/>
  <c r="DZ71" i="5"/>
  <c r="DV71" i="5"/>
  <c r="DR71" i="5"/>
  <c r="DN71" i="5"/>
  <c r="DJ71" i="5"/>
  <c r="DF71" i="5"/>
  <c r="DB71" i="5"/>
  <c r="CX71" i="5"/>
  <c r="CU72" i="5"/>
  <c r="FH71" i="5"/>
  <c r="EY71" i="5"/>
  <c r="EU71" i="5"/>
  <c r="EP71" i="5"/>
  <c r="EL71" i="5"/>
  <c r="EG71" i="5"/>
  <c r="EC71" i="5"/>
  <c r="DY71" i="5"/>
  <c r="DU71" i="5"/>
  <c r="DQ71" i="5"/>
  <c r="DM71" i="5"/>
  <c r="DI71" i="5"/>
  <c r="DE71" i="5"/>
  <c r="DA71" i="5"/>
  <c r="CW71" i="5"/>
  <c r="L69" i="2"/>
  <c r="GW73" i="5"/>
  <c r="FM74" i="5"/>
  <c r="GZ73" i="5"/>
  <c r="GV73" i="5"/>
  <c r="GY73" i="5"/>
  <c r="GU73" i="5"/>
  <c r="GX73" i="5"/>
  <c r="IJ71" i="5"/>
  <c r="IF71" i="5"/>
  <c r="II71" i="5"/>
  <c r="IL71" i="5"/>
  <c r="IH71" i="5"/>
  <c r="IE72" i="5"/>
  <c r="IK71" i="5"/>
  <c r="IG71" i="5"/>
  <c r="AX70" i="5"/>
  <c r="AT70" i="5"/>
  <c r="AQ71" i="5"/>
  <c r="AW70" i="5"/>
  <c r="CN71" i="2"/>
  <c r="CJ71" i="2"/>
  <c r="CG72" i="2"/>
  <c r="CM71" i="2"/>
  <c r="CI71" i="2"/>
  <c r="CL71" i="2"/>
  <c r="CH71" i="2"/>
  <c r="CK71" i="2"/>
  <c r="L45" i="2"/>
  <c r="IJ46" i="2"/>
  <c r="AI46" i="2"/>
  <c r="AN48" i="5"/>
  <c r="AO48" i="5"/>
  <c r="BV71" i="2"/>
  <c r="BR71" i="2"/>
  <c r="BU71" i="2"/>
  <c r="BT71" i="2"/>
  <c r="BQ72" i="2"/>
  <c r="BS71" i="2"/>
  <c r="CE71" i="2"/>
  <c r="CA71" i="2"/>
  <c r="BX72" i="2"/>
  <c r="BZ71" i="2"/>
  <c r="BY71" i="2"/>
  <c r="CB71" i="2"/>
  <c r="U72" i="5"/>
  <c r="AZ71" i="5"/>
  <c r="BA70" i="5"/>
  <c r="BX72" i="5"/>
  <c r="BZ71" i="5"/>
  <c r="BY71" i="5"/>
  <c r="CB71" i="5"/>
  <c r="CE71" i="5"/>
  <c r="CA71" i="5"/>
  <c r="AK47" i="2"/>
  <c r="U72" i="2"/>
  <c r="BF73" i="5"/>
  <c r="BH72" i="5"/>
  <c r="BG72" i="5"/>
  <c r="AC70" i="5"/>
  <c r="Y70" i="5"/>
  <c r="AF70" i="5"/>
  <c r="AB70" i="5"/>
  <c r="AE70" i="5"/>
  <c r="AA70" i="5"/>
  <c r="X71" i="5"/>
  <c r="AD70" i="5"/>
  <c r="Z70" i="5"/>
  <c r="J70" i="5"/>
  <c r="IO23" i="5" s="1"/>
  <c r="IP23" i="5" s="1"/>
  <c r="G71" i="5"/>
  <c r="I70" i="5"/>
  <c r="H70" i="5"/>
  <c r="BY72" i="2" l="1"/>
  <c r="CB72" i="2"/>
  <c r="CE72" i="2"/>
  <c r="CA72" i="2"/>
  <c r="BX73" i="2"/>
  <c r="BZ72" i="2"/>
  <c r="BT72" i="2"/>
  <c r="BQ73" i="2"/>
  <c r="BS72" i="2"/>
  <c r="BV72" i="2"/>
  <c r="BR72" i="2"/>
  <c r="BU72" i="2"/>
  <c r="AR70" i="5"/>
  <c r="BA72" i="2"/>
  <c r="AZ73" i="2"/>
  <c r="BQ73" i="5"/>
  <c r="BS72" i="5"/>
  <c r="BV72" i="5"/>
  <c r="BR72" i="5"/>
  <c r="BU72" i="5"/>
  <c r="BT72" i="5"/>
  <c r="AR70" i="2"/>
  <c r="AH72" i="5"/>
  <c r="AN71" i="5"/>
  <c r="AJ71" i="5"/>
  <c r="AM71" i="5"/>
  <c r="AI71" i="5"/>
  <c r="AL71" i="5"/>
  <c r="AO71" i="5"/>
  <c r="AK71" i="5"/>
  <c r="AK46" i="5"/>
  <c r="H71" i="5"/>
  <c r="J71" i="5"/>
  <c r="L71" i="5" s="1"/>
  <c r="G72" i="5"/>
  <c r="I71" i="5"/>
  <c r="AE71" i="5"/>
  <c r="AA71" i="5"/>
  <c r="X72" i="5"/>
  <c r="AD71" i="5"/>
  <c r="Z71" i="5"/>
  <c r="AC71" i="5"/>
  <c r="Y71" i="5"/>
  <c r="AF71" i="5"/>
  <c r="AB71" i="5"/>
  <c r="IJ45" i="2"/>
  <c r="AI45" i="2"/>
  <c r="L44" i="2"/>
  <c r="AQ72" i="5"/>
  <c r="AW71" i="5"/>
  <c r="AX71" i="5"/>
  <c r="AT71" i="5"/>
  <c r="FI72" i="5"/>
  <c r="FE72" i="5"/>
  <c r="EZ72" i="5"/>
  <c r="EV72" i="5"/>
  <c r="EQ72" i="5"/>
  <c r="EM72" i="5"/>
  <c r="EH72" i="5"/>
  <c r="ED72" i="5"/>
  <c r="DZ72" i="5"/>
  <c r="DV72" i="5"/>
  <c r="DR72" i="5"/>
  <c r="DN72" i="5"/>
  <c r="DJ72" i="5"/>
  <c r="DF72" i="5"/>
  <c r="DB72" i="5"/>
  <c r="CX72" i="5"/>
  <c r="CU73" i="5"/>
  <c r="FH72" i="5"/>
  <c r="EY72" i="5"/>
  <c r="EU72" i="5"/>
  <c r="EP72" i="5"/>
  <c r="EL72" i="5"/>
  <c r="EG72" i="5"/>
  <c r="EC72" i="5"/>
  <c r="DY72" i="5"/>
  <c r="DU72" i="5"/>
  <c r="DQ72" i="5"/>
  <c r="DM72" i="5"/>
  <c r="DI72" i="5"/>
  <c r="DE72" i="5"/>
  <c r="DA72" i="5"/>
  <c r="CW72" i="5"/>
  <c r="FK72" i="5"/>
  <c r="FG72" i="5"/>
  <c r="FB72" i="5"/>
  <c r="EX72" i="5"/>
  <c r="EO72" i="5"/>
  <c r="EK72" i="5"/>
  <c r="EF72" i="5"/>
  <c r="EB72" i="5"/>
  <c r="DX72" i="5"/>
  <c r="DT72" i="5"/>
  <c r="DP72" i="5"/>
  <c r="DL72" i="5"/>
  <c r="DH72" i="5"/>
  <c r="DD72" i="5"/>
  <c r="CZ72" i="5"/>
  <c r="CV72" i="5"/>
  <c r="FJ72" i="5"/>
  <c r="FF72" i="5"/>
  <c r="FA72" i="5"/>
  <c r="EW72" i="5"/>
  <c r="ER72" i="5"/>
  <c r="EN72" i="5"/>
  <c r="EE72" i="5"/>
  <c r="EA72" i="5"/>
  <c r="DW72" i="5"/>
  <c r="DS72" i="5"/>
  <c r="DO72" i="5"/>
  <c r="DK72" i="5"/>
  <c r="DG72" i="5"/>
  <c r="DC72" i="5"/>
  <c r="CY72" i="5"/>
  <c r="CK72" i="5"/>
  <c r="CN72" i="5"/>
  <c r="CJ72" i="5"/>
  <c r="CG73" i="5"/>
  <c r="CM72" i="5"/>
  <c r="CI72" i="5"/>
  <c r="CL72" i="5"/>
  <c r="CH72" i="5"/>
  <c r="FJ72" i="2"/>
  <c r="FF72" i="2"/>
  <c r="FA72" i="2"/>
  <c r="EW72" i="2"/>
  <c r="ER72" i="2"/>
  <c r="EN72" i="2"/>
  <c r="EE72" i="2"/>
  <c r="EA72" i="2"/>
  <c r="DW72" i="2"/>
  <c r="DS72" i="2"/>
  <c r="DO72" i="2"/>
  <c r="DK72" i="2"/>
  <c r="DG72" i="2"/>
  <c r="DC72" i="2"/>
  <c r="CY72" i="2"/>
  <c r="FI72" i="2"/>
  <c r="FE72" i="2"/>
  <c r="EZ72" i="2"/>
  <c r="EV72" i="2"/>
  <c r="EQ72" i="2"/>
  <c r="EM72" i="2"/>
  <c r="EH72" i="2"/>
  <c r="ED72" i="2"/>
  <c r="DZ72" i="2"/>
  <c r="DV72" i="2"/>
  <c r="DR72" i="2"/>
  <c r="DN72" i="2"/>
  <c r="DJ72" i="2"/>
  <c r="DF72" i="2"/>
  <c r="DB72" i="2"/>
  <c r="CX72" i="2"/>
  <c r="CU73" i="2"/>
  <c r="FH72" i="2"/>
  <c r="EY72" i="2"/>
  <c r="EU72" i="2"/>
  <c r="EP72" i="2"/>
  <c r="EL72" i="2"/>
  <c r="EG72" i="2"/>
  <c r="EC72" i="2"/>
  <c r="DY72" i="2"/>
  <c r="DU72" i="2"/>
  <c r="DQ72" i="2"/>
  <c r="DM72" i="2"/>
  <c r="DI72" i="2"/>
  <c r="DE72" i="2"/>
  <c r="DA72" i="2"/>
  <c r="CW72" i="2"/>
  <c r="FK72" i="2"/>
  <c r="FG72" i="2"/>
  <c r="FB72" i="2"/>
  <c r="EX72" i="2"/>
  <c r="EO72" i="2"/>
  <c r="EK72" i="2"/>
  <c r="EF72" i="2"/>
  <c r="EB72" i="2"/>
  <c r="DX72" i="2"/>
  <c r="DT72" i="2"/>
  <c r="DP72" i="2"/>
  <c r="DL72" i="2"/>
  <c r="DH72" i="2"/>
  <c r="DD72" i="2"/>
  <c r="CZ72" i="2"/>
  <c r="CV72" i="2"/>
  <c r="B74" i="19"/>
  <c r="D74" i="19" s="1"/>
  <c r="E74" i="19"/>
  <c r="F74" i="19" s="1"/>
  <c r="A75" i="19"/>
  <c r="C74" i="19"/>
  <c r="FM79" i="2"/>
  <c r="GZ78" i="2"/>
  <c r="GV78" i="2"/>
  <c r="GY78" i="2"/>
  <c r="GU78" i="2"/>
  <c r="GX78" i="2"/>
  <c r="GW78" i="2"/>
  <c r="AF71" i="2"/>
  <c r="AB71" i="2"/>
  <c r="AE71" i="2"/>
  <c r="AA71" i="2"/>
  <c r="X72" i="2"/>
  <c r="AD71" i="2"/>
  <c r="Z71" i="2"/>
  <c r="AC71" i="2"/>
  <c r="Y71" i="2"/>
  <c r="AX72" i="2"/>
  <c r="AT72" i="2"/>
  <c r="AQ73" i="2"/>
  <c r="AW72" i="2"/>
  <c r="AN47" i="5"/>
  <c r="AO47" i="5"/>
  <c r="L44" i="5"/>
  <c r="IJ45" i="5"/>
  <c r="AI45" i="5"/>
  <c r="AO47" i="2"/>
  <c r="AN47" i="2"/>
  <c r="AZ72" i="5"/>
  <c r="BA71" i="5"/>
  <c r="CL72" i="2"/>
  <c r="CH72" i="2"/>
  <c r="CK72" i="2"/>
  <c r="CN72" i="2"/>
  <c r="CJ72" i="2"/>
  <c r="CG73" i="2"/>
  <c r="CM72" i="2"/>
  <c r="CI72" i="2"/>
  <c r="BF73" i="2"/>
  <c r="BH72" i="2"/>
  <c r="BG72" i="2"/>
  <c r="BG73" i="5"/>
  <c r="BF74" i="5"/>
  <c r="BH73" i="5"/>
  <c r="L70" i="5"/>
  <c r="U73" i="2"/>
  <c r="CB72" i="5"/>
  <c r="CE72" i="5"/>
  <c r="CA72" i="5"/>
  <c r="BX73" i="5"/>
  <c r="BZ72" i="5"/>
  <c r="BY72" i="5"/>
  <c r="U73" i="5"/>
  <c r="AK46" i="2"/>
  <c r="IL72" i="5"/>
  <c r="IH72" i="5"/>
  <c r="IE73" i="5"/>
  <c r="IK72" i="5"/>
  <c r="IG72" i="5"/>
  <c r="IJ72" i="5"/>
  <c r="IF72" i="5"/>
  <c r="II72" i="5"/>
  <c r="GY74" i="5"/>
  <c r="GU74" i="5"/>
  <c r="GX74" i="5"/>
  <c r="GW74" i="5"/>
  <c r="FM75" i="5"/>
  <c r="GZ74" i="5"/>
  <c r="GV74" i="5"/>
  <c r="AM72" i="2"/>
  <c r="AI72" i="2"/>
  <c r="AL72" i="2"/>
  <c r="AO72" i="2"/>
  <c r="AK72" i="2"/>
  <c r="AH73" i="2"/>
  <c r="AN72" i="2"/>
  <c r="AJ72" i="2"/>
  <c r="G72" i="2"/>
  <c r="I71" i="2"/>
  <c r="H71" i="2"/>
  <c r="J71" i="2"/>
  <c r="L71" i="2" s="1"/>
  <c r="II72" i="2"/>
  <c r="IL72" i="2"/>
  <c r="IH72" i="2"/>
  <c r="IE73" i="2"/>
  <c r="IK72" i="2"/>
  <c r="IG72" i="2"/>
  <c r="IJ72" i="2"/>
  <c r="IF72" i="2"/>
  <c r="BO72" i="2"/>
  <c r="BK72" i="2"/>
  <c r="BN72" i="2"/>
  <c r="BM72" i="2"/>
  <c r="BJ73" i="2"/>
  <c r="BL72" i="2"/>
  <c r="BN72" i="5"/>
  <c r="BM72" i="5"/>
  <c r="BJ73" i="5"/>
  <c r="BL72" i="5"/>
  <c r="BO72" i="5"/>
  <c r="BK72" i="5"/>
  <c r="AR71" i="5" l="1"/>
  <c r="BJ74" i="5"/>
  <c r="BL73" i="5"/>
  <c r="BO73" i="5"/>
  <c r="BK73" i="5"/>
  <c r="BN73" i="5"/>
  <c r="BM73" i="5"/>
  <c r="AC72" i="5"/>
  <c r="Y72" i="5"/>
  <c r="AF72" i="5"/>
  <c r="AB72" i="5"/>
  <c r="AE72" i="5"/>
  <c r="AA72" i="5"/>
  <c r="X73" i="5"/>
  <c r="AD72" i="5"/>
  <c r="Z72" i="5"/>
  <c r="BM73" i="2"/>
  <c r="BJ74" i="2"/>
  <c r="BL73" i="2"/>
  <c r="BO73" i="2"/>
  <c r="BK73" i="2"/>
  <c r="BN73" i="2"/>
  <c r="GW75" i="5"/>
  <c r="FM76" i="5"/>
  <c r="GZ75" i="5"/>
  <c r="GV75" i="5"/>
  <c r="GY75" i="5"/>
  <c r="GU75" i="5"/>
  <c r="GX75" i="5"/>
  <c r="BF75" i="5"/>
  <c r="BH74" i="5"/>
  <c r="BG74" i="5"/>
  <c r="BF74" i="2"/>
  <c r="BH73" i="2"/>
  <c r="BG73" i="2"/>
  <c r="IE74" i="2"/>
  <c r="IK73" i="2"/>
  <c r="IG73" i="2"/>
  <c r="IJ73" i="2"/>
  <c r="IF73" i="2"/>
  <c r="II73" i="2"/>
  <c r="IL73" i="2"/>
  <c r="IH73" i="2"/>
  <c r="BX74" i="5"/>
  <c r="BZ73" i="5"/>
  <c r="BY73" i="5"/>
  <c r="CB73" i="5"/>
  <c r="CE73" i="5"/>
  <c r="CA73" i="5"/>
  <c r="AR71" i="2"/>
  <c r="J72" i="2"/>
  <c r="L72" i="2" s="1"/>
  <c r="G73" i="2"/>
  <c r="I72" i="2"/>
  <c r="H72" i="2"/>
  <c r="IJ73" i="5"/>
  <c r="IF73" i="5"/>
  <c r="II73" i="5"/>
  <c r="IL73" i="5"/>
  <c r="IH73" i="5"/>
  <c r="IE74" i="5"/>
  <c r="IK73" i="5"/>
  <c r="IG73" i="5"/>
  <c r="U74" i="5"/>
  <c r="AZ73" i="5"/>
  <c r="BA72" i="5"/>
  <c r="AK45" i="5"/>
  <c r="A76" i="19"/>
  <c r="C75" i="19"/>
  <c r="B75" i="19"/>
  <c r="D75" i="19" s="1"/>
  <c r="E75" i="19"/>
  <c r="F75" i="19" s="1"/>
  <c r="FK73" i="5"/>
  <c r="FG73" i="5"/>
  <c r="FB73" i="5"/>
  <c r="EX73" i="5"/>
  <c r="EO73" i="5"/>
  <c r="EK73" i="5"/>
  <c r="EF73" i="5"/>
  <c r="EB73" i="5"/>
  <c r="DX73" i="5"/>
  <c r="DT73" i="5"/>
  <c r="DP73" i="5"/>
  <c r="DL73" i="5"/>
  <c r="DH73" i="5"/>
  <c r="DD73" i="5"/>
  <c r="CZ73" i="5"/>
  <c r="CV73" i="5"/>
  <c r="FJ73" i="5"/>
  <c r="FF73" i="5"/>
  <c r="FA73" i="5"/>
  <c r="EW73" i="5"/>
  <c r="ER73" i="5"/>
  <c r="EN73" i="5"/>
  <c r="EE73" i="5"/>
  <c r="EA73" i="5"/>
  <c r="DW73" i="5"/>
  <c r="DS73" i="5"/>
  <c r="DO73" i="5"/>
  <c r="DK73" i="5"/>
  <c r="DG73" i="5"/>
  <c r="DC73" i="5"/>
  <c r="CY73" i="5"/>
  <c r="FI73" i="5"/>
  <c r="FE73" i="5"/>
  <c r="EZ73" i="5"/>
  <c r="EV73" i="5"/>
  <c r="EQ73" i="5"/>
  <c r="EM73" i="5"/>
  <c r="EH73" i="5"/>
  <c r="ED73" i="5"/>
  <c r="DZ73" i="5"/>
  <c r="DV73" i="5"/>
  <c r="DR73" i="5"/>
  <c r="DN73" i="5"/>
  <c r="DJ73" i="5"/>
  <c r="DF73" i="5"/>
  <c r="DB73" i="5"/>
  <c r="CX73" i="5"/>
  <c r="CU74" i="5"/>
  <c r="FH73" i="5"/>
  <c r="EY73" i="5"/>
  <c r="EU73" i="5"/>
  <c r="EP73" i="5"/>
  <c r="EL73" i="5"/>
  <c r="EG73" i="5"/>
  <c r="EC73" i="5"/>
  <c r="DY73" i="5"/>
  <c r="DU73" i="5"/>
  <c r="DQ73" i="5"/>
  <c r="DM73" i="5"/>
  <c r="DI73" i="5"/>
  <c r="DE73" i="5"/>
  <c r="DA73" i="5"/>
  <c r="CW73" i="5"/>
  <c r="AX72" i="5"/>
  <c r="AT72" i="5"/>
  <c r="AQ73" i="5"/>
  <c r="AW72" i="5"/>
  <c r="AK45" i="2"/>
  <c r="BU73" i="5"/>
  <c r="BT73" i="5"/>
  <c r="BQ74" i="5"/>
  <c r="BS73" i="5"/>
  <c r="BV73" i="5"/>
  <c r="BR73" i="5"/>
  <c r="BV73" i="2"/>
  <c r="BR73" i="2"/>
  <c r="BU73" i="2"/>
  <c r="BT73" i="2"/>
  <c r="BQ74" i="2"/>
  <c r="BS73" i="2"/>
  <c r="AO73" i="2"/>
  <c r="AK73" i="2"/>
  <c r="AH74" i="2"/>
  <c r="AN73" i="2"/>
  <c r="AJ73" i="2"/>
  <c r="AM73" i="2"/>
  <c r="AI73" i="2"/>
  <c r="AL73" i="2"/>
  <c r="CN73" i="2"/>
  <c r="CJ73" i="2"/>
  <c r="CG74" i="2"/>
  <c r="CM73" i="2"/>
  <c r="CI73" i="2"/>
  <c r="CL73" i="2"/>
  <c r="CH73" i="2"/>
  <c r="CK73" i="2"/>
  <c r="AZ74" i="2"/>
  <c r="BA73" i="2"/>
  <c r="L43" i="5"/>
  <c r="IJ44" i="5"/>
  <c r="AI44" i="5"/>
  <c r="GX79" i="2"/>
  <c r="GW79" i="2"/>
  <c r="FM80" i="2"/>
  <c r="GZ79" i="2"/>
  <c r="GV79" i="2"/>
  <c r="GY79" i="2"/>
  <c r="GU79" i="2"/>
  <c r="CU74" i="2"/>
  <c r="FH73" i="2"/>
  <c r="EY73" i="2"/>
  <c r="EU73" i="2"/>
  <c r="EP73" i="2"/>
  <c r="EL73" i="2"/>
  <c r="EG73" i="2"/>
  <c r="EC73" i="2"/>
  <c r="DY73" i="2"/>
  <c r="DU73" i="2"/>
  <c r="DQ73" i="2"/>
  <c r="DM73" i="2"/>
  <c r="DI73" i="2"/>
  <c r="DE73" i="2"/>
  <c r="DA73" i="2"/>
  <c r="CW73" i="2"/>
  <c r="FK73" i="2"/>
  <c r="FG73" i="2"/>
  <c r="FB73" i="2"/>
  <c r="EX73" i="2"/>
  <c r="EO73" i="2"/>
  <c r="EK73" i="2"/>
  <c r="EF73" i="2"/>
  <c r="EB73" i="2"/>
  <c r="DX73" i="2"/>
  <c r="DT73" i="2"/>
  <c r="DP73" i="2"/>
  <c r="DL73" i="2"/>
  <c r="DH73" i="2"/>
  <c r="DD73" i="2"/>
  <c r="CZ73" i="2"/>
  <c r="CV73" i="2"/>
  <c r="FJ73" i="2"/>
  <c r="FF73" i="2"/>
  <c r="FA73" i="2"/>
  <c r="EW73" i="2"/>
  <c r="ER73" i="2"/>
  <c r="EN73" i="2"/>
  <c r="EE73" i="2"/>
  <c r="EA73" i="2"/>
  <c r="DW73" i="2"/>
  <c r="DS73" i="2"/>
  <c r="DO73" i="2"/>
  <c r="DK73" i="2"/>
  <c r="DG73" i="2"/>
  <c r="DC73" i="2"/>
  <c r="CY73" i="2"/>
  <c r="FI73" i="2"/>
  <c r="FE73" i="2"/>
  <c r="EZ73" i="2"/>
  <c r="EV73" i="2"/>
  <c r="EQ73" i="2"/>
  <c r="EM73" i="2"/>
  <c r="EH73" i="2"/>
  <c r="ED73" i="2"/>
  <c r="DZ73" i="2"/>
  <c r="DV73" i="2"/>
  <c r="DR73" i="2"/>
  <c r="DN73" i="2"/>
  <c r="DJ73" i="2"/>
  <c r="DF73" i="2"/>
  <c r="DB73" i="2"/>
  <c r="CX73" i="2"/>
  <c r="CG74" i="5"/>
  <c r="CM73" i="5"/>
  <c r="CI73" i="5"/>
  <c r="CL73" i="5"/>
  <c r="CH73" i="5"/>
  <c r="CK73" i="5"/>
  <c r="CN73" i="5"/>
  <c r="CJ73" i="5"/>
  <c r="IQ23" i="5"/>
  <c r="AI44" i="2"/>
  <c r="L43" i="2"/>
  <c r="IJ44" i="2"/>
  <c r="AO46" i="5"/>
  <c r="AN46" i="5"/>
  <c r="AL72" i="5"/>
  <c r="AO72" i="5"/>
  <c r="AK72" i="5"/>
  <c r="AH73" i="5"/>
  <c r="AN72" i="5"/>
  <c r="AJ72" i="5"/>
  <c r="AM72" i="5"/>
  <c r="AI72" i="5"/>
  <c r="AO46" i="2"/>
  <c r="AN46" i="2"/>
  <c r="J72" i="5"/>
  <c r="AR72" i="5" s="1"/>
  <c r="G73" i="5"/>
  <c r="I72" i="5"/>
  <c r="H72" i="5"/>
  <c r="U74" i="2"/>
  <c r="AX73" i="2"/>
  <c r="AT73" i="2"/>
  <c r="AQ74" i="2"/>
  <c r="AW73" i="2"/>
  <c r="X73" i="2"/>
  <c r="AD72" i="2"/>
  <c r="Z72" i="2"/>
  <c r="AC72" i="2"/>
  <c r="Y72" i="2"/>
  <c r="AF72" i="2"/>
  <c r="AB72" i="2"/>
  <c r="AE72" i="2"/>
  <c r="AA72" i="2"/>
  <c r="CC67" i="5"/>
  <c r="CC66" i="5"/>
  <c r="CE73" i="2"/>
  <c r="CA73" i="2"/>
  <c r="BX74" i="2"/>
  <c r="BZ73" i="2"/>
  <c r="BY73" i="2"/>
  <c r="CB73" i="2"/>
  <c r="L72" i="5" l="1"/>
  <c r="IQ24" i="5"/>
  <c r="CC68" i="5"/>
  <c r="CC69" i="5"/>
  <c r="U75" i="2"/>
  <c r="AF73" i="2"/>
  <c r="AB73" i="2"/>
  <c r="AE73" i="2"/>
  <c r="AA73" i="2"/>
  <c r="X74" i="2"/>
  <c r="AD73" i="2"/>
  <c r="Z73" i="2"/>
  <c r="AC73" i="2"/>
  <c r="Y73" i="2"/>
  <c r="IJ43" i="2"/>
  <c r="L42" i="2"/>
  <c r="AI43" i="2"/>
  <c r="FI74" i="5"/>
  <c r="FE74" i="5"/>
  <c r="EZ74" i="5"/>
  <c r="EV74" i="5"/>
  <c r="EQ74" i="5"/>
  <c r="EM74" i="5"/>
  <c r="EH74" i="5"/>
  <c r="ED74" i="5"/>
  <c r="DZ74" i="5"/>
  <c r="DV74" i="5"/>
  <c r="DR74" i="5"/>
  <c r="DN74" i="5"/>
  <c r="DJ74" i="5"/>
  <c r="DF74" i="5"/>
  <c r="DB74" i="5"/>
  <c r="CX74" i="5"/>
  <c r="CU75" i="5"/>
  <c r="FH74" i="5"/>
  <c r="EY74" i="5"/>
  <c r="EU74" i="5"/>
  <c r="EP74" i="5"/>
  <c r="EL74" i="5"/>
  <c r="EG74" i="5"/>
  <c r="EC74" i="5"/>
  <c r="DY74" i="5"/>
  <c r="DU74" i="5"/>
  <c r="DQ74" i="5"/>
  <c r="DM74" i="5"/>
  <c r="DI74" i="5"/>
  <c r="DE74" i="5"/>
  <c r="DA74" i="5"/>
  <c r="CW74" i="5"/>
  <c r="FK74" i="5"/>
  <c r="FG74" i="5"/>
  <c r="FB74" i="5"/>
  <c r="EX74" i="5"/>
  <c r="EO74" i="5"/>
  <c r="EK74" i="5"/>
  <c r="EF74" i="5"/>
  <c r="EB74" i="5"/>
  <c r="DX74" i="5"/>
  <c r="DT74" i="5"/>
  <c r="DP74" i="5"/>
  <c r="DL74" i="5"/>
  <c r="DH74" i="5"/>
  <c r="DD74" i="5"/>
  <c r="CZ74" i="5"/>
  <c r="CV74" i="5"/>
  <c r="FJ74" i="5"/>
  <c r="FF74" i="5"/>
  <c r="FA74" i="5"/>
  <c r="EW74" i="5"/>
  <c r="ER74" i="5"/>
  <c r="EN74" i="5"/>
  <c r="EE74" i="5"/>
  <c r="EA74" i="5"/>
  <c r="DW74" i="5"/>
  <c r="DS74" i="5"/>
  <c r="DO74" i="5"/>
  <c r="DK74" i="5"/>
  <c r="DG74" i="5"/>
  <c r="DC74" i="5"/>
  <c r="CY74" i="5"/>
  <c r="AZ74" i="5"/>
  <c r="BA73" i="5"/>
  <c r="G74" i="2"/>
  <c r="I73" i="2"/>
  <c r="H73" i="2"/>
  <c r="J73" i="2"/>
  <c r="L73" i="2" s="1"/>
  <c r="CU75" i="2"/>
  <c r="FJ74" i="2"/>
  <c r="FF74" i="2"/>
  <c r="FA74" i="2"/>
  <c r="EW74" i="2"/>
  <c r="ER74" i="2"/>
  <c r="EN74" i="2"/>
  <c r="EE74" i="2"/>
  <c r="EA74" i="2"/>
  <c r="DW74" i="2"/>
  <c r="DS74" i="2"/>
  <c r="DO74" i="2"/>
  <c r="DK74" i="2"/>
  <c r="DG74" i="2"/>
  <c r="DC74" i="2"/>
  <c r="CY74" i="2"/>
  <c r="FI74" i="2"/>
  <c r="FE74" i="2"/>
  <c r="EZ74" i="2"/>
  <c r="EV74" i="2"/>
  <c r="EQ74" i="2"/>
  <c r="EM74" i="2"/>
  <c r="EH74" i="2"/>
  <c r="ED74" i="2"/>
  <c r="DZ74" i="2"/>
  <c r="DV74" i="2"/>
  <c r="DR74" i="2"/>
  <c r="DN74" i="2"/>
  <c r="DJ74" i="2"/>
  <c r="DF74" i="2"/>
  <c r="DB74" i="2"/>
  <c r="CX74" i="2"/>
  <c r="FH74" i="2"/>
  <c r="EY74" i="2"/>
  <c r="EU74" i="2"/>
  <c r="EP74" i="2"/>
  <c r="EL74" i="2"/>
  <c r="EG74" i="2"/>
  <c r="EC74" i="2"/>
  <c r="DY74" i="2"/>
  <c r="DU74" i="2"/>
  <c r="DQ74" i="2"/>
  <c r="DM74" i="2"/>
  <c r="DI74" i="2"/>
  <c r="DE74" i="2"/>
  <c r="DA74" i="2"/>
  <c r="CW74" i="2"/>
  <c r="FK74" i="2"/>
  <c r="FG74" i="2"/>
  <c r="FB74" i="2"/>
  <c r="EX74" i="2"/>
  <c r="EO74" i="2"/>
  <c r="EK74" i="2"/>
  <c r="EF74" i="2"/>
  <c r="EB74" i="2"/>
  <c r="DX74" i="2"/>
  <c r="DT74" i="2"/>
  <c r="DP74" i="2"/>
  <c r="DL74" i="2"/>
  <c r="DH74" i="2"/>
  <c r="DD74" i="2"/>
  <c r="CZ74" i="2"/>
  <c r="CV74" i="2"/>
  <c r="BG75" i="5"/>
  <c r="BF76" i="5"/>
  <c r="BH75" i="5"/>
  <c r="H73" i="5"/>
  <c r="J73" i="5"/>
  <c r="G74" i="5"/>
  <c r="I73" i="5"/>
  <c r="AK44" i="2"/>
  <c r="CK74" i="5"/>
  <c r="CN74" i="5"/>
  <c r="CJ74" i="5"/>
  <c r="CG75" i="5"/>
  <c r="CM74" i="5"/>
  <c r="CI74" i="5"/>
  <c r="CL74" i="5"/>
  <c r="CH74" i="5"/>
  <c r="FM81" i="2"/>
  <c r="GZ80" i="2"/>
  <c r="GV80" i="2"/>
  <c r="GY80" i="2"/>
  <c r="GU80" i="2"/>
  <c r="GX80" i="2"/>
  <c r="GW80" i="2"/>
  <c r="AK44" i="5"/>
  <c r="BT74" i="2"/>
  <c r="BQ75" i="2"/>
  <c r="BS74" i="2"/>
  <c r="BV74" i="2"/>
  <c r="BR74" i="2"/>
  <c r="BU74" i="2"/>
  <c r="BQ75" i="5"/>
  <c r="BS74" i="5"/>
  <c r="BV74" i="5"/>
  <c r="BR74" i="5"/>
  <c r="BU74" i="5"/>
  <c r="BT74" i="5"/>
  <c r="AQ74" i="5"/>
  <c r="AW73" i="5"/>
  <c r="AR73" i="5"/>
  <c r="AX73" i="5"/>
  <c r="AT73" i="5"/>
  <c r="AN45" i="5"/>
  <c r="AO45" i="5"/>
  <c r="CB74" i="5"/>
  <c r="CE74" i="5"/>
  <c r="CA74" i="5"/>
  <c r="BX75" i="5"/>
  <c r="BZ74" i="5"/>
  <c r="BY74" i="5"/>
  <c r="BF75" i="2"/>
  <c r="BH74" i="2"/>
  <c r="BG74" i="2"/>
  <c r="IJ43" i="5"/>
  <c r="L42" i="5"/>
  <c r="AI43" i="5"/>
  <c r="CG75" i="2"/>
  <c r="CL74" i="2"/>
  <c r="CH74" i="2"/>
  <c r="CK74" i="2"/>
  <c r="CN74" i="2"/>
  <c r="CJ74" i="2"/>
  <c r="CM74" i="2"/>
  <c r="CI74" i="2"/>
  <c r="AM74" i="2"/>
  <c r="AI74" i="2"/>
  <c r="AL74" i="2"/>
  <c r="AO74" i="2"/>
  <c r="AK74" i="2"/>
  <c r="AH75" i="2"/>
  <c r="AN74" i="2"/>
  <c r="AJ74" i="2"/>
  <c r="AR72" i="2"/>
  <c r="BY74" i="2"/>
  <c r="CB74" i="2"/>
  <c r="CE74" i="2"/>
  <c r="CA74" i="2"/>
  <c r="BX75" i="2"/>
  <c r="BZ74" i="2"/>
  <c r="AX74" i="2"/>
  <c r="AT74" i="2"/>
  <c r="AQ75" i="2"/>
  <c r="AW74" i="2"/>
  <c r="AH74" i="5"/>
  <c r="AN73" i="5"/>
  <c r="AJ73" i="5"/>
  <c r="AM73" i="5"/>
  <c r="AI73" i="5"/>
  <c r="AL73" i="5"/>
  <c r="AO73" i="5"/>
  <c r="AK73" i="5"/>
  <c r="BA74" i="2"/>
  <c r="AZ75" i="2"/>
  <c r="AN45" i="2"/>
  <c r="AO45" i="2"/>
  <c r="B76" i="19"/>
  <c r="D76" i="19" s="1"/>
  <c r="E76" i="19"/>
  <c r="F76" i="19" s="1"/>
  <c r="A77" i="19"/>
  <c r="C76" i="19"/>
  <c r="U75" i="5"/>
  <c r="IL74" i="5"/>
  <c r="IH74" i="5"/>
  <c r="IE75" i="5"/>
  <c r="IK74" i="5"/>
  <c r="IG74" i="5"/>
  <c r="IJ74" i="5"/>
  <c r="IF74" i="5"/>
  <c r="II74" i="5"/>
  <c r="IE75" i="2"/>
  <c r="II74" i="2"/>
  <c r="IL74" i="2"/>
  <c r="IH74" i="2"/>
  <c r="IK74" i="2"/>
  <c r="IG74" i="2"/>
  <c r="IJ74" i="2"/>
  <c r="IF74" i="2"/>
  <c r="GY76" i="5"/>
  <c r="GU76" i="5"/>
  <c r="GX76" i="5"/>
  <c r="GW76" i="5"/>
  <c r="FM77" i="5"/>
  <c r="GZ76" i="5"/>
  <c r="GV76" i="5"/>
  <c r="BO74" i="2"/>
  <c r="BK74" i="2"/>
  <c r="BN74" i="2"/>
  <c r="BM74" i="2"/>
  <c r="BJ75" i="2"/>
  <c r="BL74" i="2"/>
  <c r="AE73" i="5"/>
  <c r="AA73" i="5"/>
  <c r="X74" i="5"/>
  <c r="AD73" i="5"/>
  <c r="Z73" i="5"/>
  <c r="AC73" i="5"/>
  <c r="Y73" i="5"/>
  <c r="AF73" i="5"/>
  <c r="AB73" i="5"/>
  <c r="BN74" i="5"/>
  <c r="BM74" i="5"/>
  <c r="BJ75" i="5"/>
  <c r="BL74" i="5"/>
  <c r="BO74" i="5"/>
  <c r="BK74" i="5"/>
  <c r="BX76" i="2" l="1"/>
  <c r="CE75" i="2"/>
  <c r="CA75" i="2"/>
  <c r="BZ75" i="2"/>
  <c r="BY75" i="2"/>
  <c r="CB75" i="2"/>
  <c r="CL75" i="2"/>
  <c r="CK75" i="2"/>
  <c r="CM75" i="2"/>
  <c r="CJ75" i="2"/>
  <c r="CI75" i="2"/>
  <c r="CG76" i="2"/>
  <c r="CN75" i="2"/>
  <c r="CH75" i="2"/>
  <c r="IQ25" i="5"/>
  <c r="BU75" i="5"/>
  <c r="BT75" i="5"/>
  <c r="BQ76" i="5"/>
  <c r="BS75" i="5"/>
  <c r="BV75" i="5"/>
  <c r="BR75" i="5"/>
  <c r="AL74" i="5"/>
  <c r="AO74" i="5"/>
  <c r="AK74" i="5"/>
  <c r="AH75" i="5"/>
  <c r="AN74" i="5"/>
  <c r="AJ74" i="5"/>
  <c r="AM74" i="5"/>
  <c r="AI74" i="5"/>
  <c r="AO75" i="2"/>
  <c r="AK75" i="2"/>
  <c r="AN75" i="2"/>
  <c r="AJ75" i="2"/>
  <c r="AH76" i="2"/>
  <c r="AM75" i="2"/>
  <c r="AI75" i="2"/>
  <c r="AL75" i="2"/>
  <c r="AN44" i="5"/>
  <c r="AO44" i="5"/>
  <c r="CG76" i="5"/>
  <c r="CM75" i="5"/>
  <c r="CI75" i="5"/>
  <c r="CL75" i="5"/>
  <c r="CH75" i="5"/>
  <c r="CK75" i="5"/>
  <c r="CN75" i="5"/>
  <c r="CJ75" i="5"/>
  <c r="AZ75" i="5"/>
  <c r="BA74" i="5"/>
  <c r="X75" i="2"/>
  <c r="AD74" i="2"/>
  <c r="Z74" i="2"/>
  <c r="AC74" i="2"/>
  <c r="Y74" i="2"/>
  <c r="AF74" i="2"/>
  <c r="AB74" i="2"/>
  <c r="AE74" i="2"/>
  <c r="AA74" i="2"/>
  <c r="U76" i="2"/>
  <c r="BF77" i="5"/>
  <c r="BH76" i="5"/>
  <c r="BG76" i="5"/>
  <c r="BJ76" i="5"/>
  <c r="BL75" i="5"/>
  <c r="BO75" i="5"/>
  <c r="BK75" i="5"/>
  <c r="BN75" i="5"/>
  <c r="BM75" i="5"/>
  <c r="U76" i="5"/>
  <c r="E77" i="19"/>
  <c r="F77" i="19" s="1"/>
  <c r="A78" i="19"/>
  <c r="C77" i="19"/>
  <c r="B77" i="19"/>
  <c r="D77" i="19" s="1"/>
  <c r="L41" i="5"/>
  <c r="IJ42" i="5"/>
  <c r="AI42" i="5"/>
  <c r="BH75" i="2"/>
  <c r="BG75" i="2"/>
  <c r="BF76" i="2"/>
  <c r="BQ76" i="2"/>
  <c r="BV75" i="2"/>
  <c r="BR75" i="2"/>
  <c r="BU75" i="2"/>
  <c r="BT75" i="2"/>
  <c r="BS75" i="2"/>
  <c r="L73" i="5"/>
  <c r="FJ75" i="2"/>
  <c r="FF75" i="2"/>
  <c r="FA75" i="2"/>
  <c r="EW75" i="2"/>
  <c r="ER75" i="2"/>
  <c r="EN75" i="2"/>
  <c r="EE75" i="2"/>
  <c r="EA75" i="2"/>
  <c r="DW75" i="2"/>
  <c r="DS75" i="2"/>
  <c r="DO75" i="2"/>
  <c r="DK75" i="2"/>
  <c r="DG75" i="2"/>
  <c r="DC75" i="2"/>
  <c r="CY75" i="2"/>
  <c r="FI75" i="2"/>
  <c r="FE75" i="2"/>
  <c r="EZ75" i="2"/>
  <c r="EV75" i="2"/>
  <c r="EQ75" i="2"/>
  <c r="EM75" i="2"/>
  <c r="EH75" i="2"/>
  <c r="ED75" i="2"/>
  <c r="DZ75" i="2"/>
  <c r="DV75" i="2"/>
  <c r="DR75" i="2"/>
  <c r="DN75" i="2"/>
  <c r="DJ75" i="2"/>
  <c r="DF75" i="2"/>
  <c r="DB75" i="2"/>
  <c r="CX75" i="2"/>
  <c r="FG75" i="2"/>
  <c r="EX75" i="2"/>
  <c r="EO75" i="2"/>
  <c r="EF75" i="2"/>
  <c r="DX75" i="2"/>
  <c r="DP75" i="2"/>
  <c r="DH75" i="2"/>
  <c r="CZ75" i="2"/>
  <c r="EU75" i="2"/>
  <c r="EL75" i="2"/>
  <c r="EC75" i="2"/>
  <c r="DU75" i="2"/>
  <c r="DM75" i="2"/>
  <c r="DE75" i="2"/>
  <c r="CW75" i="2"/>
  <c r="CU76" i="2"/>
  <c r="FK75" i="2"/>
  <c r="FB75" i="2"/>
  <c r="EK75" i="2"/>
  <c r="EB75" i="2"/>
  <c r="DT75" i="2"/>
  <c r="DL75" i="2"/>
  <c r="DD75" i="2"/>
  <c r="CV75" i="2"/>
  <c r="FH75" i="2"/>
  <c r="EY75" i="2"/>
  <c r="EP75" i="2"/>
  <c r="EG75" i="2"/>
  <c r="DY75" i="2"/>
  <c r="DQ75" i="2"/>
  <c r="DI75" i="2"/>
  <c r="DA75" i="2"/>
  <c r="AI42" i="2"/>
  <c r="L41" i="2"/>
  <c r="IJ42" i="2"/>
  <c r="IJ75" i="5"/>
  <c r="IF75" i="5"/>
  <c r="II75" i="5"/>
  <c r="IL75" i="5"/>
  <c r="IH75" i="5"/>
  <c r="IE76" i="5"/>
  <c r="IK75" i="5"/>
  <c r="IG75" i="5"/>
  <c r="BX76" i="5"/>
  <c r="BZ75" i="5"/>
  <c r="BY75" i="5"/>
  <c r="CB75" i="5"/>
  <c r="CE75" i="5"/>
  <c r="CA75" i="5"/>
  <c r="AN44" i="2"/>
  <c r="AO44" i="2"/>
  <c r="GW77" i="5"/>
  <c r="FM78" i="5"/>
  <c r="GZ77" i="5"/>
  <c r="GV77" i="5"/>
  <c r="GY77" i="5"/>
  <c r="GU77" i="5"/>
  <c r="GX77" i="5"/>
  <c r="IE76" i="2"/>
  <c r="II75" i="2"/>
  <c r="IL75" i="2"/>
  <c r="IH75" i="2"/>
  <c r="IF75" i="2"/>
  <c r="IK75" i="2"/>
  <c r="IJ75" i="2"/>
  <c r="IG75" i="2"/>
  <c r="AC74" i="5"/>
  <c r="Y74" i="5"/>
  <c r="AF74" i="5"/>
  <c r="AB74" i="5"/>
  <c r="AE74" i="5"/>
  <c r="AA74" i="5"/>
  <c r="X75" i="5"/>
  <c r="AD74" i="5"/>
  <c r="Z74" i="5"/>
  <c r="BM75" i="2"/>
  <c r="BL75" i="2"/>
  <c r="BJ76" i="2"/>
  <c r="BO75" i="2"/>
  <c r="BK75" i="2"/>
  <c r="BN75" i="2"/>
  <c r="AZ76" i="2"/>
  <c r="BA75" i="2"/>
  <c r="AX75" i="2"/>
  <c r="AT75" i="2"/>
  <c r="AW75" i="2"/>
  <c r="AQ76" i="2"/>
  <c r="AK43" i="5"/>
  <c r="AX74" i="5"/>
  <c r="AT74" i="5"/>
  <c r="AQ75" i="5"/>
  <c r="AW74" i="5"/>
  <c r="GX81" i="2"/>
  <c r="GW81" i="2"/>
  <c r="FM82" i="2"/>
  <c r="GZ81" i="2"/>
  <c r="GV81" i="2"/>
  <c r="GY81" i="2"/>
  <c r="GU81" i="2"/>
  <c r="J74" i="5"/>
  <c r="L74" i="5" s="1"/>
  <c r="G75" i="5"/>
  <c r="I74" i="5"/>
  <c r="H74" i="5"/>
  <c r="AR73" i="2"/>
  <c r="J74" i="2"/>
  <c r="L74" i="2" s="1"/>
  <c r="G75" i="2"/>
  <c r="I74" i="2"/>
  <c r="H74" i="2"/>
  <c r="FK75" i="5"/>
  <c r="FG75" i="5"/>
  <c r="FB75" i="5"/>
  <c r="EX75" i="5"/>
  <c r="EO75" i="5"/>
  <c r="EK75" i="5"/>
  <c r="EF75" i="5"/>
  <c r="EB75" i="5"/>
  <c r="DX75" i="5"/>
  <c r="DT75" i="5"/>
  <c r="DP75" i="5"/>
  <c r="DL75" i="5"/>
  <c r="DH75" i="5"/>
  <c r="DD75" i="5"/>
  <c r="CZ75" i="5"/>
  <c r="CV75" i="5"/>
  <c r="FJ75" i="5"/>
  <c r="FF75" i="5"/>
  <c r="FA75" i="5"/>
  <c r="EW75" i="5"/>
  <c r="ER75" i="5"/>
  <c r="EN75" i="5"/>
  <c r="EE75" i="5"/>
  <c r="EA75" i="5"/>
  <c r="DW75" i="5"/>
  <c r="DS75" i="5"/>
  <c r="DO75" i="5"/>
  <c r="DK75" i="5"/>
  <c r="DG75" i="5"/>
  <c r="DC75" i="5"/>
  <c r="CY75" i="5"/>
  <c r="FI75" i="5"/>
  <c r="FE75" i="5"/>
  <c r="EZ75" i="5"/>
  <c r="EV75" i="5"/>
  <c r="EQ75" i="5"/>
  <c r="EM75" i="5"/>
  <c r="EH75" i="5"/>
  <c r="ED75" i="5"/>
  <c r="DZ75" i="5"/>
  <c r="DV75" i="5"/>
  <c r="DR75" i="5"/>
  <c r="DN75" i="5"/>
  <c r="DJ75" i="5"/>
  <c r="DF75" i="5"/>
  <c r="DB75" i="5"/>
  <c r="CX75" i="5"/>
  <c r="CU76" i="5"/>
  <c r="FH75" i="5"/>
  <c r="EY75" i="5"/>
  <c r="EU75" i="5"/>
  <c r="EP75" i="5"/>
  <c r="EL75" i="5"/>
  <c r="EG75" i="5"/>
  <c r="EC75" i="5"/>
  <c r="DY75" i="5"/>
  <c r="DU75" i="5"/>
  <c r="DQ75" i="5"/>
  <c r="DM75" i="5"/>
  <c r="DI75" i="5"/>
  <c r="DE75" i="5"/>
  <c r="DA75" i="5"/>
  <c r="CW75" i="5"/>
  <c r="AK43" i="2"/>
  <c r="CC70" i="5"/>
  <c r="GZ82" i="2" l="1"/>
  <c r="GV82" i="2"/>
  <c r="FM83" i="2"/>
  <c r="GY82" i="2"/>
  <c r="GU82" i="2"/>
  <c r="GX82" i="2"/>
  <c r="GW82" i="2"/>
  <c r="I75" i="2"/>
  <c r="H75" i="2"/>
  <c r="G76" i="2"/>
  <c r="J75" i="2"/>
  <c r="H75" i="5"/>
  <c r="J75" i="5"/>
  <c r="AR75" i="5" s="1"/>
  <c r="G76" i="5"/>
  <c r="I75" i="5"/>
  <c r="IL76" i="5"/>
  <c r="IH76" i="5"/>
  <c r="IE77" i="5"/>
  <c r="IK76" i="5"/>
  <c r="IG76" i="5"/>
  <c r="IJ76" i="5"/>
  <c r="IF76" i="5"/>
  <c r="II76" i="5"/>
  <c r="L40" i="2"/>
  <c r="AI41" i="2"/>
  <c r="IJ41" i="2"/>
  <c r="FJ76" i="2"/>
  <c r="FF76" i="2"/>
  <c r="FA76" i="2"/>
  <c r="EW76" i="2"/>
  <c r="ER76" i="2"/>
  <c r="FI76" i="2"/>
  <c r="FE76" i="2"/>
  <c r="EZ76" i="2"/>
  <c r="EV76" i="2"/>
  <c r="EQ76" i="2"/>
  <c r="CU77" i="2"/>
  <c r="FH76" i="2"/>
  <c r="EY76" i="2"/>
  <c r="EU76" i="2"/>
  <c r="EP76" i="2"/>
  <c r="EL76" i="2"/>
  <c r="EG76" i="2"/>
  <c r="EC76" i="2"/>
  <c r="DY76" i="2"/>
  <c r="DU76" i="2"/>
  <c r="DQ76" i="2"/>
  <c r="DM76" i="2"/>
  <c r="DI76" i="2"/>
  <c r="DE76" i="2"/>
  <c r="DA76" i="2"/>
  <c r="CW76" i="2"/>
  <c r="FK76" i="2"/>
  <c r="FG76" i="2"/>
  <c r="FB76" i="2"/>
  <c r="EX76" i="2"/>
  <c r="EO76" i="2"/>
  <c r="EK76" i="2"/>
  <c r="EF76" i="2"/>
  <c r="EB76" i="2"/>
  <c r="DX76" i="2"/>
  <c r="DT76" i="2"/>
  <c r="DP76" i="2"/>
  <c r="DL76" i="2"/>
  <c r="DH76" i="2"/>
  <c r="DD76" i="2"/>
  <c r="CZ76" i="2"/>
  <c r="CV76" i="2"/>
  <c r="EN76" i="2"/>
  <c r="EE76" i="2"/>
  <c r="DW76" i="2"/>
  <c r="DO76" i="2"/>
  <c r="DG76" i="2"/>
  <c r="CY76" i="2"/>
  <c r="EM76" i="2"/>
  <c r="ED76" i="2"/>
  <c r="DV76" i="2"/>
  <c r="DN76" i="2"/>
  <c r="DF76" i="2"/>
  <c r="CX76" i="2"/>
  <c r="EA76" i="2"/>
  <c r="DS76" i="2"/>
  <c r="DK76" i="2"/>
  <c r="DC76" i="2"/>
  <c r="EH76" i="2"/>
  <c r="DZ76" i="2"/>
  <c r="DR76" i="2"/>
  <c r="DJ76" i="2"/>
  <c r="DB76" i="2"/>
  <c r="BN76" i="5"/>
  <c r="BM76" i="5"/>
  <c r="BJ77" i="5"/>
  <c r="BL76" i="5"/>
  <c r="BO76" i="5"/>
  <c r="BK76" i="5"/>
  <c r="AO43" i="2"/>
  <c r="AN43" i="2"/>
  <c r="AR74" i="2"/>
  <c r="AR74" i="5"/>
  <c r="AX76" i="2"/>
  <c r="AT76" i="2"/>
  <c r="AQ77" i="2"/>
  <c r="AW76" i="2"/>
  <c r="II76" i="2"/>
  <c r="IL76" i="2"/>
  <c r="IH76" i="2"/>
  <c r="IE77" i="2"/>
  <c r="IK76" i="2"/>
  <c r="IG76" i="2"/>
  <c r="IJ76" i="2"/>
  <c r="IF76" i="2"/>
  <c r="CB76" i="5"/>
  <c r="CE76" i="5"/>
  <c r="CA76" i="5"/>
  <c r="BX77" i="5"/>
  <c r="BZ76" i="5"/>
  <c r="BY76" i="5"/>
  <c r="A79" i="19"/>
  <c r="B78" i="19"/>
  <c r="D78" i="19" s="1"/>
  <c r="E78" i="19"/>
  <c r="F78" i="19" s="1"/>
  <c r="C78" i="19"/>
  <c r="U77" i="5"/>
  <c r="U77" i="2"/>
  <c r="CK76" i="5"/>
  <c r="CN76" i="5"/>
  <c r="CJ76" i="5"/>
  <c r="CG77" i="5"/>
  <c r="CM76" i="5"/>
  <c r="CI76" i="5"/>
  <c r="CL76" i="5"/>
  <c r="CH76" i="5"/>
  <c r="AO76" i="2"/>
  <c r="AK76" i="2"/>
  <c r="AH77" i="2"/>
  <c r="AN76" i="2"/>
  <c r="AJ76" i="2"/>
  <c r="AL76" i="2"/>
  <c r="AI76" i="2"/>
  <c r="AM76" i="2"/>
  <c r="BQ77" i="5"/>
  <c r="BS76" i="5"/>
  <c r="BV76" i="5"/>
  <c r="BR76" i="5"/>
  <c r="BU76" i="5"/>
  <c r="BT76" i="5"/>
  <c r="FI76" i="5"/>
  <c r="FE76" i="5"/>
  <c r="EZ76" i="5"/>
  <c r="EV76" i="5"/>
  <c r="EQ76" i="5"/>
  <c r="EM76" i="5"/>
  <c r="EH76" i="5"/>
  <c r="ED76" i="5"/>
  <c r="DZ76" i="5"/>
  <c r="DV76" i="5"/>
  <c r="DR76" i="5"/>
  <c r="DN76" i="5"/>
  <c r="DJ76" i="5"/>
  <c r="DF76" i="5"/>
  <c r="DB76" i="5"/>
  <c r="CX76" i="5"/>
  <c r="CU77" i="5"/>
  <c r="FH76" i="5"/>
  <c r="EY76" i="5"/>
  <c r="EU76" i="5"/>
  <c r="EP76" i="5"/>
  <c r="EL76" i="5"/>
  <c r="EG76" i="5"/>
  <c r="EC76" i="5"/>
  <c r="DY76" i="5"/>
  <c r="DU76" i="5"/>
  <c r="DQ76" i="5"/>
  <c r="DM76" i="5"/>
  <c r="DI76" i="5"/>
  <c r="DE76" i="5"/>
  <c r="DA76" i="5"/>
  <c r="CW76" i="5"/>
  <c r="FK76" i="5"/>
  <c r="FG76" i="5"/>
  <c r="FB76" i="5"/>
  <c r="EX76" i="5"/>
  <c r="EO76" i="5"/>
  <c r="EK76" i="5"/>
  <c r="EF76" i="5"/>
  <c r="EB76" i="5"/>
  <c r="DX76" i="5"/>
  <c r="DT76" i="5"/>
  <c r="DP76" i="5"/>
  <c r="DL76" i="5"/>
  <c r="DH76" i="5"/>
  <c r="DD76" i="5"/>
  <c r="CZ76" i="5"/>
  <c r="CV76" i="5"/>
  <c r="FJ76" i="5"/>
  <c r="FF76" i="5"/>
  <c r="FA76" i="5"/>
  <c r="EW76" i="5"/>
  <c r="ER76" i="5"/>
  <c r="EN76" i="5"/>
  <c r="EE76" i="5"/>
  <c r="EA76" i="5"/>
  <c r="DW76" i="5"/>
  <c r="DS76" i="5"/>
  <c r="DO76" i="5"/>
  <c r="DK76" i="5"/>
  <c r="DG76" i="5"/>
  <c r="DC76" i="5"/>
  <c r="CY76" i="5"/>
  <c r="AZ77" i="2"/>
  <c r="BA76" i="2"/>
  <c r="BM76" i="2"/>
  <c r="BJ77" i="2"/>
  <c r="BL76" i="2"/>
  <c r="BN76" i="2"/>
  <c r="BK76" i="2"/>
  <c r="BO76" i="2"/>
  <c r="BQ77" i="2"/>
  <c r="BV76" i="2"/>
  <c r="BR76" i="2"/>
  <c r="BU76" i="2"/>
  <c r="BT76" i="2"/>
  <c r="BS76" i="2"/>
  <c r="IJ41" i="5"/>
  <c r="L40" i="5"/>
  <c r="AI41" i="5"/>
  <c r="AZ76" i="5"/>
  <c r="BA75" i="5"/>
  <c r="CE76" i="2"/>
  <c r="CA76" i="2"/>
  <c r="BX77" i="2"/>
  <c r="BZ76" i="2"/>
  <c r="CB76" i="2"/>
  <c r="BY76" i="2"/>
  <c r="AQ76" i="5"/>
  <c r="AW75" i="5"/>
  <c r="AX75" i="5"/>
  <c r="AT75" i="5"/>
  <c r="AO43" i="5"/>
  <c r="AN43" i="5"/>
  <c r="AE75" i="5"/>
  <c r="AA75" i="5"/>
  <c r="X76" i="5"/>
  <c r="AD75" i="5"/>
  <c r="Z75" i="5"/>
  <c r="AC75" i="5"/>
  <c r="Y75" i="5"/>
  <c r="AF75" i="5"/>
  <c r="AB75" i="5"/>
  <c r="GY78" i="5"/>
  <c r="GU78" i="5"/>
  <c r="GX78" i="5"/>
  <c r="GW78" i="5"/>
  <c r="FM79" i="5"/>
  <c r="GZ78" i="5"/>
  <c r="GV78" i="5"/>
  <c r="AK42" i="2"/>
  <c r="BF77" i="2"/>
  <c r="BH76" i="2"/>
  <c r="BG76" i="2"/>
  <c r="AK42" i="5"/>
  <c r="BG77" i="5"/>
  <c r="BF78" i="5"/>
  <c r="BH77" i="5"/>
  <c r="X76" i="2"/>
  <c r="AF75" i="2"/>
  <c r="AB75" i="2"/>
  <c r="AE75" i="2"/>
  <c r="AA75" i="2"/>
  <c r="AD75" i="2"/>
  <c r="Z75" i="2"/>
  <c r="AC75" i="2"/>
  <c r="Y75" i="2"/>
  <c r="AH76" i="5"/>
  <c r="AN75" i="5"/>
  <c r="AJ75" i="5"/>
  <c r="AM75" i="5"/>
  <c r="AI75" i="5"/>
  <c r="AL75" i="5"/>
  <c r="AO75" i="5"/>
  <c r="AK75" i="5"/>
  <c r="CN76" i="2"/>
  <c r="CJ76" i="2"/>
  <c r="CG77" i="2"/>
  <c r="CM76" i="2"/>
  <c r="CI76" i="2"/>
  <c r="CL76" i="2"/>
  <c r="CK76" i="2"/>
  <c r="CH76" i="2"/>
  <c r="L75" i="5" l="1"/>
  <c r="AO42" i="5"/>
  <c r="AN42" i="5"/>
  <c r="BF78" i="2"/>
  <c r="BH77" i="2"/>
  <c r="BG77" i="2"/>
  <c r="AZ77" i="5"/>
  <c r="BA76" i="5"/>
  <c r="CN77" i="2"/>
  <c r="CJ77" i="2"/>
  <c r="CG78" i="2"/>
  <c r="CM77" i="2"/>
  <c r="CI77" i="2"/>
  <c r="CL77" i="2"/>
  <c r="CH77" i="2"/>
  <c r="CK77" i="2"/>
  <c r="IQ27" i="5"/>
  <c r="CE77" i="2"/>
  <c r="CA77" i="2"/>
  <c r="BX78" i="2"/>
  <c r="BZ77" i="2"/>
  <c r="BY77" i="2"/>
  <c r="CB77" i="2"/>
  <c r="BM77" i="2"/>
  <c r="BJ78" i="2"/>
  <c r="BL77" i="2"/>
  <c r="BO77" i="2"/>
  <c r="BK77" i="2"/>
  <c r="BN77" i="2"/>
  <c r="BU77" i="5"/>
  <c r="BT77" i="5"/>
  <c r="BQ78" i="5"/>
  <c r="BS77" i="5"/>
  <c r="BV77" i="5"/>
  <c r="BR77" i="5"/>
  <c r="CU78" i="2"/>
  <c r="FH77" i="2"/>
  <c r="EY77" i="2"/>
  <c r="EU77" i="2"/>
  <c r="EP77" i="2"/>
  <c r="EL77" i="2"/>
  <c r="EG77" i="2"/>
  <c r="EC77" i="2"/>
  <c r="DY77" i="2"/>
  <c r="DU77" i="2"/>
  <c r="DQ77" i="2"/>
  <c r="DM77" i="2"/>
  <c r="DI77" i="2"/>
  <c r="DE77" i="2"/>
  <c r="DA77" i="2"/>
  <c r="CW77" i="2"/>
  <c r="FK77" i="2"/>
  <c r="FG77" i="2"/>
  <c r="FB77" i="2"/>
  <c r="EX77" i="2"/>
  <c r="EO77" i="2"/>
  <c r="EK77" i="2"/>
  <c r="EF77" i="2"/>
  <c r="EB77" i="2"/>
  <c r="DX77" i="2"/>
  <c r="DT77" i="2"/>
  <c r="DP77" i="2"/>
  <c r="DL77" i="2"/>
  <c r="DH77" i="2"/>
  <c r="DD77" i="2"/>
  <c r="CZ77" i="2"/>
  <c r="CV77" i="2"/>
  <c r="FJ77" i="2"/>
  <c r="FF77" i="2"/>
  <c r="FA77" i="2"/>
  <c r="EW77" i="2"/>
  <c r="ER77" i="2"/>
  <c r="EN77" i="2"/>
  <c r="EE77" i="2"/>
  <c r="EA77" i="2"/>
  <c r="DW77" i="2"/>
  <c r="DS77" i="2"/>
  <c r="DO77" i="2"/>
  <c r="DK77" i="2"/>
  <c r="DG77" i="2"/>
  <c r="DC77" i="2"/>
  <c r="CY77" i="2"/>
  <c r="FI77" i="2"/>
  <c r="FE77" i="2"/>
  <c r="EZ77" i="2"/>
  <c r="EV77" i="2"/>
  <c r="EQ77" i="2"/>
  <c r="EM77" i="2"/>
  <c r="EH77" i="2"/>
  <c r="ED77" i="2"/>
  <c r="DZ77" i="2"/>
  <c r="DV77" i="2"/>
  <c r="DR77" i="2"/>
  <c r="DN77" i="2"/>
  <c r="DJ77" i="2"/>
  <c r="DF77" i="2"/>
  <c r="DB77" i="2"/>
  <c r="CX77" i="2"/>
  <c r="L75" i="2"/>
  <c r="BF79" i="5"/>
  <c r="BH78" i="5"/>
  <c r="BG78" i="5"/>
  <c r="AC76" i="5"/>
  <c r="Y76" i="5"/>
  <c r="AF76" i="5"/>
  <c r="AB76" i="5"/>
  <c r="AE76" i="5"/>
  <c r="AA76" i="5"/>
  <c r="X77" i="5"/>
  <c r="AD76" i="5"/>
  <c r="Z76" i="5"/>
  <c r="AK41" i="5"/>
  <c r="U78" i="2"/>
  <c r="A80" i="19"/>
  <c r="C79" i="19"/>
  <c r="B79" i="19"/>
  <c r="D79" i="19" s="1"/>
  <c r="E79" i="19"/>
  <c r="F79" i="19" s="1"/>
  <c r="BJ78" i="5"/>
  <c r="BL77" i="5"/>
  <c r="BO77" i="5"/>
  <c r="BK77" i="5"/>
  <c r="BN77" i="5"/>
  <c r="BM77" i="5"/>
  <c r="IJ77" i="5"/>
  <c r="IF77" i="5"/>
  <c r="II77" i="5"/>
  <c r="IL77" i="5"/>
  <c r="IH77" i="5"/>
  <c r="IE78" i="5"/>
  <c r="IK77" i="5"/>
  <c r="IG77" i="5"/>
  <c r="J76" i="5"/>
  <c r="AR76" i="5" s="1"/>
  <c r="G77" i="5"/>
  <c r="I76" i="5"/>
  <c r="H76" i="5"/>
  <c r="GW79" i="5"/>
  <c r="FM80" i="5"/>
  <c r="GZ79" i="5"/>
  <c r="GV79" i="5"/>
  <c r="GY79" i="5"/>
  <c r="GU79" i="5"/>
  <c r="GX79" i="5"/>
  <c r="AX76" i="5"/>
  <c r="AT76" i="5"/>
  <c r="AQ77" i="5"/>
  <c r="AW76" i="5"/>
  <c r="L39" i="5"/>
  <c r="IJ40" i="5"/>
  <c r="AI40" i="5"/>
  <c r="BV77" i="2"/>
  <c r="BR77" i="2"/>
  <c r="BU77" i="2"/>
  <c r="BT77" i="2"/>
  <c r="BQ78" i="2"/>
  <c r="BS77" i="2"/>
  <c r="FK77" i="5"/>
  <c r="FG77" i="5"/>
  <c r="FB77" i="5"/>
  <c r="EX77" i="5"/>
  <c r="EO77" i="5"/>
  <c r="EK77" i="5"/>
  <c r="EF77" i="5"/>
  <c r="EB77" i="5"/>
  <c r="DX77" i="5"/>
  <c r="DT77" i="5"/>
  <c r="DP77" i="5"/>
  <c r="DL77" i="5"/>
  <c r="DH77" i="5"/>
  <c r="DD77" i="5"/>
  <c r="CZ77" i="5"/>
  <c r="CV77" i="5"/>
  <c r="FJ77" i="5"/>
  <c r="FF77" i="5"/>
  <c r="FA77" i="5"/>
  <c r="EW77" i="5"/>
  <c r="ER77" i="5"/>
  <c r="EN77" i="5"/>
  <c r="EE77" i="5"/>
  <c r="EA77" i="5"/>
  <c r="DW77" i="5"/>
  <c r="DS77" i="5"/>
  <c r="DO77" i="5"/>
  <c r="DK77" i="5"/>
  <c r="DG77" i="5"/>
  <c r="DC77" i="5"/>
  <c r="CY77" i="5"/>
  <c r="FI77" i="5"/>
  <c r="FE77" i="5"/>
  <c r="EZ77" i="5"/>
  <c r="EV77" i="5"/>
  <c r="EQ77" i="5"/>
  <c r="EM77" i="5"/>
  <c r="EH77" i="5"/>
  <c r="ED77" i="5"/>
  <c r="DZ77" i="5"/>
  <c r="DV77" i="5"/>
  <c r="DR77" i="5"/>
  <c r="DN77" i="5"/>
  <c r="DJ77" i="5"/>
  <c r="DF77" i="5"/>
  <c r="DB77" i="5"/>
  <c r="CX77" i="5"/>
  <c r="CU78" i="5"/>
  <c r="FH77" i="5"/>
  <c r="EY77" i="5"/>
  <c r="EU77" i="5"/>
  <c r="EP77" i="5"/>
  <c r="EL77" i="5"/>
  <c r="EG77" i="5"/>
  <c r="EC77" i="5"/>
  <c r="DY77" i="5"/>
  <c r="DU77" i="5"/>
  <c r="DQ77" i="5"/>
  <c r="DM77" i="5"/>
  <c r="DI77" i="5"/>
  <c r="DE77" i="5"/>
  <c r="DA77" i="5"/>
  <c r="CW77" i="5"/>
  <c r="CG78" i="5"/>
  <c r="CM77" i="5"/>
  <c r="CI77" i="5"/>
  <c r="CL77" i="5"/>
  <c r="CH77" i="5"/>
  <c r="CK77" i="5"/>
  <c r="CN77" i="5"/>
  <c r="CJ77" i="5"/>
  <c r="IE78" i="2"/>
  <c r="IK77" i="2"/>
  <c r="IG77" i="2"/>
  <c r="IJ77" i="2"/>
  <c r="IF77" i="2"/>
  <c r="II77" i="2"/>
  <c r="IL77" i="2"/>
  <c r="IH77" i="2"/>
  <c r="IQ26" i="5"/>
  <c r="CC71" i="5"/>
  <c r="G77" i="2"/>
  <c r="I76" i="2"/>
  <c r="H76" i="2"/>
  <c r="J76" i="2"/>
  <c r="GW83" i="2"/>
  <c r="FM84" i="2"/>
  <c r="GZ83" i="2"/>
  <c r="GV83" i="2"/>
  <c r="GU83" i="2"/>
  <c r="GY83" i="2"/>
  <c r="GX83" i="2"/>
  <c r="U78" i="5"/>
  <c r="BX78" i="5"/>
  <c r="BZ77" i="5"/>
  <c r="BY77" i="5"/>
  <c r="CB77" i="5"/>
  <c r="CE77" i="5"/>
  <c r="CA77" i="5"/>
  <c r="AK41" i="2"/>
  <c r="IJ40" i="2"/>
  <c r="L39" i="2"/>
  <c r="AI40" i="2"/>
  <c r="AR75" i="2"/>
  <c r="AL76" i="5"/>
  <c r="AO76" i="5"/>
  <c r="AK76" i="5"/>
  <c r="AH77" i="5"/>
  <c r="AN76" i="5"/>
  <c r="AJ76" i="5"/>
  <c r="AM76" i="5"/>
  <c r="AI76" i="5"/>
  <c r="X77" i="2"/>
  <c r="AF76" i="2"/>
  <c r="AB76" i="2"/>
  <c r="AE76" i="2"/>
  <c r="AA76" i="2"/>
  <c r="AC76" i="2"/>
  <c r="Z76" i="2"/>
  <c r="Y76" i="2"/>
  <c r="AD76" i="2"/>
  <c r="AO42" i="2"/>
  <c r="AN42" i="2"/>
  <c r="AZ78" i="2"/>
  <c r="BA77" i="2"/>
  <c r="AO77" i="2"/>
  <c r="AK77" i="2"/>
  <c r="AH78" i="2"/>
  <c r="AN77" i="2"/>
  <c r="AJ77" i="2"/>
  <c r="AM77" i="2"/>
  <c r="AI77" i="2"/>
  <c r="AL77" i="2"/>
  <c r="AX77" i="2"/>
  <c r="AT77" i="2"/>
  <c r="AQ78" i="2"/>
  <c r="AW77" i="2"/>
  <c r="AH78" i="5" l="1"/>
  <c r="AN77" i="5"/>
  <c r="AJ77" i="5"/>
  <c r="AM77" i="5"/>
  <c r="AI77" i="5"/>
  <c r="AL77" i="5"/>
  <c r="AO77" i="5"/>
  <c r="AK77" i="5"/>
  <c r="AK40" i="2"/>
  <c r="CK78" i="5"/>
  <c r="CN78" i="5"/>
  <c r="CJ78" i="5"/>
  <c r="CG79" i="5"/>
  <c r="CM78" i="5"/>
  <c r="CI78" i="5"/>
  <c r="CL78" i="5"/>
  <c r="CH78" i="5"/>
  <c r="AX78" i="2"/>
  <c r="AT78" i="2"/>
  <c r="AQ79" i="2"/>
  <c r="AW78" i="2"/>
  <c r="BA78" i="2"/>
  <c r="AZ79" i="2"/>
  <c r="AN41" i="2"/>
  <c r="AO41" i="2"/>
  <c r="AF77" i="2"/>
  <c r="AB77" i="2"/>
  <c r="AE77" i="2"/>
  <c r="AA77" i="2"/>
  <c r="X78" i="2"/>
  <c r="AD77" i="2"/>
  <c r="Z77" i="2"/>
  <c r="AC77" i="2"/>
  <c r="Y77" i="2"/>
  <c r="IJ39" i="2"/>
  <c r="AI39" i="2"/>
  <c r="L38" i="2"/>
  <c r="U79" i="5"/>
  <c r="II78" i="2"/>
  <c r="IL78" i="2"/>
  <c r="IH78" i="2"/>
  <c r="IE79" i="2"/>
  <c r="IK78" i="2"/>
  <c r="IG78" i="2"/>
  <c r="IJ78" i="2"/>
  <c r="IF78" i="2"/>
  <c r="H77" i="5"/>
  <c r="J77" i="5"/>
  <c r="L77" i="5" s="1"/>
  <c r="G78" i="5"/>
  <c r="I77" i="5"/>
  <c r="IL78" i="5"/>
  <c r="IH78" i="5"/>
  <c r="IE79" i="5"/>
  <c r="IK78" i="5"/>
  <c r="IG78" i="5"/>
  <c r="IJ78" i="5"/>
  <c r="IF78" i="5"/>
  <c r="II78" i="5"/>
  <c r="FJ78" i="2"/>
  <c r="FF78" i="2"/>
  <c r="FA78" i="2"/>
  <c r="EW78" i="2"/>
  <c r="ER78" i="2"/>
  <c r="EN78" i="2"/>
  <c r="EE78" i="2"/>
  <c r="EA78" i="2"/>
  <c r="DW78" i="2"/>
  <c r="DS78" i="2"/>
  <c r="DO78" i="2"/>
  <c r="DK78" i="2"/>
  <c r="DG78" i="2"/>
  <c r="DC78" i="2"/>
  <c r="CY78" i="2"/>
  <c r="FI78" i="2"/>
  <c r="FE78" i="2"/>
  <c r="EZ78" i="2"/>
  <c r="EV78" i="2"/>
  <c r="EQ78" i="2"/>
  <c r="EM78" i="2"/>
  <c r="EH78" i="2"/>
  <c r="ED78" i="2"/>
  <c r="DZ78" i="2"/>
  <c r="DV78" i="2"/>
  <c r="DR78" i="2"/>
  <c r="DN78" i="2"/>
  <c r="DJ78" i="2"/>
  <c r="DF78" i="2"/>
  <c r="DB78" i="2"/>
  <c r="CX78" i="2"/>
  <c r="CU79" i="2"/>
  <c r="FH78" i="2"/>
  <c r="EY78" i="2"/>
  <c r="EU78" i="2"/>
  <c r="EP78" i="2"/>
  <c r="EL78" i="2"/>
  <c r="EG78" i="2"/>
  <c r="EC78" i="2"/>
  <c r="DY78" i="2"/>
  <c r="DU78" i="2"/>
  <c r="DQ78" i="2"/>
  <c r="DM78" i="2"/>
  <c r="DI78" i="2"/>
  <c r="DE78" i="2"/>
  <c r="DA78" i="2"/>
  <c r="CW78" i="2"/>
  <c r="FK78" i="2"/>
  <c r="FG78" i="2"/>
  <c r="FB78" i="2"/>
  <c r="EX78" i="2"/>
  <c r="EO78" i="2"/>
  <c r="EK78" i="2"/>
  <c r="EF78" i="2"/>
  <c r="EB78" i="2"/>
  <c r="DX78" i="2"/>
  <c r="DT78" i="2"/>
  <c r="DP78" i="2"/>
  <c r="DL78" i="2"/>
  <c r="DH78" i="2"/>
  <c r="DD78" i="2"/>
  <c r="CZ78" i="2"/>
  <c r="CV78" i="2"/>
  <c r="BQ79" i="5"/>
  <c r="BS78" i="5"/>
  <c r="BV78" i="5"/>
  <c r="BR78" i="5"/>
  <c r="BU78" i="5"/>
  <c r="BT78" i="5"/>
  <c r="CB78" i="5"/>
  <c r="CE78" i="5"/>
  <c r="CA78" i="5"/>
  <c r="BX79" i="5"/>
  <c r="BZ78" i="5"/>
  <c r="BY78" i="5"/>
  <c r="AR76" i="2"/>
  <c r="AM78" i="2"/>
  <c r="AI78" i="2"/>
  <c r="AL78" i="2"/>
  <c r="AO78" i="2"/>
  <c r="AK78" i="2"/>
  <c r="AH79" i="2"/>
  <c r="AN78" i="2"/>
  <c r="AJ78" i="2"/>
  <c r="L76" i="5"/>
  <c r="BG79" i="5"/>
  <c r="BF80" i="5"/>
  <c r="BH79" i="5"/>
  <c r="BY78" i="2"/>
  <c r="CB78" i="2"/>
  <c r="CE78" i="2"/>
  <c r="CA78" i="2"/>
  <c r="BX79" i="2"/>
  <c r="BZ78" i="2"/>
  <c r="CL78" i="2"/>
  <c r="CH78" i="2"/>
  <c r="CK78" i="2"/>
  <c r="CN78" i="2"/>
  <c r="CJ78" i="2"/>
  <c r="CG79" i="2"/>
  <c r="CM78" i="2"/>
  <c r="CI78" i="2"/>
  <c r="AZ78" i="5"/>
  <c r="BA77" i="5"/>
  <c r="G78" i="2"/>
  <c r="I77" i="2"/>
  <c r="H77" i="2"/>
  <c r="J77" i="2"/>
  <c r="L77" i="2" s="1"/>
  <c r="FI78" i="5"/>
  <c r="FE78" i="5"/>
  <c r="EZ78" i="5"/>
  <c r="EV78" i="5"/>
  <c r="EQ78" i="5"/>
  <c r="EM78" i="5"/>
  <c r="EH78" i="5"/>
  <c r="ED78" i="5"/>
  <c r="DZ78" i="5"/>
  <c r="DV78" i="5"/>
  <c r="DR78" i="5"/>
  <c r="DN78" i="5"/>
  <c r="DJ78" i="5"/>
  <c r="DF78" i="5"/>
  <c r="DB78" i="5"/>
  <c r="CX78" i="5"/>
  <c r="CU79" i="5"/>
  <c r="FH78" i="5"/>
  <c r="EY78" i="5"/>
  <c r="EU78" i="5"/>
  <c r="EP78" i="5"/>
  <c r="EL78" i="5"/>
  <c r="EG78" i="5"/>
  <c r="EC78" i="5"/>
  <c r="DY78" i="5"/>
  <c r="DU78" i="5"/>
  <c r="DQ78" i="5"/>
  <c r="DM78" i="5"/>
  <c r="DI78" i="5"/>
  <c r="DE78" i="5"/>
  <c r="DA78" i="5"/>
  <c r="CW78" i="5"/>
  <c r="FK78" i="5"/>
  <c r="FG78" i="5"/>
  <c r="FB78" i="5"/>
  <c r="EX78" i="5"/>
  <c r="EO78" i="5"/>
  <c r="EK78" i="5"/>
  <c r="EF78" i="5"/>
  <c r="EB78" i="5"/>
  <c r="DX78" i="5"/>
  <c r="DT78" i="5"/>
  <c r="DP78" i="5"/>
  <c r="DL78" i="5"/>
  <c r="DH78" i="5"/>
  <c r="DD78" i="5"/>
  <c r="CZ78" i="5"/>
  <c r="CV78" i="5"/>
  <c r="FJ78" i="5"/>
  <c r="FF78" i="5"/>
  <c r="FA78" i="5"/>
  <c r="EW78" i="5"/>
  <c r="ER78" i="5"/>
  <c r="EN78" i="5"/>
  <c r="EE78" i="5"/>
  <c r="EA78" i="5"/>
  <c r="DW78" i="5"/>
  <c r="DS78" i="5"/>
  <c r="DO78" i="5"/>
  <c r="DK78" i="5"/>
  <c r="DG78" i="5"/>
  <c r="DC78" i="5"/>
  <c r="CY78" i="5"/>
  <c r="AK40" i="5"/>
  <c r="AO41" i="5"/>
  <c r="AN41" i="5"/>
  <c r="AE77" i="5"/>
  <c r="AA77" i="5"/>
  <c r="X78" i="5"/>
  <c r="AD77" i="5"/>
  <c r="Z77" i="5"/>
  <c r="AC77" i="5"/>
  <c r="Y77" i="5"/>
  <c r="AF77" i="5"/>
  <c r="AB77" i="5"/>
  <c r="BF79" i="2"/>
  <c r="BH78" i="2"/>
  <c r="BG78" i="2"/>
  <c r="GW84" i="2"/>
  <c r="FM85" i="2"/>
  <c r="GZ84" i="2"/>
  <c r="GV84" i="2"/>
  <c r="GY84" i="2"/>
  <c r="GU84" i="2"/>
  <c r="GX84" i="2"/>
  <c r="L76" i="2"/>
  <c r="BT78" i="2"/>
  <c r="BQ79" i="2"/>
  <c r="BS78" i="2"/>
  <c r="BV78" i="2"/>
  <c r="BR78" i="2"/>
  <c r="BU78" i="2"/>
  <c r="IJ39" i="5"/>
  <c r="L38" i="5"/>
  <c r="AI39" i="5"/>
  <c r="AQ78" i="5"/>
  <c r="AW77" i="5"/>
  <c r="AR77" i="5"/>
  <c r="AX77" i="5"/>
  <c r="AT77" i="5"/>
  <c r="GY80" i="5"/>
  <c r="GU80" i="5"/>
  <c r="GX80" i="5"/>
  <c r="GW80" i="5"/>
  <c r="FM81" i="5"/>
  <c r="GZ80" i="5"/>
  <c r="GV80" i="5"/>
  <c r="BN78" i="5"/>
  <c r="BM78" i="5"/>
  <c r="BJ79" i="5"/>
  <c r="BL78" i="5"/>
  <c r="BO78" i="5"/>
  <c r="BK78" i="5"/>
  <c r="C80" i="19"/>
  <c r="B80" i="19"/>
  <c r="D80" i="19" s="1"/>
  <c r="E80" i="19"/>
  <c r="F80" i="19" s="1"/>
  <c r="A81" i="19"/>
  <c r="U79" i="2"/>
  <c r="BO78" i="2"/>
  <c r="BK78" i="2"/>
  <c r="BN78" i="2"/>
  <c r="BM78" i="2"/>
  <c r="BJ79" i="2"/>
  <c r="BL78" i="2"/>
  <c r="AX78" i="5" l="1"/>
  <c r="AT78" i="5"/>
  <c r="AQ79" i="5"/>
  <c r="AW78" i="5"/>
  <c r="CE79" i="2"/>
  <c r="CA79" i="2"/>
  <c r="BX80" i="2"/>
  <c r="BZ79" i="2"/>
  <c r="BY79" i="2"/>
  <c r="CB79" i="2"/>
  <c r="BU79" i="5"/>
  <c r="BT79" i="5"/>
  <c r="BQ80" i="5"/>
  <c r="BS79" i="5"/>
  <c r="BV79" i="5"/>
  <c r="BR79" i="5"/>
  <c r="CU80" i="2"/>
  <c r="FH79" i="2"/>
  <c r="EY79" i="2"/>
  <c r="EU79" i="2"/>
  <c r="EP79" i="2"/>
  <c r="EL79" i="2"/>
  <c r="EG79" i="2"/>
  <c r="EC79" i="2"/>
  <c r="DY79" i="2"/>
  <c r="DU79" i="2"/>
  <c r="DQ79" i="2"/>
  <c r="DM79" i="2"/>
  <c r="DI79" i="2"/>
  <c r="DE79" i="2"/>
  <c r="DA79" i="2"/>
  <c r="CW79" i="2"/>
  <c r="FK79" i="2"/>
  <c r="FG79" i="2"/>
  <c r="FB79" i="2"/>
  <c r="EX79" i="2"/>
  <c r="EO79" i="2"/>
  <c r="EK79" i="2"/>
  <c r="EF79" i="2"/>
  <c r="EB79" i="2"/>
  <c r="DX79" i="2"/>
  <c r="DT79" i="2"/>
  <c r="DP79" i="2"/>
  <c r="DL79" i="2"/>
  <c r="DH79" i="2"/>
  <c r="DD79" i="2"/>
  <c r="CZ79" i="2"/>
  <c r="CV79" i="2"/>
  <c r="FJ79" i="2"/>
  <c r="FF79" i="2"/>
  <c r="FA79" i="2"/>
  <c r="EW79" i="2"/>
  <c r="ER79" i="2"/>
  <c r="EN79" i="2"/>
  <c r="EE79" i="2"/>
  <c r="EA79" i="2"/>
  <c r="DW79" i="2"/>
  <c r="DS79" i="2"/>
  <c r="DO79" i="2"/>
  <c r="DK79" i="2"/>
  <c r="DG79" i="2"/>
  <c r="DC79" i="2"/>
  <c r="CY79" i="2"/>
  <c r="FI79" i="2"/>
  <c r="FE79" i="2"/>
  <c r="EZ79" i="2"/>
  <c r="EV79" i="2"/>
  <c r="EQ79" i="2"/>
  <c r="EM79" i="2"/>
  <c r="EH79" i="2"/>
  <c r="ED79" i="2"/>
  <c r="DZ79" i="2"/>
  <c r="DV79" i="2"/>
  <c r="DR79" i="2"/>
  <c r="DN79" i="2"/>
  <c r="DJ79" i="2"/>
  <c r="DF79" i="2"/>
  <c r="DB79" i="2"/>
  <c r="CX79" i="2"/>
  <c r="U80" i="5"/>
  <c r="IJ38" i="2"/>
  <c r="L37" i="2"/>
  <c r="AI38" i="2"/>
  <c r="AK39" i="2"/>
  <c r="BM79" i="2"/>
  <c r="BJ80" i="2"/>
  <c r="BL79" i="2"/>
  <c r="BO79" i="2"/>
  <c r="BK79" i="2"/>
  <c r="BN79" i="2"/>
  <c r="AZ80" i="2"/>
  <c r="BA79" i="2"/>
  <c r="CG80" i="5"/>
  <c r="CM79" i="5"/>
  <c r="CI79" i="5"/>
  <c r="CL79" i="5"/>
  <c r="CH79" i="5"/>
  <c r="CK79" i="5"/>
  <c r="CN79" i="5"/>
  <c r="CJ79" i="5"/>
  <c r="AK39" i="5"/>
  <c r="BV79" i="2"/>
  <c r="BR79" i="2"/>
  <c r="BU79" i="2"/>
  <c r="BT79" i="2"/>
  <c r="BQ80" i="2"/>
  <c r="BS79" i="2"/>
  <c r="GY85" i="2"/>
  <c r="GU85" i="2"/>
  <c r="GX85" i="2"/>
  <c r="GW85" i="2"/>
  <c r="FM86" i="2"/>
  <c r="GZ85" i="2"/>
  <c r="GV85" i="2"/>
  <c r="BF80" i="2"/>
  <c r="BH79" i="2"/>
  <c r="BG79" i="2"/>
  <c r="AN40" i="5"/>
  <c r="AO40" i="5"/>
  <c r="FK79" i="5"/>
  <c r="FG79" i="5"/>
  <c r="FB79" i="5"/>
  <c r="EX79" i="5"/>
  <c r="EO79" i="5"/>
  <c r="EK79" i="5"/>
  <c r="EF79" i="5"/>
  <c r="EB79" i="5"/>
  <c r="DX79" i="5"/>
  <c r="DT79" i="5"/>
  <c r="DP79" i="5"/>
  <c r="DL79" i="5"/>
  <c r="DH79" i="5"/>
  <c r="DD79" i="5"/>
  <c r="CZ79" i="5"/>
  <c r="CV79" i="5"/>
  <c r="FJ79" i="5"/>
  <c r="FF79" i="5"/>
  <c r="FA79" i="5"/>
  <c r="EW79" i="5"/>
  <c r="ER79" i="5"/>
  <c r="EN79" i="5"/>
  <c r="EE79" i="5"/>
  <c r="EA79" i="5"/>
  <c r="DW79" i="5"/>
  <c r="DS79" i="5"/>
  <c r="DO79" i="5"/>
  <c r="DK79" i="5"/>
  <c r="DG79" i="5"/>
  <c r="DC79" i="5"/>
  <c r="CY79" i="5"/>
  <c r="FI79" i="5"/>
  <c r="FE79" i="5"/>
  <c r="EZ79" i="5"/>
  <c r="EV79" i="5"/>
  <c r="EQ79" i="5"/>
  <c r="EM79" i="5"/>
  <c r="EH79" i="5"/>
  <c r="ED79" i="5"/>
  <c r="DZ79" i="5"/>
  <c r="DV79" i="5"/>
  <c r="DR79" i="5"/>
  <c r="DN79" i="5"/>
  <c r="DJ79" i="5"/>
  <c r="DF79" i="5"/>
  <c r="DB79" i="5"/>
  <c r="CX79" i="5"/>
  <c r="CU80" i="5"/>
  <c r="FH79" i="5"/>
  <c r="EY79" i="5"/>
  <c r="EU79" i="5"/>
  <c r="EP79" i="5"/>
  <c r="EL79" i="5"/>
  <c r="EG79" i="5"/>
  <c r="EC79" i="5"/>
  <c r="DY79" i="5"/>
  <c r="DU79" i="5"/>
  <c r="DQ79" i="5"/>
  <c r="DM79" i="5"/>
  <c r="DI79" i="5"/>
  <c r="DE79" i="5"/>
  <c r="DA79" i="5"/>
  <c r="CW79" i="5"/>
  <c r="AZ79" i="5"/>
  <c r="BA78" i="5"/>
  <c r="AO79" i="2"/>
  <c r="AK79" i="2"/>
  <c r="AH80" i="2"/>
  <c r="AN79" i="2"/>
  <c r="AJ79" i="2"/>
  <c r="AM79" i="2"/>
  <c r="AI79" i="2"/>
  <c r="AL79" i="2"/>
  <c r="X79" i="2"/>
  <c r="AD78" i="2"/>
  <c r="Z78" i="2"/>
  <c r="AC78" i="2"/>
  <c r="Y78" i="2"/>
  <c r="AF78" i="2"/>
  <c r="AB78" i="2"/>
  <c r="AE78" i="2"/>
  <c r="AA78" i="2"/>
  <c r="AL78" i="5"/>
  <c r="AO78" i="5"/>
  <c r="AK78" i="5"/>
  <c r="AH79" i="5"/>
  <c r="AN78" i="5"/>
  <c r="AJ78" i="5"/>
  <c r="AM78" i="5"/>
  <c r="AI78" i="5"/>
  <c r="AC78" i="5"/>
  <c r="Y78" i="5"/>
  <c r="AF78" i="5"/>
  <c r="AB78" i="5"/>
  <c r="AE78" i="5"/>
  <c r="AA78" i="5"/>
  <c r="X79" i="5"/>
  <c r="AD78" i="5"/>
  <c r="Z78" i="5"/>
  <c r="CN79" i="2"/>
  <c r="CJ79" i="2"/>
  <c r="CG80" i="2"/>
  <c r="CM79" i="2"/>
  <c r="CI79" i="2"/>
  <c r="CL79" i="2"/>
  <c r="CH79" i="2"/>
  <c r="CK79" i="2"/>
  <c r="AX79" i="2"/>
  <c r="AT79" i="2"/>
  <c r="AQ80" i="2"/>
  <c r="AW79" i="2"/>
  <c r="AO40" i="2"/>
  <c r="AN40" i="2"/>
  <c r="U80" i="2"/>
  <c r="BJ80" i="5"/>
  <c r="BL79" i="5"/>
  <c r="BO79" i="5"/>
  <c r="BK79" i="5"/>
  <c r="BN79" i="5"/>
  <c r="BM79" i="5"/>
  <c r="A82" i="19"/>
  <c r="C81" i="19"/>
  <c r="E81" i="19"/>
  <c r="F81" i="19" s="1"/>
  <c r="B81" i="19"/>
  <c r="D81" i="19" s="1"/>
  <c r="GW81" i="5"/>
  <c r="FM82" i="5"/>
  <c r="GZ81" i="5"/>
  <c r="GV81" i="5"/>
  <c r="GY81" i="5"/>
  <c r="GU81" i="5"/>
  <c r="GX81" i="5"/>
  <c r="L37" i="5"/>
  <c r="IJ38" i="5"/>
  <c r="AI38" i="5"/>
  <c r="AR77" i="2"/>
  <c r="J78" i="2"/>
  <c r="G79" i="2"/>
  <c r="I78" i="2"/>
  <c r="H78" i="2"/>
  <c r="BF81" i="5"/>
  <c r="BH80" i="5"/>
  <c r="BG80" i="5"/>
  <c r="BX80" i="5"/>
  <c r="BZ79" i="5"/>
  <c r="BY79" i="5"/>
  <c r="CB79" i="5"/>
  <c r="CE79" i="5"/>
  <c r="CA79" i="5"/>
  <c r="IJ79" i="5"/>
  <c r="IF79" i="5"/>
  <c r="II79" i="5"/>
  <c r="IL79" i="5"/>
  <c r="IH79" i="5"/>
  <c r="IE80" i="5"/>
  <c r="IK79" i="5"/>
  <c r="IG79" i="5"/>
  <c r="J78" i="5"/>
  <c r="AR78" i="5" s="1"/>
  <c r="G79" i="5"/>
  <c r="I78" i="5"/>
  <c r="H78" i="5"/>
  <c r="IE80" i="2"/>
  <c r="IK79" i="2"/>
  <c r="IG79" i="2"/>
  <c r="IJ79" i="2"/>
  <c r="IF79" i="2"/>
  <c r="II79" i="2"/>
  <c r="IL79" i="2"/>
  <c r="IH79" i="2"/>
  <c r="L78" i="5" l="1"/>
  <c r="GW86" i="2"/>
  <c r="FM87" i="2"/>
  <c r="GZ86" i="2"/>
  <c r="GV86" i="2"/>
  <c r="GY86" i="2"/>
  <c r="GU86" i="2"/>
  <c r="GX86" i="2"/>
  <c r="GY82" i="5"/>
  <c r="GU82" i="5"/>
  <c r="GX82" i="5"/>
  <c r="GW82" i="5"/>
  <c r="FM83" i="5"/>
  <c r="GZ82" i="5"/>
  <c r="GV82" i="5"/>
  <c r="U81" i="2"/>
  <c r="AE79" i="5"/>
  <c r="AA79" i="5"/>
  <c r="X80" i="5"/>
  <c r="AD79" i="5"/>
  <c r="Z79" i="5"/>
  <c r="AC79" i="5"/>
  <c r="Y79" i="5"/>
  <c r="AF79" i="5"/>
  <c r="AB79" i="5"/>
  <c r="AF79" i="2"/>
  <c r="AB79" i="2"/>
  <c r="AE79" i="2"/>
  <c r="AA79" i="2"/>
  <c r="X80" i="2"/>
  <c r="AD79" i="2"/>
  <c r="Z79" i="2"/>
  <c r="AC79" i="2"/>
  <c r="Y79" i="2"/>
  <c r="AO39" i="5"/>
  <c r="AN39" i="5"/>
  <c r="BA80" i="2"/>
  <c r="AZ81" i="2"/>
  <c r="AO39" i="2"/>
  <c r="AN39" i="2"/>
  <c r="CB80" i="5"/>
  <c r="CE80" i="5"/>
  <c r="CA80" i="5"/>
  <c r="BX81" i="5"/>
  <c r="BZ80" i="5"/>
  <c r="BY80" i="5"/>
  <c r="G80" i="2"/>
  <c r="I79" i="2"/>
  <c r="H79" i="2"/>
  <c r="J79" i="2"/>
  <c r="L79" i="2" s="1"/>
  <c r="IO11" i="2"/>
  <c r="IP11" i="2" s="1"/>
  <c r="IQ11" i="2" s="1"/>
  <c r="IO10" i="2"/>
  <c r="IO9" i="2"/>
  <c r="H79" i="5"/>
  <c r="J79" i="5"/>
  <c r="AR79" i="5" s="1"/>
  <c r="G80" i="5"/>
  <c r="I79" i="5"/>
  <c r="IO14" i="5"/>
  <c r="IO15" i="5"/>
  <c r="IO16" i="5"/>
  <c r="IO10" i="5"/>
  <c r="IO17" i="5"/>
  <c r="IO18" i="5"/>
  <c r="IO20" i="5"/>
  <c r="IO9" i="5"/>
  <c r="IO11" i="5"/>
  <c r="IO21" i="5"/>
  <c r="IO12" i="5"/>
  <c r="IO13" i="5"/>
  <c r="IO19" i="5"/>
  <c r="IO22" i="5"/>
  <c r="IP22" i="5" s="1"/>
  <c r="IQ22" i="5" s="1"/>
  <c r="AR78" i="2"/>
  <c r="BN80" i="5"/>
  <c r="BM80" i="5"/>
  <c r="BJ81" i="5"/>
  <c r="BL80" i="5"/>
  <c r="BO80" i="5"/>
  <c r="BK80" i="5"/>
  <c r="AX80" i="2"/>
  <c r="AT80" i="2"/>
  <c r="AQ81" i="2"/>
  <c r="AW80" i="2"/>
  <c r="AM80" i="2"/>
  <c r="AI80" i="2"/>
  <c r="AL80" i="2"/>
  <c r="AO80" i="2"/>
  <c r="AK80" i="2"/>
  <c r="AH81" i="2"/>
  <c r="AN80" i="2"/>
  <c r="AJ80" i="2"/>
  <c r="AZ80" i="5"/>
  <c r="BA79" i="5"/>
  <c r="FI80" i="5"/>
  <c r="FE80" i="5"/>
  <c r="EZ80" i="5"/>
  <c r="EV80" i="5"/>
  <c r="EQ80" i="5"/>
  <c r="EM80" i="5"/>
  <c r="EH80" i="5"/>
  <c r="ED80" i="5"/>
  <c r="DZ80" i="5"/>
  <c r="DV80" i="5"/>
  <c r="DR80" i="5"/>
  <c r="DN80" i="5"/>
  <c r="DJ80" i="5"/>
  <c r="DF80" i="5"/>
  <c r="DB80" i="5"/>
  <c r="CX80" i="5"/>
  <c r="CU81" i="5"/>
  <c r="FH80" i="5"/>
  <c r="EY80" i="5"/>
  <c r="EU80" i="5"/>
  <c r="EP80" i="5"/>
  <c r="EL80" i="5"/>
  <c r="EG80" i="5"/>
  <c r="EC80" i="5"/>
  <c r="DY80" i="5"/>
  <c r="DU80" i="5"/>
  <c r="DQ80" i="5"/>
  <c r="DM80" i="5"/>
  <c r="DI80" i="5"/>
  <c r="DE80" i="5"/>
  <c r="DA80" i="5"/>
  <c r="CW80" i="5"/>
  <c r="FK80" i="5"/>
  <c r="FG80" i="5"/>
  <c r="FB80" i="5"/>
  <c r="EX80" i="5"/>
  <c r="EO80" i="5"/>
  <c r="EK80" i="5"/>
  <c r="EF80" i="5"/>
  <c r="EB80" i="5"/>
  <c r="DX80" i="5"/>
  <c r="DT80" i="5"/>
  <c r="DP80" i="5"/>
  <c r="DL80" i="5"/>
  <c r="DH80" i="5"/>
  <c r="DD80" i="5"/>
  <c r="CZ80" i="5"/>
  <c r="CV80" i="5"/>
  <c r="FJ80" i="5"/>
  <c r="FF80" i="5"/>
  <c r="FA80" i="5"/>
  <c r="EW80" i="5"/>
  <c r="ER80" i="5"/>
  <c r="EN80" i="5"/>
  <c r="EE80" i="5"/>
  <c r="EA80" i="5"/>
  <c r="DW80" i="5"/>
  <c r="DS80" i="5"/>
  <c r="DO80" i="5"/>
  <c r="DK80" i="5"/>
  <c r="DG80" i="5"/>
  <c r="DC80" i="5"/>
  <c r="CY80" i="5"/>
  <c r="BF81" i="2"/>
  <c r="BH80" i="2"/>
  <c r="BG80" i="2"/>
  <c r="CK80" i="5"/>
  <c r="CN80" i="5"/>
  <c r="CJ80" i="5"/>
  <c r="CG81" i="5"/>
  <c r="CM80" i="5"/>
  <c r="CI80" i="5"/>
  <c r="CL80" i="5"/>
  <c r="CH80" i="5"/>
  <c r="AK38" i="2"/>
  <c r="AI37" i="2"/>
  <c r="IJ37" i="2"/>
  <c r="L36" i="2"/>
  <c r="U81" i="5"/>
  <c r="BY80" i="2"/>
  <c r="CB80" i="2"/>
  <c r="CE80" i="2"/>
  <c r="CA80" i="2"/>
  <c r="BX81" i="2"/>
  <c r="BZ80" i="2"/>
  <c r="AQ80" i="5"/>
  <c r="AW79" i="5"/>
  <c r="AX79" i="5"/>
  <c r="AT79" i="5"/>
  <c r="BG81" i="5"/>
  <c r="BF82" i="5"/>
  <c r="BH81" i="5"/>
  <c r="L36" i="5"/>
  <c r="IJ37" i="5"/>
  <c r="AI37" i="5"/>
  <c r="C82" i="19"/>
  <c r="B82" i="19"/>
  <c r="D82" i="19" s="1"/>
  <c r="E82" i="19"/>
  <c r="F82" i="19" s="1"/>
  <c r="A83" i="19"/>
  <c r="II80" i="2"/>
  <c r="IL80" i="2"/>
  <c r="IH80" i="2"/>
  <c r="IE81" i="2"/>
  <c r="IK80" i="2"/>
  <c r="IG80" i="2"/>
  <c r="IJ80" i="2"/>
  <c r="IF80" i="2"/>
  <c r="IL80" i="5"/>
  <c r="IH80" i="5"/>
  <c r="IE81" i="5"/>
  <c r="IK80" i="5"/>
  <c r="IG80" i="5"/>
  <c r="IJ80" i="5"/>
  <c r="IF80" i="5"/>
  <c r="II80" i="5"/>
  <c r="L78" i="2"/>
  <c r="AK38" i="5"/>
  <c r="CL80" i="2"/>
  <c r="CH80" i="2"/>
  <c r="CK80" i="2"/>
  <c r="CN80" i="2"/>
  <c r="CJ80" i="2"/>
  <c r="CG81" i="2"/>
  <c r="CM80" i="2"/>
  <c r="CI80" i="2"/>
  <c r="AH80" i="5"/>
  <c r="AN79" i="5"/>
  <c r="AJ79" i="5"/>
  <c r="AM79" i="5"/>
  <c r="AI79" i="5"/>
  <c r="AL79" i="5"/>
  <c r="AO79" i="5"/>
  <c r="AK79" i="5"/>
  <c r="BT80" i="2"/>
  <c r="BQ81" i="2"/>
  <c r="BS80" i="2"/>
  <c r="BV80" i="2"/>
  <c r="BR80" i="2"/>
  <c r="BU80" i="2"/>
  <c r="BO80" i="2"/>
  <c r="BK80" i="2"/>
  <c r="BN80" i="2"/>
  <c r="BM80" i="2"/>
  <c r="BJ81" i="2"/>
  <c r="BL80" i="2"/>
  <c r="FJ80" i="2"/>
  <c r="FF80" i="2"/>
  <c r="FA80" i="2"/>
  <c r="EW80" i="2"/>
  <c r="ER80" i="2"/>
  <c r="EN80" i="2"/>
  <c r="EE80" i="2"/>
  <c r="EA80" i="2"/>
  <c r="DW80" i="2"/>
  <c r="DS80" i="2"/>
  <c r="DO80" i="2"/>
  <c r="DK80" i="2"/>
  <c r="DG80" i="2"/>
  <c r="DC80" i="2"/>
  <c r="CY80" i="2"/>
  <c r="FI80" i="2"/>
  <c r="FE80" i="2"/>
  <c r="EZ80" i="2"/>
  <c r="EV80" i="2"/>
  <c r="EQ80" i="2"/>
  <c r="EM80" i="2"/>
  <c r="EH80" i="2"/>
  <c r="ED80" i="2"/>
  <c r="DZ80" i="2"/>
  <c r="DV80" i="2"/>
  <c r="DR80" i="2"/>
  <c r="DN80" i="2"/>
  <c r="DJ80" i="2"/>
  <c r="DF80" i="2"/>
  <c r="DB80" i="2"/>
  <c r="CX80" i="2"/>
  <c r="CU81" i="2"/>
  <c r="FH80" i="2"/>
  <c r="EY80" i="2"/>
  <c r="EU80" i="2"/>
  <c r="EP80" i="2"/>
  <c r="EL80" i="2"/>
  <c r="EG80" i="2"/>
  <c r="EC80" i="2"/>
  <c r="DY80" i="2"/>
  <c r="DU80" i="2"/>
  <c r="DQ80" i="2"/>
  <c r="DM80" i="2"/>
  <c r="DI80" i="2"/>
  <c r="DE80" i="2"/>
  <c r="DA80" i="2"/>
  <c r="CW80" i="2"/>
  <c r="FK80" i="2"/>
  <c r="FG80" i="2"/>
  <c r="FB80" i="2"/>
  <c r="EX80" i="2"/>
  <c r="EO80" i="2"/>
  <c r="EK80" i="2"/>
  <c r="EF80" i="2"/>
  <c r="EB80" i="2"/>
  <c r="DX80" i="2"/>
  <c r="DT80" i="2"/>
  <c r="DP80" i="2"/>
  <c r="DL80" i="2"/>
  <c r="DH80" i="2"/>
  <c r="DD80" i="2"/>
  <c r="CZ80" i="2"/>
  <c r="CV80" i="2"/>
  <c r="BQ81" i="5"/>
  <c r="BS80" i="5"/>
  <c r="BV80" i="5"/>
  <c r="BR80" i="5"/>
  <c r="BU80" i="5"/>
  <c r="BT80" i="5"/>
  <c r="IP10" i="2" l="1"/>
  <c r="IQ10" i="2" s="1"/>
  <c r="IP13" i="5"/>
  <c r="IQ13" i="5" s="1"/>
  <c r="IP9" i="2"/>
  <c r="IQ9" i="2" s="1"/>
  <c r="IK38" i="2" s="1"/>
  <c r="IL38" i="2" s="1"/>
  <c r="BM81" i="2"/>
  <c r="BJ82" i="2"/>
  <c r="BL81" i="2"/>
  <c r="BO81" i="2"/>
  <c r="BK81" i="2"/>
  <c r="BN81" i="2"/>
  <c r="IP20" i="5"/>
  <c r="IQ20" i="5" s="1"/>
  <c r="IP18" i="5"/>
  <c r="IQ18" i="5" s="1"/>
  <c r="IP17" i="5"/>
  <c r="IQ17" i="5" s="1"/>
  <c r="AR79" i="2"/>
  <c r="J80" i="2"/>
  <c r="L80" i="2" s="1"/>
  <c r="G81" i="2"/>
  <c r="I80" i="2"/>
  <c r="H80" i="2"/>
  <c r="AZ82" i="2"/>
  <c r="BA81" i="2"/>
  <c r="BF82" i="2"/>
  <c r="BH81" i="2"/>
  <c r="BG81" i="2"/>
  <c r="AL80" i="5"/>
  <c r="AO80" i="5"/>
  <c r="AK80" i="5"/>
  <c r="AH81" i="5"/>
  <c r="AN80" i="5"/>
  <c r="AJ80" i="5"/>
  <c r="AM80" i="5"/>
  <c r="AI80" i="5"/>
  <c r="AO38" i="2"/>
  <c r="AN38" i="2"/>
  <c r="IP21" i="5"/>
  <c r="IQ21" i="5" s="1"/>
  <c r="IP10" i="5"/>
  <c r="IQ10" i="5" s="1"/>
  <c r="IP15" i="5"/>
  <c r="IQ15" i="5" s="1"/>
  <c r="L79" i="5"/>
  <c r="AC80" i="5"/>
  <c r="Y80" i="5"/>
  <c r="AF80" i="5"/>
  <c r="AB80" i="5"/>
  <c r="AE80" i="5"/>
  <c r="AA80" i="5"/>
  <c r="X81" i="5"/>
  <c r="AD80" i="5"/>
  <c r="Z80" i="5"/>
  <c r="GW83" i="5"/>
  <c r="FM84" i="5"/>
  <c r="GZ83" i="5"/>
  <c r="GV83" i="5"/>
  <c r="GY83" i="5"/>
  <c r="GU83" i="5"/>
  <c r="GX83" i="5"/>
  <c r="GY87" i="2"/>
  <c r="GU87" i="2"/>
  <c r="GX87" i="2"/>
  <c r="GW87" i="2"/>
  <c r="FM88" i="2"/>
  <c r="GZ87" i="2"/>
  <c r="GV87" i="2"/>
  <c r="BV81" i="2"/>
  <c r="BR81" i="2"/>
  <c r="BU81" i="2"/>
  <c r="BT81" i="2"/>
  <c r="BQ82" i="2"/>
  <c r="BS81" i="2"/>
  <c r="AN38" i="5"/>
  <c r="AO38" i="5"/>
  <c r="CE81" i="2"/>
  <c r="CA81" i="2"/>
  <c r="BX82" i="2"/>
  <c r="BZ81" i="2"/>
  <c r="BY81" i="2"/>
  <c r="CB81" i="2"/>
  <c r="U82" i="5"/>
  <c r="AK37" i="2"/>
  <c r="FK81" i="5"/>
  <c r="FG81" i="5"/>
  <c r="FB81" i="5"/>
  <c r="EX81" i="5"/>
  <c r="EO81" i="5"/>
  <c r="EK81" i="5"/>
  <c r="EF81" i="5"/>
  <c r="EB81" i="5"/>
  <c r="DX81" i="5"/>
  <c r="DT81" i="5"/>
  <c r="DP81" i="5"/>
  <c r="DL81" i="5"/>
  <c r="DH81" i="5"/>
  <c r="DD81" i="5"/>
  <c r="CZ81" i="5"/>
  <c r="CV81" i="5"/>
  <c r="FJ81" i="5"/>
  <c r="FF81" i="5"/>
  <c r="FA81" i="5"/>
  <c r="EW81" i="5"/>
  <c r="ER81" i="5"/>
  <c r="EN81" i="5"/>
  <c r="EE81" i="5"/>
  <c r="EA81" i="5"/>
  <c r="DW81" i="5"/>
  <c r="DS81" i="5"/>
  <c r="DO81" i="5"/>
  <c r="DK81" i="5"/>
  <c r="DG81" i="5"/>
  <c r="DC81" i="5"/>
  <c r="CY81" i="5"/>
  <c r="FI81" i="5"/>
  <c r="FE81" i="5"/>
  <c r="EZ81" i="5"/>
  <c r="EV81" i="5"/>
  <c r="EQ81" i="5"/>
  <c r="EM81" i="5"/>
  <c r="EH81" i="5"/>
  <c r="ED81" i="5"/>
  <c r="DZ81" i="5"/>
  <c r="DV81" i="5"/>
  <c r="DR81" i="5"/>
  <c r="DN81" i="5"/>
  <c r="DJ81" i="5"/>
  <c r="DF81" i="5"/>
  <c r="DB81" i="5"/>
  <c r="CX81" i="5"/>
  <c r="CU82" i="5"/>
  <c r="FH81" i="5"/>
  <c r="EY81" i="5"/>
  <c r="EU81" i="5"/>
  <c r="EP81" i="5"/>
  <c r="EL81" i="5"/>
  <c r="EG81" i="5"/>
  <c r="EC81" i="5"/>
  <c r="DY81" i="5"/>
  <c r="DU81" i="5"/>
  <c r="DQ81" i="5"/>
  <c r="DM81" i="5"/>
  <c r="DI81" i="5"/>
  <c r="DE81" i="5"/>
  <c r="DA81" i="5"/>
  <c r="CW81" i="5"/>
  <c r="IP11" i="5"/>
  <c r="IQ11" i="5" s="1"/>
  <c r="BX82" i="5"/>
  <c r="BZ81" i="5"/>
  <c r="BY81" i="5"/>
  <c r="CB81" i="5"/>
  <c r="CE81" i="5"/>
  <c r="CA81" i="5"/>
  <c r="CN81" i="2"/>
  <c r="CJ81" i="2"/>
  <c r="CG82" i="2"/>
  <c r="CM81" i="2"/>
  <c r="CI81" i="2"/>
  <c r="CL81" i="2"/>
  <c r="CH81" i="2"/>
  <c r="CK81" i="2"/>
  <c r="IE82" i="2"/>
  <c r="IK81" i="2"/>
  <c r="IG81" i="2"/>
  <c r="IJ81" i="2"/>
  <c r="IF81" i="2"/>
  <c r="II81" i="2"/>
  <c r="IL81" i="2"/>
  <c r="IH81" i="2"/>
  <c r="A84" i="19"/>
  <c r="C83" i="19"/>
  <c r="B83" i="19"/>
  <c r="D83" i="19" s="1"/>
  <c r="E83" i="19"/>
  <c r="F83" i="19" s="1"/>
  <c r="IJ36" i="5"/>
  <c r="L35" i="5"/>
  <c r="AI36" i="5"/>
  <c r="AO81" i="2"/>
  <c r="AK81" i="2"/>
  <c r="AH82" i="2"/>
  <c r="AN81" i="2"/>
  <c r="AJ81" i="2"/>
  <c r="AM81" i="2"/>
  <c r="AI81" i="2"/>
  <c r="AL81" i="2"/>
  <c r="BU81" i="5"/>
  <c r="BT81" i="5"/>
  <c r="BQ82" i="5"/>
  <c r="BS81" i="5"/>
  <c r="BV81" i="5"/>
  <c r="BR81" i="5"/>
  <c r="CU82" i="2"/>
  <c r="FH81" i="2"/>
  <c r="EY81" i="2"/>
  <c r="EU81" i="2"/>
  <c r="EP81" i="2"/>
  <c r="EL81" i="2"/>
  <c r="EG81" i="2"/>
  <c r="EC81" i="2"/>
  <c r="DY81" i="2"/>
  <c r="DU81" i="2"/>
  <c r="DQ81" i="2"/>
  <c r="DM81" i="2"/>
  <c r="DI81" i="2"/>
  <c r="DE81" i="2"/>
  <c r="DA81" i="2"/>
  <c r="CW81" i="2"/>
  <c r="FK81" i="2"/>
  <c r="FG81" i="2"/>
  <c r="FB81" i="2"/>
  <c r="EX81" i="2"/>
  <c r="EO81" i="2"/>
  <c r="EK81" i="2"/>
  <c r="EF81" i="2"/>
  <c r="EB81" i="2"/>
  <c r="DX81" i="2"/>
  <c r="DT81" i="2"/>
  <c r="DP81" i="2"/>
  <c r="DL81" i="2"/>
  <c r="DH81" i="2"/>
  <c r="DD81" i="2"/>
  <c r="CZ81" i="2"/>
  <c r="CV81" i="2"/>
  <c r="FJ81" i="2"/>
  <c r="FF81" i="2"/>
  <c r="FA81" i="2"/>
  <c r="EW81" i="2"/>
  <c r="ER81" i="2"/>
  <c r="EN81" i="2"/>
  <c r="EE81" i="2"/>
  <c r="EA81" i="2"/>
  <c r="DW81" i="2"/>
  <c r="DS81" i="2"/>
  <c r="DO81" i="2"/>
  <c r="DK81" i="2"/>
  <c r="DG81" i="2"/>
  <c r="DC81" i="2"/>
  <c r="CY81" i="2"/>
  <c r="FI81" i="2"/>
  <c r="FE81" i="2"/>
  <c r="EZ81" i="2"/>
  <c r="EV81" i="2"/>
  <c r="EQ81" i="2"/>
  <c r="EM81" i="2"/>
  <c r="EH81" i="2"/>
  <c r="ED81" i="2"/>
  <c r="DZ81" i="2"/>
  <c r="DV81" i="2"/>
  <c r="DR81" i="2"/>
  <c r="DN81" i="2"/>
  <c r="DJ81" i="2"/>
  <c r="DF81" i="2"/>
  <c r="DB81" i="2"/>
  <c r="CX81" i="2"/>
  <c r="IJ81" i="5"/>
  <c r="IF81" i="5"/>
  <c r="II81" i="5"/>
  <c r="IL81" i="5"/>
  <c r="IH81" i="5"/>
  <c r="IE82" i="5"/>
  <c r="IK81" i="5"/>
  <c r="IG81" i="5"/>
  <c r="AK37" i="5"/>
  <c r="AX80" i="5"/>
  <c r="AT80" i="5"/>
  <c r="AQ81" i="5"/>
  <c r="AW80" i="5"/>
  <c r="AZ81" i="5"/>
  <c r="BA80" i="5"/>
  <c r="AX81" i="2"/>
  <c r="AT81" i="2"/>
  <c r="AQ82" i="2"/>
  <c r="AW81" i="2"/>
  <c r="BF83" i="5"/>
  <c r="BH82" i="5"/>
  <c r="BG82" i="5"/>
  <c r="L35" i="2"/>
  <c r="AI36" i="2"/>
  <c r="IJ36" i="2"/>
  <c r="CG82" i="5"/>
  <c r="CM81" i="5"/>
  <c r="CI81" i="5"/>
  <c r="CL81" i="5"/>
  <c r="CH81" i="5"/>
  <c r="CK81" i="5"/>
  <c r="CN81" i="5"/>
  <c r="CJ81" i="5"/>
  <c r="BJ82" i="5"/>
  <c r="BL81" i="5"/>
  <c r="BO81" i="5"/>
  <c r="BK81" i="5"/>
  <c r="BN81" i="5"/>
  <c r="BM81" i="5"/>
  <c r="IP19" i="5"/>
  <c r="IQ19" i="5" s="1"/>
  <c r="IP12" i="5"/>
  <c r="IQ12" i="5" s="1"/>
  <c r="IP9" i="5"/>
  <c r="IQ9" i="5" s="1"/>
  <c r="IK37" i="5" s="1"/>
  <c r="IL37" i="5" s="1"/>
  <c r="IP16" i="5"/>
  <c r="IQ16" i="5" s="1"/>
  <c r="IP14" i="5"/>
  <c r="IQ14" i="5" s="1"/>
  <c r="J80" i="5"/>
  <c r="G81" i="5"/>
  <c r="I80" i="5"/>
  <c r="H80" i="5"/>
  <c r="X81" i="2"/>
  <c r="AD80" i="2"/>
  <c r="Z80" i="2"/>
  <c r="AC80" i="2"/>
  <c r="Y80" i="2"/>
  <c r="AF80" i="2"/>
  <c r="AB80" i="2"/>
  <c r="AE80" i="2"/>
  <c r="AA80" i="2"/>
  <c r="U82" i="2"/>
  <c r="IK53" i="2" l="1"/>
  <c r="IL53" i="2" s="1"/>
  <c r="IK45" i="2"/>
  <c r="IL45" i="2" s="1"/>
  <c r="IK49" i="2"/>
  <c r="IL49" i="2" s="1"/>
  <c r="IK41" i="2"/>
  <c r="IL41" i="2" s="1"/>
  <c r="IL57" i="2"/>
  <c r="IK36" i="2"/>
  <c r="IL36" i="2" s="1"/>
  <c r="IK36" i="5"/>
  <c r="IL36" i="5" s="1"/>
  <c r="IF36" i="5" s="1"/>
  <c r="IK40" i="2"/>
  <c r="IL40" i="2" s="1"/>
  <c r="IF40" i="2" s="1"/>
  <c r="IK44" i="2"/>
  <c r="IL44" i="2" s="1"/>
  <c r="IK48" i="2"/>
  <c r="IL48" i="2" s="1"/>
  <c r="IK52" i="2"/>
  <c r="IL52" i="2" s="1"/>
  <c r="IK56" i="2"/>
  <c r="IL56" i="2" s="1"/>
  <c r="IK42" i="2"/>
  <c r="IL42" i="2" s="1"/>
  <c r="IK46" i="2"/>
  <c r="IL46" i="2" s="1"/>
  <c r="IK50" i="2"/>
  <c r="IL50" i="2" s="1"/>
  <c r="IF49" i="2" s="1"/>
  <c r="IK54" i="2"/>
  <c r="IL54" i="2" s="1"/>
  <c r="IK39" i="2"/>
  <c r="IL39" i="2" s="1"/>
  <c r="IK43" i="2"/>
  <c r="IL43" i="2" s="1"/>
  <c r="IK47" i="2"/>
  <c r="IL47" i="2" s="1"/>
  <c r="IK51" i="2"/>
  <c r="IL51" i="2" s="1"/>
  <c r="IK55" i="2"/>
  <c r="IL55" i="2" s="1"/>
  <c r="IK37" i="2"/>
  <c r="IL37" i="2" s="1"/>
  <c r="IF37" i="2" s="1"/>
  <c r="IE83" i="2"/>
  <c r="II82" i="2"/>
  <c r="IL82" i="2"/>
  <c r="IH82" i="2"/>
  <c r="IK82" i="2"/>
  <c r="IG82" i="2"/>
  <c r="IJ82" i="2"/>
  <c r="IF82" i="2"/>
  <c r="U83" i="5"/>
  <c r="AN37" i="5"/>
  <c r="AO37" i="5"/>
  <c r="AN37" i="2"/>
  <c r="AO37" i="2"/>
  <c r="BT82" i="2"/>
  <c r="BQ83" i="2"/>
  <c r="BS82" i="2"/>
  <c r="BV82" i="2"/>
  <c r="BR82" i="2"/>
  <c r="BU82" i="2"/>
  <c r="BA82" i="2"/>
  <c r="AZ83" i="2"/>
  <c r="G82" i="2"/>
  <c r="I81" i="2"/>
  <c r="H81" i="2"/>
  <c r="J81" i="2"/>
  <c r="L81" i="2" s="1"/>
  <c r="AF81" i="2"/>
  <c r="AB81" i="2"/>
  <c r="AE81" i="2"/>
  <c r="AA81" i="2"/>
  <c r="X82" i="2"/>
  <c r="AD81" i="2"/>
  <c r="Z81" i="2"/>
  <c r="AC81" i="2"/>
  <c r="Y81" i="2"/>
  <c r="L80" i="5"/>
  <c r="IL57" i="5"/>
  <c r="IK56" i="5"/>
  <c r="IL56" i="5" s="1"/>
  <c r="IK55" i="5"/>
  <c r="IL55" i="5" s="1"/>
  <c r="IK54" i="5"/>
  <c r="IL54" i="5" s="1"/>
  <c r="IK53" i="5"/>
  <c r="IL53" i="5" s="1"/>
  <c r="IK52" i="5"/>
  <c r="IL52" i="5" s="1"/>
  <c r="IK51" i="5"/>
  <c r="IL51" i="5" s="1"/>
  <c r="IK50" i="5"/>
  <c r="IL50" i="5" s="1"/>
  <c r="IK49" i="5"/>
  <c r="IL49" i="5" s="1"/>
  <c r="IK48" i="5"/>
  <c r="IL48" i="5" s="1"/>
  <c r="IK47" i="5"/>
  <c r="IL47" i="5" s="1"/>
  <c r="IK46" i="5"/>
  <c r="IL46" i="5" s="1"/>
  <c r="IK45" i="5"/>
  <c r="IL45" i="5" s="1"/>
  <c r="IK44" i="5"/>
  <c r="IL44" i="5" s="1"/>
  <c r="IK43" i="5"/>
  <c r="IL43" i="5" s="1"/>
  <c r="IK42" i="5"/>
  <c r="IL42" i="5" s="1"/>
  <c r="IK41" i="5"/>
  <c r="IL41" i="5" s="1"/>
  <c r="IK40" i="5"/>
  <c r="IL40" i="5" s="1"/>
  <c r="IK39" i="5"/>
  <c r="IL39" i="5" s="1"/>
  <c r="IK38" i="5"/>
  <c r="IL38" i="5" s="1"/>
  <c r="IF37" i="5" s="1"/>
  <c r="BN82" i="5"/>
  <c r="BM82" i="5"/>
  <c r="BJ83" i="5"/>
  <c r="BL82" i="5"/>
  <c r="BO82" i="5"/>
  <c r="BK82" i="5"/>
  <c r="AK36" i="2"/>
  <c r="AX82" i="2"/>
  <c r="AT82" i="2"/>
  <c r="AQ83" i="2"/>
  <c r="AW82" i="2"/>
  <c r="AZ82" i="5"/>
  <c r="BA81" i="5"/>
  <c r="AQ82" i="5"/>
  <c r="AW81" i="5"/>
  <c r="AX81" i="5"/>
  <c r="AT81" i="5"/>
  <c r="FJ82" i="2"/>
  <c r="FF82" i="2"/>
  <c r="FA82" i="2"/>
  <c r="EW82" i="2"/>
  <c r="ER82" i="2"/>
  <c r="EN82" i="2"/>
  <c r="EE82" i="2"/>
  <c r="EA82" i="2"/>
  <c r="DW82" i="2"/>
  <c r="DS82" i="2"/>
  <c r="DO82" i="2"/>
  <c r="DK82" i="2"/>
  <c r="DG82" i="2"/>
  <c r="DC82" i="2"/>
  <c r="CY82" i="2"/>
  <c r="FI82" i="2"/>
  <c r="FE82" i="2"/>
  <c r="EZ82" i="2"/>
  <c r="EV82" i="2"/>
  <c r="EQ82" i="2"/>
  <c r="EM82" i="2"/>
  <c r="EH82" i="2"/>
  <c r="ED82" i="2"/>
  <c r="DZ82" i="2"/>
  <c r="DV82" i="2"/>
  <c r="DR82" i="2"/>
  <c r="DN82" i="2"/>
  <c r="DJ82" i="2"/>
  <c r="DF82" i="2"/>
  <c r="DB82" i="2"/>
  <c r="CX82" i="2"/>
  <c r="CU83" i="2"/>
  <c r="FH82" i="2"/>
  <c r="EY82" i="2"/>
  <c r="EU82" i="2"/>
  <c r="EP82" i="2"/>
  <c r="EL82" i="2"/>
  <c r="EG82" i="2"/>
  <c r="EC82" i="2"/>
  <c r="DY82" i="2"/>
  <c r="DU82" i="2"/>
  <c r="DQ82" i="2"/>
  <c r="DM82" i="2"/>
  <c r="DI82" i="2"/>
  <c r="DE82" i="2"/>
  <c r="DA82" i="2"/>
  <c r="CW82" i="2"/>
  <c r="FK82" i="2"/>
  <c r="FG82" i="2"/>
  <c r="FB82" i="2"/>
  <c r="EX82" i="2"/>
  <c r="EO82" i="2"/>
  <c r="EK82" i="2"/>
  <c r="EF82" i="2"/>
  <c r="EB82" i="2"/>
  <c r="DX82" i="2"/>
  <c r="DT82" i="2"/>
  <c r="DP82" i="2"/>
  <c r="DL82" i="2"/>
  <c r="DH82" i="2"/>
  <c r="DD82" i="2"/>
  <c r="CZ82" i="2"/>
  <c r="CV82" i="2"/>
  <c r="BQ83" i="5"/>
  <c r="BS82" i="5"/>
  <c r="BV82" i="5"/>
  <c r="BR82" i="5"/>
  <c r="BU82" i="5"/>
  <c r="BT82" i="5"/>
  <c r="AM82" i="2"/>
  <c r="AI82" i="2"/>
  <c r="AL82" i="2"/>
  <c r="AO82" i="2"/>
  <c r="AK82" i="2"/>
  <c r="AH83" i="2"/>
  <c r="AN82" i="2"/>
  <c r="AJ82" i="2"/>
  <c r="CL82" i="2"/>
  <c r="CH82" i="2"/>
  <c r="CK82" i="2"/>
  <c r="CN82" i="2"/>
  <c r="CJ82" i="2"/>
  <c r="CG83" i="2"/>
  <c r="CM82" i="2"/>
  <c r="CI82" i="2"/>
  <c r="GY84" i="5"/>
  <c r="GU84" i="5"/>
  <c r="GX84" i="5"/>
  <c r="GW84" i="5"/>
  <c r="FM85" i="5"/>
  <c r="GZ84" i="5"/>
  <c r="GV84" i="5"/>
  <c r="AE81" i="5"/>
  <c r="AA81" i="5"/>
  <c r="X82" i="5"/>
  <c r="AD81" i="5"/>
  <c r="Z81" i="5"/>
  <c r="AC81" i="5"/>
  <c r="Y81" i="5"/>
  <c r="AF81" i="5"/>
  <c r="AB81" i="5"/>
  <c r="AR80" i="2"/>
  <c r="IJ35" i="2"/>
  <c r="IK35" i="2" s="1"/>
  <c r="AI35" i="2"/>
  <c r="L34" i="2"/>
  <c r="AK36" i="5"/>
  <c r="AH82" i="5"/>
  <c r="AN81" i="5"/>
  <c r="AJ81" i="5"/>
  <c r="AM81" i="5"/>
  <c r="AI81" i="5"/>
  <c r="AL81" i="5"/>
  <c r="AO81" i="5"/>
  <c r="AK81" i="5"/>
  <c r="H81" i="5"/>
  <c r="J81" i="5"/>
  <c r="G82" i="5"/>
  <c r="I81" i="5"/>
  <c r="BG83" i="5"/>
  <c r="BF84" i="5"/>
  <c r="BH83" i="5"/>
  <c r="AR80" i="5"/>
  <c r="IJ35" i="5"/>
  <c r="IK35" i="5" s="1"/>
  <c r="L34" i="5"/>
  <c r="AI35" i="5"/>
  <c r="CB82" i="5"/>
  <c r="CE82" i="5"/>
  <c r="CA82" i="5"/>
  <c r="BX83" i="5"/>
  <c r="BZ82" i="5"/>
  <c r="BY82" i="5"/>
  <c r="FI82" i="5"/>
  <c r="FE82" i="5"/>
  <c r="EZ82" i="5"/>
  <c r="EV82" i="5"/>
  <c r="EQ82" i="5"/>
  <c r="EM82" i="5"/>
  <c r="EH82" i="5"/>
  <c r="ED82" i="5"/>
  <c r="DZ82" i="5"/>
  <c r="DV82" i="5"/>
  <c r="DR82" i="5"/>
  <c r="DN82" i="5"/>
  <c r="DJ82" i="5"/>
  <c r="DF82" i="5"/>
  <c r="DB82" i="5"/>
  <c r="CX82" i="5"/>
  <c r="CU83" i="5"/>
  <c r="FH82" i="5"/>
  <c r="EY82" i="5"/>
  <c r="EU82" i="5"/>
  <c r="EP82" i="5"/>
  <c r="EL82" i="5"/>
  <c r="EG82" i="5"/>
  <c r="EC82" i="5"/>
  <c r="DY82" i="5"/>
  <c r="DU82" i="5"/>
  <c r="DQ82" i="5"/>
  <c r="DM82" i="5"/>
  <c r="DI82" i="5"/>
  <c r="DE82" i="5"/>
  <c r="DA82" i="5"/>
  <c r="CW82" i="5"/>
  <c r="FK82" i="5"/>
  <c r="FG82" i="5"/>
  <c r="FB82" i="5"/>
  <c r="EX82" i="5"/>
  <c r="EO82" i="5"/>
  <c r="EK82" i="5"/>
  <c r="EF82" i="5"/>
  <c r="EB82" i="5"/>
  <c r="DX82" i="5"/>
  <c r="DT82" i="5"/>
  <c r="DP82" i="5"/>
  <c r="DL82" i="5"/>
  <c r="DH82" i="5"/>
  <c r="DD82" i="5"/>
  <c r="CZ82" i="5"/>
  <c r="CV82" i="5"/>
  <c r="FJ82" i="5"/>
  <c r="FF82" i="5"/>
  <c r="FA82" i="5"/>
  <c r="EW82" i="5"/>
  <c r="ER82" i="5"/>
  <c r="EN82" i="5"/>
  <c r="EE82" i="5"/>
  <c r="EA82" i="5"/>
  <c r="DW82" i="5"/>
  <c r="DS82" i="5"/>
  <c r="DO82" i="5"/>
  <c r="DK82" i="5"/>
  <c r="DG82" i="5"/>
  <c r="DC82" i="5"/>
  <c r="CY82" i="5"/>
  <c r="BY82" i="2"/>
  <c r="CB82" i="2"/>
  <c r="CE82" i="2"/>
  <c r="CA82" i="2"/>
  <c r="BX83" i="2"/>
  <c r="BZ82" i="2"/>
  <c r="GW88" i="2"/>
  <c r="FM89" i="2"/>
  <c r="GZ88" i="2"/>
  <c r="GV88" i="2"/>
  <c r="GY88" i="2"/>
  <c r="GU88" i="2"/>
  <c r="GX88" i="2"/>
  <c r="BF83" i="2"/>
  <c r="BH82" i="2"/>
  <c r="BG82" i="2"/>
  <c r="BO82" i="2"/>
  <c r="BK82" i="2"/>
  <c r="BN82" i="2"/>
  <c r="BM82" i="2"/>
  <c r="BJ83" i="2"/>
  <c r="BL82" i="2"/>
  <c r="CK82" i="5"/>
  <c r="CN82" i="5"/>
  <c r="CJ82" i="5"/>
  <c r="CG83" i="5"/>
  <c r="CM82" i="5"/>
  <c r="CI82" i="5"/>
  <c r="CL82" i="5"/>
  <c r="CH82" i="5"/>
  <c r="B84" i="19"/>
  <c r="D84" i="19" s="1"/>
  <c r="E84" i="19"/>
  <c r="F84" i="19" s="1"/>
  <c r="A85" i="19"/>
  <c r="C84" i="19"/>
  <c r="U83" i="2"/>
  <c r="IL82" i="5"/>
  <c r="IH82" i="5"/>
  <c r="IE83" i="5"/>
  <c r="IK82" i="5"/>
  <c r="IG82" i="5"/>
  <c r="IJ82" i="5"/>
  <c r="IF82" i="5"/>
  <c r="II82" i="5"/>
  <c r="IF46" i="2" l="1"/>
  <c r="IF52" i="2"/>
  <c r="IF53" i="2"/>
  <c r="IF48" i="2"/>
  <c r="IF45" i="2"/>
  <c r="IF47" i="2"/>
  <c r="IF42" i="2"/>
  <c r="IF44" i="2"/>
  <c r="IF56" i="2"/>
  <c r="IG56" i="2" s="1"/>
  <c r="IH56" i="2" s="1"/>
  <c r="IL35" i="5"/>
  <c r="IF35" i="5" s="1"/>
  <c r="IF51" i="2"/>
  <c r="IF55" i="2"/>
  <c r="IF39" i="2"/>
  <c r="IF38" i="2"/>
  <c r="IF41" i="2"/>
  <c r="IF54" i="2"/>
  <c r="IF43" i="2"/>
  <c r="IF50" i="2"/>
  <c r="IL35" i="2"/>
  <c r="IF35" i="2" s="1"/>
  <c r="IF36" i="2"/>
  <c r="IF39" i="5"/>
  <c r="IF43" i="5"/>
  <c r="IF47" i="5"/>
  <c r="IF51" i="5"/>
  <c r="IF55" i="5"/>
  <c r="IF49" i="5"/>
  <c r="IF53" i="5"/>
  <c r="IF40" i="5"/>
  <c r="IF44" i="5"/>
  <c r="IF48" i="5"/>
  <c r="IF52" i="5"/>
  <c r="IF56" i="5"/>
  <c r="IG56" i="5" s="1"/>
  <c r="II56" i="5" s="1"/>
  <c r="BH83" i="2"/>
  <c r="BG83" i="2"/>
  <c r="BF84" i="2"/>
  <c r="IJ34" i="5"/>
  <c r="IK34" i="5" s="1"/>
  <c r="L33" i="5"/>
  <c r="AI34" i="5"/>
  <c r="U84" i="2"/>
  <c r="GY89" i="2"/>
  <c r="GU89" i="2"/>
  <c r="GX89" i="2"/>
  <c r="GW89" i="2"/>
  <c r="FM90" i="2"/>
  <c r="GZ89" i="2"/>
  <c r="GV89" i="2"/>
  <c r="BF85" i="5"/>
  <c r="BH84" i="5"/>
  <c r="BG84" i="5"/>
  <c r="J82" i="5"/>
  <c r="G83" i="5"/>
  <c r="I82" i="5"/>
  <c r="H82" i="5"/>
  <c r="GW85" i="5"/>
  <c r="FM86" i="5"/>
  <c r="GZ85" i="5"/>
  <c r="GV85" i="5"/>
  <c r="GY85" i="5"/>
  <c r="GU85" i="5"/>
  <c r="GX85" i="5"/>
  <c r="AR81" i="5"/>
  <c r="AZ83" i="5"/>
  <c r="BA82" i="5"/>
  <c r="AO36" i="2"/>
  <c r="AN36" i="2"/>
  <c r="IF38" i="5"/>
  <c r="IF42" i="5"/>
  <c r="IF46" i="5"/>
  <c r="IF50" i="5"/>
  <c r="IF54" i="5"/>
  <c r="BV83" i="2"/>
  <c r="BR83" i="2"/>
  <c r="BU83" i="2"/>
  <c r="BQ84" i="2"/>
  <c r="BT83" i="2"/>
  <c r="BS83" i="2"/>
  <c r="AN36" i="5"/>
  <c r="AO36" i="5"/>
  <c r="X83" i="2"/>
  <c r="AD82" i="2"/>
  <c r="Z82" i="2"/>
  <c r="AC82" i="2"/>
  <c r="Y82" i="2"/>
  <c r="AF82" i="2"/>
  <c r="AB82" i="2"/>
  <c r="AE82" i="2"/>
  <c r="AA82" i="2"/>
  <c r="CG84" i="5"/>
  <c r="CM83" i="5"/>
  <c r="CI83" i="5"/>
  <c r="CL83" i="5"/>
  <c r="CH83" i="5"/>
  <c r="CK83" i="5"/>
  <c r="CN83" i="5"/>
  <c r="CJ83" i="5"/>
  <c r="BX84" i="5"/>
  <c r="BZ83" i="5"/>
  <c r="BY83" i="5"/>
  <c r="CB83" i="5"/>
  <c r="CE83" i="5"/>
  <c r="CA83" i="5"/>
  <c r="AK35" i="2"/>
  <c r="CG84" i="2"/>
  <c r="CN83" i="2"/>
  <c r="CJ83" i="2"/>
  <c r="CM83" i="2"/>
  <c r="CI83" i="2"/>
  <c r="CL83" i="2"/>
  <c r="CH83" i="2"/>
  <c r="CK83" i="2"/>
  <c r="BU83" i="5"/>
  <c r="BT83" i="5"/>
  <c r="BQ84" i="5"/>
  <c r="BS83" i="5"/>
  <c r="BV83" i="5"/>
  <c r="BR83" i="5"/>
  <c r="FK83" i="2"/>
  <c r="FG83" i="2"/>
  <c r="FB83" i="2"/>
  <c r="EX83" i="2"/>
  <c r="EO83" i="2"/>
  <c r="EK83" i="2"/>
  <c r="EF83" i="2"/>
  <c r="EB83" i="2"/>
  <c r="DX83" i="2"/>
  <c r="DT83" i="2"/>
  <c r="DP83" i="2"/>
  <c r="DL83" i="2"/>
  <c r="DH83" i="2"/>
  <c r="DD83" i="2"/>
  <c r="CZ83" i="2"/>
  <c r="CV83" i="2"/>
  <c r="FJ83" i="2"/>
  <c r="FF83" i="2"/>
  <c r="FA83" i="2"/>
  <c r="EW83" i="2"/>
  <c r="ER83" i="2"/>
  <c r="EN83" i="2"/>
  <c r="EE83" i="2"/>
  <c r="EA83" i="2"/>
  <c r="DW83" i="2"/>
  <c r="DS83" i="2"/>
  <c r="DO83" i="2"/>
  <c r="DK83" i="2"/>
  <c r="DG83" i="2"/>
  <c r="DC83" i="2"/>
  <c r="CY83" i="2"/>
  <c r="FE83" i="2"/>
  <c r="EV83" i="2"/>
  <c r="EM83" i="2"/>
  <c r="ED83" i="2"/>
  <c r="DV83" i="2"/>
  <c r="DN83" i="2"/>
  <c r="DF83" i="2"/>
  <c r="CX83" i="2"/>
  <c r="EU83" i="2"/>
  <c r="EL83" i="2"/>
  <c r="EC83" i="2"/>
  <c r="DU83" i="2"/>
  <c r="DM83" i="2"/>
  <c r="DE83" i="2"/>
  <c r="CW83" i="2"/>
  <c r="FI83" i="2"/>
  <c r="EZ83" i="2"/>
  <c r="EQ83" i="2"/>
  <c r="EH83" i="2"/>
  <c r="DZ83" i="2"/>
  <c r="DR83" i="2"/>
  <c r="DJ83" i="2"/>
  <c r="DB83" i="2"/>
  <c r="CU84" i="2"/>
  <c r="FH83" i="2"/>
  <c r="EY83" i="2"/>
  <c r="EP83" i="2"/>
  <c r="EG83" i="2"/>
  <c r="DY83" i="2"/>
  <c r="DQ83" i="2"/>
  <c r="DI83" i="2"/>
  <c r="DA83" i="2"/>
  <c r="AX82" i="5"/>
  <c r="AT82" i="5"/>
  <c r="AQ83" i="5"/>
  <c r="AW82" i="5"/>
  <c r="AR82" i="5"/>
  <c r="AQ84" i="2"/>
  <c r="AX83" i="2"/>
  <c r="AT83" i="2"/>
  <c r="AW83" i="2"/>
  <c r="AR81" i="2"/>
  <c r="J82" i="2"/>
  <c r="G83" i="2"/>
  <c r="I82" i="2"/>
  <c r="L82" i="2"/>
  <c r="H82" i="2"/>
  <c r="IJ83" i="5"/>
  <c r="IF83" i="5"/>
  <c r="II83" i="5"/>
  <c r="IL83" i="5"/>
  <c r="IH83" i="5"/>
  <c r="IE84" i="5"/>
  <c r="IK83" i="5"/>
  <c r="IG83" i="5"/>
  <c r="BJ84" i="5"/>
  <c r="BL83" i="5"/>
  <c r="BO83" i="5"/>
  <c r="BK83" i="5"/>
  <c r="BN83" i="5"/>
  <c r="BM83" i="5"/>
  <c r="E85" i="19"/>
  <c r="F85" i="19" s="1"/>
  <c r="A86" i="19"/>
  <c r="C85" i="19"/>
  <c r="B85" i="19"/>
  <c r="D85" i="19" s="1"/>
  <c r="BJ84" i="2"/>
  <c r="BM83" i="2"/>
  <c r="BL83" i="2"/>
  <c r="BO83" i="2"/>
  <c r="BK83" i="2"/>
  <c r="BN83" i="2"/>
  <c r="BX84" i="2"/>
  <c r="CE83" i="2"/>
  <c r="CA83" i="2"/>
  <c r="BZ83" i="2"/>
  <c r="BY83" i="2"/>
  <c r="CB83" i="2"/>
  <c r="FK83" i="5"/>
  <c r="FG83" i="5"/>
  <c r="FB83" i="5"/>
  <c r="EX83" i="5"/>
  <c r="EO83" i="5"/>
  <c r="EK83" i="5"/>
  <c r="EF83" i="5"/>
  <c r="EB83" i="5"/>
  <c r="DX83" i="5"/>
  <c r="DT83" i="5"/>
  <c r="DP83" i="5"/>
  <c r="DL83" i="5"/>
  <c r="DH83" i="5"/>
  <c r="DD83" i="5"/>
  <c r="CZ83" i="5"/>
  <c r="CV83" i="5"/>
  <c r="FJ83" i="5"/>
  <c r="FF83" i="5"/>
  <c r="FA83" i="5"/>
  <c r="EW83" i="5"/>
  <c r="ER83" i="5"/>
  <c r="EN83" i="5"/>
  <c r="EE83" i="5"/>
  <c r="EA83" i="5"/>
  <c r="DW83" i="5"/>
  <c r="DS83" i="5"/>
  <c r="DO83" i="5"/>
  <c r="DK83" i="5"/>
  <c r="DG83" i="5"/>
  <c r="DC83" i="5"/>
  <c r="CY83" i="5"/>
  <c r="FI83" i="5"/>
  <c r="FE83" i="5"/>
  <c r="EZ83" i="5"/>
  <c r="EV83" i="5"/>
  <c r="EQ83" i="5"/>
  <c r="EM83" i="5"/>
  <c r="EH83" i="5"/>
  <c r="ED83" i="5"/>
  <c r="DZ83" i="5"/>
  <c r="DV83" i="5"/>
  <c r="DR83" i="5"/>
  <c r="DN83" i="5"/>
  <c r="DJ83" i="5"/>
  <c r="DF83" i="5"/>
  <c r="DB83" i="5"/>
  <c r="CX83" i="5"/>
  <c r="CU84" i="5"/>
  <c r="FH83" i="5"/>
  <c r="EY83" i="5"/>
  <c r="EU83" i="5"/>
  <c r="EP83" i="5"/>
  <c r="EL83" i="5"/>
  <c r="EG83" i="5"/>
  <c r="EC83" i="5"/>
  <c r="DY83" i="5"/>
  <c r="DU83" i="5"/>
  <c r="DQ83" i="5"/>
  <c r="DM83" i="5"/>
  <c r="DI83" i="5"/>
  <c r="DE83" i="5"/>
  <c r="DA83" i="5"/>
  <c r="CW83" i="5"/>
  <c r="AK35" i="5"/>
  <c r="L81" i="5"/>
  <c r="AL82" i="5"/>
  <c r="AO82" i="5"/>
  <c r="AK82" i="5"/>
  <c r="AH83" i="5"/>
  <c r="AN82" i="5"/>
  <c r="AJ82" i="5"/>
  <c r="AM82" i="5"/>
  <c r="AI82" i="5"/>
  <c r="L33" i="2"/>
  <c r="IJ34" i="2"/>
  <c r="IK34" i="2" s="1"/>
  <c r="AI34" i="2"/>
  <c r="AC82" i="5"/>
  <c r="Y82" i="5"/>
  <c r="AF82" i="5"/>
  <c r="AB82" i="5"/>
  <c r="AE82" i="5"/>
  <c r="AA82" i="5"/>
  <c r="X83" i="5"/>
  <c r="AD82" i="5"/>
  <c r="Z82" i="5"/>
  <c r="AH84" i="2"/>
  <c r="AO83" i="2"/>
  <c r="AK83" i="2"/>
  <c r="AN83" i="2"/>
  <c r="AJ83" i="2"/>
  <c r="AM83" i="2"/>
  <c r="AI83" i="2"/>
  <c r="AL83" i="2"/>
  <c r="IF41" i="5"/>
  <c r="IF45" i="5"/>
  <c r="AZ84" i="2"/>
  <c r="BA83" i="2"/>
  <c r="U84" i="5"/>
  <c r="IE84" i="2"/>
  <c r="IJ83" i="2"/>
  <c r="IF83" i="2"/>
  <c r="II83" i="2"/>
  <c r="IL83" i="2"/>
  <c r="IK83" i="2"/>
  <c r="IH83" i="2"/>
  <c r="IG83" i="2"/>
  <c r="II56" i="2" l="1"/>
  <c r="IG55" i="2"/>
  <c r="IH55" i="2" s="1"/>
  <c r="IL34" i="2"/>
  <c r="IF34" i="2" s="1"/>
  <c r="IG34" i="2" s="1"/>
  <c r="II34" i="2" s="1"/>
  <c r="IG51" i="2"/>
  <c r="II51" i="2" s="1"/>
  <c r="IG53" i="2"/>
  <c r="II53" i="2" s="1"/>
  <c r="IG50" i="2"/>
  <c r="II50" i="2" s="1"/>
  <c r="IG52" i="2"/>
  <c r="II52" i="2" s="1"/>
  <c r="IG43" i="2"/>
  <c r="II43" i="2" s="1"/>
  <c r="IG45" i="2"/>
  <c r="II45" i="2" s="1"/>
  <c r="IG49" i="2"/>
  <c r="II49" i="2" s="1"/>
  <c r="IG54" i="2"/>
  <c r="II54" i="2" s="1"/>
  <c r="IG36" i="2"/>
  <c r="II36" i="2" s="1"/>
  <c r="IG39" i="2"/>
  <c r="II39" i="2" s="1"/>
  <c r="IG44" i="2"/>
  <c r="II44" i="2" s="1"/>
  <c r="IG42" i="2"/>
  <c r="II42" i="2" s="1"/>
  <c r="IG35" i="2"/>
  <c r="IG38" i="2"/>
  <c r="II38" i="2" s="1"/>
  <c r="IG40" i="2"/>
  <c r="II40" i="2" s="1"/>
  <c r="IG46" i="2"/>
  <c r="II46" i="2" s="1"/>
  <c r="IG47" i="2"/>
  <c r="IG41" i="2"/>
  <c r="II41" i="2" s="1"/>
  <c r="IG48" i="2"/>
  <c r="IG37" i="2"/>
  <c r="IG54" i="5"/>
  <c r="II54" i="5" s="1"/>
  <c r="IG45" i="5"/>
  <c r="II45" i="5" s="1"/>
  <c r="IG47" i="5"/>
  <c r="II47" i="5" s="1"/>
  <c r="IG48" i="5"/>
  <c r="II48" i="5" s="1"/>
  <c r="IH56" i="5"/>
  <c r="IG55" i="5"/>
  <c r="AE83" i="5"/>
  <c r="AA83" i="5"/>
  <c r="X84" i="5"/>
  <c r="AD83" i="5"/>
  <c r="Z83" i="5"/>
  <c r="AC83" i="5"/>
  <c r="Y83" i="5"/>
  <c r="AF83" i="5"/>
  <c r="AB83" i="5"/>
  <c r="AH84" i="5"/>
  <c r="AN83" i="5"/>
  <c r="AJ83" i="5"/>
  <c r="AM83" i="5"/>
  <c r="AI83" i="5"/>
  <c r="AL83" i="5"/>
  <c r="AO83" i="5"/>
  <c r="AK83" i="5"/>
  <c r="I83" i="2"/>
  <c r="H83" i="2"/>
  <c r="G84" i="2"/>
  <c r="J83" i="2"/>
  <c r="L83" i="2" s="1"/>
  <c r="IG38" i="5"/>
  <c r="FM91" i="2"/>
  <c r="GW90" i="2"/>
  <c r="GZ90" i="2"/>
  <c r="GV90" i="2"/>
  <c r="GY90" i="2"/>
  <c r="GU90" i="2"/>
  <c r="GX90" i="2"/>
  <c r="AK34" i="5"/>
  <c r="IG41" i="5"/>
  <c r="AK34" i="2"/>
  <c r="AN35" i="5"/>
  <c r="AO35" i="5"/>
  <c r="B86" i="19"/>
  <c r="D86" i="19" s="1"/>
  <c r="E86" i="19"/>
  <c r="F86" i="19" s="1"/>
  <c r="A87" i="19"/>
  <c r="C86" i="19"/>
  <c r="IG49" i="5"/>
  <c r="IG37" i="5"/>
  <c r="BX85" i="2"/>
  <c r="CB84" i="2"/>
  <c r="CE84" i="2"/>
  <c r="CA84" i="2"/>
  <c r="BZ84" i="2"/>
  <c r="BY84" i="2"/>
  <c r="BJ85" i="2"/>
  <c r="BN84" i="2"/>
  <c r="BM84" i="2"/>
  <c r="BL84" i="2"/>
  <c r="BK84" i="2"/>
  <c r="BO84" i="2"/>
  <c r="BN84" i="5"/>
  <c r="BM84" i="5"/>
  <c r="BJ85" i="5"/>
  <c r="BL84" i="5"/>
  <c r="BO84" i="5"/>
  <c r="BK84" i="5"/>
  <c r="IG52" i="5"/>
  <c r="AQ85" i="2"/>
  <c r="AX84" i="2"/>
  <c r="AT84" i="2"/>
  <c r="AW84" i="2"/>
  <c r="BQ85" i="5"/>
  <c r="BS84" i="5"/>
  <c r="BV84" i="5"/>
  <c r="BR84" i="5"/>
  <c r="BU84" i="5"/>
  <c r="BT84" i="5"/>
  <c r="IG43" i="5"/>
  <c r="IG42" i="5"/>
  <c r="GY86" i="5"/>
  <c r="GU86" i="5"/>
  <c r="GX86" i="5"/>
  <c r="GW86" i="5"/>
  <c r="FM87" i="5"/>
  <c r="GZ86" i="5"/>
  <c r="GV86" i="5"/>
  <c r="L82" i="5"/>
  <c r="U85" i="2"/>
  <c r="AZ84" i="5"/>
  <c r="BA83" i="5"/>
  <c r="U85" i="5"/>
  <c r="AZ85" i="2"/>
  <c r="BA84" i="2"/>
  <c r="IJ33" i="2"/>
  <c r="IK33" i="2" s="1"/>
  <c r="L32" i="2"/>
  <c r="AI33" i="2"/>
  <c r="IG36" i="5"/>
  <c r="IG39" i="5"/>
  <c r="IG35" i="5"/>
  <c r="AR82" i="2"/>
  <c r="IG44" i="5"/>
  <c r="FK84" i="2"/>
  <c r="FJ84" i="2"/>
  <c r="FI84" i="2"/>
  <c r="FE84" i="2"/>
  <c r="EZ84" i="2"/>
  <c r="EV84" i="2"/>
  <c r="EQ84" i="2"/>
  <c r="EM84" i="2"/>
  <c r="EH84" i="2"/>
  <c r="ED84" i="2"/>
  <c r="DZ84" i="2"/>
  <c r="DV84" i="2"/>
  <c r="DR84" i="2"/>
  <c r="DN84" i="2"/>
  <c r="DJ84" i="2"/>
  <c r="DF84" i="2"/>
  <c r="DB84" i="2"/>
  <c r="CX84" i="2"/>
  <c r="CU85" i="2"/>
  <c r="FH84" i="2"/>
  <c r="EY84" i="2"/>
  <c r="EU84" i="2"/>
  <c r="EP84" i="2"/>
  <c r="EL84" i="2"/>
  <c r="EG84" i="2"/>
  <c r="EC84" i="2"/>
  <c r="DY84" i="2"/>
  <c r="DU84" i="2"/>
  <c r="DQ84" i="2"/>
  <c r="DM84" i="2"/>
  <c r="DI84" i="2"/>
  <c r="DE84" i="2"/>
  <c r="DA84" i="2"/>
  <c r="CW84" i="2"/>
  <c r="FG84" i="2"/>
  <c r="EX84" i="2"/>
  <c r="EO84" i="2"/>
  <c r="EF84" i="2"/>
  <c r="DX84" i="2"/>
  <c r="DP84" i="2"/>
  <c r="DH84" i="2"/>
  <c r="CZ84" i="2"/>
  <c r="FF84" i="2"/>
  <c r="EW84" i="2"/>
  <c r="EN84" i="2"/>
  <c r="EE84" i="2"/>
  <c r="DW84" i="2"/>
  <c r="DO84" i="2"/>
  <c r="DG84" i="2"/>
  <c r="CY84" i="2"/>
  <c r="FB84" i="2"/>
  <c r="EK84" i="2"/>
  <c r="EB84" i="2"/>
  <c r="DT84" i="2"/>
  <c r="DL84" i="2"/>
  <c r="DD84" i="2"/>
  <c r="CV84" i="2"/>
  <c r="FA84" i="2"/>
  <c r="ER84" i="2"/>
  <c r="EA84" i="2"/>
  <c r="DS84" i="2"/>
  <c r="DK84" i="2"/>
  <c r="DC84" i="2"/>
  <c r="CG85" i="2"/>
  <c r="CK84" i="2"/>
  <c r="CN84" i="2"/>
  <c r="CJ84" i="2"/>
  <c r="CM84" i="2"/>
  <c r="CL84" i="2"/>
  <c r="CI84" i="2"/>
  <c r="CH84" i="2"/>
  <c r="X84" i="2"/>
  <c r="AF83" i="2"/>
  <c r="AB83" i="2"/>
  <c r="AE83" i="2"/>
  <c r="AA83" i="2"/>
  <c r="AD83" i="2"/>
  <c r="Z83" i="2"/>
  <c r="AC83" i="2"/>
  <c r="Y83" i="2"/>
  <c r="IG50" i="5"/>
  <c r="H83" i="5"/>
  <c r="J83" i="5"/>
  <c r="G84" i="5"/>
  <c r="I83" i="5"/>
  <c r="BG85" i="5"/>
  <c r="BF86" i="5"/>
  <c r="BH85" i="5"/>
  <c r="L32" i="5"/>
  <c r="IJ33" i="5"/>
  <c r="IK33" i="5" s="1"/>
  <c r="AI33" i="5"/>
  <c r="IJ84" i="2"/>
  <c r="IF84" i="2"/>
  <c r="II84" i="2"/>
  <c r="IL84" i="2"/>
  <c r="IH84" i="2"/>
  <c r="IE85" i="2"/>
  <c r="IK84" i="2"/>
  <c r="IG84" i="2"/>
  <c r="CB84" i="5"/>
  <c r="CE84" i="5"/>
  <c r="CA84" i="5"/>
  <c r="BX85" i="5"/>
  <c r="BZ84" i="5"/>
  <c r="BY84" i="5"/>
  <c r="BQ85" i="2"/>
  <c r="BS84" i="2"/>
  <c r="BV84" i="2"/>
  <c r="BR84" i="2"/>
  <c r="BU84" i="2"/>
  <c r="BT84" i="2"/>
  <c r="BF85" i="2"/>
  <c r="BH84" i="2"/>
  <c r="BG84" i="2"/>
  <c r="AH85" i="2"/>
  <c r="AL84" i="2"/>
  <c r="AO84" i="2"/>
  <c r="AK84" i="2"/>
  <c r="AJ84" i="2"/>
  <c r="AI84" i="2"/>
  <c r="AN84" i="2"/>
  <c r="AM84" i="2"/>
  <c r="IG53" i="5"/>
  <c r="FI84" i="5"/>
  <c r="FE84" i="5"/>
  <c r="EZ84" i="5"/>
  <c r="EV84" i="5"/>
  <c r="EQ84" i="5"/>
  <c r="EM84" i="5"/>
  <c r="EH84" i="5"/>
  <c r="ED84" i="5"/>
  <c r="DZ84" i="5"/>
  <c r="DV84" i="5"/>
  <c r="DR84" i="5"/>
  <c r="DN84" i="5"/>
  <c r="DJ84" i="5"/>
  <c r="DF84" i="5"/>
  <c r="DB84" i="5"/>
  <c r="CX84" i="5"/>
  <c r="CU85" i="5"/>
  <c r="FH84" i="5"/>
  <c r="EY84" i="5"/>
  <c r="EU84" i="5"/>
  <c r="EP84" i="5"/>
  <c r="EL84" i="5"/>
  <c r="EG84" i="5"/>
  <c r="EC84" i="5"/>
  <c r="DY84" i="5"/>
  <c r="DU84" i="5"/>
  <c r="DQ84" i="5"/>
  <c r="DM84" i="5"/>
  <c r="DI84" i="5"/>
  <c r="DE84" i="5"/>
  <c r="DA84" i="5"/>
  <c r="CW84" i="5"/>
  <c r="FK84" i="5"/>
  <c r="FG84" i="5"/>
  <c r="FB84" i="5"/>
  <c r="EX84" i="5"/>
  <c r="EO84" i="5"/>
  <c r="EK84" i="5"/>
  <c r="EF84" i="5"/>
  <c r="EB84" i="5"/>
  <c r="DX84" i="5"/>
  <c r="DT84" i="5"/>
  <c r="DP84" i="5"/>
  <c r="DL84" i="5"/>
  <c r="DH84" i="5"/>
  <c r="DD84" i="5"/>
  <c r="CZ84" i="5"/>
  <c r="CV84" i="5"/>
  <c r="FJ84" i="5"/>
  <c r="FF84" i="5"/>
  <c r="FA84" i="5"/>
  <c r="EW84" i="5"/>
  <c r="ER84" i="5"/>
  <c r="EN84" i="5"/>
  <c r="EE84" i="5"/>
  <c r="EA84" i="5"/>
  <c r="DW84" i="5"/>
  <c r="DS84" i="5"/>
  <c r="DO84" i="5"/>
  <c r="DK84" i="5"/>
  <c r="DG84" i="5"/>
  <c r="DC84" i="5"/>
  <c r="CY84" i="5"/>
  <c r="IL84" i="5"/>
  <c r="IH84" i="5"/>
  <c r="IE85" i="5"/>
  <c r="IK84" i="5"/>
  <c r="IG84" i="5"/>
  <c r="IJ84" i="5"/>
  <c r="IF84" i="5"/>
  <c r="II84" i="5"/>
  <c r="IG40" i="5"/>
  <c r="AQ84" i="5"/>
  <c r="AW83" i="5"/>
  <c r="AX83" i="5"/>
  <c r="AT83" i="5"/>
  <c r="AO35" i="2"/>
  <c r="AN35" i="2"/>
  <c r="CK84" i="5"/>
  <c r="CN84" i="5"/>
  <c r="CJ84" i="5"/>
  <c r="CG85" i="5"/>
  <c r="CM84" i="5"/>
  <c r="CI84" i="5"/>
  <c r="CL84" i="5"/>
  <c r="CH84" i="5"/>
  <c r="IG51" i="5"/>
  <c r="IG46" i="5"/>
  <c r="IL34" i="5"/>
  <c r="IF34" i="5" s="1"/>
  <c r="IG34" i="5" s="1"/>
  <c r="II55" i="2" l="1"/>
  <c r="IH48" i="2"/>
  <c r="IH51" i="2"/>
  <c r="IL33" i="2"/>
  <c r="IF33" i="2" s="1"/>
  <c r="IG33" i="2" s="1"/>
  <c r="IH49" i="2"/>
  <c r="IH52" i="2"/>
  <c r="IH54" i="2"/>
  <c r="II48" i="2"/>
  <c r="IH47" i="2"/>
  <c r="IH50" i="2"/>
  <c r="IH54" i="5"/>
  <c r="IH40" i="2"/>
  <c r="IH37" i="2"/>
  <c r="IH53" i="2"/>
  <c r="II47" i="2"/>
  <c r="IH36" i="2"/>
  <c r="IH39" i="2"/>
  <c r="IH46" i="2"/>
  <c r="IH43" i="2"/>
  <c r="IH41" i="2"/>
  <c r="II37" i="2"/>
  <c r="IH34" i="2"/>
  <c r="IH38" i="2"/>
  <c r="IH42" i="2"/>
  <c r="IH44" i="2"/>
  <c r="II35" i="2"/>
  <c r="IH35" i="2"/>
  <c r="IH45" i="2"/>
  <c r="IH47" i="5"/>
  <c r="IH45" i="5"/>
  <c r="II55" i="5"/>
  <c r="IH55" i="5"/>
  <c r="BF86" i="2"/>
  <c r="BH85" i="2"/>
  <c r="BG85" i="2"/>
  <c r="BF87" i="5"/>
  <c r="BH86" i="5"/>
  <c r="BG86" i="5"/>
  <c r="IH34" i="5"/>
  <c r="II34" i="5"/>
  <c r="AX84" i="5"/>
  <c r="AT84" i="5"/>
  <c r="AQ85" i="5"/>
  <c r="AW84" i="5"/>
  <c r="AR84" i="5"/>
  <c r="IJ85" i="5"/>
  <c r="IF85" i="5"/>
  <c r="II85" i="5"/>
  <c r="IL85" i="5"/>
  <c r="IH85" i="5"/>
  <c r="IE86" i="5"/>
  <c r="IK85" i="5"/>
  <c r="IG85" i="5"/>
  <c r="FK85" i="5"/>
  <c r="FG85" i="5"/>
  <c r="FB85" i="5"/>
  <c r="EX85" i="5"/>
  <c r="EO85" i="5"/>
  <c r="EK85" i="5"/>
  <c r="EF85" i="5"/>
  <c r="EB85" i="5"/>
  <c r="DX85" i="5"/>
  <c r="DT85" i="5"/>
  <c r="DP85" i="5"/>
  <c r="DL85" i="5"/>
  <c r="DH85" i="5"/>
  <c r="DD85" i="5"/>
  <c r="CZ85" i="5"/>
  <c r="CV85" i="5"/>
  <c r="FJ85" i="5"/>
  <c r="FF85" i="5"/>
  <c r="FA85" i="5"/>
  <c r="EW85" i="5"/>
  <c r="ER85" i="5"/>
  <c r="EN85" i="5"/>
  <c r="EE85" i="5"/>
  <c r="EA85" i="5"/>
  <c r="DW85" i="5"/>
  <c r="DS85" i="5"/>
  <c r="DO85" i="5"/>
  <c r="DK85" i="5"/>
  <c r="DG85" i="5"/>
  <c r="DC85" i="5"/>
  <c r="CY85" i="5"/>
  <c r="FI85" i="5"/>
  <c r="FE85" i="5"/>
  <c r="EZ85" i="5"/>
  <c r="EV85" i="5"/>
  <c r="EQ85" i="5"/>
  <c r="EM85" i="5"/>
  <c r="EH85" i="5"/>
  <c r="ED85" i="5"/>
  <c r="DZ85" i="5"/>
  <c r="DV85" i="5"/>
  <c r="DR85" i="5"/>
  <c r="DN85" i="5"/>
  <c r="DJ85" i="5"/>
  <c r="DF85" i="5"/>
  <c r="DB85" i="5"/>
  <c r="CX85" i="5"/>
  <c r="CU86" i="5"/>
  <c r="FH85" i="5"/>
  <c r="EY85" i="5"/>
  <c r="EU85" i="5"/>
  <c r="EP85" i="5"/>
  <c r="EL85" i="5"/>
  <c r="EG85" i="5"/>
  <c r="EC85" i="5"/>
  <c r="DY85" i="5"/>
  <c r="DU85" i="5"/>
  <c r="DQ85" i="5"/>
  <c r="DM85" i="5"/>
  <c r="DI85" i="5"/>
  <c r="DE85" i="5"/>
  <c r="DA85" i="5"/>
  <c r="CW85" i="5"/>
  <c r="BQ86" i="2"/>
  <c r="BS85" i="2"/>
  <c r="BV85" i="2"/>
  <c r="BR85" i="2"/>
  <c r="BU85" i="2"/>
  <c r="BT85" i="2"/>
  <c r="BX86" i="5"/>
  <c r="BZ85" i="5"/>
  <c r="BY85" i="5"/>
  <c r="CB85" i="5"/>
  <c r="CE85" i="5"/>
  <c r="CA85" i="5"/>
  <c r="IJ32" i="5"/>
  <c r="IK32" i="5" s="1"/>
  <c r="L31" i="5"/>
  <c r="AI32" i="5"/>
  <c r="J84" i="5"/>
  <c r="G85" i="5"/>
  <c r="I84" i="5"/>
  <c r="L84" i="5"/>
  <c r="H84" i="5"/>
  <c r="CK85" i="2"/>
  <c r="CN85" i="2"/>
  <c r="CJ85" i="2"/>
  <c r="CG86" i="2"/>
  <c r="CM85" i="2"/>
  <c r="CI85" i="2"/>
  <c r="CL85" i="2"/>
  <c r="CH85" i="2"/>
  <c r="IH44" i="5"/>
  <c r="II44" i="5"/>
  <c r="IJ32" i="2"/>
  <c r="IK32" i="2" s="1"/>
  <c r="L31" i="2"/>
  <c r="AI32" i="2"/>
  <c r="AZ85" i="5"/>
  <c r="BA84" i="5"/>
  <c r="IH43" i="5"/>
  <c r="II43" i="5"/>
  <c r="AX85" i="2"/>
  <c r="AT85" i="2"/>
  <c r="AQ86" i="2"/>
  <c r="AW85" i="2"/>
  <c r="BJ86" i="5"/>
  <c r="BL85" i="5"/>
  <c r="BO85" i="5"/>
  <c r="BK85" i="5"/>
  <c r="BN85" i="5"/>
  <c r="BM85" i="5"/>
  <c r="BN85" i="2"/>
  <c r="BM85" i="2"/>
  <c r="BJ86" i="2"/>
  <c r="BL85" i="2"/>
  <c r="BO85" i="2"/>
  <c r="BK85" i="2"/>
  <c r="II37" i="5"/>
  <c r="IH37" i="5"/>
  <c r="J84" i="2"/>
  <c r="G85" i="2"/>
  <c r="I84" i="2"/>
  <c r="H84" i="2"/>
  <c r="IH51" i="5"/>
  <c r="II51" i="5"/>
  <c r="IL85" i="2"/>
  <c r="IH85" i="2"/>
  <c r="IE86" i="2"/>
  <c r="IK85" i="2"/>
  <c r="IG85" i="2"/>
  <c r="IJ85" i="2"/>
  <c r="IF85" i="2"/>
  <c r="II85" i="2"/>
  <c r="IH35" i="5"/>
  <c r="II35" i="5"/>
  <c r="E87" i="19"/>
  <c r="F87" i="19" s="1"/>
  <c r="A88" i="19"/>
  <c r="C87" i="19"/>
  <c r="B87" i="19"/>
  <c r="D87" i="19" s="1"/>
  <c r="X85" i="2"/>
  <c r="AC84" i="2"/>
  <c r="Y84" i="2"/>
  <c r="AF84" i="2"/>
  <c r="AB84" i="2"/>
  <c r="AA84" i="2"/>
  <c r="Z84" i="2"/>
  <c r="AE84" i="2"/>
  <c r="AD84" i="2"/>
  <c r="IH39" i="5"/>
  <c r="II39" i="5"/>
  <c r="U86" i="5"/>
  <c r="U86" i="2"/>
  <c r="GW87" i="5"/>
  <c r="FM88" i="5"/>
  <c r="GZ87" i="5"/>
  <c r="GV87" i="5"/>
  <c r="GY87" i="5"/>
  <c r="GU87" i="5"/>
  <c r="GX87" i="5"/>
  <c r="IH42" i="5"/>
  <c r="II42" i="5"/>
  <c r="CB85" i="2"/>
  <c r="CE85" i="2"/>
  <c r="CA85" i="2"/>
  <c r="BX86" i="2"/>
  <c r="BZ85" i="2"/>
  <c r="BY85" i="2"/>
  <c r="AN34" i="5"/>
  <c r="AO34" i="5"/>
  <c r="GX91" i="2"/>
  <c r="GW91" i="2"/>
  <c r="GY91" i="2"/>
  <c r="GV91" i="2"/>
  <c r="GU91" i="2"/>
  <c r="FM92" i="2"/>
  <c r="GZ91" i="2"/>
  <c r="AC84" i="5"/>
  <c r="Y84" i="5"/>
  <c r="AF84" i="5"/>
  <c r="AB84" i="5"/>
  <c r="AE84" i="5"/>
  <c r="AA84" i="5"/>
  <c r="X85" i="5"/>
  <c r="AD84" i="5"/>
  <c r="Z84" i="5"/>
  <c r="IH40" i="5"/>
  <c r="II40" i="5"/>
  <c r="II50" i="5"/>
  <c r="IH50" i="5"/>
  <c r="FI85" i="2"/>
  <c r="FE85" i="2"/>
  <c r="EZ85" i="2"/>
  <c r="EV85" i="2"/>
  <c r="EQ85" i="2"/>
  <c r="EM85" i="2"/>
  <c r="EH85" i="2"/>
  <c r="ED85" i="2"/>
  <c r="DZ85" i="2"/>
  <c r="DV85" i="2"/>
  <c r="DR85" i="2"/>
  <c r="DN85" i="2"/>
  <c r="DJ85" i="2"/>
  <c r="DF85" i="2"/>
  <c r="DB85" i="2"/>
  <c r="CX85" i="2"/>
  <c r="CU86" i="2"/>
  <c r="FH85" i="2"/>
  <c r="EY85" i="2"/>
  <c r="EU85" i="2"/>
  <c r="EP85" i="2"/>
  <c r="EL85" i="2"/>
  <c r="EG85" i="2"/>
  <c r="EC85" i="2"/>
  <c r="DY85" i="2"/>
  <c r="DU85" i="2"/>
  <c r="DQ85" i="2"/>
  <c r="DM85" i="2"/>
  <c r="DI85" i="2"/>
  <c r="DE85" i="2"/>
  <c r="DA85" i="2"/>
  <c r="CW85" i="2"/>
  <c r="FK85" i="2"/>
  <c r="FG85" i="2"/>
  <c r="FB85" i="2"/>
  <c r="EX85" i="2"/>
  <c r="EO85" i="2"/>
  <c r="EK85" i="2"/>
  <c r="EF85" i="2"/>
  <c r="EB85" i="2"/>
  <c r="DX85" i="2"/>
  <c r="DT85" i="2"/>
  <c r="DP85" i="2"/>
  <c r="DL85" i="2"/>
  <c r="DH85" i="2"/>
  <c r="DD85" i="2"/>
  <c r="CZ85" i="2"/>
  <c r="CV85" i="2"/>
  <c r="FJ85" i="2"/>
  <c r="FF85" i="2"/>
  <c r="FA85" i="2"/>
  <c r="EW85" i="2"/>
  <c r="ER85" i="2"/>
  <c r="EN85" i="2"/>
  <c r="EE85" i="2"/>
  <c r="EA85" i="2"/>
  <c r="DW85" i="2"/>
  <c r="DS85" i="2"/>
  <c r="DO85" i="2"/>
  <c r="DK85" i="2"/>
  <c r="DG85" i="2"/>
  <c r="DC85" i="2"/>
  <c r="CY85" i="2"/>
  <c r="IH52" i="5"/>
  <c r="II52" i="5"/>
  <c r="II41" i="5"/>
  <c r="IH41" i="5"/>
  <c r="AL84" i="5"/>
  <c r="AO84" i="5"/>
  <c r="AK84" i="5"/>
  <c r="AH85" i="5"/>
  <c r="AN84" i="5"/>
  <c r="AJ84" i="5"/>
  <c r="AM84" i="5"/>
  <c r="AI84" i="5"/>
  <c r="IH46" i="5"/>
  <c r="II46" i="5"/>
  <c r="CG86" i="5"/>
  <c r="CM85" i="5"/>
  <c r="CI85" i="5"/>
  <c r="CL85" i="5"/>
  <c r="CH85" i="5"/>
  <c r="CK85" i="5"/>
  <c r="CN85" i="5"/>
  <c r="CJ85" i="5"/>
  <c r="AR83" i="5"/>
  <c r="II53" i="5"/>
  <c r="IH53" i="5"/>
  <c r="AL85" i="2"/>
  <c r="AO85" i="2"/>
  <c r="AK85" i="2"/>
  <c r="AH86" i="2"/>
  <c r="AN85" i="2"/>
  <c r="AJ85" i="2"/>
  <c r="AM85" i="2"/>
  <c r="AI85" i="2"/>
  <c r="AK33" i="5"/>
  <c r="IL33" i="5"/>
  <c r="IF33" i="5" s="1"/>
  <c r="IG33" i="5" s="1"/>
  <c r="L83" i="5"/>
  <c r="IH36" i="5"/>
  <c r="II36" i="5"/>
  <c r="AK33" i="2"/>
  <c r="AZ86" i="2"/>
  <c r="BA85" i="2"/>
  <c r="IH48" i="5"/>
  <c r="BU85" i="5"/>
  <c r="BT85" i="5"/>
  <c r="BQ86" i="5"/>
  <c r="BS85" i="5"/>
  <c r="BV85" i="5"/>
  <c r="BR85" i="5"/>
  <c r="IH49" i="5"/>
  <c r="II49" i="5"/>
  <c r="AN34" i="2"/>
  <c r="AO34" i="2"/>
  <c r="IH38" i="5"/>
  <c r="II38" i="5"/>
  <c r="AR83" i="2"/>
  <c r="IH33" i="2" l="1"/>
  <c r="II33" i="2"/>
  <c r="S36" i="21"/>
  <c r="S39" i="21"/>
  <c r="S7" i="21"/>
  <c r="AZ87" i="2"/>
  <c r="BA86" i="2"/>
  <c r="AO33" i="5"/>
  <c r="AN33" i="5"/>
  <c r="U87" i="2"/>
  <c r="A89" i="19"/>
  <c r="B88" i="19"/>
  <c r="D88" i="19" s="1"/>
  <c r="E88" i="19"/>
  <c r="F88" i="19" s="1"/>
  <c r="C88" i="19"/>
  <c r="BJ87" i="2"/>
  <c r="BL86" i="2"/>
  <c r="BO86" i="2"/>
  <c r="BK86" i="2"/>
  <c r="BN86" i="2"/>
  <c r="BM86" i="2"/>
  <c r="BN86" i="5"/>
  <c r="BM86" i="5"/>
  <c r="BJ87" i="5"/>
  <c r="BL86" i="5"/>
  <c r="BO86" i="5"/>
  <c r="BK86" i="5"/>
  <c r="AZ86" i="5"/>
  <c r="BA85" i="5"/>
  <c r="CG87" i="2"/>
  <c r="CM86" i="2"/>
  <c r="CI86" i="2"/>
  <c r="CL86" i="2"/>
  <c r="CH86" i="2"/>
  <c r="CK86" i="2"/>
  <c r="CN86" i="2"/>
  <c r="CJ86" i="2"/>
  <c r="IL32" i="5"/>
  <c r="IF32" i="5" s="1"/>
  <c r="IG32" i="5" s="1"/>
  <c r="AN33" i="2"/>
  <c r="AO33" i="2"/>
  <c r="AH87" i="2"/>
  <c r="AN86" i="2"/>
  <c r="AJ86" i="2"/>
  <c r="AM86" i="2"/>
  <c r="AI86" i="2"/>
  <c r="AL86" i="2"/>
  <c r="AO86" i="2"/>
  <c r="AK86" i="2"/>
  <c r="AC85" i="2"/>
  <c r="Y85" i="2"/>
  <c r="AF85" i="2"/>
  <c r="AB85" i="2"/>
  <c r="AE85" i="2"/>
  <c r="AA85" i="2"/>
  <c r="X86" i="2"/>
  <c r="AD85" i="2"/>
  <c r="Z85" i="2"/>
  <c r="IJ86" i="2"/>
  <c r="IF86" i="2"/>
  <c r="II86" i="2"/>
  <c r="IL86" i="2"/>
  <c r="IH86" i="2"/>
  <c r="IE87" i="2"/>
  <c r="IK86" i="2"/>
  <c r="IG86" i="2"/>
  <c r="IH33" i="5"/>
  <c r="II33" i="5"/>
  <c r="S40" i="21" s="1"/>
  <c r="FK86" i="2"/>
  <c r="FG86" i="2"/>
  <c r="FB86" i="2"/>
  <c r="EX86" i="2"/>
  <c r="EO86" i="2"/>
  <c r="EK86" i="2"/>
  <c r="EF86" i="2"/>
  <c r="EB86" i="2"/>
  <c r="DX86" i="2"/>
  <c r="DT86" i="2"/>
  <c r="DP86" i="2"/>
  <c r="DL86" i="2"/>
  <c r="DH86" i="2"/>
  <c r="DD86" i="2"/>
  <c r="CZ86" i="2"/>
  <c r="CV86" i="2"/>
  <c r="FJ86" i="2"/>
  <c r="FF86" i="2"/>
  <c r="FA86" i="2"/>
  <c r="EW86" i="2"/>
  <c r="ER86" i="2"/>
  <c r="EN86" i="2"/>
  <c r="EE86" i="2"/>
  <c r="EA86" i="2"/>
  <c r="DW86" i="2"/>
  <c r="DS86" i="2"/>
  <c r="DO86" i="2"/>
  <c r="DK86" i="2"/>
  <c r="DG86" i="2"/>
  <c r="DC86" i="2"/>
  <c r="CY86" i="2"/>
  <c r="FI86" i="2"/>
  <c r="FE86" i="2"/>
  <c r="EZ86" i="2"/>
  <c r="EV86" i="2"/>
  <c r="EQ86" i="2"/>
  <c r="EM86" i="2"/>
  <c r="EH86" i="2"/>
  <c r="ED86" i="2"/>
  <c r="DZ86" i="2"/>
  <c r="DV86" i="2"/>
  <c r="DR86" i="2"/>
  <c r="DN86" i="2"/>
  <c r="DJ86" i="2"/>
  <c r="DF86" i="2"/>
  <c r="DB86" i="2"/>
  <c r="CX86" i="2"/>
  <c r="CU87" i="2"/>
  <c r="FH86" i="2"/>
  <c r="EY86" i="2"/>
  <c r="EU86" i="2"/>
  <c r="EP86" i="2"/>
  <c r="EL86" i="2"/>
  <c r="EG86" i="2"/>
  <c r="EC86" i="2"/>
  <c r="DY86" i="2"/>
  <c r="DU86" i="2"/>
  <c r="DQ86" i="2"/>
  <c r="DM86" i="2"/>
  <c r="DI86" i="2"/>
  <c r="DE86" i="2"/>
  <c r="DA86" i="2"/>
  <c r="CW86" i="2"/>
  <c r="BX87" i="2"/>
  <c r="BZ86" i="2"/>
  <c r="BY86" i="2"/>
  <c r="CB86" i="2"/>
  <c r="CE86" i="2"/>
  <c r="CA86" i="2"/>
  <c r="GY88" i="5"/>
  <c r="GU88" i="5"/>
  <c r="GX88" i="5"/>
  <c r="FM89" i="5"/>
  <c r="GW88" i="5"/>
  <c r="GZ88" i="5"/>
  <c r="GV88" i="5"/>
  <c r="S27" i="21"/>
  <c r="AR84" i="2"/>
  <c r="AK32" i="2"/>
  <c r="L30" i="2"/>
  <c r="AI31" i="2"/>
  <c r="IJ31" i="2"/>
  <c r="IK31" i="2" s="1"/>
  <c r="AK32" i="5"/>
  <c r="BG87" i="5"/>
  <c r="BF88" i="5"/>
  <c r="BH87" i="5"/>
  <c r="U87" i="5"/>
  <c r="J85" i="2"/>
  <c r="G86" i="2"/>
  <c r="I85" i="2"/>
  <c r="H85" i="2"/>
  <c r="BU86" i="2"/>
  <c r="BT86" i="2"/>
  <c r="BQ87" i="2"/>
  <c r="BS86" i="2"/>
  <c r="BV86" i="2"/>
  <c r="BR86" i="2"/>
  <c r="FI86" i="5"/>
  <c r="FE86" i="5"/>
  <c r="EZ86" i="5"/>
  <c r="EV86" i="5"/>
  <c r="EQ86" i="5"/>
  <c r="EM86" i="5"/>
  <c r="EH86" i="5"/>
  <c r="ED86" i="5"/>
  <c r="DZ86" i="5"/>
  <c r="DV86" i="5"/>
  <c r="DR86" i="5"/>
  <c r="DN86" i="5"/>
  <c r="DJ86" i="5"/>
  <c r="DF86" i="5"/>
  <c r="DB86" i="5"/>
  <c r="CX86" i="5"/>
  <c r="CU87" i="5"/>
  <c r="FH86" i="5"/>
  <c r="EY86" i="5"/>
  <c r="EU86" i="5"/>
  <c r="EP86" i="5"/>
  <c r="EL86" i="5"/>
  <c r="EG86" i="5"/>
  <c r="EC86" i="5"/>
  <c r="DY86" i="5"/>
  <c r="DU86" i="5"/>
  <c r="DQ86" i="5"/>
  <c r="DM86" i="5"/>
  <c r="DI86" i="5"/>
  <c r="DE86" i="5"/>
  <c r="DA86" i="5"/>
  <c r="CW86" i="5"/>
  <c r="FK86" i="5"/>
  <c r="FG86" i="5"/>
  <c r="FB86" i="5"/>
  <c r="EX86" i="5"/>
  <c r="EO86" i="5"/>
  <c r="EK86" i="5"/>
  <c r="EF86" i="5"/>
  <c r="EB86" i="5"/>
  <c r="DX86" i="5"/>
  <c r="DT86" i="5"/>
  <c r="DP86" i="5"/>
  <c r="DL86" i="5"/>
  <c r="DH86" i="5"/>
  <c r="DD86" i="5"/>
  <c r="CZ86" i="5"/>
  <c r="CV86" i="5"/>
  <c r="FJ86" i="5"/>
  <c r="FF86" i="5"/>
  <c r="FA86" i="5"/>
  <c r="EW86" i="5"/>
  <c r="ER86" i="5"/>
  <c r="EN86" i="5"/>
  <c r="EE86" i="5"/>
  <c r="EA86" i="5"/>
  <c r="DW86" i="5"/>
  <c r="DS86" i="5"/>
  <c r="DO86" i="5"/>
  <c r="DK86" i="5"/>
  <c r="DG86" i="5"/>
  <c r="DC86" i="5"/>
  <c r="CY86" i="5"/>
  <c r="BG86" i="2"/>
  <c r="BF87" i="2"/>
  <c r="BH86" i="2"/>
  <c r="S8" i="21"/>
  <c r="S2" i="21"/>
  <c r="AH86" i="5"/>
  <c r="AN85" i="5"/>
  <c r="AJ85" i="5"/>
  <c r="AM85" i="5"/>
  <c r="AI85" i="5"/>
  <c r="AL85" i="5"/>
  <c r="AO85" i="5"/>
  <c r="AK85" i="5"/>
  <c r="BQ87" i="5"/>
  <c r="BS86" i="5"/>
  <c r="BV86" i="5"/>
  <c r="BR86" i="5"/>
  <c r="BU86" i="5"/>
  <c r="BT86" i="5"/>
  <c r="CK86" i="5"/>
  <c r="CN86" i="5"/>
  <c r="CJ86" i="5"/>
  <c r="CG87" i="5"/>
  <c r="CM86" i="5"/>
  <c r="CI86" i="5"/>
  <c r="CL86" i="5"/>
  <c r="CH86" i="5"/>
  <c r="AE85" i="5"/>
  <c r="AA85" i="5"/>
  <c r="X86" i="5"/>
  <c r="AD85" i="5"/>
  <c r="Z85" i="5"/>
  <c r="AC85" i="5"/>
  <c r="Y85" i="5"/>
  <c r="AF85" i="5"/>
  <c r="AB85" i="5"/>
  <c r="GW92" i="2"/>
  <c r="FM93" i="2"/>
  <c r="GZ92" i="2"/>
  <c r="GV92" i="2"/>
  <c r="GY92" i="2"/>
  <c r="GU92" i="2"/>
  <c r="GX92" i="2"/>
  <c r="L84" i="2"/>
  <c r="AQ87" i="2"/>
  <c r="AW86" i="2"/>
  <c r="AX86" i="2"/>
  <c r="AT86" i="2"/>
  <c r="IL32" i="2"/>
  <c r="IF32" i="2" s="1"/>
  <c r="IG32" i="2" s="1"/>
  <c r="H85" i="5"/>
  <c r="J85" i="5"/>
  <c r="AR85" i="5" s="1"/>
  <c r="G86" i="5"/>
  <c r="I85" i="5"/>
  <c r="IJ31" i="5"/>
  <c r="IK31" i="5" s="1"/>
  <c r="L30" i="5"/>
  <c r="AI31" i="5"/>
  <c r="CB86" i="5"/>
  <c r="CE86" i="5"/>
  <c r="CA86" i="5"/>
  <c r="BX87" i="5"/>
  <c r="BZ86" i="5"/>
  <c r="BY86" i="5"/>
  <c r="IL86" i="5"/>
  <c r="IH86" i="5"/>
  <c r="IE87" i="5"/>
  <c r="IK86" i="5"/>
  <c r="IG86" i="5"/>
  <c r="IJ86" i="5"/>
  <c r="IF86" i="5"/>
  <c r="II86" i="5"/>
  <c r="AQ86" i="5"/>
  <c r="AW85" i="5"/>
  <c r="AX85" i="5"/>
  <c r="AT85" i="5"/>
  <c r="IL31" i="5" l="1"/>
  <c r="IF31" i="5" s="1"/>
  <c r="IG31" i="5" s="1"/>
  <c r="II31" i="5" s="1"/>
  <c r="IL31" i="2"/>
  <c r="IF31" i="2" s="1"/>
  <c r="IG31" i="2" s="1"/>
  <c r="H86" i="2"/>
  <c r="J86" i="2"/>
  <c r="L86" i="2" s="1"/>
  <c r="G87" i="2"/>
  <c r="I86" i="2"/>
  <c r="J86" i="5"/>
  <c r="L86" i="5" s="1"/>
  <c r="G87" i="5"/>
  <c r="I86" i="5"/>
  <c r="H86" i="5"/>
  <c r="IH32" i="2"/>
  <c r="II32" i="2"/>
  <c r="U88" i="5"/>
  <c r="BF89" i="5"/>
  <c r="BH88" i="5"/>
  <c r="BG88" i="5"/>
  <c r="GY89" i="5"/>
  <c r="GU89" i="5"/>
  <c r="GW89" i="5"/>
  <c r="GV89" i="5"/>
  <c r="FM90" i="5"/>
  <c r="GZ89" i="5"/>
  <c r="GX89" i="5"/>
  <c r="AL87" i="2"/>
  <c r="AO87" i="2"/>
  <c r="AK87" i="2"/>
  <c r="AH88" i="2"/>
  <c r="AN87" i="2"/>
  <c r="AJ87" i="2"/>
  <c r="AM87" i="2"/>
  <c r="AI87" i="2"/>
  <c r="AZ87" i="5"/>
  <c r="BA86" i="5"/>
  <c r="BJ88" i="5"/>
  <c r="BL87" i="5"/>
  <c r="BO87" i="5"/>
  <c r="BK87" i="5"/>
  <c r="BN87" i="5"/>
  <c r="BM87" i="5"/>
  <c r="BN87" i="2"/>
  <c r="BM87" i="2"/>
  <c r="BJ88" i="2"/>
  <c r="BL87" i="2"/>
  <c r="BO87" i="2"/>
  <c r="BK87" i="2"/>
  <c r="CG88" i="5"/>
  <c r="CM87" i="5"/>
  <c r="CI87" i="5"/>
  <c r="CL87" i="5"/>
  <c r="CH87" i="5"/>
  <c r="CK87" i="5"/>
  <c r="CN87" i="5"/>
  <c r="CJ87" i="5"/>
  <c r="FK87" i="5"/>
  <c r="FG87" i="5"/>
  <c r="FB87" i="5"/>
  <c r="EX87" i="5"/>
  <c r="EO87" i="5"/>
  <c r="EK87" i="5"/>
  <c r="EF87" i="5"/>
  <c r="EB87" i="5"/>
  <c r="DX87" i="5"/>
  <c r="DT87" i="5"/>
  <c r="DP87" i="5"/>
  <c r="DL87" i="5"/>
  <c r="DH87" i="5"/>
  <c r="DD87" i="5"/>
  <c r="CZ87" i="5"/>
  <c r="CV87" i="5"/>
  <c r="FJ87" i="5"/>
  <c r="FF87" i="5"/>
  <c r="FA87" i="5"/>
  <c r="EW87" i="5"/>
  <c r="ER87" i="5"/>
  <c r="EN87" i="5"/>
  <c r="EE87" i="5"/>
  <c r="EA87" i="5"/>
  <c r="DW87" i="5"/>
  <c r="DS87" i="5"/>
  <c r="DO87" i="5"/>
  <c r="DK87" i="5"/>
  <c r="DG87" i="5"/>
  <c r="DC87" i="5"/>
  <c r="CY87" i="5"/>
  <c r="FI87" i="5"/>
  <c r="FE87" i="5"/>
  <c r="EZ87" i="5"/>
  <c r="EV87" i="5"/>
  <c r="EQ87" i="5"/>
  <c r="EM87" i="5"/>
  <c r="EH87" i="5"/>
  <c r="ED87" i="5"/>
  <c r="DZ87" i="5"/>
  <c r="DV87" i="5"/>
  <c r="DR87" i="5"/>
  <c r="DN87" i="5"/>
  <c r="DJ87" i="5"/>
  <c r="DF87" i="5"/>
  <c r="DB87" i="5"/>
  <c r="CX87" i="5"/>
  <c r="CU88" i="5"/>
  <c r="FH87" i="5"/>
  <c r="EY87" i="5"/>
  <c r="EU87" i="5"/>
  <c r="EP87" i="5"/>
  <c r="EL87" i="5"/>
  <c r="EG87" i="5"/>
  <c r="EC87" i="5"/>
  <c r="DY87" i="5"/>
  <c r="DU87" i="5"/>
  <c r="DQ87" i="5"/>
  <c r="DM87" i="5"/>
  <c r="DI87" i="5"/>
  <c r="DE87" i="5"/>
  <c r="DA87" i="5"/>
  <c r="CW87" i="5"/>
  <c r="BQ88" i="2"/>
  <c r="BS87" i="2"/>
  <c r="BV87" i="2"/>
  <c r="BR87" i="2"/>
  <c r="BU87" i="2"/>
  <c r="BT87" i="2"/>
  <c r="AR85" i="2"/>
  <c r="AK31" i="2"/>
  <c r="AN32" i="2"/>
  <c r="AO32" i="2"/>
  <c r="CB87" i="2"/>
  <c r="CE87" i="2"/>
  <c r="CA87" i="2"/>
  <c r="BX88" i="2"/>
  <c r="BZ87" i="2"/>
  <c r="BY87" i="2"/>
  <c r="FI87" i="2"/>
  <c r="FE87" i="2"/>
  <c r="EZ87" i="2"/>
  <c r="EV87" i="2"/>
  <c r="EQ87" i="2"/>
  <c r="EM87" i="2"/>
  <c r="EH87" i="2"/>
  <c r="ED87" i="2"/>
  <c r="DZ87" i="2"/>
  <c r="DV87" i="2"/>
  <c r="DR87" i="2"/>
  <c r="DN87" i="2"/>
  <c r="DJ87" i="2"/>
  <c r="DF87" i="2"/>
  <c r="DB87" i="2"/>
  <c r="CX87" i="2"/>
  <c r="CU88" i="2"/>
  <c r="FH87" i="2"/>
  <c r="EY87" i="2"/>
  <c r="EU87" i="2"/>
  <c r="EP87" i="2"/>
  <c r="EL87" i="2"/>
  <c r="EG87" i="2"/>
  <c r="EC87" i="2"/>
  <c r="DY87" i="2"/>
  <c r="DU87" i="2"/>
  <c r="DQ87" i="2"/>
  <c r="DM87" i="2"/>
  <c r="DI87" i="2"/>
  <c r="DE87" i="2"/>
  <c r="DA87" i="2"/>
  <c r="CW87" i="2"/>
  <c r="FK87" i="2"/>
  <c r="FG87" i="2"/>
  <c r="FB87" i="2"/>
  <c r="EX87" i="2"/>
  <c r="EO87" i="2"/>
  <c r="EK87" i="2"/>
  <c r="EF87" i="2"/>
  <c r="EB87" i="2"/>
  <c r="DX87" i="2"/>
  <c r="DT87" i="2"/>
  <c r="DP87" i="2"/>
  <c r="DL87" i="2"/>
  <c r="DH87" i="2"/>
  <c r="DD87" i="2"/>
  <c r="CZ87" i="2"/>
  <c r="CV87" i="2"/>
  <c r="FJ87" i="2"/>
  <c r="FF87" i="2"/>
  <c r="FA87" i="2"/>
  <c r="EW87" i="2"/>
  <c r="ER87" i="2"/>
  <c r="EN87" i="2"/>
  <c r="EE87" i="2"/>
  <c r="EA87" i="2"/>
  <c r="DW87" i="2"/>
  <c r="DS87" i="2"/>
  <c r="DO87" i="2"/>
  <c r="DK87" i="2"/>
  <c r="DG87" i="2"/>
  <c r="DC87" i="2"/>
  <c r="CY87" i="2"/>
  <c r="IL87" i="2"/>
  <c r="IH87" i="2"/>
  <c r="IE88" i="2"/>
  <c r="IK87" i="2"/>
  <c r="IG87" i="2"/>
  <c r="IJ87" i="2"/>
  <c r="IF87" i="2"/>
  <c r="II87" i="2"/>
  <c r="AE86" i="2"/>
  <c r="AA86" i="2"/>
  <c r="X87" i="2"/>
  <c r="AD86" i="2"/>
  <c r="Z86" i="2"/>
  <c r="AC86" i="2"/>
  <c r="Y86" i="2"/>
  <c r="AF86" i="2"/>
  <c r="AB86" i="2"/>
  <c r="U88" i="2"/>
  <c r="IJ87" i="5"/>
  <c r="IF87" i="5"/>
  <c r="II87" i="5"/>
  <c r="IL87" i="5"/>
  <c r="IH87" i="5"/>
  <c r="IE88" i="5"/>
  <c r="IK87" i="5"/>
  <c r="IG87" i="5"/>
  <c r="IJ30" i="5"/>
  <c r="IK30" i="5" s="1"/>
  <c r="L29" i="5"/>
  <c r="AI30" i="5"/>
  <c r="AX87" i="2"/>
  <c r="AT87" i="2"/>
  <c r="AQ88" i="2"/>
  <c r="AW87" i="2"/>
  <c r="CK87" i="2"/>
  <c r="CN87" i="2"/>
  <c r="CJ87" i="2"/>
  <c r="CG88" i="2"/>
  <c r="CM87" i="2"/>
  <c r="CI87" i="2"/>
  <c r="CL87" i="2"/>
  <c r="CH87" i="2"/>
  <c r="BX88" i="5"/>
  <c r="BZ87" i="5"/>
  <c r="BY87" i="5"/>
  <c r="CB87" i="5"/>
  <c r="CE87" i="5"/>
  <c r="CA87" i="5"/>
  <c r="AX86" i="5"/>
  <c r="AT86" i="5"/>
  <c r="AQ87" i="5"/>
  <c r="AW86" i="5"/>
  <c r="AR86" i="5"/>
  <c r="AK31" i="5"/>
  <c r="L85" i="5"/>
  <c r="FM94" i="2"/>
  <c r="GZ93" i="2"/>
  <c r="GV93" i="2"/>
  <c r="GY93" i="2"/>
  <c r="GU93" i="2"/>
  <c r="GX93" i="2"/>
  <c r="GW93" i="2"/>
  <c r="AC86" i="5"/>
  <c r="Y86" i="5"/>
  <c r="AF86" i="5"/>
  <c r="AB86" i="5"/>
  <c r="AE86" i="5"/>
  <c r="AA86" i="5"/>
  <c r="X87" i="5"/>
  <c r="AD86" i="5"/>
  <c r="Z86" i="5"/>
  <c r="BU87" i="5"/>
  <c r="BT87" i="5"/>
  <c r="BQ88" i="5"/>
  <c r="BS87" i="5"/>
  <c r="BV87" i="5"/>
  <c r="BR87" i="5"/>
  <c r="AL86" i="5"/>
  <c r="AO86" i="5"/>
  <c r="AK86" i="5"/>
  <c r="AH87" i="5"/>
  <c r="AN86" i="5"/>
  <c r="AJ86" i="5"/>
  <c r="AM86" i="5"/>
  <c r="AI86" i="5"/>
  <c r="BF88" i="2"/>
  <c r="BH87" i="2"/>
  <c r="BG87" i="2"/>
  <c r="L85" i="2"/>
  <c r="AO32" i="5"/>
  <c r="AN32" i="5"/>
  <c r="AI30" i="2"/>
  <c r="IJ30" i="2"/>
  <c r="IK30" i="2" s="1"/>
  <c r="L29" i="2"/>
  <c r="IH32" i="5"/>
  <c r="II32" i="5"/>
  <c r="S13" i="21" s="1"/>
  <c r="A90" i="19"/>
  <c r="C89" i="19"/>
  <c r="B89" i="19"/>
  <c r="D89" i="19" s="1"/>
  <c r="E89" i="19"/>
  <c r="F89" i="19" s="1"/>
  <c r="AZ88" i="2"/>
  <c r="BA87" i="2"/>
  <c r="S35" i="21" l="1"/>
  <c r="IH31" i="5"/>
  <c r="FM95" i="2"/>
  <c r="GX94" i="2"/>
  <c r="GW94" i="2"/>
  <c r="GZ94" i="2"/>
  <c r="GV94" i="2"/>
  <c r="GY94" i="2"/>
  <c r="GU94" i="2"/>
  <c r="L28" i="5"/>
  <c r="IJ29" i="5"/>
  <c r="IK29" i="5" s="1"/>
  <c r="AI29" i="5"/>
  <c r="AZ89" i="2"/>
  <c r="BA88" i="2"/>
  <c r="A91" i="19"/>
  <c r="C90" i="19"/>
  <c r="B90" i="19"/>
  <c r="D90" i="19" s="1"/>
  <c r="E90" i="19"/>
  <c r="F90" i="19" s="1"/>
  <c r="AI29" i="2"/>
  <c r="IJ29" i="2"/>
  <c r="IK29" i="2" s="1"/>
  <c r="L28" i="2"/>
  <c r="AK30" i="2"/>
  <c r="AE87" i="5"/>
  <c r="AA87" i="5"/>
  <c r="X88" i="5"/>
  <c r="AD87" i="5"/>
  <c r="Z87" i="5"/>
  <c r="AC87" i="5"/>
  <c r="Y87" i="5"/>
  <c r="AF87" i="5"/>
  <c r="AB87" i="5"/>
  <c r="CG89" i="2"/>
  <c r="CM88" i="2"/>
  <c r="CI88" i="2"/>
  <c r="CL88" i="2"/>
  <c r="CH88" i="2"/>
  <c r="CK88" i="2"/>
  <c r="CN88" i="2"/>
  <c r="CJ88" i="2"/>
  <c r="AQ89" i="2"/>
  <c r="AW88" i="2"/>
  <c r="AX88" i="2"/>
  <c r="AT88" i="2"/>
  <c r="AK30" i="5"/>
  <c r="U89" i="2"/>
  <c r="FK88" i="2"/>
  <c r="FG88" i="2"/>
  <c r="FB88" i="2"/>
  <c r="EX88" i="2"/>
  <c r="EO88" i="2"/>
  <c r="EK88" i="2"/>
  <c r="EF88" i="2"/>
  <c r="EB88" i="2"/>
  <c r="DX88" i="2"/>
  <c r="DT88" i="2"/>
  <c r="DP88" i="2"/>
  <c r="DL88" i="2"/>
  <c r="DH88" i="2"/>
  <c r="DD88" i="2"/>
  <c r="CZ88" i="2"/>
  <c r="CV88" i="2"/>
  <c r="FJ88" i="2"/>
  <c r="FF88" i="2"/>
  <c r="FA88" i="2"/>
  <c r="EW88" i="2"/>
  <c r="ER88" i="2"/>
  <c r="EN88" i="2"/>
  <c r="EE88" i="2"/>
  <c r="EA88" i="2"/>
  <c r="DW88" i="2"/>
  <c r="DS88" i="2"/>
  <c r="DO88" i="2"/>
  <c r="DK88" i="2"/>
  <c r="DG88" i="2"/>
  <c r="DC88" i="2"/>
  <c r="CY88" i="2"/>
  <c r="FI88" i="2"/>
  <c r="FE88" i="2"/>
  <c r="EZ88" i="2"/>
  <c r="EV88" i="2"/>
  <c r="EQ88" i="2"/>
  <c r="EM88" i="2"/>
  <c r="EH88" i="2"/>
  <c r="ED88" i="2"/>
  <c r="DZ88" i="2"/>
  <c r="DV88" i="2"/>
  <c r="DR88" i="2"/>
  <c r="DN88" i="2"/>
  <c r="DJ88" i="2"/>
  <c r="DF88" i="2"/>
  <c r="DB88" i="2"/>
  <c r="CX88" i="2"/>
  <c r="CU89" i="2"/>
  <c r="FH88" i="2"/>
  <c r="EY88" i="2"/>
  <c r="EU88" i="2"/>
  <c r="EP88" i="2"/>
  <c r="EL88" i="2"/>
  <c r="EG88" i="2"/>
  <c r="EC88" i="2"/>
  <c r="DY88" i="2"/>
  <c r="DU88" i="2"/>
  <c r="DQ88" i="2"/>
  <c r="DM88" i="2"/>
  <c r="DI88" i="2"/>
  <c r="DE88" i="2"/>
  <c r="DA88" i="2"/>
  <c r="CW88" i="2"/>
  <c r="AH89" i="2"/>
  <c r="AN88" i="2"/>
  <c r="AJ88" i="2"/>
  <c r="AM88" i="2"/>
  <c r="AI88" i="2"/>
  <c r="AL88" i="2"/>
  <c r="AO88" i="2"/>
  <c r="AK88" i="2"/>
  <c r="BG89" i="5"/>
  <c r="BF90" i="5"/>
  <c r="BH89" i="5"/>
  <c r="II31" i="2"/>
  <c r="IH31" i="2"/>
  <c r="IL88" i="5"/>
  <c r="IH88" i="5"/>
  <c r="IK88" i="5"/>
  <c r="IG88" i="5"/>
  <c r="IJ88" i="5"/>
  <c r="IF88" i="5"/>
  <c r="IE89" i="5"/>
  <c r="II88" i="5"/>
  <c r="CK88" i="5"/>
  <c r="CN88" i="5"/>
  <c r="CJ88" i="5"/>
  <c r="CG89" i="5"/>
  <c r="CM88" i="5"/>
  <c r="CI88" i="5"/>
  <c r="CL88" i="5"/>
  <c r="CH88" i="5"/>
  <c r="GY90" i="5"/>
  <c r="GU90" i="5"/>
  <c r="GW90" i="5"/>
  <c r="GX90" i="5"/>
  <c r="GV90" i="5"/>
  <c r="FM91" i="5"/>
  <c r="GZ90" i="5"/>
  <c r="U89" i="5"/>
  <c r="H87" i="5"/>
  <c r="J87" i="5"/>
  <c r="AR87" i="5" s="1"/>
  <c r="G88" i="5"/>
  <c r="I87" i="5"/>
  <c r="AR86" i="2"/>
  <c r="BU88" i="2"/>
  <c r="BT88" i="2"/>
  <c r="BQ89" i="2"/>
  <c r="BS88" i="2"/>
  <c r="BV88" i="2"/>
  <c r="BR88" i="2"/>
  <c r="FI88" i="5"/>
  <c r="FE88" i="5"/>
  <c r="EZ88" i="5"/>
  <c r="EV88" i="5"/>
  <c r="EQ88" i="5"/>
  <c r="EM88" i="5"/>
  <c r="EH88" i="5"/>
  <c r="ED88" i="5"/>
  <c r="DZ88" i="5"/>
  <c r="DV88" i="5"/>
  <c r="DR88" i="5"/>
  <c r="DN88" i="5"/>
  <c r="DJ88" i="5"/>
  <c r="DF88" i="5"/>
  <c r="DB88" i="5"/>
  <c r="CX88" i="5"/>
  <c r="CU89" i="5"/>
  <c r="FH88" i="5"/>
  <c r="EY88" i="5"/>
  <c r="EU88" i="5"/>
  <c r="EP88" i="5"/>
  <c r="EL88" i="5"/>
  <c r="EG88" i="5"/>
  <c r="EC88" i="5"/>
  <c r="DY88" i="5"/>
  <c r="DU88" i="5"/>
  <c r="DQ88" i="5"/>
  <c r="DM88" i="5"/>
  <c r="DI88" i="5"/>
  <c r="DE88" i="5"/>
  <c r="DA88" i="5"/>
  <c r="CW88" i="5"/>
  <c r="FK88" i="5"/>
  <c r="FG88" i="5"/>
  <c r="FB88" i="5"/>
  <c r="EX88" i="5"/>
  <c r="EO88" i="5"/>
  <c r="EK88" i="5"/>
  <c r="EF88" i="5"/>
  <c r="EB88" i="5"/>
  <c r="DX88" i="5"/>
  <c r="DT88" i="5"/>
  <c r="DP88" i="5"/>
  <c r="DL88" i="5"/>
  <c r="DH88" i="5"/>
  <c r="DD88" i="5"/>
  <c r="CZ88" i="5"/>
  <c r="CV88" i="5"/>
  <c r="FJ88" i="5"/>
  <c r="FF88" i="5"/>
  <c r="FA88" i="5"/>
  <c r="EW88" i="5"/>
  <c r="ER88" i="5"/>
  <c r="EN88" i="5"/>
  <c r="EE88" i="5"/>
  <c r="EA88" i="5"/>
  <c r="DW88" i="5"/>
  <c r="DS88" i="5"/>
  <c r="DO88" i="5"/>
  <c r="DK88" i="5"/>
  <c r="DG88" i="5"/>
  <c r="DC88" i="5"/>
  <c r="CY88" i="5"/>
  <c r="BJ89" i="2"/>
  <c r="BL88" i="2"/>
  <c r="BO88" i="2"/>
  <c r="BK88" i="2"/>
  <c r="BN88" i="2"/>
  <c r="BM88" i="2"/>
  <c r="BN88" i="5"/>
  <c r="BM88" i="5"/>
  <c r="BJ89" i="5"/>
  <c r="BL88" i="5"/>
  <c r="BO88" i="5"/>
  <c r="BK88" i="5"/>
  <c r="J87" i="2"/>
  <c r="G88" i="2"/>
  <c r="I87" i="2"/>
  <c r="H87" i="2"/>
  <c r="BG88" i="2"/>
  <c r="BF89" i="2"/>
  <c r="BH88" i="2"/>
  <c r="BQ89" i="5"/>
  <c r="BS88" i="5"/>
  <c r="BV88" i="5"/>
  <c r="BR88" i="5"/>
  <c r="BU88" i="5"/>
  <c r="BT88" i="5"/>
  <c r="IL30" i="2"/>
  <c r="IF30" i="2" s="1"/>
  <c r="IG30" i="2" s="1"/>
  <c r="AH88" i="5"/>
  <c r="AN87" i="5"/>
  <c r="AJ87" i="5"/>
  <c r="AM87" i="5"/>
  <c r="AI87" i="5"/>
  <c r="AL87" i="5"/>
  <c r="AO87" i="5"/>
  <c r="AK87" i="5"/>
  <c r="AO31" i="5"/>
  <c r="AN31" i="5"/>
  <c r="AQ88" i="5"/>
  <c r="AW87" i="5"/>
  <c r="AX87" i="5"/>
  <c r="AT87" i="5"/>
  <c r="CB88" i="5"/>
  <c r="CE88" i="5"/>
  <c r="CA88" i="5"/>
  <c r="BX89" i="5"/>
  <c r="BZ88" i="5"/>
  <c r="BY88" i="5"/>
  <c r="IL30" i="5"/>
  <c r="IF30" i="5" s="1"/>
  <c r="IG30" i="5" s="1"/>
  <c r="AC87" i="2"/>
  <c r="Y87" i="2"/>
  <c r="AF87" i="2"/>
  <c r="AB87" i="2"/>
  <c r="AE87" i="2"/>
  <c r="AA87" i="2"/>
  <c r="X88" i="2"/>
  <c r="AD87" i="2"/>
  <c r="Z87" i="2"/>
  <c r="IJ88" i="2"/>
  <c r="IF88" i="2"/>
  <c r="II88" i="2"/>
  <c r="IL88" i="2"/>
  <c r="IH88" i="2"/>
  <c r="IE89" i="2"/>
  <c r="IK88" i="2"/>
  <c r="IG88" i="2"/>
  <c r="BX89" i="2"/>
  <c r="BZ88" i="2"/>
  <c r="BY88" i="2"/>
  <c r="CB88" i="2"/>
  <c r="CE88" i="2"/>
  <c r="CA88" i="2"/>
  <c r="AO31" i="2"/>
  <c r="AN31" i="2"/>
  <c r="AZ88" i="5"/>
  <c r="BA87" i="5"/>
  <c r="IL29" i="2" l="1"/>
  <c r="L87" i="5"/>
  <c r="IF29" i="2"/>
  <c r="IG29" i="2" s="1"/>
  <c r="IH29" i="2" s="1"/>
  <c r="U90" i="5"/>
  <c r="AC88" i="5"/>
  <c r="Y88" i="5"/>
  <c r="AF88" i="5"/>
  <c r="AB88" i="5"/>
  <c r="AE88" i="5"/>
  <c r="AA88" i="5"/>
  <c r="X89" i="5"/>
  <c r="AD88" i="5"/>
  <c r="Z88" i="5"/>
  <c r="AK29" i="2"/>
  <c r="AZ89" i="5"/>
  <c r="BA88" i="5"/>
  <c r="BQ90" i="5"/>
  <c r="BU89" i="5"/>
  <c r="BT89" i="5"/>
  <c r="BS89" i="5"/>
  <c r="BV89" i="5"/>
  <c r="BR89" i="5"/>
  <c r="H88" i="2"/>
  <c r="J88" i="2"/>
  <c r="L88" i="2" s="1"/>
  <c r="G89" i="2"/>
  <c r="I88" i="2"/>
  <c r="FI89" i="5"/>
  <c r="FE89" i="5"/>
  <c r="EZ89" i="5"/>
  <c r="CU90" i="5"/>
  <c r="FJ89" i="5"/>
  <c r="EX89" i="5"/>
  <c r="EO89" i="5"/>
  <c r="EK89" i="5"/>
  <c r="EF89" i="5"/>
  <c r="EB89" i="5"/>
  <c r="DX89" i="5"/>
  <c r="DT89" i="5"/>
  <c r="DP89" i="5"/>
  <c r="DL89" i="5"/>
  <c r="DH89" i="5"/>
  <c r="DD89" i="5"/>
  <c r="CZ89" i="5"/>
  <c r="CV89" i="5"/>
  <c r="FH89" i="5"/>
  <c r="FB89" i="5"/>
  <c r="EW89" i="5"/>
  <c r="ER89" i="5"/>
  <c r="EN89" i="5"/>
  <c r="EE89" i="5"/>
  <c r="EA89" i="5"/>
  <c r="DW89" i="5"/>
  <c r="DS89" i="5"/>
  <c r="DO89" i="5"/>
  <c r="DK89" i="5"/>
  <c r="DG89" i="5"/>
  <c r="DC89" i="5"/>
  <c r="CY89" i="5"/>
  <c r="FG89" i="5"/>
  <c r="FA89" i="5"/>
  <c r="EV89" i="5"/>
  <c r="EQ89" i="5"/>
  <c r="EM89" i="5"/>
  <c r="EH89" i="5"/>
  <c r="ED89" i="5"/>
  <c r="DZ89" i="5"/>
  <c r="DV89" i="5"/>
  <c r="DR89" i="5"/>
  <c r="DN89" i="5"/>
  <c r="DJ89" i="5"/>
  <c r="DF89" i="5"/>
  <c r="DB89" i="5"/>
  <c r="CX89" i="5"/>
  <c r="FK89" i="5"/>
  <c r="FF89" i="5"/>
  <c r="EY89" i="5"/>
  <c r="EU89" i="5"/>
  <c r="EP89" i="5"/>
  <c r="EL89" i="5"/>
  <c r="EG89" i="5"/>
  <c r="EC89" i="5"/>
  <c r="DY89" i="5"/>
  <c r="DU89" i="5"/>
  <c r="DQ89" i="5"/>
  <c r="DM89" i="5"/>
  <c r="DI89" i="5"/>
  <c r="DE89" i="5"/>
  <c r="DA89" i="5"/>
  <c r="CW89" i="5"/>
  <c r="BQ90" i="2"/>
  <c r="BS89" i="2"/>
  <c r="BV89" i="2"/>
  <c r="BR89" i="2"/>
  <c r="BU89" i="2"/>
  <c r="BT89" i="2"/>
  <c r="AX89" i="2"/>
  <c r="AT89" i="2"/>
  <c r="AQ90" i="2"/>
  <c r="AW89" i="2"/>
  <c r="A92" i="19"/>
  <c r="C91" i="19"/>
  <c r="B91" i="19"/>
  <c r="D91" i="19" s="1"/>
  <c r="E91" i="19"/>
  <c r="F91" i="19" s="1"/>
  <c r="CB89" i="2"/>
  <c r="CE89" i="2"/>
  <c r="CA89" i="2"/>
  <c r="BX90" i="2"/>
  <c r="BZ89" i="2"/>
  <c r="BY89" i="2"/>
  <c r="II30" i="5"/>
  <c r="IH30" i="5"/>
  <c r="BF90" i="2"/>
  <c r="BH89" i="2"/>
  <c r="BG89" i="2"/>
  <c r="L87" i="2"/>
  <c r="CM89" i="5"/>
  <c r="CI89" i="5"/>
  <c r="CL89" i="5"/>
  <c r="CH89" i="5"/>
  <c r="CK89" i="5"/>
  <c r="CG90" i="5"/>
  <c r="CN89" i="5"/>
  <c r="CJ89" i="5"/>
  <c r="IL89" i="5"/>
  <c r="IH89" i="5"/>
  <c r="II89" i="5"/>
  <c r="IE90" i="5"/>
  <c r="IG89" i="5"/>
  <c r="IK89" i="5"/>
  <c r="IF89" i="5"/>
  <c r="IJ89" i="5"/>
  <c r="AO30" i="5"/>
  <c r="AN30" i="5"/>
  <c r="L27" i="2"/>
  <c r="AI28" i="2"/>
  <c r="IJ28" i="2"/>
  <c r="IK28" i="2" s="1"/>
  <c r="AZ90" i="2"/>
  <c r="BA89" i="2"/>
  <c r="GW95" i="2"/>
  <c r="GY95" i="2"/>
  <c r="FM96" i="2"/>
  <c r="GX95" i="2"/>
  <c r="GV95" i="2"/>
  <c r="GZ95" i="2"/>
  <c r="GU95" i="2"/>
  <c r="AL88" i="5"/>
  <c r="AO88" i="5"/>
  <c r="AK88" i="5"/>
  <c r="AH89" i="5"/>
  <c r="AN88" i="5"/>
  <c r="AJ88" i="5"/>
  <c r="AM88" i="5"/>
  <c r="AI88" i="5"/>
  <c r="AN30" i="2"/>
  <c r="AO30" i="2"/>
  <c r="J88" i="5"/>
  <c r="AR88" i="5" s="1"/>
  <c r="G89" i="5"/>
  <c r="I88" i="5"/>
  <c r="H88" i="5"/>
  <c r="BG90" i="5"/>
  <c r="BF91" i="5"/>
  <c r="BH90" i="5"/>
  <c r="U90" i="2"/>
  <c r="CK89" i="2"/>
  <c r="CN89" i="2"/>
  <c r="CJ89" i="2"/>
  <c r="CG90" i="2"/>
  <c r="CM89" i="2"/>
  <c r="CI89" i="2"/>
  <c r="CL89" i="2"/>
  <c r="CH89" i="2"/>
  <c r="AK29" i="5"/>
  <c r="IL89" i="2"/>
  <c r="IH89" i="2"/>
  <c r="IE90" i="2"/>
  <c r="IK89" i="2"/>
  <c r="IG89" i="2"/>
  <c r="IJ89" i="2"/>
  <c r="IF89" i="2"/>
  <c r="II89" i="2"/>
  <c r="AE88" i="2"/>
  <c r="AA88" i="2"/>
  <c r="X89" i="2"/>
  <c r="AD88" i="2"/>
  <c r="Z88" i="2"/>
  <c r="AC88" i="2"/>
  <c r="Y88" i="2"/>
  <c r="AF88" i="2"/>
  <c r="AB88" i="2"/>
  <c r="BZ89" i="5"/>
  <c r="BY89" i="5"/>
  <c r="BX90" i="5"/>
  <c r="CB89" i="5"/>
  <c r="CE89" i="5"/>
  <c r="CA89" i="5"/>
  <c r="AX88" i="5"/>
  <c r="AT88" i="5"/>
  <c r="AQ89" i="5"/>
  <c r="AW88" i="5"/>
  <c r="IH30" i="2"/>
  <c r="II30" i="2"/>
  <c r="AR87" i="2"/>
  <c r="BL89" i="5"/>
  <c r="BO89" i="5"/>
  <c r="BK89" i="5"/>
  <c r="BN89" i="5"/>
  <c r="BJ90" i="5"/>
  <c r="BM89" i="5"/>
  <c r="BN89" i="2"/>
  <c r="BM89" i="2"/>
  <c r="BJ90" i="2"/>
  <c r="BL89" i="2"/>
  <c r="BO89" i="2"/>
  <c r="BK89" i="2"/>
  <c r="GW91" i="5"/>
  <c r="GY91" i="5"/>
  <c r="GU91" i="5"/>
  <c r="GX91" i="5"/>
  <c r="GV91" i="5"/>
  <c r="FM92" i="5"/>
  <c r="GZ91" i="5"/>
  <c r="AL89" i="2"/>
  <c r="AO89" i="2"/>
  <c r="AK89" i="2"/>
  <c r="AH90" i="2"/>
  <c r="AN89" i="2"/>
  <c r="AJ89" i="2"/>
  <c r="AM89" i="2"/>
  <c r="AI89" i="2"/>
  <c r="FI89" i="2"/>
  <c r="FE89" i="2"/>
  <c r="EZ89" i="2"/>
  <c r="EV89" i="2"/>
  <c r="EQ89" i="2"/>
  <c r="EM89" i="2"/>
  <c r="EH89" i="2"/>
  <c r="ED89" i="2"/>
  <c r="DZ89" i="2"/>
  <c r="DV89" i="2"/>
  <c r="DR89" i="2"/>
  <c r="DN89" i="2"/>
  <c r="DJ89" i="2"/>
  <c r="DF89" i="2"/>
  <c r="DB89" i="2"/>
  <c r="CX89" i="2"/>
  <c r="CU90" i="2"/>
  <c r="FH89" i="2"/>
  <c r="EY89" i="2"/>
  <c r="EU89" i="2"/>
  <c r="EP89" i="2"/>
  <c r="EL89" i="2"/>
  <c r="EG89" i="2"/>
  <c r="EC89" i="2"/>
  <c r="DY89" i="2"/>
  <c r="DU89" i="2"/>
  <c r="DQ89" i="2"/>
  <c r="DM89" i="2"/>
  <c r="DI89" i="2"/>
  <c r="DE89" i="2"/>
  <c r="DA89" i="2"/>
  <c r="CW89" i="2"/>
  <c r="FK89" i="2"/>
  <c r="FG89" i="2"/>
  <c r="FB89" i="2"/>
  <c r="EX89" i="2"/>
  <c r="EO89" i="2"/>
  <c r="EK89" i="2"/>
  <c r="EF89" i="2"/>
  <c r="EB89" i="2"/>
  <c r="DX89" i="2"/>
  <c r="DT89" i="2"/>
  <c r="DP89" i="2"/>
  <c r="DL89" i="2"/>
  <c r="DH89" i="2"/>
  <c r="DD89" i="2"/>
  <c r="CZ89" i="2"/>
  <c r="CV89" i="2"/>
  <c r="FJ89" i="2"/>
  <c r="FF89" i="2"/>
  <c r="FA89" i="2"/>
  <c r="EW89" i="2"/>
  <c r="ER89" i="2"/>
  <c r="EN89" i="2"/>
  <c r="EE89" i="2"/>
  <c r="EA89" i="2"/>
  <c r="DW89" i="2"/>
  <c r="DS89" i="2"/>
  <c r="DO89" i="2"/>
  <c r="DK89" i="2"/>
  <c r="DG89" i="2"/>
  <c r="DC89" i="2"/>
  <c r="CY89" i="2"/>
  <c r="IL29" i="5"/>
  <c r="IF29" i="5" s="1"/>
  <c r="IG29" i="5" s="1"/>
  <c r="IJ28" i="5"/>
  <c r="IK28" i="5" s="1"/>
  <c r="L27" i="5"/>
  <c r="AI28" i="5"/>
  <c r="IL28" i="2" l="1"/>
  <c r="IF28" i="2" s="1"/>
  <c r="IG28" i="2" s="1"/>
  <c r="IL28" i="5"/>
  <c r="IF28" i="5" s="1"/>
  <c r="IG28" i="5" s="1"/>
  <c r="IH28" i="5" s="1"/>
  <c r="II29" i="2"/>
  <c r="GY92" i="5"/>
  <c r="GU92" i="5"/>
  <c r="GW92" i="5"/>
  <c r="FM93" i="5"/>
  <c r="GZ92" i="5"/>
  <c r="GV92" i="5"/>
  <c r="GX92" i="5"/>
  <c r="BX91" i="5"/>
  <c r="BZ90" i="5"/>
  <c r="CE90" i="5"/>
  <c r="CA90" i="5"/>
  <c r="BY90" i="5"/>
  <c r="CB90" i="5"/>
  <c r="CG91" i="2"/>
  <c r="CM90" i="2"/>
  <c r="CI90" i="2"/>
  <c r="CL90" i="2"/>
  <c r="CH90" i="2"/>
  <c r="CK90" i="2"/>
  <c r="CN90" i="2"/>
  <c r="CJ90" i="2"/>
  <c r="AZ91" i="2"/>
  <c r="BA90" i="2"/>
  <c r="CG91" i="5"/>
  <c r="CM90" i="5"/>
  <c r="CI90" i="5"/>
  <c r="CK90" i="5"/>
  <c r="CJ90" i="5"/>
  <c r="CN90" i="5"/>
  <c r="CH90" i="5"/>
  <c r="CL90" i="5"/>
  <c r="BX91" i="2"/>
  <c r="BZ90" i="2"/>
  <c r="BY90" i="2"/>
  <c r="CB90" i="2"/>
  <c r="CE90" i="2"/>
  <c r="CA90" i="2"/>
  <c r="B92" i="19"/>
  <c r="D92" i="19" s="1"/>
  <c r="E92" i="19"/>
  <c r="F92" i="19" s="1"/>
  <c r="A93" i="19"/>
  <c r="C92" i="19"/>
  <c r="BU90" i="2"/>
  <c r="BT90" i="2"/>
  <c r="BQ91" i="2"/>
  <c r="BS90" i="2"/>
  <c r="BV90" i="2"/>
  <c r="BR90" i="2"/>
  <c r="FI90" i="5"/>
  <c r="FE90" i="5"/>
  <c r="EZ90" i="5"/>
  <c r="EV90" i="5"/>
  <c r="EQ90" i="5"/>
  <c r="EM90" i="5"/>
  <c r="EH90" i="5"/>
  <c r="ED90" i="5"/>
  <c r="DZ90" i="5"/>
  <c r="DV90" i="5"/>
  <c r="DR90" i="5"/>
  <c r="DN90" i="5"/>
  <c r="DJ90" i="5"/>
  <c r="DF90" i="5"/>
  <c r="DB90" i="5"/>
  <c r="FK90" i="5"/>
  <c r="FG90" i="5"/>
  <c r="FB90" i="5"/>
  <c r="EX90" i="5"/>
  <c r="EO90" i="5"/>
  <c r="EK90" i="5"/>
  <c r="EF90" i="5"/>
  <c r="EB90" i="5"/>
  <c r="DX90" i="5"/>
  <c r="DT90" i="5"/>
  <c r="DP90" i="5"/>
  <c r="DL90" i="5"/>
  <c r="DH90" i="5"/>
  <c r="DD90" i="5"/>
  <c r="CZ90" i="5"/>
  <c r="CV90" i="5"/>
  <c r="FH90" i="5"/>
  <c r="EY90" i="5"/>
  <c r="EP90" i="5"/>
  <c r="EG90" i="5"/>
  <c r="DY90" i="5"/>
  <c r="DQ90" i="5"/>
  <c r="DI90" i="5"/>
  <c r="DA90" i="5"/>
  <c r="FF90" i="5"/>
  <c r="EW90" i="5"/>
  <c r="EN90" i="5"/>
  <c r="EE90" i="5"/>
  <c r="DW90" i="5"/>
  <c r="DO90" i="5"/>
  <c r="DG90" i="5"/>
  <c r="CY90" i="5"/>
  <c r="EU90" i="5"/>
  <c r="EL90" i="5"/>
  <c r="EC90" i="5"/>
  <c r="DU90" i="5"/>
  <c r="DM90" i="5"/>
  <c r="DE90" i="5"/>
  <c r="CX90" i="5"/>
  <c r="CU91" i="5"/>
  <c r="FJ90" i="5"/>
  <c r="FA90" i="5"/>
  <c r="ER90" i="5"/>
  <c r="EA90" i="5"/>
  <c r="DS90" i="5"/>
  <c r="DK90" i="5"/>
  <c r="DC90" i="5"/>
  <c r="CW90" i="5"/>
  <c r="AN29" i="2"/>
  <c r="AO29" i="2"/>
  <c r="U91" i="5"/>
  <c r="J89" i="2"/>
  <c r="L89" i="2" s="1"/>
  <c r="G90" i="2"/>
  <c r="I89" i="2"/>
  <c r="H89" i="2"/>
  <c r="AZ90" i="5"/>
  <c r="BA89" i="5"/>
  <c r="II29" i="5"/>
  <c r="IH29" i="5"/>
  <c r="BJ91" i="2"/>
  <c r="BL90" i="2"/>
  <c r="BO90" i="2"/>
  <c r="BK90" i="2"/>
  <c r="BN90" i="2"/>
  <c r="BM90" i="2"/>
  <c r="BJ91" i="5"/>
  <c r="BL90" i="5"/>
  <c r="BN90" i="5"/>
  <c r="BM90" i="5"/>
  <c r="BK90" i="5"/>
  <c r="BO90" i="5"/>
  <c r="AW89" i="5"/>
  <c r="AQ90" i="5"/>
  <c r="AX89" i="5"/>
  <c r="AT89" i="5"/>
  <c r="AC89" i="2"/>
  <c r="Y89" i="2"/>
  <c r="AF89" i="2"/>
  <c r="AB89" i="2"/>
  <c r="AE89" i="2"/>
  <c r="AA89" i="2"/>
  <c r="X90" i="2"/>
  <c r="AD89" i="2"/>
  <c r="Z89" i="2"/>
  <c r="IJ90" i="2"/>
  <c r="IF90" i="2"/>
  <c r="IE91" i="2"/>
  <c r="II90" i="2"/>
  <c r="IL90" i="2"/>
  <c r="IH90" i="2"/>
  <c r="IK90" i="2"/>
  <c r="IG90" i="2"/>
  <c r="U91" i="2"/>
  <c r="AR88" i="2"/>
  <c r="X90" i="5"/>
  <c r="AE89" i="5"/>
  <c r="AA89" i="5"/>
  <c r="AD89" i="5"/>
  <c r="Z89" i="5"/>
  <c r="AC89" i="5"/>
  <c r="Y89" i="5"/>
  <c r="AF89" i="5"/>
  <c r="AB89" i="5"/>
  <c r="BG91" i="5"/>
  <c r="BF92" i="5"/>
  <c r="BH91" i="5"/>
  <c r="H89" i="5"/>
  <c r="J89" i="5"/>
  <c r="AR89" i="5" s="1"/>
  <c r="G90" i="5"/>
  <c r="I89" i="5"/>
  <c r="IJ27" i="2"/>
  <c r="IK27" i="2" s="1"/>
  <c r="AI27" i="2"/>
  <c r="L26" i="2"/>
  <c r="IL90" i="5"/>
  <c r="IH90" i="5"/>
  <c r="IJ90" i="5"/>
  <c r="IF90" i="5"/>
  <c r="IG90" i="5"/>
  <c r="IE91" i="5"/>
  <c r="IK90" i="5"/>
  <c r="II90" i="5"/>
  <c r="AK28" i="5"/>
  <c r="FK90" i="2"/>
  <c r="FG90" i="2"/>
  <c r="FB90" i="2"/>
  <c r="EX90" i="2"/>
  <c r="EO90" i="2"/>
  <c r="EK90" i="2"/>
  <c r="EF90" i="2"/>
  <c r="EB90" i="2"/>
  <c r="DX90" i="2"/>
  <c r="DT90" i="2"/>
  <c r="DP90" i="2"/>
  <c r="DL90" i="2"/>
  <c r="DH90" i="2"/>
  <c r="DD90" i="2"/>
  <c r="CZ90" i="2"/>
  <c r="CV90" i="2"/>
  <c r="FJ90" i="2"/>
  <c r="FF90" i="2"/>
  <c r="FA90" i="2"/>
  <c r="EW90" i="2"/>
  <c r="ER90" i="2"/>
  <c r="EN90" i="2"/>
  <c r="EE90" i="2"/>
  <c r="EA90" i="2"/>
  <c r="DW90" i="2"/>
  <c r="DS90" i="2"/>
  <c r="DO90" i="2"/>
  <c r="DK90" i="2"/>
  <c r="DG90" i="2"/>
  <c r="DC90" i="2"/>
  <c r="CY90" i="2"/>
  <c r="FI90" i="2"/>
  <c r="FE90" i="2"/>
  <c r="EZ90" i="2"/>
  <c r="EV90" i="2"/>
  <c r="EQ90" i="2"/>
  <c r="EM90" i="2"/>
  <c r="EH90" i="2"/>
  <c r="ED90" i="2"/>
  <c r="DZ90" i="2"/>
  <c r="DV90" i="2"/>
  <c r="DR90" i="2"/>
  <c r="DN90" i="2"/>
  <c r="DJ90" i="2"/>
  <c r="DF90" i="2"/>
  <c r="DB90" i="2"/>
  <c r="CX90" i="2"/>
  <c r="CU91" i="2"/>
  <c r="FH90" i="2"/>
  <c r="EY90" i="2"/>
  <c r="EU90" i="2"/>
  <c r="EP90" i="2"/>
  <c r="EL90" i="2"/>
  <c r="EG90" i="2"/>
  <c r="EC90" i="2"/>
  <c r="DY90" i="2"/>
  <c r="DU90" i="2"/>
  <c r="DQ90" i="2"/>
  <c r="DM90" i="2"/>
  <c r="DI90" i="2"/>
  <c r="DE90" i="2"/>
  <c r="DA90" i="2"/>
  <c r="CW90" i="2"/>
  <c r="L26" i="5"/>
  <c r="IJ27" i="5"/>
  <c r="IK27" i="5" s="1"/>
  <c r="AI27" i="5"/>
  <c r="AH91" i="2"/>
  <c r="AN90" i="2"/>
  <c r="AJ90" i="2"/>
  <c r="AM90" i="2"/>
  <c r="AI90" i="2"/>
  <c r="AL90" i="2"/>
  <c r="AO90" i="2"/>
  <c r="AK90" i="2"/>
  <c r="AO29" i="5"/>
  <c r="AN29" i="5"/>
  <c r="L88" i="5"/>
  <c r="AN89" i="5"/>
  <c r="AJ89" i="5"/>
  <c r="AH90" i="5"/>
  <c r="AM89" i="5"/>
  <c r="AI89" i="5"/>
  <c r="AL89" i="5"/>
  <c r="AO89" i="5"/>
  <c r="AK89" i="5"/>
  <c r="GW96" i="2"/>
  <c r="FM97" i="2"/>
  <c r="GZ96" i="2"/>
  <c r="GV96" i="2"/>
  <c r="GY96" i="2"/>
  <c r="GU96" i="2"/>
  <c r="GX96" i="2"/>
  <c r="AK28" i="2"/>
  <c r="BG90" i="2"/>
  <c r="BF91" i="2"/>
  <c r="BH90" i="2"/>
  <c r="AQ91" i="2"/>
  <c r="AW90" i="2"/>
  <c r="AX90" i="2"/>
  <c r="AT90" i="2"/>
  <c r="BQ91" i="5"/>
  <c r="BU90" i="5"/>
  <c r="BT90" i="5"/>
  <c r="BS90" i="5"/>
  <c r="BR90" i="5"/>
  <c r="BV90" i="5"/>
  <c r="IH28" i="2" l="1"/>
  <c r="II28" i="2"/>
  <c r="II28" i="5"/>
  <c r="S26" i="21" s="1"/>
  <c r="AN28" i="2"/>
  <c r="AO28" i="2"/>
  <c r="AQ92" i="2"/>
  <c r="AX91" i="2"/>
  <c r="AT91" i="2"/>
  <c r="AW91" i="2"/>
  <c r="AK27" i="5"/>
  <c r="IL27" i="5"/>
  <c r="IF27" i="5" s="1"/>
  <c r="IG27" i="5" s="1"/>
  <c r="AK27" i="2"/>
  <c r="BG92" i="5"/>
  <c r="BF93" i="5"/>
  <c r="BH92" i="5"/>
  <c r="AE90" i="5"/>
  <c r="AA90" i="5"/>
  <c r="AC90" i="5"/>
  <c r="AB90" i="5"/>
  <c r="AF90" i="5"/>
  <c r="Z90" i="5"/>
  <c r="X91" i="5"/>
  <c r="AD90" i="5"/>
  <c r="Y90" i="5"/>
  <c r="AQ91" i="5"/>
  <c r="AW90" i="5"/>
  <c r="AT90" i="5"/>
  <c r="AX90" i="5"/>
  <c r="BJ92" i="5"/>
  <c r="BL91" i="5"/>
  <c r="BN91" i="5"/>
  <c r="BO91" i="5"/>
  <c r="BM91" i="5"/>
  <c r="BK91" i="5"/>
  <c r="U92" i="5"/>
  <c r="AH92" i="2"/>
  <c r="AL91" i="2"/>
  <c r="AO91" i="2"/>
  <c r="AK91" i="2"/>
  <c r="AN91" i="2"/>
  <c r="AJ91" i="2"/>
  <c r="AM91" i="2"/>
  <c r="AI91" i="2"/>
  <c r="BX92" i="5"/>
  <c r="BZ91" i="5"/>
  <c r="CB91" i="5"/>
  <c r="CE91" i="5"/>
  <c r="BY91" i="5"/>
  <c r="CA91" i="5"/>
  <c r="GW93" i="5"/>
  <c r="GY93" i="5"/>
  <c r="GU93" i="5"/>
  <c r="GX93" i="5"/>
  <c r="FM94" i="5"/>
  <c r="GZ93" i="5"/>
  <c r="GV93" i="5"/>
  <c r="AH91" i="5"/>
  <c r="AN90" i="5"/>
  <c r="AJ90" i="5"/>
  <c r="AO90" i="5"/>
  <c r="AI90" i="5"/>
  <c r="AM90" i="5"/>
  <c r="AL90" i="5"/>
  <c r="AK90" i="5"/>
  <c r="L25" i="5"/>
  <c r="IJ26" i="5"/>
  <c r="IK26" i="5" s="1"/>
  <c r="AI26" i="5"/>
  <c r="L25" i="2"/>
  <c r="IJ26" i="2"/>
  <c r="IK26" i="2" s="1"/>
  <c r="AI26" i="2"/>
  <c r="L89" i="5"/>
  <c r="IE92" i="2"/>
  <c r="IK91" i="2"/>
  <c r="IG91" i="2"/>
  <c r="IJ91" i="2"/>
  <c r="IF91" i="2"/>
  <c r="IH91" i="2"/>
  <c r="IL91" i="2"/>
  <c r="II91" i="2"/>
  <c r="BJ92" i="2"/>
  <c r="BN91" i="2"/>
  <c r="BM91" i="2"/>
  <c r="BL91" i="2"/>
  <c r="BO91" i="2"/>
  <c r="BK91" i="2"/>
  <c r="AZ91" i="5"/>
  <c r="BA90" i="5"/>
  <c r="H90" i="2"/>
  <c r="J90" i="2"/>
  <c r="G91" i="2"/>
  <c r="I90" i="2"/>
  <c r="FK91" i="5"/>
  <c r="FG91" i="5"/>
  <c r="FB91" i="5"/>
  <c r="EX91" i="5"/>
  <c r="EO91" i="5"/>
  <c r="EK91" i="5"/>
  <c r="EF91" i="5"/>
  <c r="EB91" i="5"/>
  <c r="DX91" i="5"/>
  <c r="DT91" i="5"/>
  <c r="DP91" i="5"/>
  <c r="DL91" i="5"/>
  <c r="DH91" i="5"/>
  <c r="DD91" i="5"/>
  <c r="CZ91" i="5"/>
  <c r="CV91" i="5"/>
  <c r="FI91" i="5"/>
  <c r="FE91" i="5"/>
  <c r="EZ91" i="5"/>
  <c r="EV91" i="5"/>
  <c r="EQ91" i="5"/>
  <c r="EM91" i="5"/>
  <c r="EH91" i="5"/>
  <c r="ED91" i="5"/>
  <c r="DZ91" i="5"/>
  <c r="DV91" i="5"/>
  <c r="DR91" i="5"/>
  <c r="DN91" i="5"/>
  <c r="DJ91" i="5"/>
  <c r="DF91" i="5"/>
  <c r="DB91" i="5"/>
  <c r="CX91" i="5"/>
  <c r="FH91" i="5"/>
  <c r="EY91" i="5"/>
  <c r="EP91" i="5"/>
  <c r="EG91" i="5"/>
  <c r="DY91" i="5"/>
  <c r="DQ91" i="5"/>
  <c r="DI91" i="5"/>
  <c r="DA91" i="5"/>
  <c r="FF91" i="5"/>
  <c r="EW91" i="5"/>
  <c r="EN91" i="5"/>
  <c r="EE91" i="5"/>
  <c r="DW91" i="5"/>
  <c r="DO91" i="5"/>
  <c r="DG91" i="5"/>
  <c r="CY91" i="5"/>
  <c r="EU91" i="5"/>
  <c r="EL91" i="5"/>
  <c r="EC91" i="5"/>
  <c r="DU91" i="5"/>
  <c r="DM91" i="5"/>
  <c r="DE91" i="5"/>
  <c r="CW91" i="5"/>
  <c r="CU92" i="5"/>
  <c r="FJ91" i="5"/>
  <c r="FA91" i="5"/>
  <c r="ER91" i="5"/>
  <c r="EA91" i="5"/>
  <c r="DS91" i="5"/>
  <c r="DK91" i="5"/>
  <c r="DC91" i="5"/>
  <c r="CG92" i="5"/>
  <c r="CM91" i="5"/>
  <c r="CI91" i="5"/>
  <c r="CK91" i="5"/>
  <c r="CN91" i="5"/>
  <c r="CL91" i="5"/>
  <c r="CJ91" i="5"/>
  <c r="CH91" i="5"/>
  <c r="BF92" i="2"/>
  <c r="BH91" i="2"/>
  <c r="BG91" i="2"/>
  <c r="BU91" i="5"/>
  <c r="BQ92" i="5"/>
  <c r="BS91" i="5"/>
  <c r="BV91" i="5"/>
  <c r="BT91" i="5"/>
  <c r="BR91" i="5"/>
  <c r="GY97" i="2"/>
  <c r="GU97" i="2"/>
  <c r="FM98" i="2"/>
  <c r="GX97" i="2"/>
  <c r="GW97" i="2"/>
  <c r="GZ97" i="2"/>
  <c r="GV97" i="2"/>
  <c r="CU92" i="2"/>
  <c r="FH91" i="2"/>
  <c r="EY91" i="2"/>
  <c r="EU91" i="2"/>
  <c r="EP91" i="2"/>
  <c r="EL91" i="2"/>
  <c r="EG91" i="2"/>
  <c r="EC91" i="2"/>
  <c r="DY91" i="2"/>
  <c r="DU91" i="2"/>
  <c r="DQ91" i="2"/>
  <c r="DM91" i="2"/>
  <c r="FK91" i="2"/>
  <c r="FG91" i="2"/>
  <c r="FB91" i="2"/>
  <c r="EX91" i="2"/>
  <c r="EO91" i="2"/>
  <c r="EK91" i="2"/>
  <c r="EF91" i="2"/>
  <c r="EB91" i="2"/>
  <c r="DX91" i="2"/>
  <c r="DT91" i="2"/>
  <c r="DP91" i="2"/>
  <c r="DL91" i="2"/>
  <c r="FI91" i="2"/>
  <c r="EZ91" i="2"/>
  <c r="EQ91" i="2"/>
  <c r="EH91" i="2"/>
  <c r="DZ91" i="2"/>
  <c r="DR91" i="2"/>
  <c r="DJ91" i="2"/>
  <c r="DF91" i="2"/>
  <c r="DB91" i="2"/>
  <c r="CX91" i="2"/>
  <c r="FF91" i="2"/>
  <c r="EW91" i="2"/>
  <c r="EN91" i="2"/>
  <c r="EE91" i="2"/>
  <c r="DW91" i="2"/>
  <c r="DO91" i="2"/>
  <c r="DI91" i="2"/>
  <c r="DE91" i="2"/>
  <c r="DA91" i="2"/>
  <c r="CW91" i="2"/>
  <c r="FE91" i="2"/>
  <c r="EV91" i="2"/>
  <c r="EM91" i="2"/>
  <c r="ED91" i="2"/>
  <c r="DV91" i="2"/>
  <c r="DN91" i="2"/>
  <c r="DH91" i="2"/>
  <c r="DD91" i="2"/>
  <c r="CZ91" i="2"/>
  <c r="CV91" i="2"/>
  <c r="FJ91" i="2"/>
  <c r="FA91" i="2"/>
  <c r="ER91" i="2"/>
  <c r="EA91" i="2"/>
  <c r="DS91" i="2"/>
  <c r="DK91" i="2"/>
  <c r="DG91" i="2"/>
  <c r="DC91" i="2"/>
  <c r="CY91" i="2"/>
  <c r="AN28" i="5"/>
  <c r="AO28" i="5"/>
  <c r="IJ91" i="5"/>
  <c r="IF91" i="5"/>
  <c r="IL91" i="5"/>
  <c r="IH91" i="5"/>
  <c r="IE92" i="5"/>
  <c r="IG91" i="5"/>
  <c r="IK91" i="5"/>
  <c r="II91" i="5"/>
  <c r="IL27" i="2"/>
  <c r="IF27" i="2" s="1"/>
  <c r="IG27" i="2" s="1"/>
  <c r="H90" i="5"/>
  <c r="G91" i="5"/>
  <c r="J90" i="5"/>
  <c r="L90" i="5" s="1"/>
  <c r="I90" i="5"/>
  <c r="U92" i="2"/>
  <c r="AE90" i="2"/>
  <c r="AA90" i="2"/>
  <c r="X91" i="2"/>
  <c r="AD90" i="2"/>
  <c r="Z90" i="2"/>
  <c r="AC90" i="2"/>
  <c r="Y90" i="2"/>
  <c r="AF90" i="2"/>
  <c r="AB90" i="2"/>
  <c r="AR89" i="2"/>
  <c r="BQ92" i="2"/>
  <c r="BS91" i="2"/>
  <c r="BV91" i="2"/>
  <c r="BR91" i="2"/>
  <c r="BU91" i="2"/>
  <c r="BT91" i="2"/>
  <c r="E93" i="19"/>
  <c r="F93" i="19" s="1"/>
  <c r="A94" i="19"/>
  <c r="C93" i="19"/>
  <c r="B93" i="19"/>
  <c r="D93" i="19" s="1"/>
  <c r="BX92" i="2"/>
  <c r="CB91" i="2"/>
  <c r="CE91" i="2"/>
  <c r="CA91" i="2"/>
  <c r="BZ91" i="2"/>
  <c r="BY91" i="2"/>
  <c r="AZ92" i="2"/>
  <c r="BA91" i="2"/>
  <c r="CG92" i="2"/>
  <c r="CK91" i="2"/>
  <c r="CN91" i="2"/>
  <c r="CJ91" i="2"/>
  <c r="CM91" i="2"/>
  <c r="CI91" i="2"/>
  <c r="CL91" i="2"/>
  <c r="CH91" i="2"/>
  <c r="IL26" i="5" l="1"/>
  <c r="IF26" i="5" s="1"/>
  <c r="IG26" i="5" s="1"/>
  <c r="IH26" i="5" s="1"/>
  <c r="AZ93" i="2"/>
  <c r="BA92" i="2"/>
  <c r="BX93" i="2"/>
  <c r="BY92" i="2"/>
  <c r="CB92" i="2"/>
  <c r="CE92" i="2"/>
  <c r="BZ92" i="2"/>
  <c r="CA92" i="2"/>
  <c r="H91" i="5"/>
  <c r="J91" i="5"/>
  <c r="AR91" i="5" s="1"/>
  <c r="G92" i="5"/>
  <c r="I91" i="5"/>
  <c r="CU93" i="2"/>
  <c r="FK92" i="2"/>
  <c r="FG92" i="2"/>
  <c r="FB92" i="2"/>
  <c r="EX92" i="2"/>
  <c r="FJ92" i="2"/>
  <c r="FF92" i="2"/>
  <c r="FA92" i="2"/>
  <c r="EW92" i="2"/>
  <c r="ER92" i="2"/>
  <c r="EN92" i="2"/>
  <c r="EE92" i="2"/>
  <c r="EA92" i="2"/>
  <c r="DW92" i="2"/>
  <c r="DS92" i="2"/>
  <c r="DO92" i="2"/>
  <c r="DK92" i="2"/>
  <c r="DG92" i="2"/>
  <c r="DC92" i="2"/>
  <c r="CY92" i="2"/>
  <c r="FI92" i="2"/>
  <c r="FE92" i="2"/>
  <c r="EZ92" i="2"/>
  <c r="EV92" i="2"/>
  <c r="EQ92" i="2"/>
  <c r="EM92" i="2"/>
  <c r="EH92" i="2"/>
  <c r="ED92" i="2"/>
  <c r="DZ92" i="2"/>
  <c r="DV92" i="2"/>
  <c r="DR92" i="2"/>
  <c r="DN92" i="2"/>
  <c r="DJ92" i="2"/>
  <c r="DF92" i="2"/>
  <c r="DB92" i="2"/>
  <c r="CX92" i="2"/>
  <c r="FH92" i="2"/>
  <c r="EP92" i="2"/>
  <c r="EG92" i="2"/>
  <c r="DY92" i="2"/>
  <c r="DQ92" i="2"/>
  <c r="DI92" i="2"/>
  <c r="DA92" i="2"/>
  <c r="EO92" i="2"/>
  <c r="EF92" i="2"/>
  <c r="DX92" i="2"/>
  <c r="DP92" i="2"/>
  <c r="DH92" i="2"/>
  <c r="CZ92" i="2"/>
  <c r="EY92" i="2"/>
  <c r="EL92" i="2"/>
  <c r="EC92" i="2"/>
  <c r="DU92" i="2"/>
  <c r="DM92" i="2"/>
  <c r="DE92" i="2"/>
  <c r="CW92" i="2"/>
  <c r="EU92" i="2"/>
  <c r="EK92" i="2"/>
  <c r="EB92" i="2"/>
  <c r="DT92" i="2"/>
  <c r="DL92" i="2"/>
  <c r="DD92" i="2"/>
  <c r="CV92" i="2"/>
  <c r="G92" i="2"/>
  <c r="J91" i="2"/>
  <c r="I91" i="2"/>
  <c r="H91" i="2"/>
  <c r="IL26" i="2"/>
  <c r="IF26" i="2" s="1"/>
  <c r="IG26" i="2" s="1"/>
  <c r="L24" i="5"/>
  <c r="IJ25" i="5"/>
  <c r="IK25" i="5" s="1"/>
  <c r="AI25" i="5"/>
  <c r="AH92" i="5"/>
  <c r="AN91" i="5"/>
  <c r="AJ91" i="5"/>
  <c r="AL91" i="5"/>
  <c r="AM91" i="5"/>
  <c r="AK91" i="5"/>
  <c r="AI91" i="5"/>
  <c r="AO91" i="5"/>
  <c r="GY94" i="5"/>
  <c r="GU94" i="5"/>
  <c r="GW94" i="5"/>
  <c r="FM95" i="5"/>
  <c r="GZ94" i="5"/>
  <c r="GV94" i="5"/>
  <c r="GX94" i="5"/>
  <c r="AQ93" i="2"/>
  <c r="AW92" i="2"/>
  <c r="AT92" i="2"/>
  <c r="AX92" i="2"/>
  <c r="AC91" i="2"/>
  <c r="Y91" i="2"/>
  <c r="AF91" i="2"/>
  <c r="AB91" i="2"/>
  <c r="AE91" i="2"/>
  <c r="AA91" i="2"/>
  <c r="X92" i="2"/>
  <c r="AD91" i="2"/>
  <c r="Z91" i="2"/>
  <c r="BF93" i="2"/>
  <c r="BG92" i="2"/>
  <c r="BH92" i="2"/>
  <c r="FI92" i="5"/>
  <c r="FE92" i="5"/>
  <c r="EZ92" i="5"/>
  <c r="EV92" i="5"/>
  <c r="EQ92" i="5"/>
  <c r="EM92" i="5"/>
  <c r="EH92" i="5"/>
  <c r="ED92" i="5"/>
  <c r="DZ92" i="5"/>
  <c r="DV92" i="5"/>
  <c r="DR92" i="5"/>
  <c r="DN92" i="5"/>
  <c r="DJ92" i="5"/>
  <c r="DF92" i="5"/>
  <c r="DB92" i="5"/>
  <c r="CX92" i="5"/>
  <c r="FK92" i="5"/>
  <c r="FG92" i="5"/>
  <c r="FB92" i="5"/>
  <c r="EX92" i="5"/>
  <c r="EO92" i="5"/>
  <c r="EK92" i="5"/>
  <c r="EF92" i="5"/>
  <c r="EB92" i="5"/>
  <c r="DX92" i="5"/>
  <c r="DT92" i="5"/>
  <c r="DP92" i="5"/>
  <c r="DL92" i="5"/>
  <c r="DH92" i="5"/>
  <c r="DD92" i="5"/>
  <c r="CZ92" i="5"/>
  <c r="CV92" i="5"/>
  <c r="FJ92" i="5"/>
  <c r="FF92" i="5"/>
  <c r="FA92" i="5"/>
  <c r="EW92" i="5"/>
  <c r="EP92" i="5"/>
  <c r="EG92" i="5"/>
  <c r="DY92" i="5"/>
  <c r="DQ92" i="5"/>
  <c r="DI92" i="5"/>
  <c r="DA92" i="5"/>
  <c r="EY92" i="5"/>
  <c r="EN92" i="5"/>
  <c r="EE92" i="5"/>
  <c r="DW92" i="5"/>
  <c r="DO92" i="5"/>
  <c r="DG92" i="5"/>
  <c r="CY92" i="5"/>
  <c r="CU93" i="5"/>
  <c r="EU92" i="5"/>
  <c r="EL92" i="5"/>
  <c r="EC92" i="5"/>
  <c r="DU92" i="5"/>
  <c r="DM92" i="5"/>
  <c r="DE92" i="5"/>
  <c r="CW92" i="5"/>
  <c r="FH92" i="5"/>
  <c r="ER92" i="5"/>
  <c r="EA92" i="5"/>
  <c r="DS92" i="5"/>
  <c r="DK92" i="5"/>
  <c r="DC92" i="5"/>
  <c r="AZ92" i="5"/>
  <c r="BA91" i="5"/>
  <c r="U93" i="5"/>
  <c r="CG93" i="2"/>
  <c r="CL92" i="2"/>
  <c r="CH92" i="2"/>
  <c r="CK92" i="2"/>
  <c r="CN92" i="2"/>
  <c r="CM92" i="2"/>
  <c r="CJ92" i="2"/>
  <c r="CI92" i="2"/>
  <c r="GY98" i="2"/>
  <c r="GU98" i="2"/>
  <c r="FM99" i="2"/>
  <c r="GX98" i="2"/>
  <c r="GW98" i="2"/>
  <c r="GV98" i="2"/>
  <c r="GZ98" i="2"/>
  <c r="AK26" i="2"/>
  <c r="CB92" i="5"/>
  <c r="BX93" i="5"/>
  <c r="BZ92" i="5"/>
  <c r="CE92" i="5"/>
  <c r="BY92" i="5"/>
  <c r="CA92" i="5"/>
  <c r="BN92" i="5"/>
  <c r="BJ93" i="5"/>
  <c r="BL92" i="5"/>
  <c r="BO92" i="5"/>
  <c r="BM92" i="5"/>
  <c r="BK92" i="5"/>
  <c r="AE91" i="5"/>
  <c r="AA91" i="5"/>
  <c r="AC91" i="5"/>
  <c r="Y91" i="5"/>
  <c r="AD91" i="5"/>
  <c r="AB91" i="5"/>
  <c r="Z91" i="5"/>
  <c r="X92" i="5"/>
  <c r="AF91" i="5"/>
  <c r="BG93" i="5"/>
  <c r="BF94" i="5"/>
  <c r="BH93" i="5"/>
  <c r="AO27" i="5"/>
  <c r="AN27" i="5"/>
  <c r="BQ93" i="5"/>
  <c r="BS92" i="5"/>
  <c r="BU92" i="5"/>
  <c r="BV92" i="5"/>
  <c r="BT92" i="5"/>
  <c r="BR92" i="5"/>
  <c r="CK92" i="5"/>
  <c r="CG93" i="5"/>
  <c r="CM92" i="5"/>
  <c r="CI92" i="5"/>
  <c r="CN92" i="5"/>
  <c r="CL92" i="5"/>
  <c r="CJ92" i="5"/>
  <c r="CH92" i="5"/>
  <c r="AR90" i="2"/>
  <c r="AK26" i="5"/>
  <c r="II27" i="5"/>
  <c r="S21" i="21" s="1"/>
  <c r="IH27" i="5"/>
  <c r="BT92" i="2"/>
  <c r="BQ93" i="2"/>
  <c r="BS92" i="2"/>
  <c r="BV92" i="2"/>
  <c r="BU92" i="2"/>
  <c r="BR92" i="2"/>
  <c r="A95" i="19"/>
  <c r="C94" i="19"/>
  <c r="B94" i="19"/>
  <c r="D94" i="19" s="1"/>
  <c r="E94" i="19"/>
  <c r="F94" i="19" s="1"/>
  <c r="U93" i="2"/>
  <c r="II27" i="2"/>
  <c r="IH27" i="2"/>
  <c r="IL92" i="5"/>
  <c r="IH92" i="5"/>
  <c r="IJ92" i="5"/>
  <c r="IF92" i="5"/>
  <c r="II92" i="5"/>
  <c r="IK92" i="5"/>
  <c r="IE93" i="5"/>
  <c r="IG92" i="5"/>
  <c r="L90" i="2"/>
  <c r="BJ93" i="2"/>
  <c r="BO92" i="2"/>
  <c r="BK92" i="2"/>
  <c r="BN92" i="2"/>
  <c r="BM92" i="2"/>
  <c r="BL92" i="2"/>
  <c r="IE93" i="2"/>
  <c r="IK92" i="2"/>
  <c r="IJ92" i="2"/>
  <c r="IF92" i="2"/>
  <c r="II92" i="2"/>
  <c r="IL92" i="2"/>
  <c r="IH92" i="2"/>
  <c r="IG92" i="2"/>
  <c r="AI25" i="2"/>
  <c r="L24" i="2"/>
  <c r="IJ25" i="2"/>
  <c r="IK25" i="2" s="1"/>
  <c r="AH93" i="2"/>
  <c r="AM92" i="2"/>
  <c r="AI92" i="2"/>
  <c r="AL92" i="2"/>
  <c r="AN92" i="2"/>
  <c r="AK92" i="2"/>
  <c r="AJ92" i="2"/>
  <c r="AO92" i="2"/>
  <c r="AR90" i="5"/>
  <c r="AQ92" i="5"/>
  <c r="AW91" i="5"/>
  <c r="AT91" i="5"/>
  <c r="AX91" i="5"/>
  <c r="AO27" i="2"/>
  <c r="AN27" i="2"/>
  <c r="IL25" i="2" l="1"/>
  <c r="IF25" i="2" s="1"/>
  <c r="IG25" i="2" s="1"/>
  <c r="II25" i="2" s="1"/>
  <c r="II26" i="5"/>
  <c r="II93" i="2"/>
  <c r="IL93" i="2"/>
  <c r="IH93" i="2"/>
  <c r="IE94" i="2"/>
  <c r="IK93" i="2"/>
  <c r="IG93" i="2"/>
  <c r="IJ93" i="2"/>
  <c r="IF93" i="2"/>
  <c r="AL92" i="5"/>
  <c r="AH93" i="5"/>
  <c r="AN92" i="5"/>
  <c r="AJ92" i="5"/>
  <c r="AM92" i="5"/>
  <c r="AK92" i="5"/>
  <c r="AI92" i="5"/>
  <c r="AO92" i="5"/>
  <c r="AR91" i="2"/>
  <c r="FJ93" i="2"/>
  <c r="FF93" i="2"/>
  <c r="FA93" i="2"/>
  <c r="EW93" i="2"/>
  <c r="ER93" i="2"/>
  <c r="EN93" i="2"/>
  <c r="EE93" i="2"/>
  <c r="EA93" i="2"/>
  <c r="DW93" i="2"/>
  <c r="DS93" i="2"/>
  <c r="DO93" i="2"/>
  <c r="DK93" i="2"/>
  <c r="DG93" i="2"/>
  <c r="DC93" i="2"/>
  <c r="CY93" i="2"/>
  <c r="FI93" i="2"/>
  <c r="FE93" i="2"/>
  <c r="EZ93" i="2"/>
  <c r="EV93" i="2"/>
  <c r="EQ93" i="2"/>
  <c r="EM93" i="2"/>
  <c r="EH93" i="2"/>
  <c r="ED93" i="2"/>
  <c r="DZ93" i="2"/>
  <c r="DV93" i="2"/>
  <c r="DR93" i="2"/>
  <c r="DN93" i="2"/>
  <c r="DJ93" i="2"/>
  <c r="DF93" i="2"/>
  <c r="DB93" i="2"/>
  <c r="CX93" i="2"/>
  <c r="CU94" i="2"/>
  <c r="FH93" i="2"/>
  <c r="EY93" i="2"/>
  <c r="EU93" i="2"/>
  <c r="EP93" i="2"/>
  <c r="EL93" i="2"/>
  <c r="EG93" i="2"/>
  <c r="EC93" i="2"/>
  <c r="DY93" i="2"/>
  <c r="DU93" i="2"/>
  <c r="DQ93" i="2"/>
  <c r="DM93" i="2"/>
  <c r="DI93" i="2"/>
  <c r="DE93" i="2"/>
  <c r="DA93" i="2"/>
  <c r="CW93" i="2"/>
  <c r="FK93" i="2"/>
  <c r="FG93" i="2"/>
  <c r="FB93" i="2"/>
  <c r="EX93" i="2"/>
  <c r="EO93" i="2"/>
  <c r="EK93" i="2"/>
  <c r="EF93" i="2"/>
  <c r="EB93" i="2"/>
  <c r="DX93" i="2"/>
  <c r="DT93" i="2"/>
  <c r="DP93" i="2"/>
  <c r="DL93" i="2"/>
  <c r="DH93" i="2"/>
  <c r="DD93" i="2"/>
  <c r="CZ93" i="2"/>
  <c r="CV93" i="2"/>
  <c r="BU93" i="5"/>
  <c r="BQ94" i="5"/>
  <c r="BS93" i="5"/>
  <c r="BV93" i="5"/>
  <c r="BR93" i="5"/>
  <c r="BT93" i="5"/>
  <c r="GW95" i="5"/>
  <c r="FM96" i="5"/>
  <c r="GY95" i="5"/>
  <c r="GU95" i="5"/>
  <c r="GX95" i="5"/>
  <c r="GV95" i="5"/>
  <c r="GZ95" i="5"/>
  <c r="BO93" i="2"/>
  <c r="BK93" i="2"/>
  <c r="BN93" i="2"/>
  <c r="BM93" i="2"/>
  <c r="BJ94" i="2"/>
  <c r="BL93" i="2"/>
  <c r="A96" i="19"/>
  <c r="C95" i="19"/>
  <c r="B95" i="19"/>
  <c r="D95" i="19" s="1"/>
  <c r="E95" i="19"/>
  <c r="F95" i="19" s="1"/>
  <c r="CG94" i="5"/>
  <c r="CM93" i="5"/>
  <c r="CI93" i="5"/>
  <c r="CK93" i="5"/>
  <c r="CN93" i="5"/>
  <c r="CJ93" i="5"/>
  <c r="CH93" i="5"/>
  <c r="CL93" i="5"/>
  <c r="FM100" i="2"/>
  <c r="GY99" i="2"/>
  <c r="GU99" i="2"/>
  <c r="GX99" i="2"/>
  <c r="GW99" i="2"/>
  <c r="GZ99" i="2"/>
  <c r="GV99" i="2"/>
  <c r="U94" i="5"/>
  <c r="L23" i="2"/>
  <c r="AI24" i="2"/>
  <c r="IJ24" i="2"/>
  <c r="IK24" i="2" s="1"/>
  <c r="BT93" i="2"/>
  <c r="BQ94" i="2"/>
  <c r="BS93" i="2"/>
  <c r="BV93" i="2"/>
  <c r="BR93" i="2"/>
  <c r="BU93" i="2"/>
  <c r="AN26" i="5"/>
  <c r="AO26" i="5"/>
  <c r="BG94" i="5"/>
  <c r="BF95" i="5"/>
  <c r="BH94" i="5"/>
  <c r="AO26" i="2"/>
  <c r="AN26" i="2"/>
  <c r="FK93" i="5"/>
  <c r="FG93" i="5"/>
  <c r="FB93" i="5"/>
  <c r="EX93" i="5"/>
  <c r="EO93" i="5"/>
  <c r="EK93" i="5"/>
  <c r="EF93" i="5"/>
  <c r="EB93" i="5"/>
  <c r="DX93" i="5"/>
  <c r="DT93" i="5"/>
  <c r="DP93" i="5"/>
  <c r="DL93" i="5"/>
  <c r="DH93" i="5"/>
  <c r="DD93" i="5"/>
  <c r="CZ93" i="5"/>
  <c r="CV93" i="5"/>
  <c r="FI93" i="5"/>
  <c r="FE93" i="5"/>
  <c r="EZ93" i="5"/>
  <c r="EV93" i="5"/>
  <c r="EQ93" i="5"/>
  <c r="EM93" i="5"/>
  <c r="EH93" i="5"/>
  <c r="ED93" i="5"/>
  <c r="DZ93" i="5"/>
  <c r="DV93" i="5"/>
  <c r="DR93" i="5"/>
  <c r="DN93" i="5"/>
  <c r="DJ93" i="5"/>
  <c r="DF93" i="5"/>
  <c r="DB93" i="5"/>
  <c r="CX93" i="5"/>
  <c r="CU94" i="5"/>
  <c r="FH93" i="5"/>
  <c r="EY93" i="5"/>
  <c r="EU93" i="5"/>
  <c r="EP93" i="5"/>
  <c r="EL93" i="5"/>
  <c r="EG93" i="5"/>
  <c r="EC93" i="5"/>
  <c r="DY93" i="5"/>
  <c r="DU93" i="5"/>
  <c r="DQ93" i="5"/>
  <c r="DM93" i="5"/>
  <c r="DI93" i="5"/>
  <c r="DE93" i="5"/>
  <c r="DA93" i="5"/>
  <c r="CW93" i="5"/>
  <c r="FA93" i="5"/>
  <c r="DS93" i="5"/>
  <c r="DC93" i="5"/>
  <c r="EW93" i="5"/>
  <c r="EE93" i="5"/>
  <c r="DO93" i="5"/>
  <c r="CY93" i="5"/>
  <c r="FJ93" i="5"/>
  <c r="ER93" i="5"/>
  <c r="EA93" i="5"/>
  <c r="DK93" i="5"/>
  <c r="FF93" i="5"/>
  <c r="EN93" i="5"/>
  <c r="DW93" i="5"/>
  <c r="DG93" i="5"/>
  <c r="BF94" i="2"/>
  <c r="BH93" i="2"/>
  <c r="BG93" i="2"/>
  <c r="AK25" i="5"/>
  <c r="IL25" i="5"/>
  <c r="IF25" i="5" s="1"/>
  <c r="IG25" i="5" s="1"/>
  <c r="II26" i="2"/>
  <c r="IH26" i="2"/>
  <c r="BA93" i="2"/>
  <c r="AZ94" i="2"/>
  <c r="AQ93" i="5"/>
  <c r="AW92" i="5"/>
  <c r="AT92" i="5"/>
  <c r="AX92" i="5"/>
  <c r="AK25" i="2"/>
  <c r="S33" i="21"/>
  <c r="S41" i="21"/>
  <c r="BX94" i="5"/>
  <c r="BZ93" i="5"/>
  <c r="CB93" i="5"/>
  <c r="CE93" i="5"/>
  <c r="CA93" i="5"/>
  <c r="BY93" i="5"/>
  <c r="AX93" i="2"/>
  <c r="AT93" i="2"/>
  <c r="AQ94" i="2"/>
  <c r="AW93" i="2"/>
  <c r="G93" i="2"/>
  <c r="J92" i="2"/>
  <c r="L92" i="2" s="1"/>
  <c r="H92" i="2"/>
  <c r="I92" i="2"/>
  <c r="L91" i="5"/>
  <c r="BY93" i="2"/>
  <c r="CB93" i="2"/>
  <c r="CE93" i="2"/>
  <c r="CA93" i="2"/>
  <c r="BX94" i="2"/>
  <c r="BZ93" i="2"/>
  <c r="IJ24" i="5"/>
  <c r="IK24" i="5" s="1"/>
  <c r="L23" i="5"/>
  <c r="AI24" i="5"/>
  <c r="AM93" i="2"/>
  <c r="AI93" i="2"/>
  <c r="AL93" i="2"/>
  <c r="AO93" i="2"/>
  <c r="AK93" i="2"/>
  <c r="AH94" i="2"/>
  <c r="AN93" i="2"/>
  <c r="AJ93" i="2"/>
  <c r="IJ93" i="5"/>
  <c r="IF93" i="5"/>
  <c r="IL93" i="5"/>
  <c r="IH93" i="5"/>
  <c r="IE94" i="5"/>
  <c r="IK93" i="5"/>
  <c r="IG93" i="5"/>
  <c r="II93" i="5"/>
  <c r="U94" i="2"/>
  <c r="AZ93" i="5"/>
  <c r="BA92" i="5"/>
  <c r="AC92" i="5"/>
  <c r="Y92" i="5"/>
  <c r="AE92" i="5"/>
  <c r="AA92" i="5"/>
  <c r="X93" i="5"/>
  <c r="AD92" i="5"/>
  <c r="AB92" i="5"/>
  <c r="Z92" i="5"/>
  <c r="AF92" i="5"/>
  <c r="BJ94" i="5"/>
  <c r="BL93" i="5"/>
  <c r="BN93" i="5"/>
  <c r="BM93" i="5"/>
  <c r="BO93" i="5"/>
  <c r="BK93" i="5"/>
  <c r="CL93" i="2"/>
  <c r="CH93" i="2"/>
  <c r="CK93" i="2"/>
  <c r="CN93" i="2"/>
  <c r="CJ93" i="2"/>
  <c r="CG94" i="2"/>
  <c r="CM93" i="2"/>
  <c r="CI93" i="2"/>
  <c r="X93" i="2"/>
  <c r="AD92" i="2"/>
  <c r="Z92" i="2"/>
  <c r="AC92" i="2"/>
  <c r="Y92" i="2"/>
  <c r="AE92" i="2"/>
  <c r="AB92" i="2"/>
  <c r="AA92" i="2"/>
  <c r="AF92" i="2"/>
  <c r="L91" i="2"/>
  <c r="J92" i="5"/>
  <c r="L92" i="5" s="1"/>
  <c r="H92" i="5"/>
  <c r="G93" i="5"/>
  <c r="I92" i="5"/>
  <c r="AR92" i="5" l="1"/>
  <c r="IL24" i="2"/>
  <c r="IF24" i="2" s="1"/>
  <c r="IG24" i="2" s="1"/>
  <c r="IL24" i="5"/>
  <c r="IF24" i="5" s="1"/>
  <c r="IG24" i="5" s="1"/>
  <c r="II24" i="5" s="1"/>
  <c r="S24" i="21"/>
  <c r="IH25" i="2"/>
  <c r="AX94" i="2"/>
  <c r="AT94" i="2"/>
  <c r="AQ95" i="2"/>
  <c r="AW94" i="2"/>
  <c r="BF95" i="2"/>
  <c r="BH94" i="2"/>
  <c r="BG94" i="2"/>
  <c r="BN94" i="5"/>
  <c r="BJ95" i="5"/>
  <c r="BL94" i="5"/>
  <c r="BO94" i="5"/>
  <c r="BK94" i="5"/>
  <c r="BM94" i="5"/>
  <c r="AZ94" i="5"/>
  <c r="BA93" i="5"/>
  <c r="CE94" i="2"/>
  <c r="CA94" i="2"/>
  <c r="BX95" i="2"/>
  <c r="BZ94" i="2"/>
  <c r="BY94" i="2"/>
  <c r="CB94" i="2"/>
  <c r="AR92" i="2"/>
  <c r="AQ94" i="5"/>
  <c r="AW93" i="5"/>
  <c r="AX93" i="5"/>
  <c r="AT93" i="5"/>
  <c r="IH25" i="5"/>
  <c r="II25" i="5"/>
  <c r="FI94" i="5"/>
  <c r="FE94" i="5"/>
  <c r="EZ94" i="5"/>
  <c r="EV94" i="5"/>
  <c r="EQ94" i="5"/>
  <c r="EM94" i="5"/>
  <c r="EH94" i="5"/>
  <c r="ED94" i="5"/>
  <c r="DZ94" i="5"/>
  <c r="DV94" i="5"/>
  <c r="DR94" i="5"/>
  <c r="DN94" i="5"/>
  <c r="DJ94" i="5"/>
  <c r="DF94" i="5"/>
  <c r="DB94" i="5"/>
  <c r="CX94" i="5"/>
  <c r="FK94" i="5"/>
  <c r="FG94" i="5"/>
  <c r="FB94" i="5"/>
  <c r="EX94" i="5"/>
  <c r="EO94" i="5"/>
  <c r="EK94" i="5"/>
  <c r="EF94" i="5"/>
  <c r="EB94" i="5"/>
  <c r="DX94" i="5"/>
  <c r="DT94" i="5"/>
  <c r="DP94" i="5"/>
  <c r="DL94" i="5"/>
  <c r="DH94" i="5"/>
  <c r="DD94" i="5"/>
  <c r="CZ94" i="5"/>
  <c r="CV94" i="5"/>
  <c r="FJ94" i="5"/>
  <c r="FF94" i="5"/>
  <c r="FA94" i="5"/>
  <c r="EW94" i="5"/>
  <c r="ER94" i="5"/>
  <c r="EN94" i="5"/>
  <c r="EE94" i="5"/>
  <c r="EA94" i="5"/>
  <c r="DW94" i="5"/>
  <c r="DS94" i="5"/>
  <c r="DO94" i="5"/>
  <c r="DK94" i="5"/>
  <c r="DG94" i="5"/>
  <c r="DC94" i="5"/>
  <c r="CY94" i="5"/>
  <c r="EU94" i="5"/>
  <c r="EC94" i="5"/>
  <c r="DM94" i="5"/>
  <c r="CW94" i="5"/>
  <c r="CU95" i="5"/>
  <c r="FH94" i="5"/>
  <c r="EP94" i="5"/>
  <c r="DY94" i="5"/>
  <c r="DI94" i="5"/>
  <c r="EL94" i="5"/>
  <c r="DU94" i="5"/>
  <c r="DE94" i="5"/>
  <c r="EY94" i="5"/>
  <c r="EG94" i="5"/>
  <c r="DQ94" i="5"/>
  <c r="DA94" i="5"/>
  <c r="BQ95" i="5"/>
  <c r="BS94" i="5"/>
  <c r="BU94" i="5"/>
  <c r="BT94" i="5"/>
  <c r="BR94" i="5"/>
  <c r="BV94" i="5"/>
  <c r="CU95" i="2"/>
  <c r="FH94" i="2"/>
  <c r="EY94" i="2"/>
  <c r="EU94" i="2"/>
  <c r="EP94" i="2"/>
  <c r="EL94" i="2"/>
  <c r="EG94" i="2"/>
  <c r="EC94" i="2"/>
  <c r="DY94" i="2"/>
  <c r="DU94" i="2"/>
  <c r="DQ94" i="2"/>
  <c r="DM94" i="2"/>
  <c r="DI94" i="2"/>
  <c r="DE94" i="2"/>
  <c r="DA94" i="2"/>
  <c r="CW94" i="2"/>
  <c r="FK94" i="2"/>
  <c r="FG94" i="2"/>
  <c r="FB94" i="2"/>
  <c r="EX94" i="2"/>
  <c r="EO94" i="2"/>
  <c r="EK94" i="2"/>
  <c r="EF94" i="2"/>
  <c r="EB94" i="2"/>
  <c r="DX94" i="2"/>
  <c r="DT94" i="2"/>
  <c r="DP94" i="2"/>
  <c r="DL94" i="2"/>
  <c r="DH94" i="2"/>
  <c r="DD94" i="2"/>
  <c r="CZ94" i="2"/>
  <c r="CV94" i="2"/>
  <c r="FJ94" i="2"/>
  <c r="FF94" i="2"/>
  <c r="FA94" i="2"/>
  <c r="EW94" i="2"/>
  <c r="ER94" i="2"/>
  <c r="EN94" i="2"/>
  <c r="EE94" i="2"/>
  <c r="EA94" i="2"/>
  <c r="DW94" i="2"/>
  <c r="DS94" i="2"/>
  <c r="DO94" i="2"/>
  <c r="DK94" i="2"/>
  <c r="DG94" i="2"/>
  <c r="DC94" i="2"/>
  <c r="CY94" i="2"/>
  <c r="FI94" i="2"/>
  <c r="FE94" i="2"/>
  <c r="EZ94" i="2"/>
  <c r="EV94" i="2"/>
  <c r="EQ94" i="2"/>
  <c r="EM94" i="2"/>
  <c r="EH94" i="2"/>
  <c r="ED94" i="2"/>
  <c r="DZ94" i="2"/>
  <c r="DV94" i="2"/>
  <c r="DR94" i="2"/>
  <c r="DN94" i="2"/>
  <c r="DJ94" i="2"/>
  <c r="DF94" i="2"/>
  <c r="DB94" i="2"/>
  <c r="CX94" i="2"/>
  <c r="CN94" i="2"/>
  <c r="CJ94" i="2"/>
  <c r="CG95" i="2"/>
  <c r="CM94" i="2"/>
  <c r="CI94" i="2"/>
  <c r="CL94" i="2"/>
  <c r="CH94" i="2"/>
  <c r="CK94" i="2"/>
  <c r="AE93" i="5"/>
  <c r="AA93" i="5"/>
  <c r="AC93" i="5"/>
  <c r="Y93" i="5"/>
  <c r="AF93" i="5"/>
  <c r="AB93" i="5"/>
  <c r="AD93" i="5"/>
  <c r="X94" i="5"/>
  <c r="Z93" i="5"/>
  <c r="AO94" i="2"/>
  <c r="AK94" i="2"/>
  <c r="AH95" i="2"/>
  <c r="AN94" i="2"/>
  <c r="AJ94" i="2"/>
  <c r="AM94" i="2"/>
  <c r="AI94" i="2"/>
  <c r="AL94" i="2"/>
  <c r="FM101" i="2"/>
  <c r="GY100" i="2"/>
  <c r="GU100" i="2"/>
  <c r="GX100" i="2"/>
  <c r="GZ100" i="2"/>
  <c r="GW100" i="2"/>
  <c r="GV100" i="2"/>
  <c r="L22" i="5"/>
  <c r="IJ23" i="5"/>
  <c r="IK23" i="5" s="1"/>
  <c r="AI23" i="5"/>
  <c r="CB94" i="5"/>
  <c r="BX95" i="5"/>
  <c r="BZ94" i="5"/>
  <c r="BY94" i="5"/>
  <c r="CA94" i="5"/>
  <c r="CE94" i="5"/>
  <c r="AZ95" i="2"/>
  <c r="BA94" i="2"/>
  <c r="AO25" i="5"/>
  <c r="AN25" i="5"/>
  <c r="BV94" i="2"/>
  <c r="BR94" i="2"/>
  <c r="BU94" i="2"/>
  <c r="BT94" i="2"/>
  <c r="BQ95" i="2"/>
  <c r="BS94" i="2"/>
  <c r="B96" i="19"/>
  <c r="D96" i="19" s="1"/>
  <c r="E96" i="19"/>
  <c r="F96" i="19" s="1"/>
  <c r="A97" i="19"/>
  <c r="C96" i="19"/>
  <c r="GY96" i="5"/>
  <c r="GU96" i="5"/>
  <c r="GX96" i="5"/>
  <c r="FM97" i="5"/>
  <c r="GW96" i="5"/>
  <c r="GZ96" i="5"/>
  <c r="GV96" i="5"/>
  <c r="AH94" i="5"/>
  <c r="AN93" i="5"/>
  <c r="AJ93" i="5"/>
  <c r="AL93" i="5"/>
  <c r="AO93" i="5"/>
  <c r="AK93" i="5"/>
  <c r="AI93" i="5"/>
  <c r="AM93" i="5"/>
  <c r="IE95" i="2"/>
  <c r="IK94" i="2"/>
  <c r="IG94" i="2"/>
  <c r="IJ94" i="2"/>
  <c r="IF94" i="2"/>
  <c r="II94" i="2"/>
  <c r="IL94" i="2"/>
  <c r="IH94" i="2"/>
  <c r="J93" i="2"/>
  <c r="L93" i="2" s="1"/>
  <c r="G94" i="2"/>
  <c r="I93" i="2"/>
  <c r="H93" i="2"/>
  <c r="BG95" i="5"/>
  <c r="BF96" i="5"/>
  <c r="BH95" i="5"/>
  <c r="AI23" i="2"/>
  <c r="IJ23" i="2"/>
  <c r="IK23" i="2" s="1"/>
  <c r="L22" i="2"/>
  <c r="U95" i="5"/>
  <c r="CK94" i="5"/>
  <c r="CG95" i="5"/>
  <c r="CM94" i="5"/>
  <c r="CI94" i="5"/>
  <c r="CL94" i="5"/>
  <c r="CH94" i="5"/>
  <c r="CN94" i="5"/>
  <c r="CJ94" i="5"/>
  <c r="BM94" i="2"/>
  <c r="BJ95" i="2"/>
  <c r="BL94" i="2"/>
  <c r="BO94" i="2"/>
  <c r="BK94" i="2"/>
  <c r="BN94" i="2"/>
  <c r="X94" i="2"/>
  <c r="AD93" i="2"/>
  <c r="Z93" i="2"/>
  <c r="AC93" i="2"/>
  <c r="Y93" i="2"/>
  <c r="AF93" i="2"/>
  <c r="AB93" i="2"/>
  <c r="AE93" i="2"/>
  <c r="AA93" i="2"/>
  <c r="U95" i="2"/>
  <c r="IL94" i="5"/>
  <c r="IH94" i="5"/>
  <c r="IJ94" i="5"/>
  <c r="IF94" i="5"/>
  <c r="II94" i="5"/>
  <c r="IK94" i="5"/>
  <c r="IG94" i="5"/>
  <c r="IE95" i="5"/>
  <c r="H93" i="5"/>
  <c r="J93" i="5"/>
  <c r="G94" i="5"/>
  <c r="I93" i="5"/>
  <c r="AK24" i="5"/>
  <c r="AN25" i="2"/>
  <c r="AO25" i="2"/>
  <c r="AK24" i="2"/>
  <c r="IH24" i="5" l="1"/>
  <c r="IH24" i="2"/>
  <c r="II24" i="2"/>
  <c r="IL23" i="5"/>
  <c r="IF23" i="5" s="1"/>
  <c r="IG23" i="5" s="1"/>
  <c r="II23" i="5" s="1"/>
  <c r="S20" i="21" s="1"/>
  <c r="S30" i="21"/>
  <c r="S12" i="21"/>
  <c r="S28" i="21"/>
  <c r="S32" i="21"/>
  <c r="J94" i="5"/>
  <c r="AR94" i="5" s="1"/>
  <c r="H94" i="5"/>
  <c r="I94" i="5"/>
  <c r="G95" i="5"/>
  <c r="IJ95" i="5"/>
  <c r="IF95" i="5"/>
  <c r="IL95" i="5"/>
  <c r="IH95" i="5"/>
  <c r="IE96" i="5"/>
  <c r="IK95" i="5"/>
  <c r="IG95" i="5"/>
  <c r="II95" i="5"/>
  <c r="BJ96" i="2"/>
  <c r="BO95" i="2"/>
  <c r="BK95" i="2"/>
  <c r="BN95" i="2"/>
  <c r="BM95" i="2"/>
  <c r="BL95" i="2"/>
  <c r="CG96" i="5"/>
  <c r="CM95" i="5"/>
  <c r="CI95" i="5"/>
  <c r="CK95" i="5"/>
  <c r="CN95" i="5"/>
  <c r="CJ95" i="5"/>
  <c r="CL95" i="5"/>
  <c r="CH95" i="5"/>
  <c r="V95" i="5"/>
  <c r="U96" i="5"/>
  <c r="V92" i="5"/>
  <c r="AR93" i="2"/>
  <c r="IE96" i="2"/>
  <c r="IJ95" i="2"/>
  <c r="IF95" i="2"/>
  <c r="IK95" i="2"/>
  <c r="II95" i="2"/>
  <c r="IH95" i="2"/>
  <c r="IL95" i="2"/>
  <c r="IG95" i="2"/>
  <c r="AL94" i="5"/>
  <c r="AH95" i="5"/>
  <c r="AN94" i="5"/>
  <c r="AJ94" i="5"/>
  <c r="AM94" i="5"/>
  <c r="AI94" i="5"/>
  <c r="AO94" i="5"/>
  <c r="AK94" i="5"/>
  <c r="IJ22" i="5"/>
  <c r="IK22" i="5" s="1"/>
  <c r="L21" i="5"/>
  <c r="AI22" i="5"/>
  <c r="GX101" i="2"/>
  <c r="GZ101" i="2"/>
  <c r="GU101" i="2"/>
  <c r="FM102" i="2"/>
  <c r="GY101" i="2"/>
  <c r="GW101" i="2"/>
  <c r="GV101" i="2"/>
  <c r="CU96" i="2"/>
  <c r="FK95" i="2"/>
  <c r="FG95" i="2"/>
  <c r="FF95" i="2"/>
  <c r="FA95" i="2"/>
  <c r="EW95" i="2"/>
  <c r="ER95" i="2"/>
  <c r="EN95" i="2"/>
  <c r="EE95" i="2"/>
  <c r="EA95" i="2"/>
  <c r="DW95" i="2"/>
  <c r="DS95" i="2"/>
  <c r="DO95" i="2"/>
  <c r="DK95" i="2"/>
  <c r="DG95" i="2"/>
  <c r="DC95" i="2"/>
  <c r="CY95" i="2"/>
  <c r="FJ95" i="2"/>
  <c r="FE95" i="2"/>
  <c r="EZ95" i="2"/>
  <c r="EV95" i="2"/>
  <c r="EQ95" i="2"/>
  <c r="EM95" i="2"/>
  <c r="EH95" i="2"/>
  <c r="ED95" i="2"/>
  <c r="DZ95" i="2"/>
  <c r="DV95" i="2"/>
  <c r="DR95" i="2"/>
  <c r="DN95" i="2"/>
  <c r="DJ95" i="2"/>
  <c r="DF95" i="2"/>
  <c r="DB95" i="2"/>
  <c r="CX95" i="2"/>
  <c r="FI95" i="2"/>
  <c r="EY95" i="2"/>
  <c r="EU95" i="2"/>
  <c r="EP95" i="2"/>
  <c r="EL95" i="2"/>
  <c r="EG95" i="2"/>
  <c r="EC95" i="2"/>
  <c r="DY95" i="2"/>
  <c r="DU95" i="2"/>
  <c r="DQ95" i="2"/>
  <c r="DM95" i="2"/>
  <c r="DI95" i="2"/>
  <c r="DE95" i="2"/>
  <c r="DA95" i="2"/>
  <c r="CW95" i="2"/>
  <c r="FH95" i="2"/>
  <c r="FB95" i="2"/>
  <c r="EX95" i="2"/>
  <c r="EO95" i="2"/>
  <c r="EK95" i="2"/>
  <c r="EF95" i="2"/>
  <c r="EB95" i="2"/>
  <c r="DX95" i="2"/>
  <c r="DT95" i="2"/>
  <c r="DP95" i="2"/>
  <c r="DL95" i="2"/>
  <c r="DH95" i="2"/>
  <c r="DD95" i="2"/>
  <c r="CZ95" i="2"/>
  <c r="CV95" i="2"/>
  <c r="FK95" i="5"/>
  <c r="FG95" i="5"/>
  <c r="FB95" i="5"/>
  <c r="EX95" i="5"/>
  <c r="EO95" i="5"/>
  <c r="EK95" i="5"/>
  <c r="EF95" i="5"/>
  <c r="EB95" i="5"/>
  <c r="DX95" i="5"/>
  <c r="DT95" i="5"/>
  <c r="DP95" i="5"/>
  <c r="DL95" i="5"/>
  <c r="DH95" i="5"/>
  <c r="DD95" i="5"/>
  <c r="CZ95" i="5"/>
  <c r="CV95" i="5"/>
  <c r="FI95" i="5"/>
  <c r="FE95" i="5"/>
  <c r="EZ95" i="5"/>
  <c r="EV95" i="5"/>
  <c r="EQ95" i="5"/>
  <c r="EM95" i="5"/>
  <c r="EH95" i="5"/>
  <c r="ED95" i="5"/>
  <c r="DZ95" i="5"/>
  <c r="DV95" i="5"/>
  <c r="DR95" i="5"/>
  <c r="DN95" i="5"/>
  <c r="DJ95" i="5"/>
  <c r="DF95" i="5"/>
  <c r="DB95" i="5"/>
  <c r="CX95" i="5"/>
  <c r="CU96" i="5"/>
  <c r="FH95" i="5"/>
  <c r="EY95" i="5"/>
  <c r="EU95" i="5"/>
  <c r="EP95" i="5"/>
  <c r="EL95" i="5"/>
  <c r="EG95" i="5"/>
  <c r="EC95" i="5"/>
  <c r="DY95" i="5"/>
  <c r="DU95" i="5"/>
  <c r="DQ95" i="5"/>
  <c r="DM95" i="5"/>
  <c r="DI95" i="5"/>
  <c r="DE95" i="5"/>
  <c r="DA95" i="5"/>
  <c r="CW95" i="5"/>
  <c r="EW95" i="5"/>
  <c r="EE95" i="5"/>
  <c r="DO95" i="5"/>
  <c r="CY95" i="5"/>
  <c r="FJ95" i="5"/>
  <c r="ER95" i="5"/>
  <c r="EA95" i="5"/>
  <c r="DK95" i="5"/>
  <c r="FF95" i="5"/>
  <c r="EN95" i="5"/>
  <c r="DW95" i="5"/>
  <c r="DG95" i="5"/>
  <c r="FA95" i="5"/>
  <c r="DS95" i="5"/>
  <c r="DC95" i="5"/>
  <c r="AR93" i="5"/>
  <c r="AQ95" i="5"/>
  <c r="AW94" i="5"/>
  <c r="AX94" i="5"/>
  <c r="AT94" i="5"/>
  <c r="AK23" i="2"/>
  <c r="AO24" i="2"/>
  <c r="AN24" i="2"/>
  <c r="BF97" i="5"/>
  <c r="BG96" i="5"/>
  <c r="BH96" i="5"/>
  <c r="BQ96" i="2"/>
  <c r="BT95" i="2"/>
  <c r="BS95" i="2"/>
  <c r="BV95" i="2"/>
  <c r="BR95" i="2"/>
  <c r="BU95" i="2"/>
  <c r="AZ96" i="2"/>
  <c r="BA95" i="2"/>
  <c r="CG96" i="2"/>
  <c r="CL95" i="2"/>
  <c r="CH95" i="2"/>
  <c r="CK95" i="2"/>
  <c r="CN95" i="2"/>
  <c r="CJ95" i="2"/>
  <c r="CM95" i="2"/>
  <c r="CI95" i="2"/>
  <c r="BU95" i="5"/>
  <c r="BQ96" i="5"/>
  <c r="BS95" i="5"/>
  <c r="BV95" i="5"/>
  <c r="BR95" i="5"/>
  <c r="BT95" i="5"/>
  <c r="BX96" i="2"/>
  <c r="BY95" i="2"/>
  <c r="CB95" i="2"/>
  <c r="CE95" i="2"/>
  <c r="CA95" i="2"/>
  <c r="BZ95" i="2"/>
  <c r="AZ95" i="5"/>
  <c r="BA94" i="5"/>
  <c r="BB93" i="5" s="1"/>
  <c r="AO24" i="5"/>
  <c r="AN24" i="5"/>
  <c r="GZ97" i="5"/>
  <c r="GV97" i="5"/>
  <c r="GY97" i="5"/>
  <c r="GU97" i="5"/>
  <c r="GX97" i="5"/>
  <c r="FM98" i="5"/>
  <c r="GW97" i="5"/>
  <c r="AH96" i="2"/>
  <c r="AM95" i="2"/>
  <c r="AI95" i="2"/>
  <c r="AL95" i="2"/>
  <c r="AO95" i="2"/>
  <c r="AK95" i="2"/>
  <c r="AN95" i="2"/>
  <c r="AJ95" i="2"/>
  <c r="AC94" i="5"/>
  <c r="Y94" i="5"/>
  <c r="AE94" i="5"/>
  <c r="AA94" i="5"/>
  <c r="X95" i="5"/>
  <c r="AD94" i="5"/>
  <c r="Z94" i="5"/>
  <c r="AF94" i="5"/>
  <c r="AB94" i="5"/>
  <c r="AQ96" i="2"/>
  <c r="AX95" i="2"/>
  <c r="AT95" i="2"/>
  <c r="AW95" i="2"/>
  <c r="U96" i="2"/>
  <c r="V90" i="5"/>
  <c r="L93" i="5"/>
  <c r="AF94" i="2"/>
  <c r="AB94" i="2"/>
  <c r="AE94" i="2"/>
  <c r="AA94" i="2"/>
  <c r="X95" i="2"/>
  <c r="AD94" i="2"/>
  <c r="Z94" i="2"/>
  <c r="AC94" i="2"/>
  <c r="Y94" i="2"/>
  <c r="V91" i="5"/>
  <c r="L21" i="2"/>
  <c r="IJ22" i="2"/>
  <c r="IK22" i="2" s="1"/>
  <c r="AI22" i="2"/>
  <c r="IL23" i="2"/>
  <c r="IF23" i="2" s="1"/>
  <c r="IG23" i="2" s="1"/>
  <c r="G95" i="2"/>
  <c r="I94" i="2"/>
  <c r="H94" i="2"/>
  <c r="J94" i="2"/>
  <c r="E97" i="19"/>
  <c r="F97" i="19" s="1"/>
  <c r="A98" i="19"/>
  <c r="C97" i="19"/>
  <c r="B97" i="19"/>
  <c r="D97" i="19" s="1"/>
  <c r="BX96" i="5"/>
  <c r="BZ95" i="5"/>
  <c r="CB95" i="5"/>
  <c r="CE95" i="5"/>
  <c r="CA95" i="5"/>
  <c r="BY95" i="5"/>
  <c r="AK23" i="5"/>
  <c r="BJ96" i="5"/>
  <c r="BL95" i="5"/>
  <c r="BN95" i="5"/>
  <c r="BM95" i="5"/>
  <c r="BO95" i="5"/>
  <c r="BK95" i="5"/>
  <c r="BH95" i="2"/>
  <c r="BF96" i="2"/>
  <c r="BG95" i="2"/>
  <c r="V93" i="5"/>
  <c r="BB88" i="5" l="1"/>
  <c r="BD88" i="5" s="1"/>
  <c r="IH23" i="5"/>
  <c r="BD93" i="5"/>
  <c r="BC93" i="5"/>
  <c r="IL22" i="2"/>
  <c r="IF22" i="2" s="1"/>
  <c r="IG22" i="2" s="1"/>
  <c r="BB91" i="5"/>
  <c r="BC91" i="5" s="1"/>
  <c r="BB90" i="5"/>
  <c r="BC90" i="5" s="1"/>
  <c r="S22" i="21"/>
  <c r="S5" i="21"/>
  <c r="AS94" i="5"/>
  <c r="AV94" i="5" s="1"/>
  <c r="AS9" i="5"/>
  <c r="AS10" i="5"/>
  <c r="AS12" i="5"/>
  <c r="AS13" i="5"/>
  <c r="AS11" i="5"/>
  <c r="AS14" i="5"/>
  <c r="AS18" i="5"/>
  <c r="AS15" i="5"/>
  <c r="AS16" i="5"/>
  <c r="AS17" i="5"/>
  <c r="AS19" i="5"/>
  <c r="AS20" i="5"/>
  <c r="AS21" i="5"/>
  <c r="AS22" i="5"/>
  <c r="AS23" i="5"/>
  <c r="AS24" i="5"/>
  <c r="AS26" i="5"/>
  <c r="AS25" i="5"/>
  <c r="AS28" i="5"/>
  <c r="AS27" i="5"/>
  <c r="AS29" i="5"/>
  <c r="AS31" i="5"/>
  <c r="AS30" i="5"/>
  <c r="AS35" i="5"/>
  <c r="AS32" i="5"/>
  <c r="AS33" i="5"/>
  <c r="AS34" i="5"/>
  <c r="AS37" i="5"/>
  <c r="AS36" i="5"/>
  <c r="AS40" i="5"/>
  <c r="AS39" i="5"/>
  <c r="AS38" i="5"/>
  <c r="AS41" i="5"/>
  <c r="AS42" i="5"/>
  <c r="AS43" i="5"/>
  <c r="AS45" i="5"/>
  <c r="AS46" i="5"/>
  <c r="AS44" i="5"/>
  <c r="AS48" i="5"/>
  <c r="AS47" i="5"/>
  <c r="AS49" i="5"/>
  <c r="AS50" i="5"/>
  <c r="AS54" i="5"/>
  <c r="AS52" i="5"/>
  <c r="AS55" i="5"/>
  <c r="AS51" i="5"/>
  <c r="AS53" i="5"/>
  <c r="AS58" i="5"/>
  <c r="AS57" i="5"/>
  <c r="AJ22" i="5" s="1"/>
  <c r="AS59" i="5"/>
  <c r="AS60" i="5"/>
  <c r="AS56" i="5"/>
  <c r="AS62" i="5"/>
  <c r="AS64" i="5"/>
  <c r="AS65" i="5"/>
  <c r="AS61" i="5"/>
  <c r="AS63" i="5"/>
  <c r="AS67" i="5"/>
  <c r="AS66" i="5"/>
  <c r="AS68" i="5"/>
  <c r="AS69" i="5"/>
  <c r="AS71" i="5"/>
  <c r="AS70" i="5"/>
  <c r="AS72" i="5"/>
  <c r="AS75" i="5"/>
  <c r="AS73" i="5"/>
  <c r="AS74" i="5"/>
  <c r="AS76" i="5"/>
  <c r="AS78" i="5"/>
  <c r="AS77" i="5"/>
  <c r="AS79" i="5"/>
  <c r="AS80" i="5"/>
  <c r="AS82" i="5"/>
  <c r="AS81" i="5"/>
  <c r="AS83" i="5"/>
  <c r="AS84" i="5"/>
  <c r="AS85" i="5"/>
  <c r="AS86" i="5"/>
  <c r="AS87" i="5"/>
  <c r="AS88" i="5"/>
  <c r="AD95" i="2"/>
  <c r="Z95" i="2"/>
  <c r="X96" i="2"/>
  <c r="AC95" i="2"/>
  <c r="Y95" i="2"/>
  <c r="AF95" i="2"/>
  <c r="AB95" i="2"/>
  <c r="AE95" i="2"/>
  <c r="AA95" i="2"/>
  <c r="BC88" i="5"/>
  <c r="AS93" i="5"/>
  <c r="AV93" i="5" s="1"/>
  <c r="AS91" i="5"/>
  <c r="AS90" i="5"/>
  <c r="AS92" i="5"/>
  <c r="AS89" i="5"/>
  <c r="CB96" i="5"/>
  <c r="BX97" i="5"/>
  <c r="BZ96" i="5"/>
  <c r="BY96" i="5"/>
  <c r="CA96" i="5"/>
  <c r="CE96" i="5"/>
  <c r="AK22" i="2"/>
  <c r="L20" i="2"/>
  <c r="AI21" i="2"/>
  <c r="IJ21" i="2"/>
  <c r="IK21" i="2" s="1"/>
  <c r="AQ97" i="2"/>
  <c r="AW96" i="2"/>
  <c r="AT96" i="2"/>
  <c r="AX96" i="2"/>
  <c r="BQ97" i="2"/>
  <c r="BS96" i="2"/>
  <c r="BV96" i="2"/>
  <c r="BU96" i="2"/>
  <c r="BT96" i="2"/>
  <c r="BR96" i="2"/>
  <c r="BF98" i="5"/>
  <c r="BH97" i="5"/>
  <c r="BG97" i="5"/>
  <c r="AQ96" i="5"/>
  <c r="AW95" i="5"/>
  <c r="AT95" i="5"/>
  <c r="AX95" i="5"/>
  <c r="CU97" i="5"/>
  <c r="FI96" i="5"/>
  <c r="FE96" i="5"/>
  <c r="EZ96" i="5"/>
  <c r="EV96" i="5"/>
  <c r="EQ96" i="5"/>
  <c r="EM96" i="5"/>
  <c r="EH96" i="5"/>
  <c r="ED96" i="5"/>
  <c r="DZ96" i="5"/>
  <c r="DV96" i="5"/>
  <c r="DR96" i="5"/>
  <c r="DN96" i="5"/>
  <c r="DJ96" i="5"/>
  <c r="DF96" i="5"/>
  <c r="DB96" i="5"/>
  <c r="CX96" i="5"/>
  <c r="FH96" i="5"/>
  <c r="EY96" i="5"/>
  <c r="EU96" i="5"/>
  <c r="EP96" i="5"/>
  <c r="EL96" i="5"/>
  <c r="EG96" i="5"/>
  <c r="EC96" i="5"/>
  <c r="DY96" i="5"/>
  <c r="DU96" i="5"/>
  <c r="DQ96" i="5"/>
  <c r="DM96" i="5"/>
  <c r="DI96" i="5"/>
  <c r="FK96" i="5"/>
  <c r="FG96" i="5"/>
  <c r="FB96" i="5"/>
  <c r="EX96" i="5"/>
  <c r="EO96" i="5"/>
  <c r="EK96" i="5"/>
  <c r="EF96" i="5"/>
  <c r="EB96" i="5"/>
  <c r="DX96" i="5"/>
  <c r="DT96" i="5"/>
  <c r="DP96" i="5"/>
  <c r="DL96" i="5"/>
  <c r="DH96" i="5"/>
  <c r="DD96" i="5"/>
  <c r="CZ96" i="5"/>
  <c r="CV96" i="5"/>
  <c r="FJ96" i="5"/>
  <c r="FF96" i="5"/>
  <c r="FA96" i="5"/>
  <c r="EW96" i="5"/>
  <c r="ER96" i="5"/>
  <c r="EN96" i="5"/>
  <c r="EE96" i="5"/>
  <c r="EA96" i="5"/>
  <c r="DW96" i="5"/>
  <c r="DS96" i="5"/>
  <c r="DO96" i="5"/>
  <c r="DK96" i="5"/>
  <c r="DG96" i="5"/>
  <c r="DC96" i="5"/>
  <c r="CY96" i="5"/>
  <c r="DE96" i="5"/>
  <c r="DA96" i="5"/>
  <c r="CW96" i="5"/>
  <c r="AK22" i="5"/>
  <c r="V96" i="5"/>
  <c r="V11" i="5"/>
  <c r="V10" i="5"/>
  <c r="V12" i="5"/>
  <c r="V13" i="5"/>
  <c r="V9" i="5"/>
  <c r="V15" i="5"/>
  <c r="V16" i="5"/>
  <c r="V14" i="5"/>
  <c r="V17" i="5"/>
  <c r="V18" i="5"/>
  <c r="V20" i="5"/>
  <c r="V22" i="5"/>
  <c r="V19" i="5"/>
  <c r="V25" i="5"/>
  <c r="V24" i="5"/>
  <c r="V21" i="5"/>
  <c r="V23" i="5"/>
  <c r="V27" i="5"/>
  <c r="V26" i="5"/>
  <c r="V29" i="5"/>
  <c r="V31" i="5"/>
  <c r="V28" i="5"/>
  <c r="V32" i="5"/>
  <c r="V30" i="5"/>
  <c r="V33" i="5"/>
  <c r="V34" i="5"/>
  <c r="V35" i="5"/>
  <c r="V38" i="5"/>
  <c r="V37" i="5"/>
  <c r="V41" i="5"/>
  <c r="V36" i="5"/>
  <c r="V39" i="5"/>
  <c r="V42" i="5"/>
  <c r="V40" i="5"/>
  <c r="V46" i="5"/>
  <c r="V43" i="5"/>
  <c r="V44" i="5"/>
  <c r="V47" i="5"/>
  <c r="V48" i="5"/>
  <c r="V45" i="5"/>
  <c r="V50" i="5"/>
  <c r="V51" i="5"/>
  <c r="V49" i="5"/>
  <c r="V52" i="5"/>
  <c r="V53" i="5"/>
  <c r="V54" i="5"/>
  <c r="V55" i="5"/>
  <c r="V56" i="5"/>
  <c r="V57" i="5"/>
  <c r="V61" i="5"/>
  <c r="V58" i="5"/>
  <c r="V59" i="5"/>
  <c r="V60" i="5"/>
  <c r="V62" i="5"/>
  <c r="V63" i="5"/>
  <c r="V67" i="5"/>
  <c r="V65" i="5"/>
  <c r="V64" i="5"/>
  <c r="V68" i="5"/>
  <c r="V66" i="5"/>
  <c r="V70" i="5"/>
  <c r="V69" i="5"/>
  <c r="V73" i="5"/>
  <c r="V72" i="5"/>
  <c r="V71" i="5"/>
  <c r="V74" i="5"/>
  <c r="V76" i="5"/>
  <c r="V75" i="5"/>
  <c r="V82" i="5"/>
  <c r="V77" i="5"/>
  <c r="V78" i="5"/>
  <c r="V80" i="5"/>
  <c r="V79" i="5"/>
  <c r="V81" i="5"/>
  <c r="V83" i="5"/>
  <c r="V85" i="5"/>
  <c r="V84" i="5"/>
  <c r="V87" i="5"/>
  <c r="V86" i="5"/>
  <c r="V88" i="5"/>
  <c r="V89" i="5"/>
  <c r="V94" i="5"/>
  <c r="IE97" i="5"/>
  <c r="IL96" i="5"/>
  <c r="IH96" i="5"/>
  <c r="IK96" i="5"/>
  <c r="IG96" i="5"/>
  <c r="IJ96" i="5"/>
  <c r="IF96" i="5"/>
  <c r="II96" i="5"/>
  <c r="L94" i="5"/>
  <c r="BX97" i="2"/>
  <c r="BZ96" i="2"/>
  <c r="BY96" i="2"/>
  <c r="CB96" i="2"/>
  <c r="CE96" i="2"/>
  <c r="CA96" i="2"/>
  <c r="H95" i="5"/>
  <c r="J95" i="5"/>
  <c r="G96" i="5"/>
  <c r="I95" i="5"/>
  <c r="BN96" i="5"/>
  <c r="BJ97" i="5"/>
  <c r="BL96" i="5"/>
  <c r="BO96" i="5"/>
  <c r="BK96" i="5"/>
  <c r="BM96" i="5"/>
  <c r="BD91" i="5"/>
  <c r="FM99" i="5"/>
  <c r="GW98" i="5"/>
  <c r="GZ98" i="5"/>
  <c r="GV98" i="5"/>
  <c r="GY98" i="5"/>
  <c r="GU98" i="5"/>
  <c r="GX98" i="5"/>
  <c r="BB94" i="5"/>
  <c r="BD94" i="5" s="1"/>
  <c r="BB9" i="5"/>
  <c r="BB11" i="5"/>
  <c r="BB10" i="5"/>
  <c r="BB12" i="5"/>
  <c r="BB13" i="5"/>
  <c r="BB15" i="5"/>
  <c r="BB14" i="5"/>
  <c r="BB16" i="5"/>
  <c r="BB18" i="5"/>
  <c r="BB17" i="5"/>
  <c r="BB19" i="5"/>
  <c r="BB21" i="5"/>
  <c r="BB20" i="5"/>
  <c r="BB23" i="5"/>
  <c r="BB22" i="5"/>
  <c r="BB24" i="5"/>
  <c r="BB26" i="5"/>
  <c r="BB25" i="5"/>
  <c r="BB27" i="5"/>
  <c r="BB28" i="5"/>
  <c r="BB29" i="5"/>
  <c r="BB30" i="5"/>
  <c r="BB31" i="5"/>
  <c r="BB33" i="5"/>
  <c r="BB35" i="5"/>
  <c r="BB32" i="5"/>
  <c r="BB34" i="5"/>
  <c r="BB36" i="5"/>
  <c r="BB39" i="5"/>
  <c r="BB37" i="5"/>
  <c r="BB41" i="5"/>
  <c r="BB40" i="5"/>
  <c r="BB38" i="5"/>
  <c r="BB42" i="5"/>
  <c r="BB44" i="5"/>
  <c r="BB43" i="5"/>
  <c r="BB45" i="5"/>
  <c r="BB48" i="5"/>
  <c r="BB46" i="5"/>
  <c r="BB47" i="5"/>
  <c r="BB50" i="5"/>
  <c r="BB49" i="5"/>
  <c r="BB52" i="5"/>
  <c r="BB51" i="5"/>
  <c r="BB54" i="5"/>
  <c r="BB56" i="5"/>
  <c r="BB53" i="5"/>
  <c r="BB55" i="5"/>
  <c r="BB57" i="5"/>
  <c r="BB58" i="5"/>
  <c r="BB59" i="5"/>
  <c r="BB61" i="5"/>
  <c r="BB60" i="5"/>
  <c r="BB65" i="5"/>
  <c r="BB62" i="5"/>
  <c r="BB63" i="5"/>
  <c r="BB64" i="5"/>
  <c r="BB70" i="5"/>
  <c r="BB66" i="5"/>
  <c r="BB67" i="5"/>
  <c r="BB69" i="5"/>
  <c r="BB68" i="5"/>
  <c r="BB72" i="5"/>
  <c r="BB74" i="5"/>
  <c r="BB71" i="5"/>
  <c r="BB75" i="5"/>
  <c r="BB73" i="5"/>
  <c r="BB78" i="5"/>
  <c r="BB76" i="5"/>
  <c r="BB77" i="5"/>
  <c r="BB79" i="5"/>
  <c r="BB81" i="5"/>
  <c r="BB80" i="5"/>
  <c r="BB82" i="5"/>
  <c r="BB83" i="5"/>
  <c r="BB85" i="5"/>
  <c r="BB86" i="5"/>
  <c r="BB84" i="5"/>
  <c r="BB89" i="5"/>
  <c r="BB92" i="5"/>
  <c r="CG97" i="2"/>
  <c r="CM96" i="2"/>
  <c r="CI96" i="2"/>
  <c r="CL96" i="2"/>
  <c r="CH96" i="2"/>
  <c r="CK96" i="2"/>
  <c r="CN96" i="2"/>
  <c r="CJ96" i="2"/>
  <c r="AZ97" i="2"/>
  <c r="AZ98" i="2" s="1"/>
  <c r="AZ99" i="2" s="1"/>
  <c r="AZ100" i="2" s="1"/>
  <c r="AZ101" i="2" s="1"/>
  <c r="AZ102" i="2" s="1"/>
  <c r="BA96" i="2"/>
  <c r="BB87" i="2" s="1"/>
  <c r="L20" i="5"/>
  <c r="IJ21" i="5"/>
  <c r="IK21" i="5" s="1"/>
  <c r="AI21" i="5"/>
  <c r="IJ96" i="2"/>
  <c r="IF96" i="2"/>
  <c r="II96" i="2"/>
  <c r="IL96" i="2"/>
  <c r="IH96" i="2"/>
  <c r="IK96" i="2"/>
  <c r="IG96" i="2"/>
  <c r="IE97" i="2"/>
  <c r="AO23" i="5"/>
  <c r="AN23" i="5"/>
  <c r="AR94" i="2"/>
  <c r="G96" i="2"/>
  <c r="J95" i="2"/>
  <c r="I95" i="2"/>
  <c r="H95" i="2"/>
  <c r="BS96" i="5"/>
  <c r="BU96" i="5"/>
  <c r="BQ97" i="5"/>
  <c r="BT96" i="5"/>
  <c r="BV96" i="5"/>
  <c r="BR96" i="5"/>
  <c r="AH96" i="5"/>
  <c r="AN95" i="5"/>
  <c r="AJ95" i="5"/>
  <c r="AL95" i="5"/>
  <c r="AO95" i="5"/>
  <c r="AK95" i="5"/>
  <c r="AM95" i="5"/>
  <c r="AI95" i="5"/>
  <c r="CK96" i="5"/>
  <c r="CG97" i="5"/>
  <c r="CM96" i="5"/>
  <c r="CI96" i="5"/>
  <c r="CL96" i="5"/>
  <c r="CH96" i="5"/>
  <c r="CJ96" i="5"/>
  <c r="CN96" i="5"/>
  <c r="BH96" i="2"/>
  <c r="BG96" i="2"/>
  <c r="BF97" i="2"/>
  <c r="A99" i="19"/>
  <c r="C98" i="19"/>
  <c r="B98" i="19"/>
  <c r="D98" i="19" s="1"/>
  <c r="E98" i="19"/>
  <c r="F98" i="19" s="1"/>
  <c r="L94" i="2"/>
  <c r="II23" i="2"/>
  <c r="IH23" i="2"/>
  <c r="U97" i="2"/>
  <c r="BB87" i="5"/>
  <c r="AE95" i="5"/>
  <c r="AA95" i="5"/>
  <c r="AC95" i="5"/>
  <c r="Y95" i="5"/>
  <c r="AF95" i="5"/>
  <c r="AB95" i="5"/>
  <c r="Z95" i="5"/>
  <c r="X96" i="5"/>
  <c r="AD95" i="5"/>
  <c r="AH97" i="2"/>
  <c r="AL96" i="2"/>
  <c r="AK96" i="2"/>
  <c r="AO96" i="2"/>
  <c r="AJ96" i="2"/>
  <c r="AN96" i="2"/>
  <c r="AI96" i="2"/>
  <c r="AM96" i="2"/>
  <c r="AZ96" i="5"/>
  <c r="AZ97" i="5" s="1"/>
  <c r="AZ98" i="5" s="1"/>
  <c r="AZ99" i="5" s="1"/>
  <c r="AZ100" i="5" s="1"/>
  <c r="AZ101" i="5" s="1"/>
  <c r="AZ102" i="5" s="1"/>
  <c r="AO23" i="2"/>
  <c r="AN23" i="2"/>
  <c r="FK96" i="2"/>
  <c r="FG96" i="2"/>
  <c r="FB96" i="2"/>
  <c r="EX96" i="2"/>
  <c r="EO96" i="2"/>
  <c r="EK96" i="2"/>
  <c r="EF96" i="2"/>
  <c r="EB96" i="2"/>
  <c r="DX96" i="2"/>
  <c r="DT96" i="2"/>
  <c r="DP96" i="2"/>
  <c r="DL96" i="2"/>
  <c r="DH96" i="2"/>
  <c r="DD96" i="2"/>
  <c r="CZ96" i="2"/>
  <c r="CV96" i="2"/>
  <c r="FJ96" i="2"/>
  <c r="FF96" i="2"/>
  <c r="FA96" i="2"/>
  <c r="EW96" i="2"/>
  <c r="ER96" i="2"/>
  <c r="EN96" i="2"/>
  <c r="EE96" i="2"/>
  <c r="EA96" i="2"/>
  <c r="DW96" i="2"/>
  <c r="DS96" i="2"/>
  <c r="DO96" i="2"/>
  <c r="DK96" i="2"/>
  <c r="DG96" i="2"/>
  <c r="DC96" i="2"/>
  <c r="CY96" i="2"/>
  <c r="FI96" i="2"/>
  <c r="FE96" i="2"/>
  <c r="EZ96" i="2"/>
  <c r="EV96" i="2"/>
  <c r="EQ96" i="2"/>
  <c r="EM96" i="2"/>
  <c r="EH96" i="2"/>
  <c r="ED96" i="2"/>
  <c r="DZ96" i="2"/>
  <c r="DV96" i="2"/>
  <c r="DR96" i="2"/>
  <c r="DN96" i="2"/>
  <c r="DJ96" i="2"/>
  <c r="DF96" i="2"/>
  <c r="DB96" i="2"/>
  <c r="CX96" i="2"/>
  <c r="EY96" i="2"/>
  <c r="EG96" i="2"/>
  <c r="DQ96" i="2"/>
  <c r="DA96" i="2"/>
  <c r="EU96" i="2"/>
  <c r="EC96" i="2"/>
  <c r="DM96" i="2"/>
  <c r="CW96" i="2"/>
  <c r="CU97" i="2"/>
  <c r="FH96" i="2"/>
  <c r="EP96" i="2"/>
  <c r="DY96" i="2"/>
  <c r="DI96" i="2"/>
  <c r="EL96" i="2"/>
  <c r="DU96" i="2"/>
  <c r="DE96" i="2"/>
  <c r="GY102" i="2"/>
  <c r="GU102" i="2"/>
  <c r="GV102" i="2"/>
  <c r="GZ102" i="2"/>
  <c r="GX102" i="2"/>
  <c r="GW102" i="2"/>
  <c r="IL22" i="5"/>
  <c r="IF22" i="5" s="1"/>
  <c r="IG22" i="5" s="1"/>
  <c r="BJ97" i="2"/>
  <c r="BN96" i="2"/>
  <c r="BK96" i="2"/>
  <c r="BO96" i="2"/>
  <c r="BM96" i="2"/>
  <c r="BL96" i="2"/>
  <c r="BB93" i="2" l="1"/>
  <c r="BD90" i="5"/>
  <c r="IL21" i="2"/>
  <c r="IF21" i="2" s="1"/>
  <c r="IG21" i="2" s="1"/>
  <c r="IH22" i="2"/>
  <c r="II22" i="2"/>
  <c r="IL21" i="5"/>
  <c r="IF21" i="5" s="1"/>
  <c r="IG21" i="5" s="1"/>
  <c r="AU94" i="5"/>
  <c r="BC87" i="2"/>
  <c r="BD87" i="2"/>
  <c r="AC96" i="5"/>
  <c r="Y96" i="5"/>
  <c r="X97" i="5"/>
  <c r="AE96" i="5"/>
  <c r="AA96" i="5"/>
  <c r="AD96" i="5"/>
  <c r="Z96" i="5"/>
  <c r="AB96" i="5"/>
  <c r="AF96" i="5"/>
  <c r="BC87" i="5"/>
  <c r="BD87" i="5"/>
  <c r="FX37" i="2"/>
  <c r="FY38" i="2"/>
  <c r="FN27" i="2"/>
  <c r="FP29" i="2"/>
  <c r="FO28" i="2"/>
  <c r="GA40" i="2"/>
  <c r="CQ42" i="2"/>
  <c r="FS32" i="2"/>
  <c r="FU34" i="2"/>
  <c r="BD93" i="2"/>
  <c r="BC93" i="2"/>
  <c r="BD89" i="5"/>
  <c r="FO26" i="2" s="1"/>
  <c r="BC89" i="5"/>
  <c r="BC83" i="5"/>
  <c r="BD83" i="5"/>
  <c r="BC72" i="5"/>
  <c r="BD72" i="5"/>
  <c r="BC66" i="5"/>
  <c r="BD66" i="5"/>
  <c r="BC53" i="5"/>
  <c r="BD53" i="5"/>
  <c r="BD52" i="5"/>
  <c r="BC52" i="5"/>
  <c r="BD41" i="5"/>
  <c r="BC41" i="5"/>
  <c r="BD31" i="5"/>
  <c r="BC31" i="5"/>
  <c r="BD22" i="5"/>
  <c r="BC22" i="5"/>
  <c r="BD14" i="5"/>
  <c r="BC14" i="5"/>
  <c r="GX99" i="5"/>
  <c r="FM100" i="5"/>
  <c r="GW99" i="5"/>
  <c r="GZ99" i="5"/>
  <c r="GV99" i="5"/>
  <c r="GY99" i="5"/>
  <c r="GU99" i="5"/>
  <c r="BS97" i="2"/>
  <c r="BV97" i="2"/>
  <c r="BR97" i="2"/>
  <c r="BQ98" i="2"/>
  <c r="BU97" i="2"/>
  <c r="BT97" i="2"/>
  <c r="IJ20" i="2"/>
  <c r="IK20" i="2" s="1"/>
  <c r="L19" i="2"/>
  <c r="AI20" i="2"/>
  <c r="AV86" i="5"/>
  <c r="AU86" i="5"/>
  <c r="AV81" i="5"/>
  <c r="AU81" i="5"/>
  <c r="AU71" i="5"/>
  <c r="AV71" i="5"/>
  <c r="AV67" i="5"/>
  <c r="AU67" i="5"/>
  <c r="AV59" i="5"/>
  <c r="AU59" i="5"/>
  <c r="AU51" i="5"/>
  <c r="AV51" i="5"/>
  <c r="AV44" i="5"/>
  <c r="AU44" i="5"/>
  <c r="AV42" i="5"/>
  <c r="AU42" i="5"/>
  <c r="AU33" i="5"/>
  <c r="AV33" i="5"/>
  <c r="AU31" i="5"/>
  <c r="AV31" i="5"/>
  <c r="AU22" i="5"/>
  <c r="AV22" i="5"/>
  <c r="AV17" i="5"/>
  <c r="AU17" i="5"/>
  <c r="AV14" i="5"/>
  <c r="AU14" i="5"/>
  <c r="CQ43" i="2"/>
  <c r="CR43" i="2" s="1"/>
  <c r="CS43" i="2" s="1"/>
  <c r="J96" i="2"/>
  <c r="G97" i="2"/>
  <c r="H96" i="2"/>
  <c r="I96" i="2"/>
  <c r="IL97" i="2"/>
  <c r="IH97" i="2"/>
  <c r="IK97" i="2"/>
  <c r="IG97" i="2"/>
  <c r="IJ97" i="2"/>
  <c r="IF97" i="2"/>
  <c r="IE98" i="2"/>
  <c r="II97" i="2"/>
  <c r="BB94" i="2"/>
  <c r="GD43" i="2"/>
  <c r="AH98" i="2"/>
  <c r="AL97" i="2"/>
  <c r="AO97" i="2"/>
  <c r="AK97" i="2"/>
  <c r="AN97" i="2"/>
  <c r="AJ97" i="2"/>
  <c r="AM97" i="2"/>
  <c r="AI97" i="2"/>
  <c r="BH97" i="2"/>
  <c r="BG97" i="2"/>
  <c r="BF98" i="2"/>
  <c r="BB89" i="2"/>
  <c r="L95" i="2"/>
  <c r="AK21" i="5"/>
  <c r="AJ21" i="5"/>
  <c r="FI97" i="2"/>
  <c r="FE97" i="2"/>
  <c r="EZ97" i="2"/>
  <c r="EV97" i="2"/>
  <c r="EQ97" i="2"/>
  <c r="EM97" i="2"/>
  <c r="EH97" i="2"/>
  <c r="ED97" i="2"/>
  <c r="DZ97" i="2"/>
  <c r="DV97" i="2"/>
  <c r="DR97" i="2"/>
  <c r="DN97" i="2"/>
  <c r="DJ97" i="2"/>
  <c r="DF97" i="2"/>
  <c r="DB97" i="2"/>
  <c r="CX97" i="2"/>
  <c r="FH97" i="2"/>
  <c r="EY97" i="2"/>
  <c r="EU97" i="2"/>
  <c r="EP97" i="2"/>
  <c r="EL97" i="2"/>
  <c r="EG97" i="2"/>
  <c r="EC97" i="2"/>
  <c r="DY97" i="2"/>
  <c r="DU97" i="2"/>
  <c r="DQ97" i="2"/>
  <c r="DM97" i="2"/>
  <c r="DI97" i="2"/>
  <c r="DE97" i="2"/>
  <c r="DA97" i="2"/>
  <c r="CW97" i="2"/>
  <c r="FK97" i="2"/>
  <c r="FG97" i="2"/>
  <c r="FB97" i="2"/>
  <c r="EX97" i="2"/>
  <c r="EO97" i="2"/>
  <c r="EK97" i="2"/>
  <c r="EF97" i="2"/>
  <c r="EB97" i="2"/>
  <c r="DX97" i="2"/>
  <c r="DT97" i="2"/>
  <c r="DP97" i="2"/>
  <c r="DL97" i="2"/>
  <c r="DH97" i="2"/>
  <c r="DD97" i="2"/>
  <c r="CZ97" i="2"/>
  <c r="CV97" i="2"/>
  <c r="FA97" i="2"/>
  <c r="DS97" i="2"/>
  <c r="DC97" i="2"/>
  <c r="CU98" i="2"/>
  <c r="EW97" i="2"/>
  <c r="EE97" i="2"/>
  <c r="DO97" i="2"/>
  <c r="CY97" i="2"/>
  <c r="FJ97" i="2"/>
  <c r="ER97" i="2"/>
  <c r="EA97" i="2"/>
  <c r="DK97" i="2"/>
  <c r="FF97" i="2"/>
  <c r="EN97" i="2"/>
  <c r="DW97" i="2"/>
  <c r="DG97" i="2"/>
  <c r="A100" i="19"/>
  <c r="C99" i="19"/>
  <c r="B99" i="19"/>
  <c r="D99" i="19" s="1"/>
  <c r="E99" i="19"/>
  <c r="F99" i="19" s="1"/>
  <c r="IJ20" i="5"/>
  <c r="IK20" i="5" s="1"/>
  <c r="L19" i="5"/>
  <c r="AI20" i="5"/>
  <c r="BD92" i="5"/>
  <c r="BC92" i="5"/>
  <c r="BC85" i="5"/>
  <c r="BD85" i="5"/>
  <c r="BC81" i="5"/>
  <c r="BD81" i="5"/>
  <c r="BD78" i="5"/>
  <c r="BC78" i="5"/>
  <c r="BD74" i="5"/>
  <c r="BC74" i="5"/>
  <c r="BC67" i="5"/>
  <c r="BD67" i="5"/>
  <c r="BD63" i="5"/>
  <c r="BC63" i="5"/>
  <c r="BC61" i="5"/>
  <c r="BD61" i="5"/>
  <c r="BD55" i="5"/>
  <c r="BC55" i="5"/>
  <c r="BC51" i="5"/>
  <c r="BD51" i="5"/>
  <c r="BD47" i="5"/>
  <c r="BC47" i="5"/>
  <c r="BC43" i="5"/>
  <c r="BD43" i="5"/>
  <c r="BD40" i="5"/>
  <c r="BC40" i="5"/>
  <c r="BD36" i="5"/>
  <c r="BC36" i="5"/>
  <c r="BD33" i="5"/>
  <c r="BC33" i="5"/>
  <c r="BC28" i="5"/>
  <c r="BD28" i="5"/>
  <c r="BC24" i="5"/>
  <c r="BD24" i="5"/>
  <c r="BD21" i="5"/>
  <c r="DJ20" i="2" s="1"/>
  <c r="BC21" i="5"/>
  <c r="BD16" i="5"/>
  <c r="BC16" i="5"/>
  <c r="BC12" i="5"/>
  <c r="BD12" i="5"/>
  <c r="BC94" i="5"/>
  <c r="BO97" i="5"/>
  <c r="BK97" i="5"/>
  <c r="BN97" i="5"/>
  <c r="BJ98" i="5"/>
  <c r="BM97" i="5"/>
  <c r="BL97" i="5"/>
  <c r="J96" i="5"/>
  <c r="K92" i="5" s="1"/>
  <c r="G97" i="5"/>
  <c r="L96" i="5"/>
  <c r="H96" i="5"/>
  <c r="I96" i="5"/>
  <c r="AM22" i="5"/>
  <c r="AL22" i="5"/>
  <c r="FJ97" i="5"/>
  <c r="FF97" i="5"/>
  <c r="FA97" i="5"/>
  <c r="EW97" i="5"/>
  <c r="ER97" i="5"/>
  <c r="EN97" i="5"/>
  <c r="EE97" i="5"/>
  <c r="EA97" i="5"/>
  <c r="DW97" i="5"/>
  <c r="DS97" i="5"/>
  <c r="DO97" i="5"/>
  <c r="DK97" i="5"/>
  <c r="DG97" i="5"/>
  <c r="DC97" i="5"/>
  <c r="CY97" i="5"/>
  <c r="CU98" i="5"/>
  <c r="FI97" i="5"/>
  <c r="FE97" i="5"/>
  <c r="EZ97" i="5"/>
  <c r="EV97" i="5"/>
  <c r="EQ97" i="5"/>
  <c r="EM97" i="5"/>
  <c r="EH97" i="5"/>
  <c r="ED97" i="5"/>
  <c r="DZ97" i="5"/>
  <c r="DV97" i="5"/>
  <c r="DR97" i="5"/>
  <c r="DN97" i="5"/>
  <c r="DJ97" i="5"/>
  <c r="DF97" i="5"/>
  <c r="DB97" i="5"/>
  <c r="CX97" i="5"/>
  <c r="FH97" i="5"/>
  <c r="EY97" i="5"/>
  <c r="EU97" i="5"/>
  <c r="EP97" i="5"/>
  <c r="EL97" i="5"/>
  <c r="EG97" i="5"/>
  <c r="EC97" i="5"/>
  <c r="DY97" i="5"/>
  <c r="DU97" i="5"/>
  <c r="DQ97" i="5"/>
  <c r="DM97" i="5"/>
  <c r="DI97" i="5"/>
  <c r="DE97" i="5"/>
  <c r="DA97" i="5"/>
  <c r="CW97" i="5"/>
  <c r="FK97" i="5"/>
  <c r="FG97" i="5"/>
  <c r="FB97" i="5"/>
  <c r="EX97" i="5"/>
  <c r="EO97" i="5"/>
  <c r="EK97" i="5"/>
  <c r="EF97" i="5"/>
  <c r="EB97" i="5"/>
  <c r="DX97" i="5"/>
  <c r="DT97" i="5"/>
  <c r="DP97" i="5"/>
  <c r="DL97" i="5"/>
  <c r="DH97" i="5"/>
  <c r="DD97" i="5"/>
  <c r="CZ97" i="5"/>
  <c r="CV97" i="5"/>
  <c r="AW96" i="5"/>
  <c r="AQ97" i="5"/>
  <c r="AX96" i="5"/>
  <c r="AT96" i="5"/>
  <c r="AU92" i="5"/>
  <c r="AV92" i="5"/>
  <c r="AU93" i="5"/>
  <c r="AV87" i="5"/>
  <c r="AU87" i="5"/>
  <c r="AU83" i="5"/>
  <c r="AV83" i="5"/>
  <c r="AV79" i="5"/>
  <c r="AU79" i="5"/>
  <c r="AV74" i="5"/>
  <c r="AU74" i="5"/>
  <c r="AU70" i="5"/>
  <c r="AV70" i="5"/>
  <c r="AU66" i="5"/>
  <c r="AV66" i="5"/>
  <c r="AV65" i="5"/>
  <c r="AU65" i="5"/>
  <c r="AU60" i="5"/>
  <c r="AV60" i="5"/>
  <c r="AV53" i="5"/>
  <c r="AU53" i="5"/>
  <c r="AV54" i="5"/>
  <c r="AU54" i="5"/>
  <c r="AU48" i="5"/>
  <c r="AV48" i="5"/>
  <c r="AU43" i="5"/>
  <c r="AV43" i="5"/>
  <c r="AV39" i="5"/>
  <c r="AU39" i="5"/>
  <c r="AU34" i="5"/>
  <c r="AV34" i="5"/>
  <c r="AV30" i="5"/>
  <c r="AU30" i="5"/>
  <c r="AV28" i="5"/>
  <c r="AU28" i="5"/>
  <c r="AU23" i="5"/>
  <c r="AV23" i="5"/>
  <c r="AV19" i="5"/>
  <c r="AU19" i="5"/>
  <c r="AU18" i="5"/>
  <c r="AV18" i="5"/>
  <c r="AV12" i="5"/>
  <c r="AU12" i="5"/>
  <c r="U98" i="2"/>
  <c r="CL97" i="5"/>
  <c r="CH97" i="5"/>
  <c r="CK97" i="5"/>
  <c r="CG98" i="5"/>
  <c r="CN97" i="5"/>
  <c r="CJ97" i="5"/>
  <c r="CM97" i="5"/>
  <c r="CI97" i="5"/>
  <c r="AR95" i="2"/>
  <c r="BB96" i="2"/>
  <c r="BD96" i="2" s="1"/>
  <c r="BB11" i="2"/>
  <c r="BB10" i="2"/>
  <c r="BB12" i="2"/>
  <c r="BB9" i="2"/>
  <c r="BB13" i="2"/>
  <c r="BB14" i="2"/>
  <c r="BB15" i="2"/>
  <c r="BB17" i="2"/>
  <c r="BB16" i="2"/>
  <c r="BB18" i="2"/>
  <c r="BB19" i="2"/>
  <c r="BB20" i="2"/>
  <c r="BB21" i="2"/>
  <c r="BB22" i="2"/>
  <c r="BB23" i="2"/>
  <c r="BB24" i="2"/>
  <c r="BB26" i="2"/>
  <c r="BB27" i="2"/>
  <c r="BB28" i="2"/>
  <c r="BB25" i="2"/>
  <c r="BB29" i="2"/>
  <c r="BB30" i="2"/>
  <c r="BB31" i="2"/>
  <c r="BB32" i="2"/>
  <c r="BB37" i="2"/>
  <c r="BB33" i="2"/>
  <c r="BB34" i="2"/>
  <c r="BB35" i="2"/>
  <c r="BB36" i="2"/>
  <c r="BB38" i="2"/>
  <c r="BB39" i="2"/>
  <c r="BB41" i="2"/>
  <c r="BB40" i="2"/>
  <c r="BB42" i="2"/>
  <c r="BB45" i="2"/>
  <c r="BB43" i="2"/>
  <c r="BB44" i="2"/>
  <c r="BB49" i="2"/>
  <c r="BB46" i="2"/>
  <c r="BB47" i="2"/>
  <c r="BB48" i="2"/>
  <c r="BB50" i="2"/>
  <c r="BB51" i="2"/>
  <c r="BB53" i="2"/>
  <c r="BB52" i="2"/>
  <c r="BB54" i="2"/>
  <c r="BB58" i="2"/>
  <c r="BB55" i="2"/>
  <c r="BB56" i="2"/>
  <c r="BB57" i="2"/>
  <c r="BB59" i="2"/>
  <c r="BB60" i="2"/>
  <c r="BB62" i="2"/>
  <c r="BB61" i="2"/>
  <c r="BB65" i="2"/>
  <c r="BB63" i="2"/>
  <c r="BB64" i="2"/>
  <c r="BB66" i="2"/>
  <c r="BB69" i="2"/>
  <c r="BB67" i="2"/>
  <c r="BB68" i="2"/>
  <c r="BB70" i="2"/>
  <c r="BB71" i="2"/>
  <c r="BB73" i="2"/>
  <c r="BB72" i="2"/>
  <c r="BB76" i="2"/>
  <c r="BB74" i="2"/>
  <c r="BB75" i="2"/>
  <c r="BB77" i="2"/>
  <c r="BB78" i="2"/>
  <c r="BB79" i="2"/>
  <c r="BB82" i="2"/>
  <c r="BB80" i="2"/>
  <c r="BB81" i="2"/>
  <c r="BB86" i="2"/>
  <c r="BB84" i="2"/>
  <c r="BB83" i="2"/>
  <c r="BB88" i="2"/>
  <c r="BB85" i="2"/>
  <c r="BD73" i="5"/>
  <c r="BC73" i="5"/>
  <c r="BC59" i="5"/>
  <c r="BD59" i="5"/>
  <c r="BD44" i="5"/>
  <c r="BC44" i="5"/>
  <c r="BD27" i="5"/>
  <c r="BC27" i="5"/>
  <c r="BD10" i="5"/>
  <c r="BC10" i="5"/>
  <c r="BB95" i="2"/>
  <c r="BX98" i="2"/>
  <c r="CB97" i="2"/>
  <c r="CE97" i="2"/>
  <c r="CA97" i="2"/>
  <c r="BZ97" i="2"/>
  <c r="BY97" i="2"/>
  <c r="AV73" i="5"/>
  <c r="AU73" i="5"/>
  <c r="IH22" i="5"/>
  <c r="II22" i="5"/>
  <c r="S14" i="21" s="1"/>
  <c r="AL96" i="5"/>
  <c r="AH97" i="5"/>
  <c r="AN96" i="5"/>
  <c r="AJ96" i="5"/>
  <c r="AM96" i="5"/>
  <c r="AI96" i="5"/>
  <c r="AO96" i="5"/>
  <c r="AK96" i="5"/>
  <c r="CG98" i="2"/>
  <c r="CK97" i="2"/>
  <c r="CN97" i="2"/>
  <c r="CJ97" i="2"/>
  <c r="CM97" i="2"/>
  <c r="CI97" i="2"/>
  <c r="CH97" i="2"/>
  <c r="CL97" i="2"/>
  <c r="BC84" i="5"/>
  <c r="BD84" i="5"/>
  <c r="BD82" i="5"/>
  <c r="BC82" i="5"/>
  <c r="BC77" i="5"/>
  <c r="BD77" i="5"/>
  <c r="BD75" i="5"/>
  <c r="BC75" i="5"/>
  <c r="BD68" i="5"/>
  <c r="BC68" i="5"/>
  <c r="BC70" i="5"/>
  <c r="BD70" i="5"/>
  <c r="BD65" i="5"/>
  <c r="BC65" i="5"/>
  <c r="BD58" i="5"/>
  <c r="BC58" i="5"/>
  <c r="BD56" i="5"/>
  <c r="BC56" i="5"/>
  <c r="BD49" i="5"/>
  <c r="BC49" i="5"/>
  <c r="BD48" i="5"/>
  <c r="BC48" i="5"/>
  <c r="BC42" i="5"/>
  <c r="BD42" i="5"/>
  <c r="BD37" i="5"/>
  <c r="BC37" i="5"/>
  <c r="BD32" i="5"/>
  <c r="BC32" i="5"/>
  <c r="BC30" i="5"/>
  <c r="BD30" i="5"/>
  <c r="BC25" i="5"/>
  <c r="BD25" i="5"/>
  <c r="BD23" i="5"/>
  <c r="BC23" i="5"/>
  <c r="BD17" i="5"/>
  <c r="BC17" i="5"/>
  <c r="BC15" i="5"/>
  <c r="BD15" i="5"/>
  <c r="BD11" i="5"/>
  <c r="BC11" i="5"/>
  <c r="BB92" i="2"/>
  <c r="II97" i="5"/>
  <c r="IE98" i="5"/>
  <c r="IL97" i="5"/>
  <c r="IH97" i="5"/>
  <c r="IK97" i="5"/>
  <c r="IG97" i="5"/>
  <c r="IJ97" i="5"/>
  <c r="IF97" i="5"/>
  <c r="AQ98" i="2"/>
  <c r="AW97" i="2"/>
  <c r="AT97" i="2"/>
  <c r="AX97" i="2"/>
  <c r="HH44" i="2"/>
  <c r="HJ46" i="2"/>
  <c r="HI45" i="2"/>
  <c r="AK21" i="2"/>
  <c r="AU91" i="5"/>
  <c r="AV91" i="5"/>
  <c r="X97" i="2"/>
  <c r="AC96" i="2"/>
  <c r="Y96" i="2"/>
  <c r="AE96" i="2"/>
  <c r="Z96" i="2"/>
  <c r="AD96" i="2"/>
  <c r="AB96" i="2"/>
  <c r="AF96" i="2"/>
  <c r="AA96" i="2"/>
  <c r="AV85" i="5"/>
  <c r="AU85" i="5"/>
  <c r="AU82" i="5"/>
  <c r="AV82" i="5"/>
  <c r="AU78" i="5"/>
  <c r="AV78" i="5"/>
  <c r="AV75" i="5"/>
  <c r="AU75" i="5"/>
  <c r="AV69" i="5"/>
  <c r="AU69" i="5"/>
  <c r="AU63" i="5"/>
  <c r="AV63" i="5"/>
  <c r="AV62" i="5"/>
  <c r="AU62" i="5"/>
  <c r="AJ57" i="5"/>
  <c r="AV57" i="5"/>
  <c r="AU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V55" i="5"/>
  <c r="AU55" i="5"/>
  <c r="AV49" i="5"/>
  <c r="AU49" i="5"/>
  <c r="AU46" i="5"/>
  <c r="AV46" i="5"/>
  <c r="AV41" i="5"/>
  <c r="AU41" i="5"/>
  <c r="AV36" i="5"/>
  <c r="AU36" i="5"/>
  <c r="AV32" i="5"/>
  <c r="AU32" i="5"/>
  <c r="AV29" i="5"/>
  <c r="AU29" i="5"/>
  <c r="AV26" i="5"/>
  <c r="AU26" i="5"/>
  <c r="AU21" i="5"/>
  <c r="AV21" i="5"/>
  <c r="AV16" i="5"/>
  <c r="AU16" i="5"/>
  <c r="AV11" i="5"/>
  <c r="AU11" i="5"/>
  <c r="AU9" i="5"/>
  <c r="AV9" i="5"/>
  <c r="BB90" i="2"/>
  <c r="BJ98" i="2"/>
  <c r="BN97" i="2"/>
  <c r="BM97" i="2"/>
  <c r="BL97" i="2"/>
  <c r="BO97" i="2"/>
  <c r="BK97" i="2"/>
  <c r="BC79" i="5"/>
  <c r="BD79" i="5"/>
  <c r="BD62" i="5"/>
  <c r="BC62" i="5"/>
  <c r="BD46" i="5"/>
  <c r="BC46" i="5"/>
  <c r="BD34" i="5"/>
  <c r="BC34" i="5"/>
  <c r="BC19" i="5"/>
  <c r="BD19" i="5"/>
  <c r="AO22" i="5"/>
  <c r="AN22" i="5"/>
  <c r="BY97" i="5"/>
  <c r="CB97" i="5"/>
  <c r="BX98" i="5"/>
  <c r="CE97" i="5"/>
  <c r="CA97" i="5"/>
  <c r="BZ97" i="5"/>
  <c r="AV90" i="5"/>
  <c r="AU90" i="5"/>
  <c r="AV77" i="5"/>
  <c r="AU77" i="5"/>
  <c r="AV64" i="5"/>
  <c r="AU64" i="5"/>
  <c r="AV50" i="5"/>
  <c r="AU50" i="5"/>
  <c r="AV40" i="5"/>
  <c r="AU40" i="5"/>
  <c r="AV25" i="5"/>
  <c r="AU25" i="5"/>
  <c r="AV10" i="5"/>
  <c r="AU10" i="5"/>
  <c r="BQ98" i="5"/>
  <c r="BT97" i="5"/>
  <c r="BS97" i="5"/>
  <c r="BV97" i="5"/>
  <c r="BR97" i="5"/>
  <c r="BU97" i="5"/>
  <c r="BD86" i="5"/>
  <c r="BC86" i="5"/>
  <c r="BC80" i="5"/>
  <c r="BD80" i="5"/>
  <c r="BD76" i="5"/>
  <c r="BC76" i="5"/>
  <c r="BC71" i="5"/>
  <c r="BD71" i="5"/>
  <c r="BD69" i="5"/>
  <c r="BC69" i="5"/>
  <c r="BC64" i="5"/>
  <c r="BD64" i="5"/>
  <c r="BC60" i="5"/>
  <c r="BD60" i="5"/>
  <c r="BD57" i="5"/>
  <c r="BC57" i="5"/>
  <c r="BC54" i="5"/>
  <c r="BD54" i="5"/>
  <c r="BC50" i="5"/>
  <c r="BD50" i="5"/>
  <c r="BD45" i="5"/>
  <c r="BC45" i="5"/>
  <c r="BD38" i="5"/>
  <c r="BC38" i="5"/>
  <c r="BD39" i="5"/>
  <c r="BC39" i="5"/>
  <c r="BD35" i="5"/>
  <c r="BC35" i="5"/>
  <c r="BD29" i="5"/>
  <c r="BC29" i="5"/>
  <c r="BC26" i="5"/>
  <c r="BD26" i="5"/>
  <c r="BD20" i="5"/>
  <c r="BC20" i="5"/>
  <c r="BD18" i="5"/>
  <c r="BC18" i="5"/>
  <c r="BD13" i="5"/>
  <c r="BC13" i="5"/>
  <c r="BD9" i="5"/>
  <c r="BC9" i="5"/>
  <c r="L95" i="5"/>
  <c r="BG98" i="5"/>
  <c r="BF99" i="5"/>
  <c r="BH98" i="5"/>
  <c r="BB91" i="2"/>
  <c r="AO22" i="2"/>
  <c r="AN22" i="2"/>
  <c r="AV89" i="5"/>
  <c r="AU89" i="5"/>
  <c r="FN25" i="2"/>
  <c r="GD41" i="2"/>
  <c r="FR29" i="2"/>
  <c r="AU88" i="5"/>
  <c r="AV88" i="5"/>
  <c r="AU84" i="5"/>
  <c r="AV84" i="5"/>
  <c r="AV80" i="5"/>
  <c r="AU80" i="5"/>
  <c r="AV76" i="5"/>
  <c r="AU76" i="5"/>
  <c r="AU72" i="5"/>
  <c r="AV72" i="5"/>
  <c r="AV68" i="5"/>
  <c r="AU68" i="5"/>
  <c r="AV61" i="5"/>
  <c r="AU61" i="5"/>
  <c r="AU56" i="5"/>
  <c r="AV56" i="5"/>
  <c r="AV58" i="5"/>
  <c r="AU58" i="5"/>
  <c r="AV52" i="5"/>
  <c r="AU52" i="5"/>
  <c r="AU47" i="5"/>
  <c r="AV47" i="5"/>
  <c r="AV45" i="5"/>
  <c r="AU45" i="5"/>
  <c r="AV38" i="5"/>
  <c r="AU38" i="5"/>
  <c r="AV37" i="5"/>
  <c r="AU37" i="5"/>
  <c r="AU35" i="5"/>
  <c r="AV35" i="5"/>
  <c r="AV27" i="5"/>
  <c r="AU27" i="5"/>
  <c r="AU24" i="5"/>
  <c r="AV24" i="5"/>
  <c r="AU20" i="5"/>
  <c r="AV20" i="5"/>
  <c r="AV15" i="5"/>
  <c r="AU15" i="5"/>
  <c r="AU13" i="5"/>
  <c r="AV13" i="5"/>
  <c r="FW36" i="2" l="1"/>
  <c r="FV35" i="2"/>
  <c r="FZ39" i="2"/>
  <c r="GB41" i="2"/>
  <c r="GG43" i="2"/>
  <c r="FQ30" i="2"/>
  <c r="FT33" i="2"/>
  <c r="GC42" i="2"/>
  <c r="FR31" i="2"/>
  <c r="FU32" i="2"/>
  <c r="CQ40" i="2"/>
  <c r="FZ37" i="2"/>
  <c r="CD63" i="5"/>
  <c r="CY20" i="2"/>
  <c r="FW34" i="2"/>
  <c r="DI20" i="2"/>
  <c r="GA38" i="2"/>
  <c r="DB20" i="2"/>
  <c r="CD60" i="5"/>
  <c r="CD14" i="5"/>
  <c r="GC40" i="2"/>
  <c r="FV33" i="2"/>
  <c r="DE20" i="2"/>
  <c r="GA29" i="2"/>
  <c r="IH21" i="2"/>
  <c r="II21" i="2"/>
  <c r="M20" i="5"/>
  <c r="CD16" i="5"/>
  <c r="K93" i="5"/>
  <c r="K95" i="5"/>
  <c r="M25" i="5"/>
  <c r="K90" i="5"/>
  <c r="CD49" i="5"/>
  <c r="CW20" i="2"/>
  <c r="CD66" i="5"/>
  <c r="CD55" i="5"/>
  <c r="CL20" i="2"/>
  <c r="CD11" i="5"/>
  <c r="CD70" i="5"/>
  <c r="BC96" i="2"/>
  <c r="FP27" i="2"/>
  <c r="FX35" i="2"/>
  <c r="GB39" i="2"/>
  <c r="FQ28" i="2"/>
  <c r="FS30" i="2"/>
  <c r="CD67" i="5"/>
  <c r="DC20" i="2"/>
  <c r="DU20" i="2"/>
  <c r="GM43" i="2"/>
  <c r="CD52" i="5"/>
  <c r="FT31" i="2"/>
  <c r="GF43" i="2"/>
  <c r="FY36" i="2"/>
  <c r="GE42" i="2"/>
  <c r="CD12" i="5"/>
  <c r="DF20" i="2"/>
  <c r="CD71" i="5"/>
  <c r="CD64" i="5"/>
  <c r="CD32" i="5"/>
  <c r="CD33" i="5"/>
  <c r="BH99" i="5"/>
  <c r="BG99" i="5"/>
  <c r="BF100" i="5"/>
  <c r="DZ35" i="2"/>
  <c r="DY34" i="2"/>
  <c r="DX33" i="2"/>
  <c r="DW32" i="2"/>
  <c r="DV31" i="2"/>
  <c r="DU30" i="2"/>
  <c r="DT29" i="2"/>
  <c r="DS28" i="2"/>
  <c r="DR27" i="2"/>
  <c r="DQ26" i="2"/>
  <c r="DP25" i="2"/>
  <c r="DO24" i="2"/>
  <c r="DN23" i="2"/>
  <c r="DM22" i="2"/>
  <c r="DL21" i="2"/>
  <c r="DV56" i="2"/>
  <c r="DU55" i="2"/>
  <c r="DT54" i="2"/>
  <c r="DS53" i="2"/>
  <c r="DR52" i="2"/>
  <c r="DQ51" i="2"/>
  <c r="DP50" i="2"/>
  <c r="DO49" i="2"/>
  <c r="DN48" i="2"/>
  <c r="DM47" i="2"/>
  <c r="DL46" i="2"/>
  <c r="DK45" i="2"/>
  <c r="DJ44" i="2"/>
  <c r="DI43" i="2"/>
  <c r="CL43" i="2"/>
  <c r="CL42" i="2"/>
  <c r="DH42" i="2"/>
  <c r="DG41" i="2"/>
  <c r="DF40" i="2"/>
  <c r="DE39" i="2"/>
  <c r="DD38" i="2"/>
  <c r="GQ11" i="2"/>
  <c r="DC37" i="2"/>
  <c r="GP10" i="2"/>
  <c r="GR12" i="2"/>
  <c r="GO9" i="2"/>
  <c r="DB36" i="2"/>
  <c r="DA35" i="2"/>
  <c r="CZ34" i="2"/>
  <c r="CY33" i="2"/>
  <c r="CX32" i="2"/>
  <c r="CW31" i="2"/>
  <c r="CV30" i="2"/>
  <c r="GA26" i="2"/>
  <c r="GE30" i="2"/>
  <c r="FS18" i="2"/>
  <c r="FY24" i="2"/>
  <c r="FW22" i="2"/>
  <c r="GB27" i="2"/>
  <c r="FU20" i="2"/>
  <c r="FR17" i="2"/>
  <c r="FZ25" i="2"/>
  <c r="FT19" i="2"/>
  <c r="FN13" i="2"/>
  <c r="FV21" i="2"/>
  <c r="FX23" i="2"/>
  <c r="GC28" i="2"/>
  <c r="FO14" i="2"/>
  <c r="GD29" i="2"/>
  <c r="FP15" i="2"/>
  <c r="GF31" i="2"/>
  <c r="FQ16" i="2"/>
  <c r="CQ28" i="2"/>
  <c r="GG32" i="2"/>
  <c r="GK36" i="2"/>
  <c r="GP41" i="2"/>
  <c r="GI34" i="2"/>
  <c r="GL37" i="2"/>
  <c r="GN39" i="2"/>
  <c r="GH33" i="2"/>
  <c r="GO40" i="2"/>
  <c r="GQ42" i="2"/>
  <c r="GM38" i="2"/>
  <c r="GJ35" i="2"/>
  <c r="FR27" i="2"/>
  <c r="FT29" i="2"/>
  <c r="GF41" i="2"/>
  <c r="GD39" i="2"/>
  <c r="CQ38" i="2"/>
  <c r="FU30" i="2"/>
  <c r="GG42" i="2"/>
  <c r="GE40" i="2"/>
  <c r="FY34" i="2"/>
  <c r="FX33" i="2"/>
  <c r="FQ26" i="2"/>
  <c r="FP25" i="2"/>
  <c r="FO24" i="2"/>
  <c r="FV31" i="2"/>
  <c r="FS28" i="2"/>
  <c r="GC38" i="2"/>
  <c r="FW32" i="2"/>
  <c r="FN23" i="2"/>
  <c r="GB37" i="2"/>
  <c r="GA36" i="2"/>
  <c r="FZ35" i="2"/>
  <c r="CD38" i="5"/>
  <c r="CD39" i="5"/>
  <c r="DZ34" i="2"/>
  <c r="DY33" i="2"/>
  <c r="DX32" i="2"/>
  <c r="DW31" i="2"/>
  <c r="DV30" i="2"/>
  <c r="DU29" i="2"/>
  <c r="DT28" i="2"/>
  <c r="DS27" i="2"/>
  <c r="DR26" i="2"/>
  <c r="DQ25" i="2"/>
  <c r="DP24" i="2"/>
  <c r="DO23" i="2"/>
  <c r="DN22" i="2"/>
  <c r="DM21" i="2"/>
  <c r="AM25" i="5"/>
  <c r="AL25" i="5"/>
  <c r="AM33" i="5"/>
  <c r="AL33" i="5"/>
  <c r="AM41" i="5"/>
  <c r="AL41" i="5"/>
  <c r="AL45" i="5"/>
  <c r="AM45" i="5"/>
  <c r="AL53" i="5"/>
  <c r="AM53" i="5"/>
  <c r="CD57" i="5"/>
  <c r="CE29" i="5" s="1"/>
  <c r="CD58" i="5"/>
  <c r="DZ30" i="2"/>
  <c r="DY29" i="2"/>
  <c r="DX28" i="2"/>
  <c r="DW27" i="2"/>
  <c r="DV26" i="2"/>
  <c r="DU25" i="2"/>
  <c r="DT24" i="2"/>
  <c r="DS23" i="2"/>
  <c r="DR22" i="2"/>
  <c r="DQ21" i="2"/>
  <c r="DZ45" i="2"/>
  <c r="DY44" i="2"/>
  <c r="DX43" i="2"/>
  <c r="DW42" i="2"/>
  <c r="DV41" i="2"/>
  <c r="DU40" i="2"/>
  <c r="DT39" i="2"/>
  <c r="DS38" i="2"/>
  <c r="DR37" i="2"/>
  <c r="DQ36" i="2"/>
  <c r="DP35" i="2"/>
  <c r="DO34" i="2"/>
  <c r="DN33" i="2"/>
  <c r="DM32" i="2"/>
  <c r="DL31" i="2"/>
  <c r="DK30" i="2"/>
  <c r="DJ29" i="2"/>
  <c r="DI28" i="2"/>
  <c r="CL27" i="2"/>
  <c r="DH27" i="2"/>
  <c r="CL26" i="2"/>
  <c r="DG26" i="2"/>
  <c r="DF25" i="2"/>
  <c r="DE24" i="2"/>
  <c r="DD23" i="2"/>
  <c r="DC22" i="2"/>
  <c r="DB21" i="2"/>
  <c r="FQ17" i="2"/>
  <c r="FT20" i="2"/>
  <c r="GA27" i="2"/>
  <c r="FN14" i="2"/>
  <c r="GC29" i="2"/>
  <c r="FU21" i="2"/>
  <c r="FZ26" i="2"/>
  <c r="GB28" i="2"/>
  <c r="FO15" i="2"/>
  <c r="FR18" i="2"/>
  <c r="FS19" i="2"/>
  <c r="FY25" i="2"/>
  <c r="GD30" i="2"/>
  <c r="GE31" i="2"/>
  <c r="FX24" i="2"/>
  <c r="FP16" i="2"/>
  <c r="FV22" i="2"/>
  <c r="FW23" i="2"/>
  <c r="CQ29" i="2"/>
  <c r="GL38" i="2"/>
  <c r="GH34" i="2"/>
  <c r="GO41" i="2"/>
  <c r="GK37" i="2"/>
  <c r="GN40" i="2"/>
  <c r="GG33" i="2"/>
  <c r="GF32" i="2"/>
  <c r="GJ36" i="2"/>
  <c r="GP42" i="2"/>
  <c r="GI35" i="2"/>
  <c r="GM39" i="2"/>
  <c r="FV29" i="2"/>
  <c r="FU28" i="2"/>
  <c r="FR25" i="2"/>
  <c r="FO22" i="2"/>
  <c r="FP23" i="2"/>
  <c r="FT27" i="2"/>
  <c r="FS26" i="2"/>
  <c r="FN21" i="2"/>
  <c r="FX31" i="2"/>
  <c r="FY32" i="2"/>
  <c r="GF39" i="2"/>
  <c r="GD37" i="2"/>
  <c r="GA34" i="2"/>
  <c r="GG40" i="2"/>
  <c r="GC36" i="2"/>
  <c r="GE38" i="2"/>
  <c r="GI42" i="2"/>
  <c r="FW30" i="2"/>
  <c r="FQ24" i="2"/>
  <c r="GB35" i="2"/>
  <c r="GH41" i="2"/>
  <c r="CQ36" i="2"/>
  <c r="FZ33" i="2"/>
  <c r="II21" i="5"/>
  <c r="IH21" i="5"/>
  <c r="BD80" i="2"/>
  <c r="BC80" i="2"/>
  <c r="BC77" i="2"/>
  <c r="BD77" i="2"/>
  <c r="BD64" i="2"/>
  <c r="BC64" i="2"/>
  <c r="BC62" i="2"/>
  <c r="BD62" i="2"/>
  <c r="BD48" i="2"/>
  <c r="BC48" i="2"/>
  <c r="BD44" i="2"/>
  <c r="BC44" i="2"/>
  <c r="BD37" i="2"/>
  <c r="BC37" i="2"/>
  <c r="BC29" i="2"/>
  <c r="BD29" i="2"/>
  <c r="BC26" i="2"/>
  <c r="BD26" i="2"/>
  <c r="BC13" i="2"/>
  <c r="BD13" i="2"/>
  <c r="BC11" i="2"/>
  <c r="BD11" i="2"/>
  <c r="DZ27" i="2"/>
  <c r="DY26" i="2"/>
  <c r="DX25" i="2"/>
  <c r="DW24" i="2"/>
  <c r="DV23" i="2"/>
  <c r="DU22" i="2"/>
  <c r="DT21" i="2"/>
  <c r="DX56" i="2"/>
  <c r="DW55" i="2"/>
  <c r="DV54" i="2"/>
  <c r="DU53" i="2"/>
  <c r="DT52" i="2"/>
  <c r="DS51" i="2"/>
  <c r="DR50" i="2"/>
  <c r="DQ49" i="2"/>
  <c r="DP48" i="2"/>
  <c r="DO47" i="2"/>
  <c r="DN46" i="2"/>
  <c r="DM45" i="2"/>
  <c r="DL44" i="2"/>
  <c r="DK43" i="2"/>
  <c r="DJ42" i="2"/>
  <c r="DI41" i="2"/>
  <c r="CL40" i="2"/>
  <c r="DH40" i="2"/>
  <c r="DG39" i="2"/>
  <c r="DF38" i="2"/>
  <c r="GR10" i="2"/>
  <c r="DE37" i="2"/>
  <c r="GQ9" i="2"/>
  <c r="DD36" i="2"/>
  <c r="DC35" i="2"/>
  <c r="DB34" i="2"/>
  <c r="DA33" i="2"/>
  <c r="CZ32" i="2"/>
  <c r="CY31" i="2"/>
  <c r="CX30" i="2"/>
  <c r="CW29" i="2"/>
  <c r="CV28" i="2"/>
  <c r="GD20" i="2"/>
  <c r="GJ26" i="2"/>
  <c r="GA17" i="2"/>
  <c r="FZ16" i="2"/>
  <c r="GN30" i="2"/>
  <c r="GB18" i="2"/>
  <c r="CY55" i="2"/>
  <c r="CV52" i="2"/>
  <c r="GH24" i="2"/>
  <c r="GI25" i="2"/>
  <c r="FT10" i="2"/>
  <c r="FW13" i="2"/>
  <c r="GL28" i="2"/>
  <c r="FU11" i="2"/>
  <c r="GF22" i="2"/>
  <c r="GK27" i="2"/>
  <c r="FX14" i="2"/>
  <c r="GM29" i="2"/>
  <c r="FS9" i="2"/>
  <c r="FY15" i="2"/>
  <c r="FV12" i="2"/>
  <c r="GC19" i="2"/>
  <c r="GG23" i="2"/>
  <c r="CQ18" i="2"/>
  <c r="GE21" i="2"/>
  <c r="GO31" i="2"/>
  <c r="CZ56" i="2"/>
  <c r="CX54" i="2"/>
  <c r="CW53" i="2"/>
  <c r="GR34" i="2"/>
  <c r="GQ33" i="2"/>
  <c r="GP32" i="2"/>
  <c r="AN21" i="5"/>
  <c r="AO21" i="5"/>
  <c r="BH98" i="2"/>
  <c r="BG98" i="2"/>
  <c r="BF99" i="2"/>
  <c r="GR43" i="2"/>
  <c r="FO17" i="2"/>
  <c r="AK20" i="2"/>
  <c r="DJ19" i="2"/>
  <c r="DU19" i="2"/>
  <c r="DE19" i="2"/>
  <c r="DH19" i="2"/>
  <c r="DG19" i="2"/>
  <c r="IJ19" i="2"/>
  <c r="IK19" i="2" s="1"/>
  <c r="AI19" i="2"/>
  <c r="DB19" i="2"/>
  <c r="DM19" i="2"/>
  <c r="DP19" i="2"/>
  <c r="DO19" i="2"/>
  <c r="L18" i="2"/>
  <c r="DF19" i="2"/>
  <c r="DQ19" i="2"/>
  <c r="DA19" i="2"/>
  <c r="DT19" i="2"/>
  <c r="DD19" i="2"/>
  <c r="DS19" i="2"/>
  <c r="DC19" i="2"/>
  <c r="DR19" i="2"/>
  <c r="CW19" i="2"/>
  <c r="CZ19" i="2"/>
  <c r="CY19" i="2"/>
  <c r="DN19" i="2"/>
  <c r="CX19" i="2"/>
  <c r="DI19" i="2"/>
  <c r="DL19" i="2"/>
  <c r="CV19" i="2"/>
  <c r="DK19" i="2"/>
  <c r="CL19" i="2"/>
  <c r="GY100" i="5"/>
  <c r="GU100" i="5"/>
  <c r="GX100" i="5"/>
  <c r="FM101" i="5"/>
  <c r="GW100" i="5"/>
  <c r="GZ100" i="5"/>
  <c r="GV100" i="5"/>
  <c r="CD56" i="5"/>
  <c r="DQ56" i="2"/>
  <c r="DP55" i="2"/>
  <c r="DO54" i="2"/>
  <c r="DN53" i="2"/>
  <c r="DM52" i="2"/>
  <c r="DL51" i="2"/>
  <c r="DK50" i="2"/>
  <c r="DJ49" i="2"/>
  <c r="DI48" i="2"/>
  <c r="CL48" i="2"/>
  <c r="DH47" i="2"/>
  <c r="DG46" i="2"/>
  <c r="DF45" i="2"/>
  <c r="DE44" i="2"/>
  <c r="DD43" i="2"/>
  <c r="DC42" i="2"/>
  <c r="DB41" i="2"/>
  <c r="DA40" i="2"/>
  <c r="CZ39" i="2"/>
  <c r="CY38" i="2"/>
  <c r="GR17" i="2"/>
  <c r="GQ16" i="2"/>
  <c r="GO14" i="2"/>
  <c r="GK10" i="2"/>
  <c r="GJ9" i="2"/>
  <c r="GN13" i="2"/>
  <c r="CX37" i="2"/>
  <c r="GL11" i="2"/>
  <c r="GP15" i="2"/>
  <c r="GM12" i="2"/>
  <c r="CW36" i="2"/>
  <c r="CV35" i="2"/>
  <c r="FQ20" i="2"/>
  <c r="FP19" i="2"/>
  <c r="FU24" i="2"/>
  <c r="GA30" i="2"/>
  <c r="FT23" i="2"/>
  <c r="GM42" i="2"/>
  <c r="GE34" i="2"/>
  <c r="FV25" i="2"/>
  <c r="GN43" i="2"/>
  <c r="FZ29" i="2"/>
  <c r="FX27" i="2"/>
  <c r="GD33" i="2"/>
  <c r="GK40" i="2"/>
  <c r="CQ32" i="2"/>
  <c r="GC32" i="2"/>
  <c r="FN17" i="2"/>
  <c r="FO18" i="2"/>
  <c r="FW26" i="2"/>
  <c r="FR21" i="2"/>
  <c r="GF35" i="2"/>
  <c r="GI38" i="2"/>
  <c r="GH37" i="2"/>
  <c r="GG36" i="2"/>
  <c r="GL41" i="2"/>
  <c r="FS22" i="2"/>
  <c r="GB31" i="2"/>
  <c r="FY28" i="2"/>
  <c r="GJ39" i="2"/>
  <c r="BD91" i="2"/>
  <c r="BC91" i="2"/>
  <c r="DZ24" i="2"/>
  <c r="DY23" i="2"/>
  <c r="DX22" i="2"/>
  <c r="DW21" i="2"/>
  <c r="DZ33" i="2"/>
  <c r="DY32" i="2"/>
  <c r="DX31" i="2"/>
  <c r="DW30" i="2"/>
  <c r="DV29" i="2"/>
  <c r="DU28" i="2"/>
  <c r="DT27" i="2"/>
  <c r="DS26" i="2"/>
  <c r="DR25" i="2"/>
  <c r="DQ24" i="2"/>
  <c r="DP23" i="2"/>
  <c r="DO22" i="2"/>
  <c r="DN21" i="2"/>
  <c r="DZ53" i="2"/>
  <c r="DY52" i="2"/>
  <c r="DX51" i="2"/>
  <c r="DW50" i="2"/>
  <c r="DV49" i="2"/>
  <c r="DU48" i="2"/>
  <c r="DT47" i="2"/>
  <c r="DS46" i="2"/>
  <c r="DR45" i="2"/>
  <c r="DQ44" i="2"/>
  <c r="DP43" i="2"/>
  <c r="DO42" i="2"/>
  <c r="DN41" i="2"/>
  <c r="DM40" i="2"/>
  <c r="DL39" i="2"/>
  <c r="DK38" i="2"/>
  <c r="DJ37" i="2"/>
  <c r="DI36" i="2"/>
  <c r="CL35" i="2"/>
  <c r="DH35" i="2"/>
  <c r="DG34" i="2"/>
  <c r="DF33" i="2"/>
  <c r="DE32" i="2"/>
  <c r="DD31" i="2"/>
  <c r="DC30" i="2"/>
  <c r="DB29" i="2"/>
  <c r="DA28" i="2"/>
  <c r="CZ27" i="2"/>
  <c r="CY26" i="2"/>
  <c r="CX25" i="2"/>
  <c r="CW24" i="2"/>
  <c r="CV23" i="2"/>
  <c r="CL55" i="2"/>
  <c r="GI15" i="2"/>
  <c r="GM19" i="2"/>
  <c r="GR24" i="2"/>
  <c r="DJ56" i="2"/>
  <c r="DH54" i="2"/>
  <c r="CY45" i="2"/>
  <c r="DI55" i="2"/>
  <c r="DE51" i="2"/>
  <c r="DC49" i="2"/>
  <c r="DA47" i="2"/>
  <c r="CX44" i="2"/>
  <c r="CW43" i="2"/>
  <c r="DF52" i="2"/>
  <c r="GL18" i="2"/>
  <c r="GQ23" i="2"/>
  <c r="GN20" i="2"/>
  <c r="CZ46" i="2"/>
  <c r="GF12" i="2"/>
  <c r="GP22" i="2"/>
  <c r="GK17" i="2"/>
  <c r="DD50" i="2"/>
  <c r="CV42" i="2"/>
  <c r="DG53" i="2"/>
  <c r="GO21" i="2"/>
  <c r="GE11" i="2"/>
  <c r="GH14" i="2"/>
  <c r="GJ16" i="2"/>
  <c r="GD10" i="2"/>
  <c r="GG13" i="2"/>
  <c r="GC9" i="2"/>
  <c r="DB48" i="2"/>
  <c r="BZ98" i="5"/>
  <c r="BY98" i="5"/>
  <c r="CB98" i="5"/>
  <c r="BX99" i="5"/>
  <c r="CE98" i="5"/>
  <c r="CA98" i="5"/>
  <c r="AL23" i="5"/>
  <c r="AM23" i="5"/>
  <c r="AL31" i="5"/>
  <c r="AM31" i="5"/>
  <c r="AL35" i="5"/>
  <c r="AM35" i="5"/>
  <c r="AM43" i="5"/>
  <c r="AL43" i="5"/>
  <c r="AL47" i="5"/>
  <c r="AM47" i="5"/>
  <c r="AM55" i="5"/>
  <c r="AL55" i="5"/>
  <c r="CD13" i="5"/>
  <c r="CD27" i="5"/>
  <c r="CD28" i="5"/>
  <c r="CD29" i="5"/>
  <c r="CD42" i="5"/>
  <c r="CD43" i="5"/>
  <c r="CD65" i="5"/>
  <c r="DM56" i="2"/>
  <c r="DL55" i="2"/>
  <c r="DK54" i="2"/>
  <c r="DJ53" i="2"/>
  <c r="DI52" i="2"/>
  <c r="DH51" i="2"/>
  <c r="DG50" i="2"/>
  <c r="DF49" i="2"/>
  <c r="DE48" i="2"/>
  <c r="DD47" i="2"/>
  <c r="DC46" i="2"/>
  <c r="DB45" i="2"/>
  <c r="DA44" i="2"/>
  <c r="CZ43" i="2"/>
  <c r="CL52" i="2"/>
  <c r="CY42" i="2"/>
  <c r="CX41" i="2"/>
  <c r="CW40" i="2"/>
  <c r="CV39" i="2"/>
  <c r="GJ13" i="2"/>
  <c r="GL15" i="2"/>
  <c r="GR21" i="2"/>
  <c r="GN17" i="2"/>
  <c r="GQ20" i="2"/>
  <c r="GG10" i="2"/>
  <c r="GI12" i="2"/>
  <c r="GK14" i="2"/>
  <c r="GO18" i="2"/>
  <c r="GP19" i="2"/>
  <c r="GM16" i="2"/>
  <c r="GF9" i="2"/>
  <c r="GH11" i="2"/>
  <c r="CQ11" i="2"/>
  <c r="GE14" i="2"/>
  <c r="GG16" i="2"/>
  <c r="GR27" i="2"/>
  <c r="GQ26" i="2"/>
  <c r="GF15" i="2"/>
  <c r="DB51" i="2"/>
  <c r="DA50" i="2"/>
  <c r="CX47" i="2"/>
  <c r="DG56" i="2"/>
  <c r="DF55" i="2"/>
  <c r="DC52" i="2"/>
  <c r="GA10" i="2"/>
  <c r="GJ19" i="2"/>
  <c r="GD13" i="2"/>
  <c r="DD53" i="2"/>
  <c r="CY48" i="2"/>
  <c r="CV45" i="2"/>
  <c r="GM22" i="2"/>
  <c r="GN23" i="2"/>
  <c r="GL21" i="2"/>
  <c r="DE54" i="2"/>
  <c r="CZ49" i="2"/>
  <c r="CW46" i="2"/>
  <c r="GK20" i="2"/>
  <c r="CQ10" i="2"/>
  <c r="GB11" i="2"/>
  <c r="GH17" i="2"/>
  <c r="GI18" i="2"/>
  <c r="GO24" i="2"/>
  <c r="FZ9" i="2"/>
  <c r="GP25" i="2"/>
  <c r="GC12" i="2"/>
  <c r="BU98" i="5"/>
  <c r="BQ99" i="5"/>
  <c r="BT98" i="5"/>
  <c r="BS98" i="5"/>
  <c r="BV98" i="5"/>
  <c r="BR98" i="5"/>
  <c r="DZ49" i="2"/>
  <c r="DY48" i="2"/>
  <c r="DX47" i="2"/>
  <c r="DW46" i="2"/>
  <c r="DV45" i="2"/>
  <c r="DU44" i="2"/>
  <c r="DT43" i="2"/>
  <c r="DS42" i="2"/>
  <c r="DR41" i="2"/>
  <c r="DQ40" i="2"/>
  <c r="DP39" i="2"/>
  <c r="DO38" i="2"/>
  <c r="DN37" i="2"/>
  <c r="DM36" i="2"/>
  <c r="DL35" i="2"/>
  <c r="DK34" i="2"/>
  <c r="DJ33" i="2"/>
  <c r="DI32" i="2"/>
  <c r="DH31" i="2"/>
  <c r="CL31" i="2"/>
  <c r="DG30" i="2"/>
  <c r="DF29" i="2"/>
  <c r="DE28" i="2"/>
  <c r="DD27" i="2"/>
  <c r="DC26" i="2"/>
  <c r="DB25" i="2"/>
  <c r="DA24" i="2"/>
  <c r="CZ23" i="2"/>
  <c r="CY22" i="2"/>
  <c r="CX21" i="2"/>
  <c r="GD15" i="2"/>
  <c r="CQ13" i="2"/>
  <c r="GK22" i="2"/>
  <c r="DD55" i="2"/>
  <c r="DB53" i="2"/>
  <c r="CZ51" i="2"/>
  <c r="CW48" i="2"/>
  <c r="DE56" i="2"/>
  <c r="DC54" i="2"/>
  <c r="CY50" i="2"/>
  <c r="CV47" i="2"/>
  <c r="GA12" i="2"/>
  <c r="GI20" i="2"/>
  <c r="FY10" i="2"/>
  <c r="GE16" i="2"/>
  <c r="FZ11" i="2"/>
  <c r="CX49" i="2"/>
  <c r="GB13" i="2"/>
  <c r="GF17" i="2"/>
  <c r="GR29" i="2"/>
  <c r="DA52" i="2"/>
  <c r="FX9" i="2"/>
  <c r="GJ21" i="2"/>
  <c r="GO26" i="2"/>
  <c r="GG18" i="2"/>
  <c r="GH19" i="2"/>
  <c r="GL23" i="2"/>
  <c r="GN25" i="2"/>
  <c r="GP27" i="2"/>
  <c r="GC14" i="2"/>
  <c r="GM24" i="2"/>
  <c r="GQ28" i="2"/>
  <c r="CD17" i="5"/>
  <c r="CD18" i="5"/>
  <c r="CD36" i="5"/>
  <c r="CD37" i="5"/>
  <c r="AL24" i="5"/>
  <c r="AM24" i="5"/>
  <c r="AL28" i="5"/>
  <c r="AM28" i="5"/>
  <c r="AM32" i="5"/>
  <c r="AL32" i="5"/>
  <c r="AM36" i="5"/>
  <c r="AL36" i="5"/>
  <c r="AL40" i="5"/>
  <c r="AM40" i="5"/>
  <c r="AM44" i="5"/>
  <c r="AL44" i="5"/>
  <c r="AL48" i="5"/>
  <c r="AM48" i="5"/>
  <c r="AM52" i="5"/>
  <c r="AL52" i="5"/>
  <c r="AM56" i="5"/>
  <c r="AL56" i="5"/>
  <c r="M22" i="5"/>
  <c r="DZ26" i="2"/>
  <c r="DY25" i="2"/>
  <c r="DX24" i="2"/>
  <c r="DW23" i="2"/>
  <c r="DV22" i="2"/>
  <c r="DU21" i="2"/>
  <c r="DZ32" i="2"/>
  <c r="DY31" i="2"/>
  <c r="DX30" i="2"/>
  <c r="DW29" i="2"/>
  <c r="DV28" i="2"/>
  <c r="DU27" i="2"/>
  <c r="DT26" i="2"/>
  <c r="DS25" i="2"/>
  <c r="DR24" i="2"/>
  <c r="DQ23" i="2"/>
  <c r="DP22" i="2"/>
  <c r="DO21" i="2"/>
  <c r="DZ47" i="2"/>
  <c r="DY46" i="2"/>
  <c r="DX45" i="2"/>
  <c r="DW44" i="2"/>
  <c r="DV43" i="2"/>
  <c r="DU42" i="2"/>
  <c r="DT41" i="2"/>
  <c r="DS40" i="2"/>
  <c r="DR39" i="2"/>
  <c r="DQ38" i="2"/>
  <c r="DP37" i="2"/>
  <c r="DO36" i="2"/>
  <c r="DN35" i="2"/>
  <c r="DM34" i="2"/>
  <c r="DL33" i="2"/>
  <c r="DK32" i="2"/>
  <c r="DJ31" i="2"/>
  <c r="DI30" i="2"/>
  <c r="CL29" i="2"/>
  <c r="DH29" i="2"/>
  <c r="DG28" i="2"/>
  <c r="DF27" i="2"/>
  <c r="DE26" i="2"/>
  <c r="DD25" i="2"/>
  <c r="DC24" i="2"/>
  <c r="DB23" i="2"/>
  <c r="DA22" i="2"/>
  <c r="CZ21" i="2"/>
  <c r="DR56" i="2"/>
  <c r="DQ55" i="2"/>
  <c r="DP54" i="2"/>
  <c r="DO53" i="2"/>
  <c r="DN52" i="2"/>
  <c r="DM51" i="2"/>
  <c r="DL50" i="2"/>
  <c r="DK49" i="2"/>
  <c r="DJ48" i="2"/>
  <c r="DI47" i="2"/>
  <c r="CL47" i="2"/>
  <c r="DH46" i="2"/>
  <c r="DG45" i="2"/>
  <c r="DF44" i="2"/>
  <c r="DE43" i="2"/>
  <c r="DD42" i="2"/>
  <c r="DC41" i="2"/>
  <c r="DB40" i="2"/>
  <c r="DA39" i="2"/>
  <c r="CZ38" i="2"/>
  <c r="GN12" i="2"/>
  <c r="GR16" i="2"/>
  <c r="GL10" i="2"/>
  <c r="CY37" i="2"/>
  <c r="GM11" i="2"/>
  <c r="GK9" i="2"/>
  <c r="GQ15" i="2"/>
  <c r="GP14" i="2"/>
  <c r="GO13" i="2"/>
  <c r="CX36" i="2"/>
  <c r="CW35" i="2"/>
  <c r="CV34" i="2"/>
  <c r="CL56" i="2"/>
  <c r="GP23" i="2"/>
  <c r="GB9" i="2"/>
  <c r="GF13" i="2"/>
  <c r="DH55" i="2"/>
  <c r="DF53" i="2"/>
  <c r="DE52" i="2"/>
  <c r="DB49" i="2"/>
  <c r="DA48" i="2"/>
  <c r="CX45" i="2"/>
  <c r="DD51" i="2"/>
  <c r="GD11" i="2"/>
  <c r="GE12" i="2"/>
  <c r="GK18" i="2"/>
  <c r="GH15" i="2"/>
  <c r="GI16" i="2"/>
  <c r="GM20" i="2"/>
  <c r="CZ47" i="2"/>
  <c r="CV43" i="2"/>
  <c r="GC10" i="2"/>
  <c r="GQ24" i="2"/>
  <c r="GR25" i="2"/>
  <c r="CY46" i="2"/>
  <c r="DI56" i="2"/>
  <c r="CW44" i="2"/>
  <c r="GG14" i="2"/>
  <c r="GN21" i="2"/>
  <c r="GO22" i="2"/>
  <c r="GL19" i="2"/>
  <c r="GJ17" i="2"/>
  <c r="DG54" i="2"/>
  <c r="DC50" i="2"/>
  <c r="GG31" i="2"/>
  <c r="GE29" i="2"/>
  <c r="FX22" i="2"/>
  <c r="FR16" i="2"/>
  <c r="GB26" i="2"/>
  <c r="GF30" i="2"/>
  <c r="FQ15" i="2"/>
  <c r="FW21" i="2"/>
  <c r="FN12" i="2"/>
  <c r="FO13" i="2"/>
  <c r="FZ24" i="2"/>
  <c r="FP14" i="2"/>
  <c r="GC27" i="2"/>
  <c r="FU19" i="2"/>
  <c r="FS17" i="2"/>
  <c r="GA25" i="2"/>
  <c r="FV20" i="2"/>
  <c r="FY23" i="2"/>
  <c r="GD28" i="2"/>
  <c r="FT18" i="2"/>
  <c r="CQ26" i="2"/>
  <c r="CQ27" i="2"/>
  <c r="GI33" i="2"/>
  <c r="GK35" i="2"/>
  <c r="GL36" i="2"/>
  <c r="GN38" i="2"/>
  <c r="GO39" i="2"/>
  <c r="GJ34" i="2"/>
  <c r="GM37" i="2"/>
  <c r="GP40" i="2"/>
  <c r="GR42" i="2"/>
  <c r="GQ41" i="2"/>
  <c r="GH32" i="2"/>
  <c r="FN19" i="2"/>
  <c r="FU26" i="2"/>
  <c r="FQ22" i="2"/>
  <c r="GG38" i="2"/>
  <c r="GI40" i="2"/>
  <c r="CQ34" i="2"/>
  <c r="FR23" i="2"/>
  <c r="FY30" i="2"/>
  <c r="GE36" i="2"/>
  <c r="GC34" i="2"/>
  <c r="FS24" i="2"/>
  <c r="GA32" i="2"/>
  <c r="GF37" i="2"/>
  <c r="FO20" i="2"/>
  <c r="FZ31" i="2"/>
  <c r="FW28" i="2"/>
  <c r="FT25" i="2"/>
  <c r="FV27" i="2"/>
  <c r="FP21" i="2"/>
  <c r="FX29" i="2"/>
  <c r="GJ41" i="2"/>
  <c r="GD35" i="2"/>
  <c r="GB33" i="2"/>
  <c r="GK42" i="2"/>
  <c r="GH39" i="2"/>
  <c r="AM97" i="5"/>
  <c r="AI97" i="5"/>
  <c r="AL97" i="5"/>
  <c r="AH98" i="5"/>
  <c r="AO97" i="5"/>
  <c r="AK97" i="5"/>
  <c r="AN97" i="5"/>
  <c r="AJ97" i="5"/>
  <c r="BD95" i="2"/>
  <c r="FZ44" i="5" s="1"/>
  <c r="HG44" i="5" s="1"/>
  <c r="BC95" i="2"/>
  <c r="DZ42" i="2"/>
  <c r="DY41" i="2"/>
  <c r="DX40" i="2"/>
  <c r="DW39" i="2"/>
  <c r="DV38" i="2"/>
  <c r="DU37" i="2"/>
  <c r="DT36" i="2"/>
  <c r="DS35" i="2"/>
  <c r="DR34" i="2"/>
  <c r="DQ33" i="2"/>
  <c r="DP32" i="2"/>
  <c r="DO31" i="2"/>
  <c r="DN30" i="2"/>
  <c r="DM29" i="2"/>
  <c r="DL28" i="2"/>
  <c r="DK27" i="2"/>
  <c r="DJ26" i="2"/>
  <c r="DI25" i="2"/>
  <c r="DH24" i="2"/>
  <c r="CL23" i="2"/>
  <c r="DG23" i="2"/>
  <c r="DF22" i="2"/>
  <c r="DE21" i="2"/>
  <c r="BC88" i="2"/>
  <c r="BD88" i="2"/>
  <c r="CQ47" i="5" s="1"/>
  <c r="BC81" i="2"/>
  <c r="BD81" i="2"/>
  <c r="GQ47" i="5" s="1"/>
  <c r="BD78" i="2"/>
  <c r="BC78" i="2"/>
  <c r="BD76" i="2"/>
  <c r="BC76" i="2"/>
  <c r="BC70" i="2"/>
  <c r="BD70" i="2"/>
  <c r="BD66" i="2"/>
  <c r="BC66" i="2"/>
  <c r="BC61" i="2"/>
  <c r="BD61" i="2"/>
  <c r="BD57" i="2"/>
  <c r="BC57" i="2"/>
  <c r="BC54" i="2"/>
  <c r="BD54" i="2"/>
  <c r="BD50" i="2"/>
  <c r="BC50" i="2"/>
  <c r="BC49" i="2"/>
  <c r="BD49" i="2"/>
  <c r="BD42" i="2"/>
  <c r="BC42" i="2"/>
  <c r="BC38" i="2"/>
  <c r="BD38" i="2"/>
  <c r="BD33" i="2"/>
  <c r="BC33" i="2"/>
  <c r="BD30" i="2"/>
  <c r="BC30" i="2"/>
  <c r="BC27" i="2"/>
  <c r="BD27" i="2"/>
  <c r="DC19" i="5" s="1"/>
  <c r="BD22" i="2"/>
  <c r="BC22" i="2"/>
  <c r="BC18" i="2"/>
  <c r="BD18" i="2"/>
  <c r="DL19" i="5" s="1"/>
  <c r="BC14" i="2"/>
  <c r="BD14" i="2"/>
  <c r="BD10" i="2"/>
  <c r="BC10" i="2"/>
  <c r="V97" i="2"/>
  <c r="CD15" i="5"/>
  <c r="CD44" i="5"/>
  <c r="CD45" i="5"/>
  <c r="CD61" i="5"/>
  <c r="CD62" i="5"/>
  <c r="AX97" i="5"/>
  <c r="AT97" i="5"/>
  <c r="AW97" i="5"/>
  <c r="AQ98" i="5"/>
  <c r="CS49" i="5"/>
  <c r="CS48" i="5"/>
  <c r="DZ31" i="2"/>
  <c r="DY30" i="2"/>
  <c r="DX29" i="2"/>
  <c r="DW28" i="2"/>
  <c r="DV27" i="2"/>
  <c r="DU26" i="2"/>
  <c r="DT25" i="2"/>
  <c r="DS24" i="2"/>
  <c r="DR23" i="2"/>
  <c r="DQ22" i="2"/>
  <c r="DP21" i="2"/>
  <c r="DZ48" i="2"/>
  <c r="DY47" i="2"/>
  <c r="DX46" i="2"/>
  <c r="DW45" i="2"/>
  <c r="DV44" i="2"/>
  <c r="DU43" i="2"/>
  <c r="DT42" i="2"/>
  <c r="DS41" i="2"/>
  <c r="DR40" i="2"/>
  <c r="DQ39" i="2"/>
  <c r="DP38" i="2"/>
  <c r="DO37" i="2"/>
  <c r="DN36" i="2"/>
  <c r="DM35" i="2"/>
  <c r="DL34" i="2"/>
  <c r="DK33" i="2"/>
  <c r="DJ32" i="2"/>
  <c r="DI31" i="2"/>
  <c r="DH30" i="2"/>
  <c r="CL30" i="2"/>
  <c r="DG29" i="2"/>
  <c r="DF28" i="2"/>
  <c r="DE27" i="2"/>
  <c r="DD26" i="2"/>
  <c r="DC25" i="2"/>
  <c r="DB24" i="2"/>
  <c r="DA23" i="2"/>
  <c r="CZ22" i="2"/>
  <c r="CY21" i="2"/>
  <c r="DZ55" i="2"/>
  <c r="DY54" i="2"/>
  <c r="DX53" i="2"/>
  <c r="DW52" i="2"/>
  <c r="DV51" i="2"/>
  <c r="DU50" i="2"/>
  <c r="DT49" i="2"/>
  <c r="DS48" i="2"/>
  <c r="DR47" i="2"/>
  <c r="DQ46" i="2"/>
  <c r="DP45" i="2"/>
  <c r="DO44" i="2"/>
  <c r="DN43" i="2"/>
  <c r="DM42" i="2"/>
  <c r="DL41" i="2"/>
  <c r="DK40" i="2"/>
  <c r="DJ39" i="2"/>
  <c r="DI38" i="2"/>
  <c r="CL37" i="2"/>
  <c r="DH37" i="2"/>
  <c r="DG36" i="2"/>
  <c r="DF35" i="2"/>
  <c r="DE34" i="2"/>
  <c r="DD33" i="2"/>
  <c r="DC32" i="2"/>
  <c r="DB31" i="2"/>
  <c r="DA30" i="2"/>
  <c r="CZ29" i="2"/>
  <c r="CY28" i="2"/>
  <c r="CX27" i="2"/>
  <c r="CW26" i="2"/>
  <c r="CV25" i="2"/>
  <c r="DT56" i="2"/>
  <c r="DS55" i="2"/>
  <c r="DR54" i="2"/>
  <c r="DQ53" i="2"/>
  <c r="DP52" i="2"/>
  <c r="DO51" i="2"/>
  <c r="DN50" i="2"/>
  <c r="DM49" i="2"/>
  <c r="DL48" i="2"/>
  <c r="DK47" i="2"/>
  <c r="DJ46" i="2"/>
  <c r="DI45" i="2"/>
  <c r="CL45" i="2"/>
  <c r="DH44" i="2"/>
  <c r="DG43" i="2"/>
  <c r="DF42" i="2"/>
  <c r="DE41" i="2"/>
  <c r="DD40" i="2"/>
  <c r="DC39" i="2"/>
  <c r="DB38" i="2"/>
  <c r="GQ13" i="2"/>
  <c r="GP12" i="2"/>
  <c r="GO11" i="2"/>
  <c r="DA37" i="2"/>
  <c r="GR14" i="2"/>
  <c r="GN10" i="2"/>
  <c r="GM9" i="2"/>
  <c r="CZ36" i="2"/>
  <c r="CY35" i="2"/>
  <c r="CX34" i="2"/>
  <c r="CW33" i="2"/>
  <c r="CV32" i="2"/>
  <c r="CL53" i="2"/>
  <c r="GL16" i="2"/>
  <c r="DJ54" i="2"/>
  <c r="DF50" i="2"/>
  <c r="DE49" i="2"/>
  <c r="CY43" i="2"/>
  <c r="CX42" i="2"/>
  <c r="CV40" i="2"/>
  <c r="DG51" i="2"/>
  <c r="DD48" i="2"/>
  <c r="DB46" i="2"/>
  <c r="DA45" i="2"/>
  <c r="GF10" i="2"/>
  <c r="GG11" i="2"/>
  <c r="DK55" i="2"/>
  <c r="DI53" i="2"/>
  <c r="GO19" i="2"/>
  <c r="GQ21" i="2"/>
  <c r="GH12" i="2"/>
  <c r="GJ14" i="2"/>
  <c r="GK15" i="2"/>
  <c r="GR22" i="2"/>
  <c r="DC47" i="2"/>
  <c r="DH52" i="2"/>
  <c r="CW41" i="2"/>
  <c r="GM17" i="2"/>
  <c r="GN18" i="2"/>
  <c r="GE9" i="2"/>
  <c r="GI13" i="2"/>
  <c r="GP20" i="2"/>
  <c r="DL56" i="2"/>
  <c r="CZ44" i="2"/>
  <c r="FX10" i="2"/>
  <c r="GL24" i="2"/>
  <c r="GB14" i="2"/>
  <c r="GG19" i="2"/>
  <c r="GR30" i="2"/>
  <c r="GM25" i="2"/>
  <c r="CY51" i="2"/>
  <c r="CV48" i="2"/>
  <c r="DD56" i="2"/>
  <c r="DB54" i="2"/>
  <c r="DA53" i="2"/>
  <c r="CW49" i="2"/>
  <c r="GA13" i="2"/>
  <c r="FW9" i="2"/>
  <c r="FY11" i="2"/>
  <c r="GC15" i="2"/>
  <c r="GF18" i="2"/>
  <c r="GK23" i="2"/>
  <c r="GO27" i="2"/>
  <c r="GP28" i="2"/>
  <c r="CX50" i="2"/>
  <c r="GD16" i="2"/>
  <c r="GE17" i="2"/>
  <c r="GI21" i="2"/>
  <c r="FZ12" i="2"/>
  <c r="GQ29" i="2"/>
  <c r="CQ14" i="2"/>
  <c r="GH20" i="2"/>
  <c r="GJ22" i="2"/>
  <c r="GN26" i="2"/>
  <c r="DC55" i="2"/>
  <c r="CZ52" i="2"/>
  <c r="GC26" i="2"/>
  <c r="GB25" i="2"/>
  <c r="GE28" i="2"/>
  <c r="FV19" i="2"/>
  <c r="FP13" i="2"/>
  <c r="GD27" i="2"/>
  <c r="FT17" i="2"/>
  <c r="CQ25" i="2"/>
  <c r="GG30" i="2"/>
  <c r="GH31" i="2"/>
  <c r="FQ14" i="2"/>
  <c r="FX21" i="2"/>
  <c r="GF29" i="2"/>
  <c r="FO12" i="2"/>
  <c r="FU18" i="2"/>
  <c r="FY22" i="2"/>
  <c r="FZ23" i="2"/>
  <c r="GA24" i="2"/>
  <c r="FS16" i="2"/>
  <c r="FW20" i="2"/>
  <c r="FR15" i="2"/>
  <c r="FN11" i="2"/>
  <c r="GM36" i="2"/>
  <c r="GP39" i="2"/>
  <c r="GK34" i="2"/>
  <c r="GQ40" i="2"/>
  <c r="GR41" i="2"/>
  <c r="GJ33" i="2"/>
  <c r="GN37" i="2"/>
  <c r="GI32" i="2"/>
  <c r="GO38" i="2"/>
  <c r="GL35" i="2"/>
  <c r="AL21" i="5"/>
  <c r="AM21" i="5"/>
  <c r="BD89" i="2"/>
  <c r="BC89" i="2"/>
  <c r="GQ43" i="2"/>
  <c r="GL43" i="2"/>
  <c r="FY27" i="2"/>
  <c r="FQ19" i="2"/>
  <c r="FN16" i="2"/>
  <c r="FV24" i="2"/>
  <c r="BD94" i="2"/>
  <c r="GF48" i="5" s="1"/>
  <c r="BC94" i="2"/>
  <c r="V94" i="2"/>
  <c r="CD40" i="5"/>
  <c r="CD41" i="5"/>
  <c r="DA20" i="2"/>
  <c r="DL20" i="2"/>
  <c r="DN20" i="2"/>
  <c r="DP20" i="2"/>
  <c r="DZ29" i="2"/>
  <c r="DY28" i="2"/>
  <c r="DX27" i="2"/>
  <c r="DW26" i="2"/>
  <c r="DV25" i="2"/>
  <c r="DU24" i="2"/>
  <c r="DT23" i="2"/>
  <c r="DS22" i="2"/>
  <c r="DR21" i="2"/>
  <c r="DZ46" i="2"/>
  <c r="DY45" i="2"/>
  <c r="DX44" i="2"/>
  <c r="DW43" i="2"/>
  <c r="DV42" i="2"/>
  <c r="DU41" i="2"/>
  <c r="DT40" i="2"/>
  <c r="DS39" i="2"/>
  <c r="DR38" i="2"/>
  <c r="DQ37" i="2"/>
  <c r="DP36" i="2"/>
  <c r="DO35" i="2"/>
  <c r="DN34" i="2"/>
  <c r="DM33" i="2"/>
  <c r="DL32" i="2"/>
  <c r="DK31" i="2"/>
  <c r="DJ30" i="2"/>
  <c r="DI29" i="2"/>
  <c r="CL28" i="2"/>
  <c r="DH28" i="2"/>
  <c r="DG27" i="2"/>
  <c r="DF26" i="2"/>
  <c r="DE25" i="2"/>
  <c r="DD24" i="2"/>
  <c r="DC23" i="2"/>
  <c r="DB22" i="2"/>
  <c r="DA21" i="2"/>
  <c r="DO56" i="2"/>
  <c r="DN55" i="2"/>
  <c r="DM54" i="2"/>
  <c r="DL53" i="2"/>
  <c r="DK52" i="2"/>
  <c r="DJ51" i="2"/>
  <c r="CL50" i="2"/>
  <c r="DI50" i="2"/>
  <c r="DH49" i="2"/>
  <c r="DG48" i="2"/>
  <c r="DF47" i="2"/>
  <c r="DE46" i="2"/>
  <c r="DD45" i="2"/>
  <c r="DC44" i="2"/>
  <c r="DB43" i="2"/>
  <c r="DA42" i="2"/>
  <c r="CZ41" i="2"/>
  <c r="CY40" i="2"/>
  <c r="CX39" i="2"/>
  <c r="CW38" i="2"/>
  <c r="GI10" i="2"/>
  <c r="GM14" i="2"/>
  <c r="GP17" i="2"/>
  <c r="GQ18" i="2"/>
  <c r="CV37" i="2"/>
  <c r="GH9" i="2"/>
  <c r="GN15" i="2"/>
  <c r="GJ11" i="2"/>
  <c r="GK12" i="2"/>
  <c r="GR19" i="2"/>
  <c r="GL13" i="2"/>
  <c r="GO16" i="2"/>
  <c r="CR42" i="2"/>
  <c r="CS42" i="2" s="1"/>
  <c r="DZ28" i="2"/>
  <c r="DY27" i="2"/>
  <c r="DX26" i="2"/>
  <c r="DW25" i="2"/>
  <c r="DV24" i="2"/>
  <c r="DU23" i="2"/>
  <c r="DT22" i="2"/>
  <c r="DS21" i="2"/>
  <c r="DZ54" i="2"/>
  <c r="DY53" i="2"/>
  <c r="DX52" i="2"/>
  <c r="DW51" i="2"/>
  <c r="DV50" i="2"/>
  <c r="DU49" i="2"/>
  <c r="DT48" i="2"/>
  <c r="DS47" i="2"/>
  <c r="DR46" i="2"/>
  <c r="DQ45" i="2"/>
  <c r="DP44" i="2"/>
  <c r="DO43" i="2"/>
  <c r="DN42" i="2"/>
  <c r="DM41" i="2"/>
  <c r="DL40" i="2"/>
  <c r="DK39" i="2"/>
  <c r="DJ38" i="2"/>
  <c r="DI37" i="2"/>
  <c r="DH36" i="2"/>
  <c r="CL36" i="2"/>
  <c r="DG35" i="2"/>
  <c r="DF34" i="2"/>
  <c r="DE33" i="2"/>
  <c r="DD32" i="2"/>
  <c r="DC31" i="2"/>
  <c r="DB30" i="2"/>
  <c r="DA29" i="2"/>
  <c r="CZ28" i="2"/>
  <c r="CY27" i="2"/>
  <c r="CX26" i="2"/>
  <c r="CW25" i="2"/>
  <c r="CV24" i="2"/>
  <c r="BJ99" i="2"/>
  <c r="BN98" i="2"/>
  <c r="BM98" i="2"/>
  <c r="BL98" i="2"/>
  <c r="BO98" i="2"/>
  <c r="BK98" i="2"/>
  <c r="CD30" i="5"/>
  <c r="CD31" i="5"/>
  <c r="AL37" i="5"/>
  <c r="AM37" i="5"/>
  <c r="AL49" i="5"/>
  <c r="AM49" i="5"/>
  <c r="M94" i="5"/>
  <c r="BC72" i="2"/>
  <c r="BD72" i="2"/>
  <c r="BC52" i="2"/>
  <c r="BD52" i="2"/>
  <c r="BC40" i="2"/>
  <c r="BD40" i="2"/>
  <c r="BC21" i="2"/>
  <c r="BD21" i="2"/>
  <c r="M96" i="5"/>
  <c r="M57" i="5"/>
  <c r="M58" i="5"/>
  <c r="M59" i="5"/>
  <c r="M61" i="5"/>
  <c r="M60" i="5"/>
  <c r="M56" i="5"/>
  <c r="M55" i="5"/>
  <c r="M54" i="5"/>
  <c r="M53" i="5"/>
  <c r="M62" i="5"/>
  <c r="M64" i="5"/>
  <c r="M51" i="5"/>
  <c r="M63" i="5"/>
  <c r="M65" i="5"/>
  <c r="M66" i="5"/>
  <c r="M52" i="5"/>
  <c r="M68" i="5"/>
  <c r="M49" i="5"/>
  <c r="M69" i="5"/>
  <c r="M50" i="5"/>
  <c r="M48" i="5"/>
  <c r="M67" i="5"/>
  <c r="M47" i="5"/>
  <c r="M46" i="5"/>
  <c r="M45" i="5"/>
  <c r="M71" i="5"/>
  <c r="M70" i="5"/>
  <c r="M72" i="5"/>
  <c r="M44" i="5"/>
  <c r="M42" i="5"/>
  <c r="M75" i="5"/>
  <c r="M43" i="5"/>
  <c r="M40" i="5"/>
  <c r="M74" i="5"/>
  <c r="M73" i="5"/>
  <c r="M41" i="5"/>
  <c r="M34" i="5"/>
  <c r="M77" i="5"/>
  <c r="M39" i="5"/>
  <c r="M38" i="5"/>
  <c r="M37" i="5"/>
  <c r="M76" i="5"/>
  <c r="M78" i="5"/>
  <c r="M80" i="5"/>
  <c r="M36" i="5"/>
  <c r="M35" i="5"/>
  <c r="M82" i="5"/>
  <c r="M79" i="5"/>
  <c r="M32" i="5"/>
  <c r="M81" i="5"/>
  <c r="M84" i="5"/>
  <c r="M33" i="5"/>
  <c r="M31" i="5"/>
  <c r="M83" i="5"/>
  <c r="M29" i="5"/>
  <c r="M85" i="5"/>
  <c r="M30" i="5"/>
  <c r="M86" i="5"/>
  <c r="M87" i="5"/>
  <c r="M28" i="5"/>
  <c r="M88" i="5"/>
  <c r="DZ43" i="2"/>
  <c r="DY42" i="2"/>
  <c r="DX41" i="2"/>
  <c r="DW40" i="2"/>
  <c r="DV39" i="2"/>
  <c r="DU38" i="2"/>
  <c r="DT37" i="2"/>
  <c r="DS36" i="2"/>
  <c r="DR35" i="2"/>
  <c r="DQ34" i="2"/>
  <c r="DP33" i="2"/>
  <c r="DO32" i="2"/>
  <c r="DN31" i="2"/>
  <c r="DM30" i="2"/>
  <c r="DL29" i="2"/>
  <c r="DK28" i="2"/>
  <c r="DJ27" i="2"/>
  <c r="DI26" i="2"/>
  <c r="DH25" i="2"/>
  <c r="CL24" i="2"/>
  <c r="DG24" i="2"/>
  <c r="DF23" i="2"/>
  <c r="DE22" i="2"/>
  <c r="DD21" i="2"/>
  <c r="GB12" i="2"/>
  <c r="GI19" i="2"/>
  <c r="DE55" i="2"/>
  <c r="DB52" i="2"/>
  <c r="CZ50" i="2"/>
  <c r="CX48" i="2"/>
  <c r="DF56" i="2"/>
  <c r="DD54" i="2"/>
  <c r="DC53" i="2"/>
  <c r="GE15" i="2"/>
  <c r="GN24" i="2"/>
  <c r="GQ27" i="2"/>
  <c r="GK21" i="2"/>
  <c r="DA51" i="2"/>
  <c r="CY49" i="2"/>
  <c r="GC13" i="2"/>
  <c r="GG17" i="2"/>
  <c r="GM23" i="2"/>
  <c r="FY9" i="2"/>
  <c r="CQ12" i="2"/>
  <c r="GR28" i="2"/>
  <c r="GJ20" i="2"/>
  <c r="CW47" i="2"/>
  <c r="GL22" i="2"/>
  <c r="GO25" i="2"/>
  <c r="GF16" i="2"/>
  <c r="GH18" i="2"/>
  <c r="GP26" i="2"/>
  <c r="FZ10" i="2"/>
  <c r="GA11" i="2"/>
  <c r="GD14" i="2"/>
  <c r="CV46" i="2"/>
  <c r="FP24" i="2"/>
  <c r="FQ25" i="2"/>
  <c r="FU29" i="2"/>
  <c r="GF40" i="2"/>
  <c r="FW31" i="2"/>
  <c r="FO23" i="2"/>
  <c r="FS27" i="2"/>
  <c r="GA35" i="2"/>
  <c r="GH42" i="2"/>
  <c r="FV30" i="2"/>
  <c r="FT28" i="2"/>
  <c r="FN22" i="2"/>
  <c r="FX32" i="2"/>
  <c r="FR26" i="2"/>
  <c r="GC37" i="2"/>
  <c r="GD38" i="2"/>
  <c r="GG41" i="2"/>
  <c r="FZ34" i="2"/>
  <c r="FY33" i="2"/>
  <c r="GB36" i="2"/>
  <c r="CQ37" i="2"/>
  <c r="GE39" i="2"/>
  <c r="GI43" i="2"/>
  <c r="FU23" i="2"/>
  <c r="DS20" i="2"/>
  <c r="DN56" i="2"/>
  <c r="DM55" i="2"/>
  <c r="DL54" i="2"/>
  <c r="DK53" i="2"/>
  <c r="DJ52" i="2"/>
  <c r="DI51" i="2"/>
  <c r="DH50" i="2"/>
  <c r="DG49" i="2"/>
  <c r="DF48" i="2"/>
  <c r="DE47" i="2"/>
  <c r="DD46" i="2"/>
  <c r="DC45" i="2"/>
  <c r="DB44" i="2"/>
  <c r="DA43" i="2"/>
  <c r="CZ42" i="2"/>
  <c r="CL51" i="2"/>
  <c r="CY41" i="2"/>
  <c r="CX40" i="2"/>
  <c r="CW39" i="2"/>
  <c r="CV38" i="2"/>
  <c r="GQ19" i="2"/>
  <c r="GH10" i="2"/>
  <c r="GL14" i="2"/>
  <c r="GG9" i="2"/>
  <c r="GO17" i="2"/>
  <c r="GK13" i="2"/>
  <c r="GM15" i="2"/>
  <c r="GN16" i="2"/>
  <c r="GP18" i="2"/>
  <c r="GI11" i="2"/>
  <c r="GR20" i="2"/>
  <c r="GJ12" i="2"/>
  <c r="FZ21" i="2"/>
  <c r="GC24" i="2"/>
  <c r="GG28" i="2"/>
  <c r="FO10" i="2"/>
  <c r="GH29" i="2"/>
  <c r="GJ31" i="2"/>
  <c r="FT15" i="2"/>
  <c r="GA22" i="2"/>
  <c r="GD25" i="2"/>
  <c r="FU16" i="2"/>
  <c r="GB23" i="2"/>
  <c r="FS14" i="2"/>
  <c r="FV17" i="2"/>
  <c r="FX19" i="2"/>
  <c r="FN9" i="2"/>
  <c r="FY20" i="2"/>
  <c r="CQ23" i="2"/>
  <c r="FP11" i="2"/>
  <c r="FR13" i="2"/>
  <c r="GI30" i="2"/>
  <c r="GE26" i="2"/>
  <c r="FQ12" i="2"/>
  <c r="FW18" i="2"/>
  <c r="GF27" i="2"/>
  <c r="GM34" i="2"/>
  <c r="GP37" i="2"/>
  <c r="GL33" i="2"/>
  <c r="GO36" i="2"/>
  <c r="GK32" i="2"/>
  <c r="GR39" i="2"/>
  <c r="GN35" i="2"/>
  <c r="GQ38" i="2"/>
  <c r="GB22" i="2"/>
  <c r="FU15" i="2"/>
  <c r="FY19" i="2"/>
  <c r="FS13" i="2"/>
  <c r="GA21" i="2"/>
  <c r="GK31" i="2"/>
  <c r="CV56" i="2"/>
  <c r="FP10" i="2"/>
  <c r="FX18" i="2"/>
  <c r="FO9" i="2"/>
  <c r="FR12" i="2"/>
  <c r="FT14" i="2"/>
  <c r="GE25" i="2"/>
  <c r="GG27" i="2"/>
  <c r="GF26" i="2"/>
  <c r="GI29" i="2"/>
  <c r="FQ11" i="2"/>
  <c r="FW17" i="2"/>
  <c r="CQ22" i="2"/>
  <c r="GD24" i="2"/>
  <c r="GJ30" i="2"/>
  <c r="GC23" i="2"/>
  <c r="FV16" i="2"/>
  <c r="FZ20" i="2"/>
  <c r="GH28" i="2"/>
  <c r="GN34" i="2"/>
  <c r="GM33" i="2"/>
  <c r="GP36" i="2"/>
  <c r="GQ37" i="2"/>
  <c r="GR38" i="2"/>
  <c r="GL32" i="2"/>
  <c r="GO35" i="2"/>
  <c r="DU56" i="2"/>
  <c r="DT55" i="2"/>
  <c r="DS54" i="2"/>
  <c r="DR53" i="2"/>
  <c r="DQ52" i="2"/>
  <c r="DP51" i="2"/>
  <c r="DO50" i="2"/>
  <c r="DN49" i="2"/>
  <c r="DM48" i="2"/>
  <c r="DL47" i="2"/>
  <c r="DK46" i="2"/>
  <c r="DJ45" i="2"/>
  <c r="DI44" i="2"/>
  <c r="CL44" i="2"/>
  <c r="DH43" i="2"/>
  <c r="DG42" i="2"/>
  <c r="DF41" i="2"/>
  <c r="DE40" i="2"/>
  <c r="DD39" i="2"/>
  <c r="DC38" i="2"/>
  <c r="DB37" i="2"/>
  <c r="GQ12" i="2"/>
  <c r="GP11" i="2"/>
  <c r="GO10" i="2"/>
  <c r="GN9" i="2"/>
  <c r="GR13" i="2"/>
  <c r="DA36" i="2"/>
  <c r="CZ35" i="2"/>
  <c r="CY34" i="2"/>
  <c r="CX33" i="2"/>
  <c r="CW32" i="2"/>
  <c r="CV31" i="2"/>
  <c r="BC90" i="2"/>
  <c r="BD90" i="2"/>
  <c r="CD47" i="5"/>
  <c r="CD48" i="5"/>
  <c r="AL26" i="5"/>
  <c r="AM26" i="5"/>
  <c r="AL30" i="5"/>
  <c r="AM30" i="5"/>
  <c r="AL34" i="5"/>
  <c r="AM34" i="5"/>
  <c r="AL38" i="5"/>
  <c r="AM38" i="5"/>
  <c r="AL42" i="5"/>
  <c r="AM42" i="5"/>
  <c r="AM46" i="5"/>
  <c r="AL46" i="5"/>
  <c r="AL50" i="5"/>
  <c r="AM50" i="5"/>
  <c r="AL54" i="5"/>
  <c r="AM54" i="5"/>
  <c r="CE13" i="5"/>
  <c r="CD50" i="5"/>
  <c r="CD51" i="5"/>
  <c r="BN11" i="5"/>
  <c r="BN15" i="5"/>
  <c r="BN19" i="5"/>
  <c r="N25" i="21" s="1"/>
  <c r="BN23" i="5"/>
  <c r="BN27" i="5"/>
  <c r="BN31" i="5"/>
  <c r="BN35" i="5"/>
  <c r="BN39" i="5"/>
  <c r="N30" i="21" s="1"/>
  <c r="BN43" i="5"/>
  <c r="BN47" i="5"/>
  <c r="BN51" i="5"/>
  <c r="BN55" i="5"/>
  <c r="BN13" i="5"/>
  <c r="BN25" i="5"/>
  <c r="BN41" i="5"/>
  <c r="N41" i="21" s="1"/>
  <c r="BN12" i="5"/>
  <c r="BN16" i="5"/>
  <c r="BN20" i="5"/>
  <c r="BN24" i="5"/>
  <c r="BN28" i="5"/>
  <c r="BN32" i="5"/>
  <c r="BN36" i="5"/>
  <c r="BN40" i="5"/>
  <c r="N12" i="21" s="1"/>
  <c r="BN44" i="5"/>
  <c r="BN48" i="5"/>
  <c r="BN52" i="5"/>
  <c r="BN56" i="5"/>
  <c r="BN21" i="5"/>
  <c r="BN37" i="5"/>
  <c r="BN53" i="5"/>
  <c r="BN9" i="5"/>
  <c r="BN14" i="5"/>
  <c r="BN18" i="5"/>
  <c r="N11" i="21" s="1"/>
  <c r="BN22" i="5"/>
  <c r="BN26" i="5"/>
  <c r="BN30" i="5"/>
  <c r="BN34" i="5"/>
  <c r="BN38" i="5"/>
  <c r="BN42" i="5"/>
  <c r="BN46" i="5"/>
  <c r="BN50" i="5"/>
  <c r="BN54" i="5"/>
  <c r="BN10" i="5"/>
  <c r="BN17" i="5"/>
  <c r="N16" i="21" s="1"/>
  <c r="BN29" i="5"/>
  <c r="N10" i="21" s="1"/>
  <c r="BN33" i="5"/>
  <c r="BN45" i="5"/>
  <c r="N8" i="21" s="1"/>
  <c r="BN49" i="5"/>
  <c r="N4" i="21" s="1"/>
  <c r="BU56" i="5"/>
  <c r="BU55" i="5"/>
  <c r="BU54" i="5"/>
  <c r="BU53" i="5"/>
  <c r="BU52" i="5"/>
  <c r="BU51" i="5"/>
  <c r="BU50" i="5"/>
  <c r="BU49" i="5"/>
  <c r="BU48" i="5"/>
  <c r="BU47" i="5"/>
  <c r="BU46" i="5"/>
  <c r="BU45" i="5"/>
  <c r="BU44" i="5"/>
  <c r="BU43" i="5"/>
  <c r="BU42" i="5"/>
  <c r="BU41" i="5"/>
  <c r="BU40" i="5"/>
  <c r="BU39" i="5"/>
  <c r="BU38" i="5"/>
  <c r="BU37" i="5"/>
  <c r="BU36" i="5"/>
  <c r="BU35" i="5"/>
  <c r="BU34" i="5"/>
  <c r="BU33" i="5"/>
  <c r="BU32" i="5"/>
  <c r="BU31" i="5"/>
  <c r="BU30" i="5"/>
  <c r="BU29" i="5"/>
  <c r="BU28" i="5"/>
  <c r="BU27" i="5"/>
  <c r="BU26" i="5"/>
  <c r="BU25" i="5"/>
  <c r="BU24" i="5"/>
  <c r="BU23" i="5"/>
  <c r="BU22" i="5"/>
  <c r="BU21" i="5"/>
  <c r="CD59" i="5"/>
  <c r="AC97" i="2"/>
  <c r="Y97" i="2"/>
  <c r="X98" i="2"/>
  <c r="AF97" i="2"/>
  <c r="AB97" i="2"/>
  <c r="AE97" i="2"/>
  <c r="AA97" i="2"/>
  <c r="AD97" i="2"/>
  <c r="Z97" i="2"/>
  <c r="AO21" i="2"/>
  <c r="AN21" i="2"/>
  <c r="IJ98" i="5"/>
  <c r="IF98" i="5"/>
  <c r="II98" i="5"/>
  <c r="IE99" i="5"/>
  <c r="IL98" i="5"/>
  <c r="IH98" i="5"/>
  <c r="IK98" i="5"/>
  <c r="IG98" i="5"/>
  <c r="BC92" i="2"/>
  <c r="BD92" i="2"/>
  <c r="DZ38" i="2"/>
  <c r="DY37" i="2"/>
  <c r="DX36" i="2"/>
  <c r="DW35" i="2"/>
  <c r="DV34" i="2"/>
  <c r="DU33" i="2"/>
  <c r="DT32" i="2"/>
  <c r="DS31" i="2"/>
  <c r="DR30" i="2"/>
  <c r="DQ29" i="2"/>
  <c r="DP28" i="2"/>
  <c r="DO27" i="2"/>
  <c r="DN26" i="2"/>
  <c r="DM25" i="2"/>
  <c r="DL24" i="2"/>
  <c r="DK23" i="2"/>
  <c r="DJ22" i="2"/>
  <c r="DI21" i="2"/>
  <c r="DZ52" i="2"/>
  <c r="DY51" i="2"/>
  <c r="DX50" i="2"/>
  <c r="DW49" i="2"/>
  <c r="DV48" i="2"/>
  <c r="DU47" i="2"/>
  <c r="DT46" i="2"/>
  <c r="DS45" i="2"/>
  <c r="DR44" i="2"/>
  <c r="DQ43" i="2"/>
  <c r="DP42" i="2"/>
  <c r="DO41" i="2"/>
  <c r="DN40" i="2"/>
  <c r="DM39" i="2"/>
  <c r="DL38" i="2"/>
  <c r="DK37" i="2"/>
  <c r="DJ36" i="2"/>
  <c r="DI35" i="2"/>
  <c r="DH34" i="2"/>
  <c r="CL34" i="2"/>
  <c r="DG33" i="2"/>
  <c r="DF32" i="2"/>
  <c r="DE31" i="2"/>
  <c r="DD30" i="2"/>
  <c r="DC29" i="2"/>
  <c r="DB28" i="2"/>
  <c r="DA27" i="2"/>
  <c r="CZ26" i="2"/>
  <c r="CY25" i="2"/>
  <c r="CX24" i="2"/>
  <c r="CW23" i="2"/>
  <c r="CV22" i="2"/>
  <c r="DS56" i="2"/>
  <c r="DR55" i="2"/>
  <c r="DQ54" i="2"/>
  <c r="DP53" i="2"/>
  <c r="DO52" i="2"/>
  <c r="DN51" i="2"/>
  <c r="DM50" i="2"/>
  <c r="DL49" i="2"/>
  <c r="DK48" i="2"/>
  <c r="DJ47" i="2"/>
  <c r="CL46" i="2"/>
  <c r="DI46" i="2"/>
  <c r="DH45" i="2"/>
  <c r="DG44" i="2"/>
  <c r="DF43" i="2"/>
  <c r="DE42" i="2"/>
  <c r="DD41" i="2"/>
  <c r="DC40" i="2"/>
  <c r="DB39" i="2"/>
  <c r="DA38" i="2"/>
  <c r="GL9" i="2"/>
  <c r="GP13" i="2"/>
  <c r="GN11" i="2"/>
  <c r="GR15" i="2"/>
  <c r="CZ37" i="2"/>
  <c r="GO12" i="2"/>
  <c r="GQ14" i="2"/>
  <c r="GM10" i="2"/>
  <c r="CY36" i="2"/>
  <c r="CX35" i="2"/>
  <c r="CW34" i="2"/>
  <c r="CV33" i="2"/>
  <c r="CL54" i="2"/>
  <c r="GF11" i="2"/>
  <c r="GD9" i="2"/>
  <c r="GG12" i="2"/>
  <c r="GL17" i="2"/>
  <c r="GM18" i="2"/>
  <c r="GK16" i="2"/>
  <c r="GO20" i="2"/>
  <c r="DI54" i="2"/>
  <c r="DA46" i="2"/>
  <c r="CZ45" i="2"/>
  <c r="CY44" i="2"/>
  <c r="DD49" i="2"/>
  <c r="CX43" i="2"/>
  <c r="DG52" i="2"/>
  <c r="DF51" i="2"/>
  <c r="DB47" i="2"/>
  <c r="CV41" i="2"/>
  <c r="GP21" i="2"/>
  <c r="GR23" i="2"/>
  <c r="GE10" i="2"/>
  <c r="DH53" i="2"/>
  <c r="DE50" i="2"/>
  <c r="DC48" i="2"/>
  <c r="GH13" i="2"/>
  <c r="GI14" i="2"/>
  <c r="GJ15" i="2"/>
  <c r="GQ22" i="2"/>
  <c r="GN19" i="2"/>
  <c r="DK56" i="2"/>
  <c r="DJ55" i="2"/>
  <c r="CW42" i="2"/>
  <c r="FY13" i="2"/>
  <c r="GE19" i="2"/>
  <c r="GK25" i="2"/>
  <c r="GN28" i="2"/>
  <c r="FZ14" i="2"/>
  <c r="GH22" i="2"/>
  <c r="GM27" i="2"/>
  <c r="GO29" i="2"/>
  <c r="FX12" i="2"/>
  <c r="CY53" i="2"/>
  <c r="CZ54" i="2"/>
  <c r="GC17" i="2"/>
  <c r="GF20" i="2"/>
  <c r="GL26" i="2"/>
  <c r="GG21" i="2"/>
  <c r="GB16" i="2"/>
  <c r="FU9" i="2"/>
  <c r="GI23" i="2"/>
  <c r="GD18" i="2"/>
  <c r="GP30" i="2"/>
  <c r="CQ16" i="2"/>
  <c r="GQ31" i="2"/>
  <c r="DB56" i="2"/>
  <c r="CW51" i="2"/>
  <c r="GA15" i="2"/>
  <c r="FV10" i="2"/>
  <c r="FW11" i="2"/>
  <c r="GJ24" i="2"/>
  <c r="DA55" i="2"/>
  <c r="CX52" i="2"/>
  <c r="CV50" i="2"/>
  <c r="GR32" i="2"/>
  <c r="FS10" i="2"/>
  <c r="GE22" i="2"/>
  <c r="FU12" i="2"/>
  <c r="GD21" i="2"/>
  <c r="FZ17" i="2"/>
  <c r="GK28" i="2"/>
  <c r="FW14" i="2"/>
  <c r="CY56" i="2"/>
  <c r="CX55" i="2"/>
  <c r="CW54" i="2"/>
  <c r="GG24" i="2"/>
  <c r="GH25" i="2"/>
  <c r="GM30" i="2"/>
  <c r="FY16" i="2"/>
  <c r="GC20" i="2"/>
  <c r="CQ19" i="2"/>
  <c r="FX15" i="2"/>
  <c r="CV53" i="2"/>
  <c r="GA18" i="2"/>
  <c r="GB19" i="2"/>
  <c r="FT11" i="2"/>
  <c r="FV13" i="2"/>
  <c r="GJ27" i="2"/>
  <c r="GF23" i="2"/>
  <c r="GI26" i="2"/>
  <c r="GL29" i="2"/>
  <c r="FR9" i="2"/>
  <c r="GN31" i="2"/>
  <c r="GQ34" i="2"/>
  <c r="GP33" i="2"/>
  <c r="GO32" i="2"/>
  <c r="GR35" i="2"/>
  <c r="CG99" i="2"/>
  <c r="CK98" i="2"/>
  <c r="CN98" i="2"/>
  <c r="CJ98" i="2"/>
  <c r="CM98" i="2"/>
  <c r="CI98" i="2"/>
  <c r="CL98" i="2"/>
  <c r="CH98" i="2"/>
  <c r="DZ25" i="2"/>
  <c r="DY24" i="2"/>
  <c r="DX23" i="2"/>
  <c r="DW22" i="2"/>
  <c r="DV21" i="2"/>
  <c r="DW56" i="2"/>
  <c r="DV55" i="2"/>
  <c r="DU54" i="2"/>
  <c r="DT53" i="2"/>
  <c r="DS52" i="2"/>
  <c r="DR51" i="2"/>
  <c r="DQ50" i="2"/>
  <c r="DP49" i="2"/>
  <c r="DO48" i="2"/>
  <c r="DN47" i="2"/>
  <c r="DM46" i="2"/>
  <c r="DL45" i="2"/>
  <c r="DK44" i="2"/>
  <c r="DJ43" i="2"/>
  <c r="DI42" i="2"/>
  <c r="CL41" i="2"/>
  <c r="DH41" i="2"/>
  <c r="DG40" i="2"/>
  <c r="DF39" i="2"/>
  <c r="DE38" i="2"/>
  <c r="GQ10" i="2"/>
  <c r="GR11" i="2"/>
  <c r="GP9" i="2"/>
  <c r="DD37" i="2"/>
  <c r="DC36" i="2"/>
  <c r="DB35" i="2"/>
  <c r="DA34" i="2"/>
  <c r="CZ33" i="2"/>
  <c r="CY32" i="2"/>
  <c r="CX31" i="2"/>
  <c r="CW30" i="2"/>
  <c r="CV29" i="2"/>
  <c r="FS15" i="2"/>
  <c r="GI31" i="2"/>
  <c r="FX20" i="2"/>
  <c r="GA23" i="2"/>
  <c r="CQ24" i="2"/>
  <c r="GB24" i="2"/>
  <c r="FO11" i="2"/>
  <c r="FR14" i="2"/>
  <c r="FU17" i="2"/>
  <c r="GC25" i="2"/>
  <c r="FZ22" i="2"/>
  <c r="FP12" i="2"/>
  <c r="FV18" i="2"/>
  <c r="GG29" i="2"/>
  <c r="FW19" i="2"/>
  <c r="FY21" i="2"/>
  <c r="GF28" i="2"/>
  <c r="FT16" i="2"/>
  <c r="FN10" i="2"/>
  <c r="FQ13" i="2"/>
  <c r="GE27" i="2"/>
  <c r="GD26" i="2"/>
  <c r="GH30" i="2"/>
  <c r="GK33" i="2"/>
  <c r="GP38" i="2"/>
  <c r="GN36" i="2"/>
  <c r="GO37" i="2"/>
  <c r="GJ32" i="2"/>
  <c r="GR40" i="2"/>
  <c r="GQ39" i="2"/>
  <c r="GM35" i="2"/>
  <c r="GL34" i="2"/>
  <c r="BD84" i="2"/>
  <c r="BC84" i="2"/>
  <c r="BC82" i="2"/>
  <c r="BD82" i="2"/>
  <c r="BD75" i="2"/>
  <c r="BC75" i="2"/>
  <c r="BD73" i="2"/>
  <c r="BC73" i="2"/>
  <c r="BC67" i="2"/>
  <c r="BD67" i="2"/>
  <c r="BC63" i="2"/>
  <c r="BD63" i="2"/>
  <c r="BC60" i="2"/>
  <c r="BD60" i="2"/>
  <c r="BD55" i="2"/>
  <c r="BC55" i="2"/>
  <c r="BC53" i="2"/>
  <c r="BD53" i="2"/>
  <c r="BC47" i="2"/>
  <c r="BD47" i="2"/>
  <c r="BC43" i="2"/>
  <c r="BD43" i="2"/>
  <c r="BC41" i="2"/>
  <c r="BD41" i="2"/>
  <c r="BC35" i="2"/>
  <c r="BD35" i="2"/>
  <c r="BC32" i="2"/>
  <c r="BD32" i="2"/>
  <c r="BD25" i="2"/>
  <c r="BC25" i="2"/>
  <c r="BD24" i="2"/>
  <c r="BC24" i="2"/>
  <c r="BD20" i="2"/>
  <c r="BC20" i="2"/>
  <c r="BD17" i="2"/>
  <c r="DN19" i="5" s="1"/>
  <c r="BC17" i="2"/>
  <c r="BD9" i="2"/>
  <c r="DU19" i="5" s="1"/>
  <c r="BC9" i="2"/>
  <c r="CD46" i="5"/>
  <c r="H97" i="5"/>
  <c r="G98" i="5"/>
  <c r="I97" i="5"/>
  <c r="FO30" i="2"/>
  <c r="FN30" i="2"/>
  <c r="GS30" i="2" s="1"/>
  <c r="FX38" i="2"/>
  <c r="GB42" i="2"/>
  <c r="FV37" i="2"/>
  <c r="FZ42" i="2"/>
  <c r="HG42" i="2" s="1"/>
  <c r="FQ31" i="2"/>
  <c r="FO29" i="2"/>
  <c r="GA41" i="2"/>
  <c r="FY40" i="2"/>
  <c r="FQ33" i="2"/>
  <c r="GV33" i="2" s="1"/>
  <c r="FT34" i="2"/>
  <c r="FS34" i="2"/>
  <c r="FX39" i="2"/>
  <c r="FN29" i="2"/>
  <c r="FP31" i="2"/>
  <c r="FO31" i="2"/>
  <c r="GT31" i="2" s="1"/>
  <c r="FR34" i="2"/>
  <c r="GW34" i="2" s="1"/>
  <c r="FU37" i="2"/>
  <c r="GZ37" i="2" s="1"/>
  <c r="FW39" i="2"/>
  <c r="HD39" i="2" s="1"/>
  <c r="FQ32" i="2"/>
  <c r="FZ40" i="2"/>
  <c r="FS35" i="2"/>
  <c r="GX35" i="2" s="1"/>
  <c r="FY41" i="2"/>
  <c r="HF41" i="2" s="1"/>
  <c r="FU35" i="2"/>
  <c r="GE47" i="5"/>
  <c r="GA43" i="2"/>
  <c r="HH43" i="2" s="1"/>
  <c r="FZ41" i="2"/>
  <c r="FN28" i="2"/>
  <c r="FP30" i="2"/>
  <c r="FR33" i="2"/>
  <c r="FP32" i="2"/>
  <c r="GU32" i="2" s="1"/>
  <c r="FW38" i="2"/>
  <c r="FS33" i="2"/>
  <c r="FX40" i="2"/>
  <c r="HE40" i="2" s="1"/>
  <c r="FT36" i="2"/>
  <c r="GY36" i="2" s="1"/>
  <c r="FR32" i="2"/>
  <c r="FV36" i="2"/>
  <c r="GA42" i="2"/>
  <c r="FU36" i="2"/>
  <c r="FV38" i="2"/>
  <c r="HC38" i="2" s="1"/>
  <c r="FY39" i="2"/>
  <c r="FW37" i="2"/>
  <c r="FT35" i="2"/>
  <c r="GC43" i="2"/>
  <c r="BL98" i="5"/>
  <c r="BO98" i="5"/>
  <c r="BK98" i="5"/>
  <c r="BN98" i="5"/>
  <c r="BJ99" i="5"/>
  <c r="BM98" i="5"/>
  <c r="M92" i="5"/>
  <c r="DZ36" i="2"/>
  <c r="DY35" i="2"/>
  <c r="DX34" i="2"/>
  <c r="DW33" i="2"/>
  <c r="DV32" i="2"/>
  <c r="DU31" i="2"/>
  <c r="DT30" i="2"/>
  <c r="DS29" i="2"/>
  <c r="DR28" i="2"/>
  <c r="DQ27" i="2"/>
  <c r="DP26" i="2"/>
  <c r="DO25" i="2"/>
  <c r="DN24" i="2"/>
  <c r="DM23" i="2"/>
  <c r="DL22" i="2"/>
  <c r="DK21" i="2"/>
  <c r="DZ51" i="2"/>
  <c r="DY50" i="2"/>
  <c r="DX49" i="2"/>
  <c r="DW48" i="2"/>
  <c r="DV47" i="2"/>
  <c r="DU46" i="2"/>
  <c r="DT45" i="2"/>
  <c r="DS44" i="2"/>
  <c r="DR43" i="2"/>
  <c r="DQ42" i="2"/>
  <c r="DP41" i="2"/>
  <c r="DO40" i="2"/>
  <c r="DN39" i="2"/>
  <c r="DM38" i="2"/>
  <c r="DL37" i="2"/>
  <c r="DK36" i="2"/>
  <c r="DJ35" i="2"/>
  <c r="DI34" i="2"/>
  <c r="CL33" i="2"/>
  <c r="DH33" i="2"/>
  <c r="DG32" i="2"/>
  <c r="DF31" i="2"/>
  <c r="DE30" i="2"/>
  <c r="DD29" i="2"/>
  <c r="DC28" i="2"/>
  <c r="DB27" i="2"/>
  <c r="DA26" i="2"/>
  <c r="CZ25" i="2"/>
  <c r="CY24" i="2"/>
  <c r="CX23" i="2"/>
  <c r="CW22" i="2"/>
  <c r="CV21" i="2"/>
  <c r="FN15" i="2"/>
  <c r="FP17" i="2"/>
  <c r="GA28" i="2"/>
  <c r="FR19" i="2"/>
  <c r="FS20" i="2"/>
  <c r="FW24" i="2"/>
  <c r="GB29" i="2"/>
  <c r="FV23" i="2"/>
  <c r="GD31" i="2"/>
  <c r="GC30" i="2"/>
  <c r="FZ27" i="2"/>
  <c r="FO16" i="2"/>
  <c r="FX25" i="2"/>
  <c r="FY26" i="2"/>
  <c r="FU22" i="2"/>
  <c r="FQ18" i="2"/>
  <c r="CQ30" i="2"/>
  <c r="GM40" i="2"/>
  <c r="GL39" i="2"/>
  <c r="GN41" i="2"/>
  <c r="GG34" i="2"/>
  <c r="GI36" i="2"/>
  <c r="GK38" i="2"/>
  <c r="GE32" i="2"/>
  <c r="GH35" i="2"/>
  <c r="GO42" i="2"/>
  <c r="GJ37" i="2"/>
  <c r="GF33" i="2"/>
  <c r="BU20" i="5"/>
  <c r="B100" i="19"/>
  <c r="D100" i="19" s="1"/>
  <c r="E100" i="19"/>
  <c r="F100" i="19" s="1"/>
  <c r="A101" i="19"/>
  <c r="C100" i="19"/>
  <c r="GO43" i="2"/>
  <c r="FS21" i="2"/>
  <c r="FT22" i="2"/>
  <c r="FW25" i="2"/>
  <c r="IL98" i="2"/>
  <c r="IH98" i="2"/>
  <c r="IK98" i="2"/>
  <c r="IG98" i="2"/>
  <c r="IJ98" i="2"/>
  <c r="IF98" i="2"/>
  <c r="IE99" i="2"/>
  <c r="II98" i="2"/>
  <c r="AR96" i="2"/>
  <c r="AS91" i="2" s="1"/>
  <c r="CD9" i="5"/>
  <c r="CD68" i="5"/>
  <c r="CD69" i="5"/>
  <c r="DV20" i="2"/>
  <c r="DD20" i="2"/>
  <c r="DK20" i="2"/>
  <c r="DO20" i="2"/>
  <c r="DM20" i="2"/>
  <c r="DZ37" i="2"/>
  <c r="DY36" i="2"/>
  <c r="DX35" i="2"/>
  <c r="DW34" i="2"/>
  <c r="DV33" i="2"/>
  <c r="DU32" i="2"/>
  <c r="DT31" i="2"/>
  <c r="DS30" i="2"/>
  <c r="DR29" i="2"/>
  <c r="DQ28" i="2"/>
  <c r="DP27" i="2"/>
  <c r="DO26" i="2"/>
  <c r="DN25" i="2"/>
  <c r="DM24" i="2"/>
  <c r="DL23" i="2"/>
  <c r="DK22" i="2"/>
  <c r="DJ21" i="2"/>
  <c r="DZ56" i="2"/>
  <c r="DY55" i="2"/>
  <c r="DX54" i="2"/>
  <c r="DW53" i="2"/>
  <c r="DV52" i="2"/>
  <c r="DU51" i="2"/>
  <c r="DT50" i="2"/>
  <c r="DS49" i="2"/>
  <c r="DR48" i="2"/>
  <c r="DQ47" i="2"/>
  <c r="DP46" i="2"/>
  <c r="DO45" i="2"/>
  <c r="DN44" i="2"/>
  <c r="DM43" i="2"/>
  <c r="DL42" i="2"/>
  <c r="DK41" i="2"/>
  <c r="DJ40" i="2"/>
  <c r="DI39" i="2"/>
  <c r="CL38" i="2"/>
  <c r="DH38" i="2"/>
  <c r="DG37" i="2"/>
  <c r="DF36" i="2"/>
  <c r="DE35" i="2"/>
  <c r="DD34" i="2"/>
  <c r="DC33" i="2"/>
  <c r="DB32" i="2"/>
  <c r="DA31" i="2"/>
  <c r="CZ30" i="2"/>
  <c r="CY29" i="2"/>
  <c r="CX28" i="2"/>
  <c r="CW27" i="2"/>
  <c r="CV26" i="2"/>
  <c r="FN26" i="2"/>
  <c r="FV34" i="2"/>
  <c r="FU33" i="2"/>
  <c r="GE43" i="2"/>
  <c r="GA39" i="2"/>
  <c r="FO27" i="2"/>
  <c r="GD42" i="2"/>
  <c r="FZ38" i="2"/>
  <c r="CQ41" i="2"/>
  <c r="FR30" i="2"/>
  <c r="FQ29" i="2"/>
  <c r="FS31" i="2"/>
  <c r="FP28" i="2"/>
  <c r="GB40" i="2"/>
  <c r="GC41" i="2"/>
  <c r="FT32" i="2"/>
  <c r="FW35" i="2"/>
  <c r="FY37" i="2"/>
  <c r="FX36" i="2"/>
  <c r="FP26" i="2"/>
  <c r="FR28" i="2"/>
  <c r="FT30" i="2"/>
  <c r="FZ36" i="2"/>
  <c r="FN24" i="2"/>
  <c r="FO25" i="2"/>
  <c r="GB38" i="2"/>
  <c r="FV32" i="2"/>
  <c r="GA37" i="2"/>
  <c r="FQ27" i="2"/>
  <c r="GD40" i="2"/>
  <c r="FU31" i="2"/>
  <c r="FS29" i="2"/>
  <c r="FW33" i="2"/>
  <c r="GE41" i="2"/>
  <c r="FY35" i="2"/>
  <c r="GF42" i="2"/>
  <c r="CQ39" i="2"/>
  <c r="FX34" i="2"/>
  <c r="GC39" i="2"/>
  <c r="AD97" i="5"/>
  <c r="Z97" i="5"/>
  <c r="AC97" i="5"/>
  <c r="Y97" i="5"/>
  <c r="AF97" i="5"/>
  <c r="AB97" i="5"/>
  <c r="X98" i="5"/>
  <c r="AE97" i="5"/>
  <c r="AA97" i="5"/>
  <c r="M95" i="5"/>
  <c r="M93" i="5"/>
  <c r="M24" i="5"/>
  <c r="M21" i="5"/>
  <c r="M89" i="5"/>
  <c r="M26" i="5"/>
  <c r="M91" i="5"/>
  <c r="M23" i="5"/>
  <c r="M27" i="5"/>
  <c r="DZ44" i="2"/>
  <c r="DY43" i="2"/>
  <c r="DX42" i="2"/>
  <c r="DW41" i="2"/>
  <c r="DV40" i="2"/>
  <c r="DU39" i="2"/>
  <c r="DT38" i="2"/>
  <c r="DS37" i="2"/>
  <c r="DR36" i="2"/>
  <c r="DQ35" i="2"/>
  <c r="DP34" i="2"/>
  <c r="DO33" i="2"/>
  <c r="DN32" i="2"/>
  <c r="DM31" i="2"/>
  <c r="DL30" i="2"/>
  <c r="DK29" i="2"/>
  <c r="DJ28" i="2"/>
  <c r="DI27" i="2"/>
  <c r="DH26" i="2"/>
  <c r="DG25" i="2"/>
  <c r="CL25" i="2"/>
  <c r="DF24" i="2"/>
  <c r="DE23" i="2"/>
  <c r="DD22" i="2"/>
  <c r="DC21" i="2"/>
  <c r="GE23" i="2"/>
  <c r="GI27" i="2"/>
  <c r="FS11" i="2"/>
  <c r="FT12" i="2"/>
  <c r="FW15" i="2"/>
  <c r="GG25" i="2"/>
  <c r="CX56" i="2"/>
  <c r="FZ18" i="2"/>
  <c r="FY17" i="2"/>
  <c r="GD22" i="2"/>
  <c r="GK29" i="2"/>
  <c r="CQ20" i="2"/>
  <c r="GM31" i="2"/>
  <c r="GF24" i="2"/>
  <c r="CV54" i="2"/>
  <c r="GJ28" i="2"/>
  <c r="FX16" i="2"/>
  <c r="GB20" i="2"/>
  <c r="FU13" i="2"/>
  <c r="GL30" i="2"/>
  <c r="CW55" i="2"/>
  <c r="FQ9" i="2"/>
  <c r="FR10" i="2"/>
  <c r="FV14" i="2"/>
  <c r="GC21" i="2"/>
  <c r="GH26" i="2"/>
  <c r="GA19" i="2"/>
  <c r="GO33" i="2"/>
  <c r="GN32" i="2"/>
  <c r="GP34" i="2"/>
  <c r="GQ35" i="2"/>
  <c r="GR36" i="2"/>
  <c r="CQ31" i="2"/>
  <c r="GE33" i="2"/>
  <c r="GK39" i="2"/>
  <c r="GH36" i="2"/>
  <c r="GN42" i="2"/>
  <c r="GJ38" i="2"/>
  <c r="GM41" i="2"/>
  <c r="GI37" i="2"/>
  <c r="GL40" i="2"/>
  <c r="GG35" i="2"/>
  <c r="GD32" i="2"/>
  <c r="GF34" i="2"/>
  <c r="AM29" i="5"/>
  <c r="AL29" i="5"/>
  <c r="BC83" i="2"/>
  <c r="BD83" i="2"/>
  <c r="BC68" i="2"/>
  <c r="BD68" i="2"/>
  <c r="BC56" i="2"/>
  <c r="BD56" i="2"/>
  <c r="BD36" i="2"/>
  <c r="BC36" i="2"/>
  <c r="BD16" i="2"/>
  <c r="BC16" i="2"/>
  <c r="CD10" i="5"/>
  <c r="CD21" i="5"/>
  <c r="CD22" i="5"/>
  <c r="CD23" i="5"/>
  <c r="FK98" i="5"/>
  <c r="FG98" i="5"/>
  <c r="FB98" i="5"/>
  <c r="EX98" i="5"/>
  <c r="EO98" i="5"/>
  <c r="EK98" i="5"/>
  <c r="EF98" i="5"/>
  <c r="EB98" i="5"/>
  <c r="DX98" i="5"/>
  <c r="DT98" i="5"/>
  <c r="DP98" i="5"/>
  <c r="DL98" i="5"/>
  <c r="DH98" i="5"/>
  <c r="DD98" i="5"/>
  <c r="CZ98" i="5"/>
  <c r="CV98" i="5"/>
  <c r="FJ98" i="5"/>
  <c r="FF98" i="5"/>
  <c r="FA98" i="5"/>
  <c r="EW98" i="5"/>
  <c r="ER98" i="5"/>
  <c r="EN98" i="5"/>
  <c r="EE98" i="5"/>
  <c r="EA98" i="5"/>
  <c r="DW98" i="5"/>
  <c r="DS98" i="5"/>
  <c r="DO98" i="5"/>
  <c r="DK98" i="5"/>
  <c r="DG98" i="5"/>
  <c r="DC98" i="5"/>
  <c r="CY98" i="5"/>
  <c r="CU99" i="5"/>
  <c r="FI98" i="5"/>
  <c r="FE98" i="5"/>
  <c r="EZ98" i="5"/>
  <c r="EV98" i="5"/>
  <c r="EQ98" i="5"/>
  <c r="EM98" i="5"/>
  <c r="EH98" i="5"/>
  <c r="ED98" i="5"/>
  <c r="DZ98" i="5"/>
  <c r="DV98" i="5"/>
  <c r="DR98" i="5"/>
  <c r="DN98" i="5"/>
  <c r="DJ98" i="5"/>
  <c r="DF98" i="5"/>
  <c r="DB98" i="5"/>
  <c r="CX98" i="5"/>
  <c r="FH98" i="5"/>
  <c r="EY98" i="5"/>
  <c r="EU98" i="5"/>
  <c r="EP98" i="5"/>
  <c r="EL98" i="5"/>
  <c r="EG98" i="5"/>
  <c r="EC98" i="5"/>
  <c r="DY98" i="5"/>
  <c r="DU98" i="5"/>
  <c r="DQ98" i="5"/>
  <c r="DM98" i="5"/>
  <c r="DI98" i="5"/>
  <c r="DE98" i="5"/>
  <c r="DA98" i="5"/>
  <c r="CW98" i="5"/>
  <c r="DP56" i="2"/>
  <c r="DO55" i="2"/>
  <c r="DN54" i="2"/>
  <c r="DM53" i="2"/>
  <c r="DL52" i="2"/>
  <c r="DK51" i="2"/>
  <c r="DJ50" i="2"/>
  <c r="DI49" i="2"/>
  <c r="CL49" i="2"/>
  <c r="DH48" i="2"/>
  <c r="DG47" i="2"/>
  <c r="DF46" i="2"/>
  <c r="DE45" i="2"/>
  <c r="DD44" i="2"/>
  <c r="DC43" i="2"/>
  <c r="DB42" i="2"/>
  <c r="DA41" i="2"/>
  <c r="CZ40" i="2"/>
  <c r="CY39" i="2"/>
  <c r="CX38" i="2"/>
  <c r="GI9" i="2"/>
  <c r="GM13" i="2"/>
  <c r="GR18" i="2"/>
  <c r="GJ10" i="2"/>
  <c r="GO15" i="2"/>
  <c r="GK11" i="2"/>
  <c r="CW37" i="2"/>
  <c r="GL12" i="2"/>
  <c r="GN14" i="2"/>
  <c r="GQ17" i="2"/>
  <c r="GP16" i="2"/>
  <c r="CV36" i="2"/>
  <c r="FI98" i="2"/>
  <c r="FE98" i="2"/>
  <c r="EZ98" i="2"/>
  <c r="EV98" i="2"/>
  <c r="EQ98" i="2"/>
  <c r="EM98" i="2"/>
  <c r="EH98" i="2"/>
  <c r="ED98" i="2"/>
  <c r="DZ98" i="2"/>
  <c r="DV98" i="2"/>
  <c r="DR98" i="2"/>
  <c r="DN98" i="2"/>
  <c r="DJ98" i="2"/>
  <c r="DF98" i="2"/>
  <c r="DB98" i="2"/>
  <c r="CX98" i="2"/>
  <c r="FH98" i="2"/>
  <c r="EY98" i="2"/>
  <c r="EU98" i="2"/>
  <c r="EP98" i="2"/>
  <c r="EL98" i="2"/>
  <c r="EG98" i="2"/>
  <c r="EC98" i="2"/>
  <c r="DY98" i="2"/>
  <c r="DU98" i="2"/>
  <c r="DQ98" i="2"/>
  <c r="DM98" i="2"/>
  <c r="DI98" i="2"/>
  <c r="DE98" i="2"/>
  <c r="DA98" i="2"/>
  <c r="CW98" i="2"/>
  <c r="FK98" i="2"/>
  <c r="FG98" i="2"/>
  <c r="FB98" i="2"/>
  <c r="EX98" i="2"/>
  <c r="EO98" i="2"/>
  <c r="EK98" i="2"/>
  <c r="EF98" i="2"/>
  <c r="EB98" i="2"/>
  <c r="DX98" i="2"/>
  <c r="DT98" i="2"/>
  <c r="DP98" i="2"/>
  <c r="DL98" i="2"/>
  <c r="DH98" i="2"/>
  <c r="DD98" i="2"/>
  <c r="CZ98" i="2"/>
  <c r="CV98" i="2"/>
  <c r="CU99" i="2"/>
  <c r="EW98" i="2"/>
  <c r="EE98" i="2"/>
  <c r="DO98" i="2"/>
  <c r="CY98" i="2"/>
  <c r="FJ98" i="2"/>
  <c r="ER98" i="2"/>
  <c r="EA98" i="2"/>
  <c r="DK98" i="2"/>
  <c r="FF98" i="2"/>
  <c r="EN98" i="2"/>
  <c r="DW98" i="2"/>
  <c r="DG98" i="2"/>
  <c r="FA98" i="2"/>
  <c r="DS98" i="2"/>
  <c r="DC98" i="2"/>
  <c r="GH43" i="2"/>
  <c r="GB30" i="2"/>
  <c r="GC31" i="2"/>
  <c r="J97" i="2"/>
  <c r="K96" i="2" s="1"/>
  <c r="G98" i="2"/>
  <c r="I97" i="2"/>
  <c r="H97" i="2"/>
  <c r="FY41" i="5"/>
  <c r="GE45" i="2"/>
  <c r="GD44" i="2"/>
  <c r="GL45" i="2"/>
  <c r="GG47" i="2"/>
  <c r="HP47" i="2" s="1"/>
  <c r="GJ46" i="2"/>
  <c r="GM45" i="2"/>
  <c r="GM44" i="2"/>
  <c r="FN30" i="5"/>
  <c r="GQ44" i="2"/>
  <c r="GO46" i="2"/>
  <c r="GE46" i="2"/>
  <c r="GG45" i="2"/>
  <c r="GK46" i="2"/>
  <c r="GH44" i="2"/>
  <c r="GP47" i="2"/>
  <c r="IA47" i="2" s="1"/>
  <c r="GN46" i="2"/>
  <c r="GR46" i="2"/>
  <c r="GM47" i="2"/>
  <c r="HX47" i="2" s="1"/>
  <c r="GK47" i="2"/>
  <c r="HT47" i="2" s="1"/>
  <c r="GP45" i="2"/>
  <c r="GO47" i="2"/>
  <c r="HZ47" i="2" s="1"/>
  <c r="GF45" i="2"/>
  <c r="GH45" i="2"/>
  <c r="GK45" i="2"/>
  <c r="GQ45" i="2"/>
  <c r="GF47" i="2"/>
  <c r="HO47" i="2" s="1"/>
  <c r="GJ45" i="2"/>
  <c r="GR45" i="2"/>
  <c r="GI44" i="2"/>
  <c r="GQ46" i="2"/>
  <c r="GA43" i="5"/>
  <c r="GJ44" i="2"/>
  <c r="GL47" i="2"/>
  <c r="HW47" i="2" s="1"/>
  <c r="GN44" i="2"/>
  <c r="GE44" i="2"/>
  <c r="GR44" i="2"/>
  <c r="GC45" i="2"/>
  <c r="HJ45" i="2" s="1"/>
  <c r="GB44" i="2"/>
  <c r="HI44" i="2" s="1"/>
  <c r="GD45" i="2"/>
  <c r="GI47" i="2"/>
  <c r="HR47" i="2" s="1"/>
  <c r="GL44" i="2"/>
  <c r="GO44" i="2"/>
  <c r="GR47" i="2"/>
  <c r="IC47" i="2" s="1"/>
  <c r="GI45" i="2"/>
  <c r="GQ47" i="2"/>
  <c r="IB47" i="2" s="1"/>
  <c r="GM46" i="2"/>
  <c r="GP46" i="2"/>
  <c r="GF44" i="2"/>
  <c r="GO45" i="2"/>
  <c r="GN45" i="2"/>
  <c r="GP44" i="2"/>
  <c r="GL46" i="2"/>
  <c r="GK44" i="2"/>
  <c r="GJ47" i="2"/>
  <c r="HS47" i="2" s="1"/>
  <c r="GH46" i="2"/>
  <c r="GN47" i="2"/>
  <c r="HY47" i="2" s="1"/>
  <c r="GG46" i="2"/>
  <c r="GE47" i="2"/>
  <c r="HN47" i="2" s="1"/>
  <c r="GI46" i="2"/>
  <c r="GD46" i="2"/>
  <c r="HM46" i="2" s="1"/>
  <c r="GC44" i="2"/>
  <c r="HJ44" i="2" s="1"/>
  <c r="GG44" i="2"/>
  <c r="GF46" i="2"/>
  <c r="GH47" i="2"/>
  <c r="HQ47" i="2" s="1"/>
  <c r="CD19" i="5"/>
  <c r="CD20" i="5"/>
  <c r="DQ20" i="2"/>
  <c r="DZ41" i="2"/>
  <c r="DY40" i="2"/>
  <c r="DX39" i="2"/>
  <c r="DW38" i="2"/>
  <c r="DV37" i="2"/>
  <c r="DU36" i="2"/>
  <c r="DT35" i="2"/>
  <c r="DS34" i="2"/>
  <c r="DR33" i="2"/>
  <c r="DQ32" i="2"/>
  <c r="DP31" i="2"/>
  <c r="DO30" i="2"/>
  <c r="DN29" i="2"/>
  <c r="DM28" i="2"/>
  <c r="DL27" i="2"/>
  <c r="DK26" i="2"/>
  <c r="DJ25" i="2"/>
  <c r="DI24" i="2"/>
  <c r="DH23" i="2"/>
  <c r="DG22" i="2"/>
  <c r="CL22" i="2"/>
  <c r="DF21" i="2"/>
  <c r="GP29" i="2"/>
  <c r="GR31" i="2"/>
  <c r="CQ15" i="2"/>
  <c r="DB55" i="2"/>
  <c r="CY52" i="2"/>
  <c r="CW50" i="2"/>
  <c r="DC56" i="2"/>
  <c r="CX51" i="2"/>
  <c r="GA14" i="2"/>
  <c r="GH21" i="2"/>
  <c r="GI22" i="2"/>
  <c r="GJ23" i="2"/>
  <c r="GL25" i="2"/>
  <c r="GN27" i="2"/>
  <c r="GO28" i="2"/>
  <c r="FV9" i="2"/>
  <c r="GF19" i="2"/>
  <c r="GC16" i="2"/>
  <c r="GE18" i="2"/>
  <c r="GK24" i="2"/>
  <c r="GM26" i="2"/>
  <c r="FY12" i="2"/>
  <c r="CV49" i="2"/>
  <c r="DA54" i="2"/>
  <c r="CZ53" i="2"/>
  <c r="FX11" i="2"/>
  <c r="GQ30" i="2"/>
  <c r="FW10" i="2"/>
  <c r="GB15" i="2"/>
  <c r="GD17" i="2"/>
  <c r="GG20" i="2"/>
  <c r="FZ13" i="2"/>
  <c r="DZ50" i="2"/>
  <c r="DY49" i="2"/>
  <c r="DX48" i="2"/>
  <c r="DW47" i="2"/>
  <c r="DV46" i="2"/>
  <c r="DU45" i="2"/>
  <c r="DT44" i="2"/>
  <c r="DS43" i="2"/>
  <c r="DR42" i="2"/>
  <c r="DQ41" i="2"/>
  <c r="DP40" i="2"/>
  <c r="DO39" i="2"/>
  <c r="DN38" i="2"/>
  <c r="DM37" i="2"/>
  <c r="DL36" i="2"/>
  <c r="DK35" i="2"/>
  <c r="DJ34" i="2"/>
  <c r="DI33" i="2"/>
  <c r="CL32" i="2"/>
  <c r="DH32" i="2"/>
  <c r="DG31" i="2"/>
  <c r="DF30" i="2"/>
  <c r="DE29" i="2"/>
  <c r="DD28" i="2"/>
  <c r="DC27" i="2"/>
  <c r="DB26" i="2"/>
  <c r="DA25" i="2"/>
  <c r="CZ24" i="2"/>
  <c r="CY23" i="2"/>
  <c r="CX22" i="2"/>
  <c r="CW21" i="2"/>
  <c r="AL27" i="5"/>
  <c r="AM27" i="5"/>
  <c r="AL39" i="5"/>
  <c r="AM39" i="5"/>
  <c r="AM51" i="5"/>
  <c r="AL51" i="5"/>
  <c r="AM57" i="5"/>
  <c r="AL57" i="5"/>
  <c r="AQ99" i="2"/>
  <c r="AW98" i="2"/>
  <c r="AT98" i="2"/>
  <c r="AX98" i="2"/>
  <c r="DZ40" i="2"/>
  <c r="DY39" i="2"/>
  <c r="DX38" i="2"/>
  <c r="DW37" i="2"/>
  <c r="DV36" i="2"/>
  <c r="DU35" i="2"/>
  <c r="DT34" i="2"/>
  <c r="DS33" i="2"/>
  <c r="DR32" i="2"/>
  <c r="DQ31" i="2"/>
  <c r="DP30" i="2"/>
  <c r="DO29" i="2"/>
  <c r="DN28" i="2"/>
  <c r="DM27" i="2"/>
  <c r="DL26" i="2"/>
  <c r="DK25" i="2"/>
  <c r="DJ24" i="2"/>
  <c r="DI23" i="2"/>
  <c r="DH22" i="2"/>
  <c r="DG21" i="2"/>
  <c r="CL21" i="2"/>
  <c r="DY56" i="2"/>
  <c r="DX55" i="2"/>
  <c r="DW54" i="2"/>
  <c r="DV53" i="2"/>
  <c r="DU52" i="2"/>
  <c r="DT51" i="2"/>
  <c r="DS50" i="2"/>
  <c r="DR49" i="2"/>
  <c r="DQ48" i="2"/>
  <c r="DP47" i="2"/>
  <c r="DO46" i="2"/>
  <c r="DN45" i="2"/>
  <c r="DM44" i="2"/>
  <c r="DL43" i="2"/>
  <c r="DK42" i="2"/>
  <c r="DJ41" i="2"/>
  <c r="DI40" i="2"/>
  <c r="CL39" i="2"/>
  <c r="DH39" i="2"/>
  <c r="DG38" i="2"/>
  <c r="DF37" i="2"/>
  <c r="GR9" i="2"/>
  <c r="DE36" i="2"/>
  <c r="DD35" i="2"/>
  <c r="DC34" i="2"/>
  <c r="DB33" i="2"/>
  <c r="DA32" i="2"/>
  <c r="CZ31" i="2"/>
  <c r="CY30" i="2"/>
  <c r="CX29" i="2"/>
  <c r="CW28" i="2"/>
  <c r="CV27" i="2"/>
  <c r="FZ19" i="2"/>
  <c r="CQ21" i="2"/>
  <c r="GB21" i="2"/>
  <c r="FQ10" i="2"/>
  <c r="GL31" i="2"/>
  <c r="CV55" i="2"/>
  <c r="FX17" i="2"/>
  <c r="FV15" i="2"/>
  <c r="GC22" i="2"/>
  <c r="GJ29" i="2"/>
  <c r="FY18" i="2"/>
  <c r="GF25" i="2"/>
  <c r="CW56" i="2"/>
  <c r="FR11" i="2"/>
  <c r="GG26" i="2"/>
  <c r="FW16" i="2"/>
  <c r="GK30" i="2"/>
  <c r="GH27" i="2"/>
  <c r="GA20" i="2"/>
  <c r="FS12" i="2"/>
  <c r="FU14" i="2"/>
  <c r="FP9" i="2"/>
  <c r="FT13" i="2"/>
  <c r="GD23" i="2"/>
  <c r="GE24" i="2"/>
  <c r="GI28" i="2"/>
  <c r="GQ36" i="2"/>
  <c r="GR37" i="2"/>
  <c r="GO34" i="2"/>
  <c r="GN33" i="2"/>
  <c r="GP35" i="2"/>
  <c r="GM32" i="2"/>
  <c r="BX99" i="2"/>
  <c r="CB98" i="2"/>
  <c r="CE98" i="2"/>
  <c r="CA98" i="2"/>
  <c r="BZ98" i="2"/>
  <c r="BY98" i="2"/>
  <c r="GD12" i="2"/>
  <c r="GJ18" i="2"/>
  <c r="GB10" i="2"/>
  <c r="GO23" i="2"/>
  <c r="GA9" i="2"/>
  <c r="GL20" i="2"/>
  <c r="DH56" i="2"/>
  <c r="CY47" i="2"/>
  <c r="DF54" i="2"/>
  <c r="DE53" i="2"/>
  <c r="DD52" i="2"/>
  <c r="DB50" i="2"/>
  <c r="CZ48" i="2"/>
  <c r="CX46" i="2"/>
  <c r="CV44" i="2"/>
  <c r="GK19" i="2"/>
  <c r="GF14" i="2"/>
  <c r="GP24" i="2"/>
  <c r="GC11" i="2"/>
  <c r="GR26" i="2"/>
  <c r="CQ9" i="2"/>
  <c r="GH16" i="2"/>
  <c r="GE13" i="2"/>
  <c r="DG55" i="2"/>
  <c r="DC51" i="2"/>
  <c r="CW45" i="2"/>
  <c r="GQ25" i="2"/>
  <c r="GG15" i="2"/>
  <c r="GN22" i="2"/>
  <c r="GI17" i="2"/>
  <c r="GM21" i="2"/>
  <c r="DA49" i="2"/>
  <c r="BC85" i="2"/>
  <c r="BD85" i="2"/>
  <c r="BD86" i="2"/>
  <c r="BC86" i="2"/>
  <c r="BC79" i="2"/>
  <c r="BD79" i="2"/>
  <c r="GR46" i="5" s="1"/>
  <c r="BC74" i="2"/>
  <c r="BD74" i="2"/>
  <c r="BC71" i="2"/>
  <c r="BD71" i="2"/>
  <c r="BD69" i="2"/>
  <c r="BC69" i="2"/>
  <c r="BD65" i="2"/>
  <c r="BC65" i="2"/>
  <c r="BD59" i="2"/>
  <c r="BC59" i="2"/>
  <c r="BC58" i="2"/>
  <c r="BD58" i="2"/>
  <c r="BD51" i="2"/>
  <c r="BC51" i="2"/>
  <c r="BC46" i="2"/>
  <c r="BD46" i="2"/>
  <c r="BD45" i="2"/>
  <c r="BC45" i="2"/>
  <c r="BC39" i="2"/>
  <c r="BD39" i="2"/>
  <c r="BC34" i="2"/>
  <c r="BD34" i="2"/>
  <c r="CW19" i="5" s="1"/>
  <c r="BD31" i="2"/>
  <c r="BC31" i="2"/>
  <c r="BC28" i="2"/>
  <c r="BD28" i="2"/>
  <c r="BC23" i="2"/>
  <c r="BD23" i="2"/>
  <c r="BC19" i="2"/>
  <c r="BD19" i="2"/>
  <c r="BD15" i="2"/>
  <c r="BC15" i="2"/>
  <c r="BD12" i="2"/>
  <c r="BC12" i="2"/>
  <c r="CM98" i="5"/>
  <c r="CI98" i="5"/>
  <c r="CL98" i="5"/>
  <c r="CH98" i="5"/>
  <c r="CK98" i="5"/>
  <c r="CG99" i="5"/>
  <c r="CN98" i="5"/>
  <c r="CJ98" i="5"/>
  <c r="U99" i="2"/>
  <c r="CD34" i="5"/>
  <c r="CD35" i="5"/>
  <c r="K96" i="5"/>
  <c r="K9" i="5"/>
  <c r="K13" i="5"/>
  <c r="K11" i="5"/>
  <c r="K10" i="5"/>
  <c r="K14" i="5"/>
  <c r="K12" i="5"/>
  <c r="K16" i="5"/>
  <c r="K15" i="5"/>
  <c r="K18" i="5"/>
  <c r="K17" i="5"/>
  <c r="K19" i="5"/>
  <c r="K20" i="5"/>
  <c r="K21" i="5"/>
  <c r="K22" i="5"/>
  <c r="K23" i="5"/>
  <c r="K24" i="5"/>
  <c r="K28" i="5"/>
  <c r="K25" i="5"/>
  <c r="K30" i="5"/>
  <c r="K27" i="5"/>
  <c r="K26" i="5"/>
  <c r="K33" i="5"/>
  <c r="K32" i="5"/>
  <c r="K29" i="5"/>
  <c r="K34" i="5"/>
  <c r="K31" i="5"/>
  <c r="K35" i="5"/>
  <c r="K36" i="5"/>
  <c r="K38" i="5"/>
  <c r="K37" i="5"/>
  <c r="K40" i="5"/>
  <c r="K39" i="5"/>
  <c r="K41" i="5"/>
  <c r="K45" i="5"/>
  <c r="K42" i="5"/>
  <c r="K43" i="5"/>
  <c r="K44" i="5"/>
  <c r="K47" i="5"/>
  <c r="K48" i="5"/>
  <c r="K46" i="5"/>
  <c r="K50" i="5"/>
  <c r="K49" i="5"/>
  <c r="K52" i="5"/>
  <c r="K51" i="5"/>
  <c r="K53" i="5"/>
  <c r="K55" i="5"/>
  <c r="K54" i="5"/>
  <c r="K58" i="5"/>
  <c r="K56" i="5"/>
  <c r="K57" i="5"/>
  <c r="K59" i="5"/>
  <c r="K60" i="5"/>
  <c r="K63" i="5"/>
  <c r="K62" i="5"/>
  <c r="K61" i="5"/>
  <c r="K67" i="5"/>
  <c r="K64" i="5"/>
  <c r="K65" i="5"/>
  <c r="K69" i="5"/>
  <c r="K66" i="5"/>
  <c r="K68" i="5"/>
  <c r="K71" i="5"/>
  <c r="K70" i="5"/>
  <c r="K75" i="5"/>
  <c r="K72" i="5"/>
  <c r="K73" i="5"/>
  <c r="K77" i="5"/>
  <c r="K74" i="5"/>
  <c r="K76" i="5"/>
  <c r="K80" i="5"/>
  <c r="K78" i="5"/>
  <c r="K79" i="5"/>
  <c r="K82" i="5"/>
  <c r="K81" i="5"/>
  <c r="K86" i="5"/>
  <c r="K84" i="5"/>
  <c r="K83" i="5"/>
  <c r="K85" i="5"/>
  <c r="K91" i="5"/>
  <c r="K88" i="5"/>
  <c r="K89" i="5"/>
  <c r="K87" i="5"/>
  <c r="M90" i="5"/>
  <c r="DZ39" i="2"/>
  <c r="DY38" i="2"/>
  <c r="DX37" i="2"/>
  <c r="DW36" i="2"/>
  <c r="DV35" i="2"/>
  <c r="DU34" i="2"/>
  <c r="DT33" i="2"/>
  <c r="DS32" i="2"/>
  <c r="DR31" i="2"/>
  <c r="DQ30" i="2"/>
  <c r="DP29" i="2"/>
  <c r="DO28" i="2"/>
  <c r="DN27" i="2"/>
  <c r="DM26" i="2"/>
  <c r="DL25" i="2"/>
  <c r="DK24" i="2"/>
  <c r="DJ23" i="2"/>
  <c r="DI22" i="2"/>
  <c r="DH21" i="2"/>
  <c r="FN18" i="2"/>
  <c r="GK41" i="2"/>
  <c r="GL42" i="2"/>
  <c r="CQ33" i="2"/>
  <c r="GB32" i="2"/>
  <c r="GG37" i="2"/>
  <c r="FV26" i="2"/>
  <c r="FZ30" i="2"/>
  <c r="FX28" i="2"/>
  <c r="FP20" i="2"/>
  <c r="FR22" i="2"/>
  <c r="FW27" i="2"/>
  <c r="FU25" i="2"/>
  <c r="GE35" i="2"/>
  <c r="GJ40" i="2"/>
  <c r="FO19" i="2"/>
  <c r="FT24" i="2"/>
  <c r="FS23" i="2"/>
  <c r="FQ21" i="2"/>
  <c r="FY29" i="2"/>
  <c r="GD34" i="2"/>
  <c r="GF36" i="2"/>
  <c r="GH38" i="2"/>
  <c r="GI39" i="2"/>
  <c r="GC33" i="2"/>
  <c r="GA31" i="2"/>
  <c r="AK20" i="5"/>
  <c r="AJ20" i="5"/>
  <c r="M19" i="5"/>
  <c r="IJ19" i="5"/>
  <c r="IK19" i="5" s="1"/>
  <c r="L18" i="5"/>
  <c r="AI19" i="5"/>
  <c r="BU19" i="5"/>
  <c r="IL20" i="5"/>
  <c r="IF20" i="5" s="1"/>
  <c r="IG20" i="5" s="1"/>
  <c r="AH99" i="2"/>
  <c r="AL98" i="2"/>
  <c r="AO98" i="2"/>
  <c r="AK98" i="2"/>
  <c r="AN98" i="2"/>
  <c r="AJ98" i="2"/>
  <c r="AM98" i="2"/>
  <c r="AI98" i="2"/>
  <c r="GP43" i="2"/>
  <c r="GJ43" i="2"/>
  <c r="FR20" i="2"/>
  <c r="FZ28" i="2"/>
  <c r="FP18" i="2"/>
  <c r="FX26" i="2"/>
  <c r="FT21" i="2"/>
  <c r="L96" i="2"/>
  <c r="K94" i="5"/>
  <c r="CD24" i="5"/>
  <c r="CD25" i="5"/>
  <c r="CD26" i="5"/>
  <c r="CD53" i="5"/>
  <c r="CD54" i="5"/>
  <c r="DH20" i="2"/>
  <c r="DR20" i="2"/>
  <c r="DT20" i="2"/>
  <c r="DG20" i="2"/>
  <c r="CV20" i="2"/>
  <c r="CX20" i="2"/>
  <c r="CZ20" i="2"/>
  <c r="IL20" i="2"/>
  <c r="IF20" i="2" s="1"/>
  <c r="IG20" i="2" s="1"/>
  <c r="BS98" i="2"/>
  <c r="BV98" i="2"/>
  <c r="BR98" i="2"/>
  <c r="BQ99" i="2"/>
  <c r="BU98" i="2"/>
  <c r="BT98" i="2"/>
  <c r="GC18" i="2"/>
  <c r="GF21" i="2"/>
  <c r="FW12" i="2"/>
  <c r="GO30" i="2"/>
  <c r="DA56" i="2"/>
  <c r="CX53" i="2"/>
  <c r="CZ55" i="2"/>
  <c r="CW52" i="2"/>
  <c r="FY14" i="2"/>
  <c r="GI24" i="2"/>
  <c r="GK26" i="2"/>
  <c r="GD19" i="2"/>
  <c r="FT9" i="2"/>
  <c r="GE20" i="2"/>
  <c r="CY54" i="2"/>
  <c r="FX13" i="2"/>
  <c r="GG22" i="2"/>
  <c r="GL27" i="2"/>
  <c r="GN29" i="2"/>
  <c r="CQ17" i="2"/>
  <c r="GH23" i="2"/>
  <c r="GP31" i="2"/>
  <c r="FZ15" i="2"/>
  <c r="FU10" i="2"/>
  <c r="GJ25" i="2"/>
  <c r="FV11" i="2"/>
  <c r="GB17" i="2"/>
  <c r="GM28" i="2"/>
  <c r="GA16" i="2"/>
  <c r="CV51" i="2"/>
  <c r="GR33" i="2"/>
  <c r="GQ32" i="2"/>
  <c r="FW29" i="2"/>
  <c r="FR24" i="2"/>
  <c r="FN20" i="2"/>
  <c r="GC35" i="2"/>
  <c r="GG39" i="2"/>
  <c r="GJ42" i="2"/>
  <c r="FO21" i="2"/>
  <c r="FX30" i="2"/>
  <c r="FP22" i="2"/>
  <c r="FU27" i="2"/>
  <c r="FY31" i="2"/>
  <c r="FV28" i="2"/>
  <c r="GI41" i="2"/>
  <c r="GD36" i="2"/>
  <c r="GB34" i="2"/>
  <c r="GH40" i="2"/>
  <c r="FT26" i="2"/>
  <c r="GK43" i="2"/>
  <c r="FQ23" i="2"/>
  <c r="GE37" i="2"/>
  <c r="GF38" i="2"/>
  <c r="GA33" i="2"/>
  <c r="CQ35" i="2"/>
  <c r="FS25" i="2"/>
  <c r="FZ32" i="2"/>
  <c r="CE45" i="5" l="1"/>
  <c r="GE48" i="5"/>
  <c r="FU38" i="5"/>
  <c r="GD46" i="5"/>
  <c r="GC45" i="5"/>
  <c r="CX19" i="5"/>
  <c r="FP34" i="5"/>
  <c r="GU34" i="5" s="1"/>
  <c r="GH46" i="5"/>
  <c r="GJ48" i="5"/>
  <c r="GE44" i="5"/>
  <c r="GK49" i="5"/>
  <c r="GQ46" i="5"/>
  <c r="DA19" i="5"/>
  <c r="FR35" i="5"/>
  <c r="GB45" i="5"/>
  <c r="GR44" i="5"/>
  <c r="AS93" i="2"/>
  <c r="FV40" i="5"/>
  <c r="HC40" i="5" s="1"/>
  <c r="FO33" i="5"/>
  <c r="GT33" i="5" s="1"/>
  <c r="FX42" i="5"/>
  <c r="HE42" i="5" s="1"/>
  <c r="DT19" i="5"/>
  <c r="AS90" i="2"/>
  <c r="AU90" i="2" s="1"/>
  <c r="FW40" i="5"/>
  <c r="HD40" i="5" s="1"/>
  <c r="FS37" i="5"/>
  <c r="GX37" i="5" s="1"/>
  <c r="FN32" i="5"/>
  <c r="GS32" i="5" s="1"/>
  <c r="FU39" i="5"/>
  <c r="GZ39" i="5" s="1"/>
  <c r="FQ35" i="5"/>
  <c r="GV35" i="5" s="1"/>
  <c r="FY42" i="5"/>
  <c r="GB46" i="5"/>
  <c r="HI46" i="5" s="1"/>
  <c r="GJ49" i="5"/>
  <c r="GC46" i="5"/>
  <c r="DB19" i="5"/>
  <c r="FV39" i="5"/>
  <c r="FT37" i="5"/>
  <c r="GP46" i="5"/>
  <c r="FP33" i="5"/>
  <c r="GU33" i="5" s="1"/>
  <c r="FW41" i="5"/>
  <c r="HD41" i="5" s="1"/>
  <c r="GD48" i="5"/>
  <c r="GR48" i="5"/>
  <c r="GE49" i="5"/>
  <c r="GX32" i="2"/>
  <c r="GG46" i="5"/>
  <c r="GF44" i="5"/>
  <c r="HO44" i="2"/>
  <c r="HX43" i="2"/>
  <c r="CE51" i="5"/>
  <c r="GW31" i="2"/>
  <c r="GS24" i="2"/>
  <c r="HD36" i="2"/>
  <c r="GT28" i="2"/>
  <c r="HW46" i="2"/>
  <c r="HH37" i="2"/>
  <c r="GU26" i="2"/>
  <c r="HE37" i="2"/>
  <c r="CE21" i="5"/>
  <c r="Q29" i="21" s="1"/>
  <c r="HM36" i="2"/>
  <c r="HZ45" i="2"/>
  <c r="GU27" i="2"/>
  <c r="HY44" i="2"/>
  <c r="HM43" i="2"/>
  <c r="CV19" i="5"/>
  <c r="GT26" i="2"/>
  <c r="FZ43" i="5"/>
  <c r="HG43" i="5" s="1"/>
  <c r="FV38" i="5"/>
  <c r="HS45" i="2"/>
  <c r="HQ45" i="2"/>
  <c r="FT36" i="5"/>
  <c r="FW39" i="5"/>
  <c r="FX41" i="5"/>
  <c r="FS35" i="5"/>
  <c r="FQ33" i="5"/>
  <c r="GA44" i="5"/>
  <c r="GJ47" i="5"/>
  <c r="GA45" i="5"/>
  <c r="HH45" i="5" s="1"/>
  <c r="GI48" i="5"/>
  <c r="GC47" i="5"/>
  <c r="GG49" i="5"/>
  <c r="GD47" i="5"/>
  <c r="HC37" i="2"/>
  <c r="DM19" i="5"/>
  <c r="HM41" i="2"/>
  <c r="GO45" i="5"/>
  <c r="GW26" i="2"/>
  <c r="HC30" i="2"/>
  <c r="GT23" i="2"/>
  <c r="DD19" i="5"/>
  <c r="CY19" i="5"/>
  <c r="FT38" i="5"/>
  <c r="GY38" i="5" s="1"/>
  <c r="FU37" i="5"/>
  <c r="GZ37" i="5" s="1"/>
  <c r="FP32" i="5"/>
  <c r="FS36" i="5"/>
  <c r="FR34" i="5"/>
  <c r="FR36" i="5"/>
  <c r="GW36" i="5" s="1"/>
  <c r="FQ34" i="5"/>
  <c r="GV34" i="5" s="1"/>
  <c r="FZ42" i="5"/>
  <c r="HX44" i="2"/>
  <c r="FY43" i="5"/>
  <c r="HF43" i="5" s="1"/>
  <c r="FO32" i="5"/>
  <c r="GT32" i="5" s="1"/>
  <c r="FX40" i="5"/>
  <c r="GB44" i="5"/>
  <c r="GW33" i="2"/>
  <c r="GF49" i="5"/>
  <c r="GH47" i="5"/>
  <c r="CL19" i="5"/>
  <c r="DE19" i="5"/>
  <c r="CZ19" i="5"/>
  <c r="HM23" i="2"/>
  <c r="GG48" i="5"/>
  <c r="GC44" i="5"/>
  <c r="GG47" i="5"/>
  <c r="FS34" i="5"/>
  <c r="FU36" i="5"/>
  <c r="FV37" i="5"/>
  <c r="FN29" i="5"/>
  <c r="FY40" i="5"/>
  <c r="GH48" i="5"/>
  <c r="GF47" i="5"/>
  <c r="FT35" i="5"/>
  <c r="GE46" i="5"/>
  <c r="GE45" i="5"/>
  <c r="GA42" i="5"/>
  <c r="FW38" i="5"/>
  <c r="FP31" i="5"/>
  <c r="FR33" i="5"/>
  <c r="FP30" i="5"/>
  <c r="GD44" i="5"/>
  <c r="GI49" i="5"/>
  <c r="FQ32" i="5"/>
  <c r="FZ41" i="5"/>
  <c r="N3" i="21"/>
  <c r="N37" i="21"/>
  <c r="CE41" i="5"/>
  <c r="Q41" i="21" s="1"/>
  <c r="CE10" i="5"/>
  <c r="DQ19" i="5"/>
  <c r="DP19" i="5"/>
  <c r="FZ36" i="5"/>
  <c r="GD40" i="5"/>
  <c r="FY35" i="5"/>
  <c r="DF19" i="5"/>
  <c r="GV21" i="2"/>
  <c r="HS40" i="2"/>
  <c r="GB43" i="5"/>
  <c r="FX39" i="5"/>
  <c r="GC39" i="5"/>
  <c r="GH49" i="5"/>
  <c r="GZ36" i="2"/>
  <c r="GD45" i="5"/>
  <c r="GS29" i="2"/>
  <c r="GS27" i="2"/>
  <c r="GF46" i="5"/>
  <c r="CE37" i="5"/>
  <c r="Q5" i="21" s="1"/>
  <c r="DH19" i="5"/>
  <c r="GQ44" i="5"/>
  <c r="CE9" i="5"/>
  <c r="CE14" i="5"/>
  <c r="CE18" i="5"/>
  <c r="Q11" i="21" s="1"/>
  <c r="CE22" i="5"/>
  <c r="CE26" i="5"/>
  <c r="CE30" i="5"/>
  <c r="CE34" i="5"/>
  <c r="CE38" i="5"/>
  <c r="CE42" i="5"/>
  <c r="CE46" i="5"/>
  <c r="CE52" i="5"/>
  <c r="CE56" i="5"/>
  <c r="CE16" i="5"/>
  <c r="CE24" i="5"/>
  <c r="CE32" i="5"/>
  <c r="Q28" i="21" s="1"/>
  <c r="CE40" i="5"/>
  <c r="Q12" i="21" s="1"/>
  <c r="CE48" i="5"/>
  <c r="Q32" i="21" s="1"/>
  <c r="CE54" i="5"/>
  <c r="CE11" i="5"/>
  <c r="CE15" i="5"/>
  <c r="CE19" i="5"/>
  <c r="CE23" i="5"/>
  <c r="Q15" i="21" s="1"/>
  <c r="CE27" i="5"/>
  <c r="CE31" i="5"/>
  <c r="CE35" i="5"/>
  <c r="Q38" i="21" s="1"/>
  <c r="CE39" i="5"/>
  <c r="Q30" i="21" s="1"/>
  <c r="CE43" i="5"/>
  <c r="CE47" i="5"/>
  <c r="CE50" i="5"/>
  <c r="Q27" i="21" s="1"/>
  <c r="CE53" i="5"/>
  <c r="Q34" i="21" s="1"/>
  <c r="CE57" i="5"/>
  <c r="CE12" i="5"/>
  <c r="CE20" i="5"/>
  <c r="Q3" i="21" s="1"/>
  <c r="CE28" i="5"/>
  <c r="CE36" i="5"/>
  <c r="Q18" i="21" s="1"/>
  <c r="CE44" i="5"/>
  <c r="N31" i="21"/>
  <c r="N40" i="21"/>
  <c r="N21" i="21"/>
  <c r="N34" i="21"/>
  <c r="N18" i="21"/>
  <c r="N26" i="21"/>
  <c r="CE25" i="5"/>
  <c r="DK19" i="5"/>
  <c r="FO30" i="5"/>
  <c r="HO42" i="2"/>
  <c r="GX29" i="2"/>
  <c r="CR41" i="2"/>
  <c r="CS41" i="2" s="1"/>
  <c r="CR40" i="2"/>
  <c r="CS40" i="2" s="1"/>
  <c r="CE55" i="5"/>
  <c r="CE49" i="5"/>
  <c r="CE33" i="5"/>
  <c r="Q40" i="21" s="1"/>
  <c r="CE17" i="5"/>
  <c r="EP22" i="2"/>
  <c r="EL29" i="2"/>
  <c r="GY12" i="2"/>
  <c r="HC32" i="2"/>
  <c r="GX31" i="2"/>
  <c r="HN43" i="2"/>
  <c r="N27" i="21"/>
  <c r="N39" i="21"/>
  <c r="N9" i="21"/>
  <c r="N33" i="21"/>
  <c r="N5" i="21"/>
  <c r="N13" i="21"/>
  <c r="N28" i="21"/>
  <c r="CR25" i="2"/>
  <c r="CS25" i="2" s="1"/>
  <c r="HX38" i="2"/>
  <c r="GX25" i="2"/>
  <c r="HN37" i="2"/>
  <c r="HQ40" i="2"/>
  <c r="HC28" i="2"/>
  <c r="HE30" i="2"/>
  <c r="HJ35" i="2"/>
  <c r="IB32" i="2"/>
  <c r="HX28" i="2"/>
  <c r="GZ10" i="2"/>
  <c r="CR17" i="2"/>
  <c r="CS17" i="2" s="1"/>
  <c r="HM19" i="2"/>
  <c r="EB52" i="2"/>
  <c r="HZ30" i="2"/>
  <c r="EE20" i="2"/>
  <c r="FE20" i="2"/>
  <c r="GU18" i="2"/>
  <c r="IA43" i="2"/>
  <c r="HQ43" i="2"/>
  <c r="EG42" i="2"/>
  <c r="EP49" i="2"/>
  <c r="DO19" i="5"/>
  <c r="HE36" i="2"/>
  <c r="HC36" i="2"/>
  <c r="GX33" i="2"/>
  <c r="GN44" i="5"/>
  <c r="HX35" i="2"/>
  <c r="GT11" i="2"/>
  <c r="N23" i="21"/>
  <c r="N22" i="21"/>
  <c r="N36" i="21"/>
  <c r="N19" i="21"/>
  <c r="N17" i="21"/>
  <c r="N29" i="21"/>
  <c r="N15" i="21"/>
  <c r="N20" i="21"/>
  <c r="N14" i="21"/>
  <c r="EL20" i="2"/>
  <c r="CR36" i="2"/>
  <c r="CS36" i="2" s="1"/>
  <c r="GW22" i="2"/>
  <c r="HW42" i="2"/>
  <c r="EZ30" i="2"/>
  <c r="HO34" i="2"/>
  <c r="CR20" i="2"/>
  <c r="CS20" i="2" s="1"/>
  <c r="GY32" i="2"/>
  <c r="HG38" i="2"/>
  <c r="HJ43" i="2"/>
  <c r="GN45" i="5"/>
  <c r="N7" i="21"/>
  <c r="N35" i="21"/>
  <c r="N24" i="21"/>
  <c r="N32" i="21"/>
  <c r="N2" i="21"/>
  <c r="DS19" i="5"/>
  <c r="GO49" i="5"/>
  <c r="EA44" i="2"/>
  <c r="EO56" i="2"/>
  <c r="HZ34" i="2"/>
  <c r="GZ14" i="2"/>
  <c r="HT30" i="2"/>
  <c r="EB56" i="2"/>
  <c r="HG19" i="2"/>
  <c r="EP40" i="2"/>
  <c r="EZ48" i="2"/>
  <c r="HP20" i="2"/>
  <c r="EA49" i="2"/>
  <c r="HR22" i="2"/>
  <c r="EW29" i="2"/>
  <c r="FG37" i="2"/>
  <c r="FK41" i="2"/>
  <c r="HP44" i="2"/>
  <c r="HR46" i="2"/>
  <c r="HT44" i="2"/>
  <c r="HW44" i="2"/>
  <c r="IC45" i="2"/>
  <c r="HT45" i="2"/>
  <c r="IA45" i="2"/>
  <c r="HY46" i="2"/>
  <c r="HP45" i="2"/>
  <c r="CR39" i="2"/>
  <c r="CS39" i="2" s="1"/>
  <c r="GW30" i="2"/>
  <c r="GT27" i="2"/>
  <c r="HC34" i="2"/>
  <c r="GZ22" i="2"/>
  <c r="EL30" i="2"/>
  <c r="GU29" i="2"/>
  <c r="N38" i="21"/>
  <c r="N6" i="21"/>
  <c r="HS41" i="2"/>
  <c r="CR27" i="2"/>
  <c r="CS27" i="2" s="1"/>
  <c r="S18" i="21"/>
  <c r="S19" i="21"/>
  <c r="S29" i="21"/>
  <c r="S17" i="21"/>
  <c r="HE13" i="2"/>
  <c r="AJ19" i="5"/>
  <c r="AK19" i="5"/>
  <c r="AN20" i="5"/>
  <c r="AO20" i="5"/>
  <c r="HQ38" i="2"/>
  <c r="EV26" i="2"/>
  <c r="FF34" i="2"/>
  <c r="DP56" i="5"/>
  <c r="DO55" i="5"/>
  <c r="CL55" i="5"/>
  <c r="DN54" i="5"/>
  <c r="CL54" i="5"/>
  <c r="DM53" i="5"/>
  <c r="DL52" i="5"/>
  <c r="DK51" i="5"/>
  <c r="DJ50" i="5"/>
  <c r="DI49" i="5"/>
  <c r="DH48" i="5"/>
  <c r="DG47" i="5"/>
  <c r="DF46" i="5"/>
  <c r="DE45" i="5"/>
  <c r="DD44" i="5"/>
  <c r="DC43" i="5"/>
  <c r="DB42" i="5"/>
  <c r="DA41" i="5"/>
  <c r="CZ40" i="5"/>
  <c r="CY39" i="5"/>
  <c r="CX38" i="5"/>
  <c r="GQ17" i="5"/>
  <c r="GR18" i="5"/>
  <c r="GK11" i="5"/>
  <c r="CW37" i="5"/>
  <c r="GL12" i="5"/>
  <c r="GO15" i="5"/>
  <c r="GP16" i="5"/>
  <c r="GI9" i="5"/>
  <c r="GN14" i="5"/>
  <c r="GJ10" i="5"/>
  <c r="GM13" i="5"/>
  <c r="CV36" i="5"/>
  <c r="HX21" i="2"/>
  <c r="IB25" i="2"/>
  <c r="HJ11" i="2"/>
  <c r="EK52" i="2"/>
  <c r="HN24" i="2"/>
  <c r="HW31" i="2"/>
  <c r="ED30" i="2"/>
  <c r="EM37" i="2"/>
  <c r="FF52" i="2"/>
  <c r="EU26" i="2"/>
  <c r="FI38" i="2"/>
  <c r="EB21" i="2"/>
  <c r="EY40" i="2"/>
  <c r="FI48" i="2"/>
  <c r="HZ28" i="2"/>
  <c r="CR15" i="2"/>
  <c r="CS15" i="2" s="1"/>
  <c r="IB44" i="2"/>
  <c r="CU100" i="2"/>
  <c r="FI99" i="2"/>
  <c r="FE99" i="2"/>
  <c r="EZ99" i="2"/>
  <c r="EV99" i="2"/>
  <c r="EQ99" i="2"/>
  <c r="EM99" i="2"/>
  <c r="EH99" i="2"/>
  <c r="ED99" i="2"/>
  <c r="DZ99" i="2"/>
  <c r="DV99" i="2"/>
  <c r="DR99" i="2"/>
  <c r="DN99" i="2"/>
  <c r="DJ99" i="2"/>
  <c r="DF99" i="2"/>
  <c r="DB99" i="2"/>
  <c r="CX99" i="2"/>
  <c r="FH99" i="2"/>
  <c r="EY99" i="2"/>
  <c r="EU99" i="2"/>
  <c r="EP99" i="2"/>
  <c r="EL99" i="2"/>
  <c r="EG99" i="2"/>
  <c r="EC99" i="2"/>
  <c r="DY99" i="2"/>
  <c r="DU99" i="2"/>
  <c r="DQ99" i="2"/>
  <c r="DM99" i="2"/>
  <c r="DI99" i="2"/>
  <c r="DE99" i="2"/>
  <c r="DA99" i="2"/>
  <c r="CW99" i="2"/>
  <c r="FK99" i="2"/>
  <c r="FG99" i="2"/>
  <c r="FB99" i="2"/>
  <c r="EX99" i="2"/>
  <c r="EO99" i="2"/>
  <c r="EK99" i="2"/>
  <c r="EF99" i="2"/>
  <c r="EB99" i="2"/>
  <c r="DX99" i="2"/>
  <c r="DT99" i="2"/>
  <c r="DP99" i="2"/>
  <c r="DL99" i="2"/>
  <c r="DH99" i="2"/>
  <c r="DD99" i="2"/>
  <c r="CZ99" i="2"/>
  <c r="CV99" i="2"/>
  <c r="FJ99" i="2"/>
  <c r="ER99" i="2"/>
  <c r="EA99" i="2"/>
  <c r="DK99" i="2"/>
  <c r="FF99" i="2"/>
  <c r="EN99" i="2"/>
  <c r="DW99" i="2"/>
  <c r="DG99" i="2"/>
  <c r="FA99" i="2"/>
  <c r="DS99" i="2"/>
  <c r="DC99" i="2"/>
  <c r="EW99" i="2"/>
  <c r="EE99" i="2"/>
  <c r="DO99" i="2"/>
  <c r="CY99" i="2"/>
  <c r="HS10" i="2"/>
  <c r="HR37" i="2"/>
  <c r="HQ36" i="2"/>
  <c r="HZ33" i="2"/>
  <c r="HC14" i="2"/>
  <c r="HS28" i="2"/>
  <c r="EH21" i="2"/>
  <c r="EW32" i="2"/>
  <c r="FK44" i="2"/>
  <c r="EA26" i="2"/>
  <c r="EO38" i="2"/>
  <c r="ER41" i="2"/>
  <c r="FH53" i="2"/>
  <c r="FF32" i="2"/>
  <c r="HS37" i="2"/>
  <c r="EB22" i="2"/>
  <c r="EY41" i="2"/>
  <c r="FI49" i="2"/>
  <c r="EX25" i="2"/>
  <c r="GQ49" i="5"/>
  <c r="DK55" i="5"/>
  <c r="DF50" i="5"/>
  <c r="DD48" i="5"/>
  <c r="DA45" i="5"/>
  <c r="CY43" i="5"/>
  <c r="CW41" i="5"/>
  <c r="GK15" i="5"/>
  <c r="GO19" i="5"/>
  <c r="GQ21" i="5"/>
  <c r="GR22" i="5"/>
  <c r="GE9" i="5"/>
  <c r="GP20" i="5"/>
  <c r="GM17" i="5"/>
  <c r="GJ14" i="5"/>
  <c r="DE49" i="5"/>
  <c r="GN18" i="5"/>
  <c r="CQ11" i="5"/>
  <c r="GI13" i="5"/>
  <c r="DL56" i="5"/>
  <c r="DH52" i="5"/>
  <c r="DG51" i="5"/>
  <c r="CV40" i="5"/>
  <c r="GH12" i="5"/>
  <c r="DJ54" i="5"/>
  <c r="DC47" i="5"/>
  <c r="DB46" i="5"/>
  <c r="CX42" i="5"/>
  <c r="GL16" i="5"/>
  <c r="GF10" i="5"/>
  <c r="GG11" i="5"/>
  <c r="DI53" i="5"/>
  <c r="CZ44" i="5"/>
  <c r="GS10" i="2"/>
  <c r="HE20" i="2"/>
  <c r="IA9" i="2"/>
  <c r="EM39" i="2"/>
  <c r="EZ50" i="2"/>
  <c r="FG21" i="2"/>
  <c r="HR26" i="2"/>
  <c r="GY11" i="2"/>
  <c r="EC55" i="2"/>
  <c r="HG17" i="2"/>
  <c r="EF55" i="2"/>
  <c r="GZ9" i="2"/>
  <c r="HO20" i="2"/>
  <c r="HF13" i="2"/>
  <c r="HY19" i="2"/>
  <c r="EG47" i="2"/>
  <c r="HW17" i="2"/>
  <c r="IA13" i="2"/>
  <c r="EH40" i="2"/>
  <c r="EW51" i="2"/>
  <c r="EF27" i="2"/>
  <c r="EL31" i="2"/>
  <c r="EY42" i="2"/>
  <c r="FE46" i="2"/>
  <c r="EV25" i="2"/>
  <c r="FJ37" i="2"/>
  <c r="Q25" i="21"/>
  <c r="EE35" i="2"/>
  <c r="EN42" i="2"/>
  <c r="HQ28" i="2"/>
  <c r="GV11" i="2"/>
  <c r="HH21" i="2"/>
  <c r="HD18" i="2"/>
  <c r="GS9" i="2"/>
  <c r="GY15" i="2"/>
  <c r="HX15" i="2"/>
  <c r="HW14" i="2"/>
  <c r="EH45" i="2"/>
  <c r="ER53" i="2"/>
  <c r="HG34" i="2"/>
  <c r="GV25" i="2"/>
  <c r="HS20" i="2"/>
  <c r="HX23" i="2"/>
  <c r="EC48" i="2"/>
  <c r="EM23" i="2"/>
  <c r="EV30" i="2"/>
  <c r="FJ42" i="2"/>
  <c r="DZ36" i="5"/>
  <c r="DY35" i="5"/>
  <c r="DX34" i="5"/>
  <c r="DW33" i="5"/>
  <c r="DV32" i="5"/>
  <c r="DU31" i="5"/>
  <c r="DT30" i="5"/>
  <c r="DS29" i="5"/>
  <c r="DR28" i="5"/>
  <c r="DQ27" i="5"/>
  <c r="DP26" i="5"/>
  <c r="DO25" i="5"/>
  <c r="DN24" i="5"/>
  <c r="DM23" i="5"/>
  <c r="DL22" i="5"/>
  <c r="CL21" i="5"/>
  <c r="DK21" i="5"/>
  <c r="DJ20" i="5"/>
  <c r="DO56" i="5"/>
  <c r="CL56" i="5"/>
  <c r="DN55" i="5"/>
  <c r="DM54" i="5"/>
  <c r="DL53" i="5"/>
  <c r="DK52" i="5"/>
  <c r="DJ51" i="5"/>
  <c r="DI50" i="5"/>
  <c r="DH49" i="5"/>
  <c r="DG48" i="5"/>
  <c r="DF47" i="5"/>
  <c r="DE46" i="5"/>
  <c r="DD45" i="5"/>
  <c r="DC44" i="5"/>
  <c r="DB43" i="5"/>
  <c r="DA42" i="5"/>
  <c r="CZ41" i="5"/>
  <c r="CY40" i="5"/>
  <c r="CX39" i="5"/>
  <c r="CW38" i="5"/>
  <c r="GI10" i="5"/>
  <c r="GO16" i="5"/>
  <c r="GJ11" i="5"/>
  <c r="CV37" i="5"/>
  <c r="GR19" i="5"/>
  <c r="GL13" i="5"/>
  <c r="GN15" i="5"/>
  <c r="GK12" i="5"/>
  <c r="GM14" i="5"/>
  <c r="GP17" i="5"/>
  <c r="GQ18" i="5"/>
  <c r="GH9" i="5"/>
  <c r="BJ100" i="2"/>
  <c r="BN99" i="2"/>
  <c r="BM99" i="2"/>
  <c r="BL99" i="2"/>
  <c r="BK99" i="2"/>
  <c r="BO99" i="2"/>
  <c r="EN35" i="2"/>
  <c r="EW42" i="2"/>
  <c r="FG50" i="2"/>
  <c r="FJ27" i="2"/>
  <c r="HF38" i="2"/>
  <c r="IA17" i="2"/>
  <c r="EC39" i="2"/>
  <c r="EM47" i="2"/>
  <c r="EF21" i="2"/>
  <c r="EY36" i="2"/>
  <c r="FA21" i="2"/>
  <c r="FK29" i="2"/>
  <c r="GS16" i="2"/>
  <c r="HW35" i="2"/>
  <c r="IA39" i="2"/>
  <c r="HD20" i="2"/>
  <c r="HE21" i="2"/>
  <c r="HC19" i="2"/>
  <c r="HQ20" i="2"/>
  <c r="IA28" i="2"/>
  <c r="EA48" i="2"/>
  <c r="EE44" i="2"/>
  <c r="EO52" i="2"/>
  <c r="EF45" i="2"/>
  <c r="EA40" i="2"/>
  <c r="ED35" i="2"/>
  <c r="IC14" i="2"/>
  <c r="FE56" i="2"/>
  <c r="EC27" i="2"/>
  <c r="EP38" i="2"/>
  <c r="EZ46" i="2"/>
  <c r="FJ54" i="2"/>
  <c r="EK26" i="2"/>
  <c r="ER33" i="2"/>
  <c r="FB41" i="2"/>
  <c r="FB24" i="2"/>
  <c r="DZ53" i="5"/>
  <c r="DY52" i="5"/>
  <c r="DX51" i="5"/>
  <c r="DW50" i="5"/>
  <c r="DV49" i="5"/>
  <c r="DU48" i="5"/>
  <c r="DT47" i="5"/>
  <c r="DS46" i="5"/>
  <c r="DR45" i="5"/>
  <c r="DQ44" i="5"/>
  <c r="DP43" i="5"/>
  <c r="DO42" i="5"/>
  <c r="DN41" i="5"/>
  <c r="DM40" i="5"/>
  <c r="CL40" i="5"/>
  <c r="DL39" i="5"/>
  <c r="DK38" i="5"/>
  <c r="DJ37" i="5"/>
  <c r="DI36" i="5"/>
  <c r="DH35" i="5"/>
  <c r="DG34" i="5"/>
  <c r="DF33" i="5"/>
  <c r="DE32" i="5"/>
  <c r="DD31" i="5"/>
  <c r="DC30" i="5"/>
  <c r="DB29" i="5"/>
  <c r="DA28" i="5"/>
  <c r="CZ27" i="5"/>
  <c r="CY26" i="5"/>
  <c r="CX25" i="5"/>
  <c r="CW24" i="5"/>
  <c r="CV23" i="5"/>
  <c r="DM56" i="5"/>
  <c r="DL55" i="5"/>
  <c r="DK54" i="5"/>
  <c r="DJ53" i="5"/>
  <c r="DI52" i="5"/>
  <c r="DH51" i="5"/>
  <c r="DG50" i="5"/>
  <c r="DF49" i="5"/>
  <c r="DE48" i="5"/>
  <c r="DD47" i="5"/>
  <c r="DC46" i="5"/>
  <c r="DB45" i="5"/>
  <c r="DA44" i="5"/>
  <c r="CZ43" i="5"/>
  <c r="CY42" i="5"/>
  <c r="CX41" i="5"/>
  <c r="CW40" i="5"/>
  <c r="CV39" i="5"/>
  <c r="GG10" i="5"/>
  <c r="GJ13" i="5"/>
  <c r="GK14" i="5"/>
  <c r="GQ20" i="5"/>
  <c r="GM16" i="5"/>
  <c r="GR21" i="5"/>
  <c r="GO18" i="5"/>
  <c r="CQ10" i="5"/>
  <c r="GH11" i="5"/>
  <c r="GI12" i="5"/>
  <c r="GL15" i="5"/>
  <c r="GP19" i="5"/>
  <c r="GN17" i="5"/>
  <c r="GF9" i="5"/>
  <c r="GJ29" i="5"/>
  <c r="FP9" i="5"/>
  <c r="FR11" i="5"/>
  <c r="FV15" i="5"/>
  <c r="FX17" i="5"/>
  <c r="GG26" i="5"/>
  <c r="GI28" i="5"/>
  <c r="GC22" i="5"/>
  <c r="GD23" i="5"/>
  <c r="FQ10" i="5"/>
  <c r="FW16" i="5"/>
  <c r="GK30" i="5"/>
  <c r="CW56" i="5"/>
  <c r="FY18" i="5"/>
  <c r="FT13" i="5"/>
  <c r="CV55" i="5"/>
  <c r="GA20" i="5"/>
  <c r="GE24" i="5"/>
  <c r="GF25" i="5"/>
  <c r="GB21" i="5"/>
  <c r="CQ28" i="5"/>
  <c r="FS12" i="5"/>
  <c r="FZ19" i="5"/>
  <c r="GH27" i="5"/>
  <c r="FU14" i="5"/>
  <c r="GL31" i="5"/>
  <c r="GN33" i="5"/>
  <c r="GO34" i="5"/>
  <c r="GP35" i="5"/>
  <c r="GQ36" i="5"/>
  <c r="GR37" i="5"/>
  <c r="GM32" i="5"/>
  <c r="EW30" i="2"/>
  <c r="FK42" i="2"/>
  <c r="HO37" i="2"/>
  <c r="HN36" i="2"/>
  <c r="GS19" i="2"/>
  <c r="IA40" i="2"/>
  <c r="HF23" i="2"/>
  <c r="HO30" i="2"/>
  <c r="HN29" i="2"/>
  <c r="IC25" i="2"/>
  <c r="EC45" i="2"/>
  <c r="EM53" i="2"/>
  <c r="IB15" i="2"/>
  <c r="EL43" i="2"/>
  <c r="EE21" i="2"/>
  <c r="ER32" i="2"/>
  <c r="EX36" i="2"/>
  <c r="FA24" i="2"/>
  <c r="FH23" i="2"/>
  <c r="BY52" i="5"/>
  <c r="BZ52" i="5" s="1"/>
  <c r="BR52" i="5"/>
  <c r="BK52" i="5"/>
  <c r="BY44" i="5"/>
  <c r="BZ44" i="5" s="1"/>
  <c r="BK44" i="5"/>
  <c r="BR44" i="5"/>
  <c r="HX24" i="2"/>
  <c r="HW23" i="2"/>
  <c r="HN16" i="2"/>
  <c r="EB48" i="2"/>
  <c r="ED22" i="2"/>
  <c r="EN30" i="2"/>
  <c r="EW37" i="2"/>
  <c r="FA41" i="2"/>
  <c r="FG45" i="2"/>
  <c r="FK49" i="2"/>
  <c r="HJ12" i="2"/>
  <c r="HR18" i="2"/>
  <c r="HT20" i="2"/>
  <c r="HW21" i="2"/>
  <c r="HH10" i="2"/>
  <c r="EC47" i="2"/>
  <c r="IB26" i="2"/>
  <c r="IA19" i="2"/>
  <c r="HW15" i="2"/>
  <c r="EC41" i="2"/>
  <c r="EK47" i="2"/>
  <c r="EO51" i="2"/>
  <c r="BY35" i="5"/>
  <c r="BZ35" i="5" s="1"/>
  <c r="BR35" i="5"/>
  <c r="BK35" i="5"/>
  <c r="BY23" i="5"/>
  <c r="BZ23" i="5" s="1"/>
  <c r="BK23" i="5"/>
  <c r="BR23" i="5"/>
  <c r="HN11" i="2"/>
  <c r="EE46" i="2"/>
  <c r="EH49" i="2"/>
  <c r="EO54" i="2"/>
  <c r="EB24" i="2"/>
  <c r="EY43" i="2"/>
  <c r="FI51" i="2"/>
  <c r="FA25" i="2"/>
  <c r="FG29" i="2"/>
  <c r="FJ23" i="2"/>
  <c r="HG37" i="2"/>
  <c r="HP36" i="2"/>
  <c r="GW21" i="2"/>
  <c r="HE27" i="2"/>
  <c r="HN34" i="2"/>
  <c r="EB36" i="2"/>
  <c r="EC37" i="2"/>
  <c r="EE39" i="2"/>
  <c r="EO47" i="2"/>
  <c r="EX54" i="2"/>
  <c r="GZ34" i="2"/>
  <c r="GZ101" i="5"/>
  <c r="GV101" i="5"/>
  <c r="GY101" i="5"/>
  <c r="GU101" i="5"/>
  <c r="GX101" i="5"/>
  <c r="FM102" i="5"/>
  <c r="GW101" i="5"/>
  <c r="EB20" i="2"/>
  <c r="EC19" i="2"/>
  <c r="EK19" i="2"/>
  <c r="EV19" i="2"/>
  <c r="EN19" i="2"/>
  <c r="GT17" i="2"/>
  <c r="IB33" i="2"/>
  <c r="HP23" i="2"/>
  <c r="GX9" i="2"/>
  <c r="GY10" i="2"/>
  <c r="ED55" i="2"/>
  <c r="EB29" i="2"/>
  <c r="IB9" i="2"/>
  <c r="EN39" i="2"/>
  <c r="EW46" i="2"/>
  <c r="FG54" i="2"/>
  <c r="FE21" i="2"/>
  <c r="HD30" i="2"/>
  <c r="HF32" i="2"/>
  <c r="GZ28" i="2"/>
  <c r="HY40" i="2"/>
  <c r="GU16" i="2"/>
  <c r="EG21" i="2"/>
  <c r="EM25" i="2"/>
  <c r="FE39" i="2"/>
  <c r="GV26" i="2"/>
  <c r="HP42" i="2"/>
  <c r="HO41" i="2"/>
  <c r="HY39" i="2"/>
  <c r="HO31" i="2"/>
  <c r="GY19" i="2"/>
  <c r="EC32" i="2"/>
  <c r="EH37" i="2"/>
  <c r="EM40" i="2"/>
  <c r="EU46" i="2"/>
  <c r="EY50" i="2"/>
  <c r="EX24" i="2"/>
  <c r="FH32" i="2"/>
  <c r="GV28" i="2"/>
  <c r="EH20" i="2"/>
  <c r="HH29" i="2"/>
  <c r="CR35" i="2"/>
  <c r="CS35" i="2" s="1"/>
  <c r="GT21" i="2"/>
  <c r="GS20" i="2"/>
  <c r="HY29" i="2"/>
  <c r="ED54" i="2"/>
  <c r="EE55" i="2"/>
  <c r="EC20" i="2"/>
  <c r="FA20" i="2"/>
  <c r="HG28" i="2"/>
  <c r="DI19" i="5"/>
  <c r="HH31" i="2"/>
  <c r="HO36" i="2"/>
  <c r="HN35" i="2"/>
  <c r="HP37" i="2"/>
  <c r="EW27" i="2"/>
  <c r="FA31" i="2"/>
  <c r="FK39" i="2"/>
  <c r="V99" i="2"/>
  <c r="V10" i="2"/>
  <c r="V13" i="2"/>
  <c r="V14" i="2"/>
  <c r="V11" i="2"/>
  <c r="V9" i="2"/>
  <c r="V12" i="2"/>
  <c r="V18" i="2"/>
  <c r="V16" i="2"/>
  <c r="V15" i="2"/>
  <c r="V17" i="2"/>
  <c r="V22" i="2"/>
  <c r="V19" i="2"/>
  <c r="V20" i="2"/>
  <c r="V24" i="2"/>
  <c r="V21" i="2"/>
  <c r="V25" i="2"/>
  <c r="V23" i="2"/>
  <c r="V26" i="2"/>
  <c r="V31" i="2"/>
  <c r="V27" i="2"/>
  <c r="V28" i="2"/>
  <c r="V29" i="2"/>
  <c r="V30" i="2"/>
  <c r="V33" i="2"/>
  <c r="V32" i="2"/>
  <c r="V35" i="2"/>
  <c r="V38" i="2"/>
  <c r="V34" i="2"/>
  <c r="V36" i="2"/>
  <c r="V37" i="2"/>
  <c r="V40" i="2"/>
  <c r="V39" i="2"/>
  <c r="V42" i="2"/>
  <c r="V41" i="2"/>
  <c r="V43" i="2"/>
  <c r="V44" i="2"/>
  <c r="V45" i="2"/>
  <c r="V47" i="2"/>
  <c r="V48" i="2"/>
  <c r="V46" i="2"/>
  <c r="V49" i="2"/>
  <c r="V50" i="2"/>
  <c r="V53" i="2"/>
  <c r="V51" i="2"/>
  <c r="V52" i="2"/>
  <c r="V54" i="2"/>
  <c r="V55" i="2"/>
  <c r="V56" i="2"/>
  <c r="V59" i="2"/>
  <c r="V57" i="2"/>
  <c r="V58" i="2"/>
  <c r="V60" i="2"/>
  <c r="V61" i="2"/>
  <c r="V62" i="2"/>
  <c r="V66" i="2"/>
  <c r="V65" i="2"/>
  <c r="V63" i="2"/>
  <c r="V64" i="2"/>
  <c r="V67" i="2"/>
  <c r="V69" i="2"/>
  <c r="V70" i="2"/>
  <c r="V68" i="2"/>
  <c r="V72" i="2"/>
  <c r="V76" i="2"/>
  <c r="V71" i="2"/>
  <c r="V73" i="2"/>
  <c r="V74" i="2"/>
  <c r="V75" i="2"/>
  <c r="V80" i="2"/>
  <c r="V77" i="2"/>
  <c r="V78" i="2"/>
  <c r="V81" i="2"/>
  <c r="V79" i="2"/>
  <c r="V84" i="2"/>
  <c r="V82" i="2"/>
  <c r="V85" i="2"/>
  <c r="V83" i="2"/>
  <c r="V86" i="2"/>
  <c r="V87" i="2"/>
  <c r="V90" i="2"/>
  <c r="V88" i="2"/>
  <c r="V89" i="2"/>
  <c r="V92" i="2"/>
  <c r="V91" i="2"/>
  <c r="V95" i="2"/>
  <c r="CG100" i="5"/>
  <c r="CN99" i="5"/>
  <c r="CJ99" i="5"/>
  <c r="CM99" i="5"/>
  <c r="CI99" i="5"/>
  <c r="CL99" i="5"/>
  <c r="CH99" i="5"/>
  <c r="CK99" i="5"/>
  <c r="DZ38" i="5"/>
  <c r="DY37" i="5"/>
  <c r="DX36" i="5"/>
  <c r="DW35" i="5"/>
  <c r="DV34" i="5"/>
  <c r="DU33" i="5"/>
  <c r="DT32" i="5"/>
  <c r="DS31" i="5"/>
  <c r="DR30" i="5"/>
  <c r="DQ29" i="5"/>
  <c r="DP28" i="5"/>
  <c r="DO27" i="5"/>
  <c r="DN26" i="5"/>
  <c r="DM25" i="5"/>
  <c r="DL24" i="5"/>
  <c r="CL23" i="5"/>
  <c r="DK23" i="5"/>
  <c r="DJ22" i="5"/>
  <c r="DI21" i="5"/>
  <c r="DH20" i="5"/>
  <c r="DZ54" i="5"/>
  <c r="DY53" i="5"/>
  <c r="DX52" i="5"/>
  <c r="DW51" i="5"/>
  <c r="DV50" i="5"/>
  <c r="DU49" i="5"/>
  <c r="DT48" i="5"/>
  <c r="DS47" i="5"/>
  <c r="DR46" i="5"/>
  <c r="DQ45" i="5"/>
  <c r="DP44" i="5"/>
  <c r="DO43" i="5"/>
  <c r="DN42" i="5"/>
  <c r="DM41" i="5"/>
  <c r="CL41" i="5"/>
  <c r="DL40" i="5"/>
  <c r="DK39" i="5"/>
  <c r="DJ38" i="5"/>
  <c r="DI37" i="5"/>
  <c r="DH36" i="5"/>
  <c r="DG35" i="5"/>
  <c r="DF34" i="5"/>
  <c r="DE33" i="5"/>
  <c r="DD32" i="5"/>
  <c r="DC31" i="5"/>
  <c r="DB30" i="5"/>
  <c r="DA29" i="5"/>
  <c r="CZ28" i="5"/>
  <c r="CY27" i="5"/>
  <c r="CX26" i="5"/>
  <c r="CW25" i="5"/>
  <c r="CV24" i="5"/>
  <c r="DE52" i="5"/>
  <c r="DD51" i="5"/>
  <c r="CZ47" i="5"/>
  <c r="GM20" i="5"/>
  <c r="GP23" i="5"/>
  <c r="GK18" i="5"/>
  <c r="GL19" i="5"/>
  <c r="GC10" i="5"/>
  <c r="GJ17" i="5"/>
  <c r="GD11" i="5"/>
  <c r="DI56" i="5"/>
  <c r="DG54" i="5"/>
  <c r="GB9" i="5"/>
  <c r="GQ24" i="5"/>
  <c r="GG14" i="5"/>
  <c r="GF13" i="5"/>
  <c r="DH55" i="5"/>
  <c r="DA48" i="5"/>
  <c r="GR25" i="5"/>
  <c r="GI16" i="5"/>
  <c r="GN21" i="5"/>
  <c r="DF53" i="5"/>
  <c r="DC50" i="5"/>
  <c r="CY46" i="5"/>
  <c r="CX45" i="5"/>
  <c r="CW44" i="5"/>
  <c r="CV43" i="5"/>
  <c r="GH15" i="5"/>
  <c r="GO22" i="5"/>
  <c r="DB49" i="5"/>
  <c r="GE12" i="5"/>
  <c r="CQ14" i="5"/>
  <c r="CV56" i="5"/>
  <c r="FX18" i="5"/>
  <c r="GE25" i="5"/>
  <c r="FW17" i="5"/>
  <c r="FU15" i="5"/>
  <c r="FV16" i="5"/>
  <c r="GD24" i="5"/>
  <c r="FP10" i="5"/>
  <c r="FY19" i="5"/>
  <c r="GG27" i="5"/>
  <c r="GI29" i="5"/>
  <c r="GF26" i="5"/>
  <c r="FR12" i="5"/>
  <c r="GB22" i="5"/>
  <c r="GH28" i="5"/>
  <c r="FQ11" i="5"/>
  <c r="FS13" i="5"/>
  <c r="GJ30" i="5"/>
  <c r="FT14" i="5"/>
  <c r="GC23" i="5"/>
  <c r="CQ29" i="5"/>
  <c r="FO9" i="5"/>
  <c r="GA21" i="5"/>
  <c r="FZ20" i="5"/>
  <c r="GK31" i="5"/>
  <c r="GR38" i="5"/>
  <c r="GO35" i="5"/>
  <c r="GM33" i="5"/>
  <c r="GP36" i="5"/>
  <c r="GQ37" i="5"/>
  <c r="GN34" i="5"/>
  <c r="GL32" i="5"/>
  <c r="GA35" i="5"/>
  <c r="FX32" i="5"/>
  <c r="GI43" i="5"/>
  <c r="GB36" i="5"/>
  <c r="FY33" i="5"/>
  <c r="FU29" i="5"/>
  <c r="FT28" i="5"/>
  <c r="FN22" i="5"/>
  <c r="GE39" i="5"/>
  <c r="FP24" i="5"/>
  <c r="FR26" i="5"/>
  <c r="FO23" i="5"/>
  <c r="FV30" i="5"/>
  <c r="GF40" i="5"/>
  <c r="FS27" i="5"/>
  <c r="GD38" i="5"/>
  <c r="GC37" i="5"/>
  <c r="FQ25" i="5"/>
  <c r="FZ34" i="5"/>
  <c r="GG41" i="5"/>
  <c r="GH42" i="5"/>
  <c r="FW31" i="5"/>
  <c r="EB45" i="2"/>
  <c r="HQ16" i="2"/>
  <c r="EC46" i="2"/>
  <c r="EL53" i="2"/>
  <c r="HS18" i="2"/>
  <c r="HX32" i="2"/>
  <c r="IC37" i="2"/>
  <c r="GX12" i="2"/>
  <c r="HO25" i="2"/>
  <c r="HC15" i="2"/>
  <c r="EA27" i="2"/>
  <c r="EE31" i="2"/>
  <c r="EN38" i="2"/>
  <c r="FA49" i="2"/>
  <c r="FG53" i="2"/>
  <c r="EP23" i="2"/>
  <c r="EV27" i="2"/>
  <c r="FF35" i="2"/>
  <c r="EC22" i="2"/>
  <c r="EM30" i="2"/>
  <c r="EP33" i="2"/>
  <c r="EZ41" i="2"/>
  <c r="FF45" i="2"/>
  <c r="HH38" i="2"/>
  <c r="HM17" i="2"/>
  <c r="HF12" i="2"/>
  <c r="HJ16" i="2"/>
  <c r="HY27" i="2"/>
  <c r="EB50" i="2"/>
  <c r="IC31" i="2"/>
  <c r="ER26" i="2"/>
  <c r="EX30" i="2"/>
  <c r="FB34" i="2"/>
  <c r="HH40" i="2"/>
  <c r="HR45" i="2"/>
  <c r="HR44" i="2"/>
  <c r="HN46" i="2"/>
  <c r="HW45" i="2"/>
  <c r="IA16" i="2"/>
  <c r="EW54" i="2"/>
  <c r="AV91" i="2"/>
  <c r="AU91" i="2"/>
  <c r="HH33" i="2"/>
  <c r="HT43" i="2"/>
  <c r="GZ27" i="2"/>
  <c r="HS42" i="2"/>
  <c r="GW24" i="2"/>
  <c r="EA51" i="2"/>
  <c r="HC11" i="2"/>
  <c r="IA31" i="2"/>
  <c r="HW27" i="2"/>
  <c r="HN20" i="2"/>
  <c r="HR24" i="2"/>
  <c r="EC53" i="2"/>
  <c r="HO21" i="2"/>
  <c r="EA20" i="2"/>
  <c r="EO20" i="2"/>
  <c r="GY21" i="2"/>
  <c r="GW20" i="2"/>
  <c r="IH20" i="5"/>
  <c r="II20" i="5"/>
  <c r="S37" i="21" s="1"/>
  <c r="M18" i="5"/>
  <c r="CL18" i="5"/>
  <c r="DE18" i="5"/>
  <c r="DT18" i="5"/>
  <c r="DD18" i="5"/>
  <c r="DG18" i="5"/>
  <c r="DF18" i="5"/>
  <c r="DA18" i="5"/>
  <c r="DP18" i="5"/>
  <c r="DS18" i="5"/>
  <c r="DR18" i="5"/>
  <c r="CW18" i="5"/>
  <c r="CY18" i="5"/>
  <c r="L17" i="5"/>
  <c r="DQ18" i="5"/>
  <c r="CZ18" i="5"/>
  <c r="DC18" i="5"/>
  <c r="DB18" i="5"/>
  <c r="DL18" i="5"/>
  <c r="DO18" i="5"/>
  <c r="CX18" i="5"/>
  <c r="DI18" i="5"/>
  <c r="DH18" i="5"/>
  <c r="DK18" i="5"/>
  <c r="DJ18" i="5"/>
  <c r="IJ18" i="5"/>
  <c r="IK18" i="5" s="1"/>
  <c r="DM18" i="5"/>
  <c r="CV18" i="5"/>
  <c r="DN18" i="5"/>
  <c r="AI18" i="5"/>
  <c r="BU18" i="5"/>
  <c r="DJ19" i="5"/>
  <c r="HJ33" i="2"/>
  <c r="HM34" i="2"/>
  <c r="GY24" i="2"/>
  <c r="GZ25" i="2"/>
  <c r="HE28" i="2"/>
  <c r="GS18" i="2"/>
  <c r="ER24" i="2"/>
  <c r="EX28" i="2"/>
  <c r="FB32" i="2"/>
  <c r="FH36" i="2"/>
  <c r="V98" i="2"/>
  <c r="DZ30" i="5"/>
  <c r="DY29" i="5"/>
  <c r="DX28" i="5"/>
  <c r="DW27" i="5"/>
  <c r="DV26" i="5"/>
  <c r="DU25" i="5"/>
  <c r="DT24" i="5"/>
  <c r="DS23" i="5"/>
  <c r="DR22" i="5"/>
  <c r="DQ21" i="5"/>
  <c r="DP20" i="5"/>
  <c r="DZ46" i="5"/>
  <c r="DY45" i="5"/>
  <c r="DX44" i="5"/>
  <c r="DW43" i="5"/>
  <c r="DV42" i="5"/>
  <c r="DU41" i="5"/>
  <c r="DT40" i="5"/>
  <c r="DS39" i="5"/>
  <c r="DR38" i="5"/>
  <c r="DQ37" i="5"/>
  <c r="DP36" i="5"/>
  <c r="DO35" i="5"/>
  <c r="DN34" i="5"/>
  <c r="DM33" i="5"/>
  <c r="DL32" i="5"/>
  <c r="CL32" i="5"/>
  <c r="DK31" i="5"/>
  <c r="DJ30" i="5"/>
  <c r="DI29" i="5"/>
  <c r="DH28" i="5"/>
  <c r="DG27" i="5"/>
  <c r="DF26" i="5"/>
  <c r="DE25" i="5"/>
  <c r="DD24" i="5"/>
  <c r="DC23" i="5"/>
  <c r="DB22" i="5"/>
  <c r="DA21" i="5"/>
  <c r="CZ20" i="5"/>
  <c r="DB56" i="5"/>
  <c r="CX52" i="5"/>
  <c r="CW51" i="5"/>
  <c r="GJ24" i="5"/>
  <c r="GD18" i="5"/>
  <c r="GM27" i="5"/>
  <c r="FX12" i="5"/>
  <c r="GL26" i="5"/>
  <c r="GN28" i="5"/>
  <c r="GF20" i="5"/>
  <c r="GB16" i="5"/>
  <c r="FW11" i="5"/>
  <c r="GO29" i="5"/>
  <c r="CZ54" i="5"/>
  <c r="GG21" i="5"/>
  <c r="DA55" i="5"/>
  <c r="CY53" i="5"/>
  <c r="CV50" i="5"/>
  <c r="FY13" i="5"/>
  <c r="FU9" i="5"/>
  <c r="FZ14" i="5"/>
  <c r="GP30" i="5"/>
  <c r="GE19" i="5"/>
  <c r="GH22" i="5"/>
  <c r="CQ22" i="5"/>
  <c r="GI23" i="5"/>
  <c r="GK25" i="5"/>
  <c r="GA15" i="5"/>
  <c r="GC17" i="5"/>
  <c r="FV10" i="5"/>
  <c r="GQ31" i="5"/>
  <c r="GR32" i="5"/>
  <c r="HY22" i="2"/>
  <c r="EH51" i="2"/>
  <c r="CR9" i="2"/>
  <c r="CS9" i="2" s="1"/>
  <c r="CN57" i="2" s="1"/>
  <c r="HO14" i="2"/>
  <c r="EE48" i="2"/>
  <c r="EM54" i="2"/>
  <c r="HH9" i="2"/>
  <c r="HM12" i="2"/>
  <c r="IA35" i="2"/>
  <c r="IB36" i="2"/>
  <c r="GY13" i="2"/>
  <c r="HH20" i="2"/>
  <c r="HP26" i="2"/>
  <c r="HF18" i="2"/>
  <c r="HE17" i="2"/>
  <c r="EB28" i="2"/>
  <c r="EF32" i="2"/>
  <c r="EL36" i="2"/>
  <c r="EO39" i="2"/>
  <c r="ER42" i="2"/>
  <c r="EX46" i="2"/>
  <c r="FB50" i="2"/>
  <c r="FA32" i="2"/>
  <c r="FK40" i="2"/>
  <c r="BY27" i="5"/>
  <c r="BZ27" i="5" s="1"/>
  <c r="BR27" i="5"/>
  <c r="BK27" i="5"/>
  <c r="ED23" i="2"/>
  <c r="EN31" i="2"/>
  <c r="FA42" i="2"/>
  <c r="FK50" i="2"/>
  <c r="EE53" i="2"/>
  <c r="HO19" i="2"/>
  <c r="HH14" i="2"/>
  <c r="ED52" i="2"/>
  <c r="EO23" i="2"/>
  <c r="EY31" i="2"/>
  <c r="FI39" i="2"/>
  <c r="IA44" i="2"/>
  <c r="IA46" i="2"/>
  <c r="HM45" i="2"/>
  <c r="IC44" i="2"/>
  <c r="HO45" i="2"/>
  <c r="HQ44" i="2"/>
  <c r="HX45" i="2"/>
  <c r="HJ31" i="2"/>
  <c r="IB17" i="2"/>
  <c r="HX13" i="2"/>
  <c r="EE40" i="2"/>
  <c r="EO48" i="2"/>
  <c r="EX55" i="2"/>
  <c r="CV53" i="5"/>
  <c r="GA18" i="5"/>
  <c r="GM30" i="5"/>
  <c r="FT11" i="5"/>
  <c r="GB19" i="5"/>
  <c r="GL29" i="5"/>
  <c r="GC20" i="5"/>
  <c r="GG24" i="5"/>
  <c r="FX15" i="5"/>
  <c r="CQ25" i="5"/>
  <c r="CQ26" i="5"/>
  <c r="FS10" i="5"/>
  <c r="GK28" i="5"/>
  <c r="FW14" i="5"/>
  <c r="GF23" i="5"/>
  <c r="GH25" i="5"/>
  <c r="CY56" i="5"/>
  <c r="GE22" i="5"/>
  <c r="GJ27" i="5"/>
  <c r="FU12" i="5"/>
  <c r="CX55" i="5"/>
  <c r="CW54" i="5"/>
  <c r="FR9" i="5"/>
  <c r="GI26" i="5"/>
  <c r="FV13" i="5"/>
  <c r="FZ17" i="5"/>
  <c r="GD21" i="5"/>
  <c r="FY16" i="5"/>
  <c r="GN31" i="5"/>
  <c r="GO32" i="5"/>
  <c r="GP33" i="5"/>
  <c r="GQ34" i="5"/>
  <c r="GR35" i="5"/>
  <c r="HS38" i="2"/>
  <c r="IA34" i="2"/>
  <c r="HO24" i="2"/>
  <c r="HP25" i="2"/>
  <c r="EL23" i="2"/>
  <c r="EO26" i="2"/>
  <c r="EY34" i="2"/>
  <c r="FE38" i="2"/>
  <c r="FN24" i="5"/>
  <c r="FX34" i="5"/>
  <c r="GB38" i="5"/>
  <c r="X99" i="5"/>
  <c r="AE98" i="5"/>
  <c r="AA98" i="5"/>
  <c r="AD98" i="5"/>
  <c r="Z98" i="5"/>
  <c r="AC98" i="5"/>
  <c r="Y98" i="5"/>
  <c r="AF98" i="5"/>
  <c r="AB98" i="5"/>
  <c r="HN41" i="2"/>
  <c r="HM40" i="2"/>
  <c r="GY30" i="2"/>
  <c r="HG39" i="2"/>
  <c r="HF37" i="2"/>
  <c r="EC28" i="2"/>
  <c r="EG32" i="2"/>
  <c r="EP39" i="2"/>
  <c r="EV43" i="2"/>
  <c r="FF51" i="2"/>
  <c r="FJ55" i="2"/>
  <c r="EX26" i="2"/>
  <c r="EK20" i="2"/>
  <c r="HG32" i="2"/>
  <c r="HO38" i="2"/>
  <c r="GY26" i="2"/>
  <c r="HR41" i="2"/>
  <c r="GU22" i="2"/>
  <c r="HP39" i="2"/>
  <c r="HD29" i="2"/>
  <c r="HH16" i="2"/>
  <c r="HS25" i="2"/>
  <c r="HQ23" i="2"/>
  <c r="HP22" i="2"/>
  <c r="GY9" i="2"/>
  <c r="HF14" i="2"/>
  <c r="EF56" i="2"/>
  <c r="HJ18" i="2"/>
  <c r="BQ100" i="2"/>
  <c r="BS99" i="2"/>
  <c r="BV99" i="2"/>
  <c r="BR99" i="2"/>
  <c r="BU99" i="2"/>
  <c r="BT99" i="2"/>
  <c r="IH20" i="2"/>
  <c r="II20" i="2"/>
  <c r="EN20" i="2"/>
  <c r="HE26" i="2"/>
  <c r="HS43" i="2"/>
  <c r="DR19" i="5"/>
  <c r="IL19" i="5"/>
  <c r="IF19" i="5" s="1"/>
  <c r="IG19" i="5" s="1"/>
  <c r="AL20" i="5"/>
  <c r="AM20" i="5"/>
  <c r="HR39" i="2"/>
  <c r="HF29" i="2"/>
  <c r="GT19" i="2"/>
  <c r="HD27" i="2"/>
  <c r="HG30" i="2"/>
  <c r="CR33" i="2"/>
  <c r="CS33" i="2" s="1"/>
  <c r="EO21" i="2"/>
  <c r="EU25" i="2"/>
  <c r="EY29" i="2"/>
  <c r="FE33" i="2"/>
  <c r="FI37" i="2"/>
  <c r="DZ34" i="5"/>
  <c r="DY33" i="5"/>
  <c r="DX32" i="5"/>
  <c r="DW31" i="5"/>
  <c r="DV30" i="5"/>
  <c r="DU29" i="5"/>
  <c r="DT28" i="5"/>
  <c r="DS27" i="5"/>
  <c r="DR26" i="5"/>
  <c r="DQ25" i="5"/>
  <c r="DP24" i="5"/>
  <c r="DO23" i="5"/>
  <c r="DN22" i="5"/>
  <c r="DM21" i="5"/>
  <c r="DL20" i="5"/>
  <c r="DZ43" i="5"/>
  <c r="DY42" i="5"/>
  <c r="DX41" i="5"/>
  <c r="DW40" i="5"/>
  <c r="DV39" i="5"/>
  <c r="DU38" i="5"/>
  <c r="DT37" i="5"/>
  <c r="DS36" i="5"/>
  <c r="DR35" i="5"/>
  <c r="DQ34" i="5"/>
  <c r="DP33" i="5"/>
  <c r="DO32" i="5"/>
  <c r="DN31" i="5"/>
  <c r="DM30" i="5"/>
  <c r="CL29" i="5"/>
  <c r="DL29" i="5"/>
  <c r="DK28" i="5"/>
  <c r="DJ27" i="5"/>
  <c r="DI26" i="5"/>
  <c r="DH25" i="5"/>
  <c r="DG24" i="5"/>
  <c r="DF23" i="5"/>
  <c r="DE22" i="5"/>
  <c r="DD21" i="5"/>
  <c r="DC20" i="5"/>
  <c r="DZ49" i="5"/>
  <c r="DY48" i="5"/>
  <c r="DX47" i="5"/>
  <c r="DW46" i="5"/>
  <c r="DV45" i="5"/>
  <c r="DU44" i="5"/>
  <c r="DT43" i="5"/>
  <c r="DS42" i="5"/>
  <c r="DR41" i="5"/>
  <c r="DQ40" i="5"/>
  <c r="DP39" i="5"/>
  <c r="DO38" i="5"/>
  <c r="DN37" i="5"/>
  <c r="DM36" i="5"/>
  <c r="CL36" i="5"/>
  <c r="DL35" i="5"/>
  <c r="DK34" i="5"/>
  <c r="DJ33" i="5"/>
  <c r="DI32" i="5"/>
  <c r="DH31" i="5"/>
  <c r="DG30" i="5"/>
  <c r="DF29" i="5"/>
  <c r="DE28" i="5"/>
  <c r="DD27" i="5"/>
  <c r="DC26" i="5"/>
  <c r="DB25" i="5"/>
  <c r="DA24" i="5"/>
  <c r="CZ23" i="5"/>
  <c r="CY22" i="5"/>
  <c r="CX21" i="5"/>
  <c r="CW20" i="5"/>
  <c r="FY22" i="5"/>
  <c r="FW20" i="5"/>
  <c r="GE28" i="5"/>
  <c r="FP13" i="5"/>
  <c r="FU18" i="5"/>
  <c r="FN11" i="5"/>
  <c r="FV19" i="5"/>
  <c r="GB25" i="5"/>
  <c r="FX21" i="5"/>
  <c r="FR15" i="5"/>
  <c r="FZ23" i="5"/>
  <c r="FO12" i="5"/>
  <c r="GC26" i="5"/>
  <c r="GD27" i="5"/>
  <c r="FT17" i="5"/>
  <c r="GG30" i="5"/>
  <c r="FQ14" i="5"/>
  <c r="FS16" i="5"/>
  <c r="GA24" i="5"/>
  <c r="GF29" i="5"/>
  <c r="GH31" i="5"/>
  <c r="GI32" i="5"/>
  <c r="GR41" i="5"/>
  <c r="GO38" i="5"/>
  <c r="GM36" i="5"/>
  <c r="GL35" i="5"/>
  <c r="CQ32" i="5"/>
  <c r="GP39" i="5"/>
  <c r="GN37" i="5"/>
  <c r="GJ33" i="5"/>
  <c r="GK34" i="5"/>
  <c r="GQ40" i="5"/>
  <c r="EF49" i="2"/>
  <c r="HP15" i="2"/>
  <c r="EN55" i="2"/>
  <c r="IC26" i="2"/>
  <c r="HT19" i="2"/>
  <c r="EG50" i="2"/>
  <c r="ED47" i="2"/>
  <c r="HZ23" i="2"/>
  <c r="HY33" i="2"/>
  <c r="HR28" i="2"/>
  <c r="GU9" i="2"/>
  <c r="HQ27" i="2"/>
  <c r="GW11" i="2"/>
  <c r="HS29" i="2"/>
  <c r="EA55" i="2"/>
  <c r="CR21" i="2"/>
  <c r="CS21" i="2" s="1"/>
  <c r="EC29" i="2"/>
  <c r="EG33" i="2"/>
  <c r="IC9" i="2"/>
  <c r="EU43" i="2"/>
  <c r="EY47" i="2"/>
  <c r="FE51" i="2"/>
  <c r="FI55" i="2"/>
  <c r="EN21" i="2"/>
  <c r="ER25" i="2"/>
  <c r="EX29" i="2"/>
  <c r="FB33" i="2"/>
  <c r="FH37" i="2"/>
  <c r="AQ100" i="2"/>
  <c r="AW99" i="2"/>
  <c r="AX99" i="2"/>
  <c r="AT99" i="2"/>
  <c r="BY51" i="5"/>
  <c r="BZ51" i="5" s="1"/>
  <c r="BK51" i="5"/>
  <c r="BR51" i="5"/>
  <c r="EE24" i="2"/>
  <c r="EK28" i="2"/>
  <c r="EO32" i="2"/>
  <c r="ER35" i="2"/>
  <c r="EX39" i="2"/>
  <c r="FB43" i="2"/>
  <c r="FH47" i="2"/>
  <c r="HG13" i="2"/>
  <c r="HD10" i="2"/>
  <c r="EF54" i="2"/>
  <c r="HT24" i="2"/>
  <c r="HC9" i="2"/>
  <c r="HS23" i="2"/>
  <c r="EC51" i="2"/>
  <c r="EG55" i="2"/>
  <c r="EM21" i="2"/>
  <c r="EP24" i="2"/>
  <c r="EV28" i="2"/>
  <c r="EZ32" i="2"/>
  <c r="FF36" i="2"/>
  <c r="FJ40" i="2"/>
  <c r="GY31" i="2"/>
  <c r="EZ20" i="2"/>
  <c r="HO46" i="2"/>
  <c r="HY45" i="2"/>
  <c r="HX46" i="2"/>
  <c r="HZ44" i="2"/>
  <c r="HN44" i="2"/>
  <c r="IB45" i="2"/>
  <c r="IC46" i="2"/>
  <c r="HT46" i="2"/>
  <c r="HZ46" i="2"/>
  <c r="HS46" i="2"/>
  <c r="HN45" i="2"/>
  <c r="HY14" i="2"/>
  <c r="HZ15" i="2"/>
  <c r="HR9" i="2"/>
  <c r="EF41" i="2"/>
  <c r="EL45" i="2"/>
  <c r="EU52" i="2"/>
  <c r="EY56" i="2"/>
  <c r="DZ51" i="5"/>
  <c r="DY50" i="5"/>
  <c r="DX49" i="5"/>
  <c r="DW48" i="5"/>
  <c r="DV47" i="5"/>
  <c r="DU46" i="5"/>
  <c r="DT45" i="5"/>
  <c r="DS44" i="5"/>
  <c r="DR43" i="5"/>
  <c r="DQ42" i="5"/>
  <c r="DP41" i="5"/>
  <c r="DO40" i="5"/>
  <c r="DN39" i="5"/>
  <c r="CL38" i="5"/>
  <c r="DM38" i="5"/>
  <c r="DL37" i="5"/>
  <c r="DK36" i="5"/>
  <c r="DJ35" i="5"/>
  <c r="DI34" i="5"/>
  <c r="DH33" i="5"/>
  <c r="DG32" i="5"/>
  <c r="DF31" i="5"/>
  <c r="DE30" i="5"/>
  <c r="DD29" i="5"/>
  <c r="DC28" i="5"/>
  <c r="DB27" i="5"/>
  <c r="DA26" i="5"/>
  <c r="CZ25" i="5"/>
  <c r="CY24" i="5"/>
  <c r="CX23" i="5"/>
  <c r="CW22" i="5"/>
  <c r="CV21" i="5"/>
  <c r="BY29" i="5"/>
  <c r="BZ29" i="5" s="1"/>
  <c r="BK29" i="5"/>
  <c r="BR29" i="5"/>
  <c r="HW40" i="2"/>
  <c r="HY42" i="2"/>
  <c r="CR31" i="2"/>
  <c r="CS31" i="2" s="1"/>
  <c r="HY32" i="2"/>
  <c r="HJ21" i="2"/>
  <c r="EB55" i="2"/>
  <c r="HE16" i="2"/>
  <c r="HX31" i="2"/>
  <c r="HF17" i="2"/>
  <c r="HD15" i="2"/>
  <c r="HN23" i="2"/>
  <c r="EM24" i="2"/>
  <c r="EP27" i="2"/>
  <c r="EV31" i="2"/>
  <c r="EZ35" i="2"/>
  <c r="FF39" i="2"/>
  <c r="FJ43" i="2"/>
  <c r="GX30" i="2"/>
  <c r="FS29" i="5"/>
  <c r="FQ27" i="5"/>
  <c r="GG43" i="5"/>
  <c r="FP26" i="5"/>
  <c r="GA37" i="5"/>
  <c r="HD33" i="2"/>
  <c r="GV27" i="2"/>
  <c r="GT25" i="2"/>
  <c r="GW28" i="2"/>
  <c r="HC35" i="2"/>
  <c r="HD35" i="2"/>
  <c r="GU28" i="2"/>
  <c r="HH39" i="2"/>
  <c r="GS26" i="2"/>
  <c r="ED29" i="2"/>
  <c r="EH33" i="2"/>
  <c r="EN37" i="2"/>
  <c r="EW44" i="2"/>
  <c r="FA48" i="2"/>
  <c r="FG52" i="2"/>
  <c r="FK56" i="2"/>
  <c r="EU23" i="2"/>
  <c r="EY27" i="2"/>
  <c r="FE31" i="2"/>
  <c r="FI35" i="2"/>
  <c r="EV20" i="2"/>
  <c r="FG20" i="2"/>
  <c r="AS96" i="2"/>
  <c r="AV96" i="2" s="1"/>
  <c r="AS9" i="2"/>
  <c r="AS10" i="2"/>
  <c r="AS11" i="2"/>
  <c r="AS12" i="2"/>
  <c r="AS14" i="2"/>
  <c r="AS13" i="2"/>
  <c r="AS15" i="2"/>
  <c r="AS16" i="2"/>
  <c r="AS17" i="2"/>
  <c r="AS21" i="2"/>
  <c r="AS19" i="2"/>
  <c r="AS18" i="2"/>
  <c r="AS20" i="2"/>
  <c r="AS23" i="2"/>
  <c r="AS22" i="2"/>
  <c r="AS25" i="2"/>
  <c r="AS24" i="2"/>
  <c r="AS26" i="2"/>
  <c r="AS27" i="2"/>
  <c r="AS28" i="2"/>
  <c r="AS29" i="2"/>
  <c r="AS31" i="2"/>
  <c r="AS30" i="2"/>
  <c r="AS32" i="2"/>
  <c r="AS33" i="2"/>
  <c r="AS35" i="2"/>
  <c r="AS37" i="2"/>
  <c r="AS34" i="2"/>
  <c r="AS36" i="2"/>
  <c r="AS38" i="2"/>
  <c r="AS39" i="2"/>
  <c r="AS42" i="2"/>
  <c r="AS40" i="2"/>
  <c r="AS41" i="2"/>
  <c r="AS45" i="2"/>
  <c r="AS43" i="2"/>
  <c r="AS44" i="2"/>
  <c r="AS49" i="2"/>
  <c r="AS46" i="2"/>
  <c r="AS47" i="2"/>
  <c r="AS48" i="2"/>
  <c r="AS50" i="2"/>
  <c r="AS51" i="2"/>
  <c r="AS52" i="2"/>
  <c r="AS54" i="2"/>
  <c r="AS53" i="2"/>
  <c r="AS55" i="2"/>
  <c r="AS57" i="2"/>
  <c r="AJ19" i="2" s="1"/>
  <c r="AS59" i="2"/>
  <c r="AS58" i="2"/>
  <c r="AS56" i="2"/>
  <c r="AS60" i="2"/>
  <c r="AS62" i="2"/>
  <c r="AS61" i="2"/>
  <c r="AS63" i="2"/>
  <c r="AS64" i="2"/>
  <c r="AS65" i="2"/>
  <c r="AS67" i="2"/>
  <c r="AS66" i="2"/>
  <c r="AS69" i="2"/>
  <c r="AS71" i="2"/>
  <c r="AS68" i="2"/>
  <c r="AS70" i="2"/>
  <c r="AS72" i="2"/>
  <c r="AS73" i="2"/>
  <c r="AS78" i="2"/>
  <c r="AS74" i="2"/>
  <c r="AS77" i="2"/>
  <c r="AS75" i="2"/>
  <c r="AS76" i="2"/>
  <c r="AS81" i="2"/>
  <c r="AS80" i="2"/>
  <c r="AS82" i="2"/>
  <c r="AS79" i="2"/>
  <c r="AS85" i="2"/>
  <c r="AS86" i="2"/>
  <c r="AS83" i="2"/>
  <c r="AS84" i="2"/>
  <c r="AS88" i="2"/>
  <c r="AS87" i="2"/>
  <c r="GX21" i="2"/>
  <c r="E101" i="19"/>
  <c r="F101" i="19" s="1"/>
  <c r="A102" i="19"/>
  <c r="C101" i="19"/>
  <c r="B101" i="19"/>
  <c r="D101" i="19" s="1"/>
  <c r="HO33" i="2"/>
  <c r="HN32" i="2"/>
  <c r="HY41" i="2"/>
  <c r="GV18" i="2"/>
  <c r="GT16" i="2"/>
  <c r="HC23" i="2"/>
  <c r="GW19" i="2"/>
  <c r="EA21" i="2"/>
  <c r="EE25" i="2"/>
  <c r="EK29" i="2"/>
  <c r="EO33" i="2"/>
  <c r="ER36" i="2"/>
  <c r="EX40" i="2"/>
  <c r="FB44" i="2"/>
  <c r="FH48" i="2"/>
  <c r="EW24" i="2"/>
  <c r="FA28" i="2"/>
  <c r="FG32" i="2"/>
  <c r="FK36" i="2"/>
  <c r="BJ100" i="5"/>
  <c r="BM99" i="5"/>
  <c r="BL99" i="5"/>
  <c r="BO99" i="5"/>
  <c r="BK99" i="5"/>
  <c r="BN99" i="5"/>
  <c r="GM47" i="5"/>
  <c r="GQ48" i="5"/>
  <c r="GW32" i="2"/>
  <c r="HD38" i="2"/>
  <c r="CQ44" i="5"/>
  <c r="GK46" i="5"/>
  <c r="GO46" i="5"/>
  <c r="GQ45" i="5"/>
  <c r="GL46" i="5"/>
  <c r="CQ49" i="5"/>
  <c r="CR49" i="5" s="1"/>
  <c r="HG41" i="2"/>
  <c r="GR45" i="5"/>
  <c r="GF45" i="5"/>
  <c r="GM45" i="5"/>
  <c r="GZ35" i="2"/>
  <c r="GV32" i="2"/>
  <c r="GL44" i="5"/>
  <c r="GK44" i="5"/>
  <c r="GU31" i="2"/>
  <c r="GN49" i="5"/>
  <c r="GM49" i="5"/>
  <c r="GY34" i="2"/>
  <c r="GV31" i="2"/>
  <c r="HE38" i="2"/>
  <c r="GN47" i="5"/>
  <c r="GP49" i="5"/>
  <c r="GI47" i="5"/>
  <c r="GI46" i="5"/>
  <c r="GG45" i="5"/>
  <c r="GI45" i="5"/>
  <c r="I98" i="5"/>
  <c r="H98" i="5"/>
  <c r="G99" i="5"/>
  <c r="BY22" i="5"/>
  <c r="BZ22" i="5" s="1"/>
  <c r="DZ47" i="5"/>
  <c r="DY46" i="5"/>
  <c r="DX45" i="5"/>
  <c r="DW44" i="5"/>
  <c r="DV43" i="5"/>
  <c r="DU42" i="5"/>
  <c r="DT41" i="5"/>
  <c r="DS40" i="5"/>
  <c r="DR39" i="5"/>
  <c r="DQ38" i="5"/>
  <c r="DP37" i="5"/>
  <c r="DO36" i="5"/>
  <c r="DN35" i="5"/>
  <c r="DM34" i="5"/>
  <c r="CL33" i="5"/>
  <c r="DL33" i="5"/>
  <c r="DK32" i="5"/>
  <c r="DJ31" i="5"/>
  <c r="DI30" i="5"/>
  <c r="DH29" i="5"/>
  <c r="DG28" i="5"/>
  <c r="DF27" i="5"/>
  <c r="DE26" i="5"/>
  <c r="DD25" i="5"/>
  <c r="DC24" i="5"/>
  <c r="DB23" i="5"/>
  <c r="DA22" i="5"/>
  <c r="CZ21" i="5"/>
  <c r="CY20" i="5"/>
  <c r="DZ56" i="5"/>
  <c r="DY55" i="5"/>
  <c r="DX54" i="5"/>
  <c r="DW53" i="5"/>
  <c r="DV52" i="5"/>
  <c r="DU51" i="5"/>
  <c r="DT50" i="5"/>
  <c r="DS49" i="5"/>
  <c r="DR48" i="5"/>
  <c r="DQ47" i="5"/>
  <c r="DP46" i="5"/>
  <c r="DO45" i="5"/>
  <c r="DN44" i="5"/>
  <c r="DM43" i="5"/>
  <c r="CL43" i="5"/>
  <c r="DL42" i="5"/>
  <c r="DK41" i="5"/>
  <c r="DJ40" i="5"/>
  <c r="DI39" i="5"/>
  <c r="DH38" i="5"/>
  <c r="DG37" i="5"/>
  <c r="DF36" i="5"/>
  <c r="DE35" i="5"/>
  <c r="DD34" i="5"/>
  <c r="DC33" i="5"/>
  <c r="DB32" i="5"/>
  <c r="DA31" i="5"/>
  <c r="CZ30" i="5"/>
  <c r="CY29" i="5"/>
  <c r="CX28" i="5"/>
  <c r="CW27" i="5"/>
  <c r="CV26" i="5"/>
  <c r="DT56" i="5"/>
  <c r="DS55" i="5"/>
  <c r="DR54" i="5"/>
  <c r="DQ53" i="5"/>
  <c r="DP52" i="5"/>
  <c r="DO51" i="5"/>
  <c r="CL50" i="5"/>
  <c r="DN50" i="5"/>
  <c r="DM49" i="5"/>
  <c r="DL48" i="5"/>
  <c r="DK47" i="5"/>
  <c r="DJ46" i="5"/>
  <c r="DI45" i="5"/>
  <c r="DH44" i="5"/>
  <c r="DG43" i="5"/>
  <c r="DF42" i="5"/>
  <c r="DE41" i="5"/>
  <c r="DD40" i="5"/>
  <c r="DC39" i="5"/>
  <c r="DB38" i="5"/>
  <c r="GR14" i="5"/>
  <c r="GM9" i="5"/>
  <c r="GP12" i="5"/>
  <c r="GN10" i="5"/>
  <c r="DA37" i="5"/>
  <c r="GQ13" i="5"/>
  <c r="GO11" i="5"/>
  <c r="CZ36" i="5"/>
  <c r="CY35" i="5"/>
  <c r="CX34" i="5"/>
  <c r="CW33" i="5"/>
  <c r="CV32" i="5"/>
  <c r="DC55" i="5"/>
  <c r="CV48" i="5"/>
  <c r="GN26" i="5"/>
  <c r="GK23" i="5"/>
  <c r="FX10" i="5"/>
  <c r="GJ22" i="5"/>
  <c r="GP28" i="5"/>
  <c r="GB14" i="5"/>
  <c r="GQ29" i="5"/>
  <c r="DD56" i="5"/>
  <c r="DA53" i="5"/>
  <c r="CY51" i="5"/>
  <c r="GR30" i="5"/>
  <c r="CZ52" i="5"/>
  <c r="CX50" i="5"/>
  <c r="CW49" i="5"/>
  <c r="FZ12" i="5"/>
  <c r="FW9" i="5"/>
  <c r="GH20" i="5"/>
  <c r="GO27" i="5"/>
  <c r="GM25" i="5"/>
  <c r="GL24" i="5"/>
  <c r="GD16" i="5"/>
  <c r="DB54" i="5"/>
  <c r="GE17" i="5"/>
  <c r="CQ20" i="5"/>
  <c r="GI21" i="5"/>
  <c r="FY11" i="5"/>
  <c r="GC15" i="5"/>
  <c r="GA13" i="5"/>
  <c r="GF18" i="5"/>
  <c r="GG19" i="5"/>
  <c r="CQ41" i="5"/>
  <c r="GI40" i="5"/>
  <c r="FV27" i="5"/>
  <c r="FP21" i="5"/>
  <c r="FT25" i="5"/>
  <c r="FX29" i="5"/>
  <c r="GA32" i="5"/>
  <c r="GK42" i="5"/>
  <c r="GC34" i="5"/>
  <c r="GB33" i="5"/>
  <c r="FQ22" i="5"/>
  <c r="FY30" i="5"/>
  <c r="GL43" i="5"/>
  <c r="GG38" i="5"/>
  <c r="GH39" i="5"/>
  <c r="GF37" i="5"/>
  <c r="GD35" i="5"/>
  <c r="FW28" i="5"/>
  <c r="FO20" i="5"/>
  <c r="FR23" i="5"/>
  <c r="FN19" i="5"/>
  <c r="GE36" i="5"/>
  <c r="GJ41" i="5"/>
  <c r="FS24" i="5"/>
  <c r="FU26" i="5"/>
  <c r="FZ31" i="5"/>
  <c r="HW34" i="2"/>
  <c r="HS32" i="2"/>
  <c r="HT33" i="2"/>
  <c r="GV13" i="2"/>
  <c r="HF21" i="2"/>
  <c r="GU12" i="2"/>
  <c r="GW14" i="2"/>
  <c r="HH23" i="2"/>
  <c r="EA29" i="2"/>
  <c r="EE33" i="2"/>
  <c r="EK37" i="2"/>
  <c r="EL38" i="2"/>
  <c r="EU45" i="2"/>
  <c r="EY49" i="2"/>
  <c r="FE53" i="2"/>
  <c r="FJ24" i="2"/>
  <c r="IA33" i="2"/>
  <c r="HW29" i="2"/>
  <c r="HC13" i="2"/>
  <c r="EA53" i="2"/>
  <c r="HF16" i="2"/>
  <c r="EB54" i="2"/>
  <c r="HT28" i="2"/>
  <c r="HN22" i="2"/>
  <c r="EC52" i="2"/>
  <c r="HC10" i="2"/>
  <c r="IB31" i="2"/>
  <c r="HR23" i="2"/>
  <c r="HW26" i="2"/>
  <c r="ED53" i="2"/>
  <c r="HQ22" i="2"/>
  <c r="HN19" i="2"/>
  <c r="ER56" i="2"/>
  <c r="HR14" i="2"/>
  <c r="EO53" i="2"/>
  <c r="EA41" i="2"/>
  <c r="EC43" i="2"/>
  <c r="EF46" i="2"/>
  <c r="HX18" i="2"/>
  <c r="HO11" i="2"/>
  <c r="EB34" i="2"/>
  <c r="IB14" i="2"/>
  <c r="HY11" i="2"/>
  <c r="EG39" i="2"/>
  <c r="EM43" i="2"/>
  <c r="EV50" i="2"/>
  <c r="EZ54" i="2"/>
  <c r="EA22" i="2"/>
  <c r="EE26" i="2"/>
  <c r="EK30" i="2"/>
  <c r="ER37" i="2"/>
  <c r="EX41" i="2"/>
  <c r="FB45" i="2"/>
  <c r="FH49" i="2"/>
  <c r="EU24" i="2"/>
  <c r="EY28" i="2"/>
  <c r="FE32" i="2"/>
  <c r="FI36" i="2"/>
  <c r="ED34" i="2"/>
  <c r="HY9" i="2"/>
  <c r="EG37" i="2"/>
  <c r="EM41" i="2"/>
  <c r="EP44" i="2"/>
  <c r="EV48" i="2"/>
  <c r="EZ52" i="2"/>
  <c r="FF56" i="2"/>
  <c r="IC38" i="2"/>
  <c r="HY34" i="2"/>
  <c r="HJ23" i="2"/>
  <c r="HD17" i="2"/>
  <c r="HP27" i="2"/>
  <c r="GT9" i="2"/>
  <c r="HT31" i="2"/>
  <c r="GZ15" i="2"/>
  <c r="IB38" i="2"/>
  <c r="HZ36" i="2"/>
  <c r="HO27" i="2"/>
  <c r="HR30" i="2"/>
  <c r="HF20" i="2"/>
  <c r="GX14" i="2"/>
  <c r="HH22" i="2"/>
  <c r="GT10" i="2"/>
  <c r="HS12" i="2"/>
  <c r="HY16" i="2"/>
  <c r="HP9" i="2"/>
  <c r="EA38" i="2"/>
  <c r="EG44" i="2"/>
  <c r="EM48" i="2"/>
  <c r="EW56" i="2"/>
  <c r="HR43" i="2"/>
  <c r="HF33" i="2"/>
  <c r="HJ37" i="2"/>
  <c r="GY28" i="2"/>
  <c r="GX27" i="2"/>
  <c r="GZ29" i="2"/>
  <c r="HM14" i="2"/>
  <c r="HQ18" i="2"/>
  <c r="EB47" i="2"/>
  <c r="HF9" i="2"/>
  <c r="ED49" i="2"/>
  <c r="HY24" i="2"/>
  <c r="EM56" i="2"/>
  <c r="EL55" i="2"/>
  <c r="EL22" i="2"/>
  <c r="EO25" i="2"/>
  <c r="EU29" i="2"/>
  <c r="EY33" i="2"/>
  <c r="FE37" i="2"/>
  <c r="FI41" i="2"/>
  <c r="BY37" i="5"/>
  <c r="BZ37" i="5" s="1"/>
  <c r="BR37" i="5"/>
  <c r="BK37" i="5"/>
  <c r="EC26" i="2"/>
  <c r="EG30" i="2"/>
  <c r="EM34" i="2"/>
  <c r="EP37" i="2"/>
  <c r="EV41" i="2"/>
  <c r="EZ45" i="2"/>
  <c r="FF49" i="2"/>
  <c r="FJ53" i="2"/>
  <c r="FE22" i="2"/>
  <c r="FI26" i="2"/>
  <c r="GV30" i="2"/>
  <c r="HZ16" i="2"/>
  <c r="HS11" i="2"/>
  <c r="IB18" i="2"/>
  <c r="EB38" i="2"/>
  <c r="EF42" i="2"/>
  <c r="EL46" i="2"/>
  <c r="EP50" i="2"/>
  <c r="EU53" i="2"/>
  <c r="EK24" i="2"/>
  <c r="EO28" i="2"/>
  <c r="ER31" i="2"/>
  <c r="EX35" i="2"/>
  <c r="FB39" i="2"/>
  <c r="FH43" i="2"/>
  <c r="FF24" i="2"/>
  <c r="FJ28" i="2"/>
  <c r="EW20" i="2"/>
  <c r="HC24" i="2"/>
  <c r="HP43" i="2"/>
  <c r="FU33" i="5"/>
  <c r="FY37" i="5"/>
  <c r="FT32" i="5"/>
  <c r="GA39" i="5"/>
  <c r="FZ38" i="5"/>
  <c r="GE43" i="5"/>
  <c r="FW35" i="5"/>
  <c r="FO27" i="5"/>
  <c r="FX36" i="5"/>
  <c r="FV34" i="5"/>
  <c r="GC41" i="5"/>
  <c r="GD42" i="5"/>
  <c r="GB40" i="5"/>
  <c r="FR30" i="5"/>
  <c r="FQ29" i="5"/>
  <c r="FN26" i="5"/>
  <c r="FP28" i="5"/>
  <c r="FS31" i="5"/>
  <c r="HY37" i="2"/>
  <c r="HT34" i="2"/>
  <c r="GW15" i="2"/>
  <c r="HG23" i="2"/>
  <c r="HO29" i="2"/>
  <c r="HP30" i="2"/>
  <c r="GU13" i="2"/>
  <c r="HJ26" i="2"/>
  <c r="HS22" i="2"/>
  <c r="HG12" i="2"/>
  <c r="EC50" i="2"/>
  <c r="HO18" i="2"/>
  <c r="HH13" i="2"/>
  <c r="EK56" i="2"/>
  <c r="IC30" i="2"/>
  <c r="HE10" i="2"/>
  <c r="HR13" i="2"/>
  <c r="EB41" i="2"/>
  <c r="HT15" i="2"/>
  <c r="HZ19" i="2"/>
  <c r="HO10" i="2"/>
  <c r="EN51" i="2"/>
  <c r="EL49" i="2"/>
  <c r="EC34" i="2"/>
  <c r="HY10" i="2"/>
  <c r="IA12" i="2"/>
  <c r="EK40" i="2"/>
  <c r="EO44" i="2"/>
  <c r="ER47" i="2"/>
  <c r="EX51" i="2"/>
  <c r="FB55" i="2"/>
  <c r="EB26" i="2"/>
  <c r="EF30" i="2"/>
  <c r="EL34" i="2"/>
  <c r="EU41" i="2"/>
  <c r="EY45" i="2"/>
  <c r="FE49" i="2"/>
  <c r="FI53" i="2"/>
  <c r="ED21" i="2"/>
  <c r="EH25" i="2"/>
  <c r="EN29" i="2"/>
  <c r="EW36" i="2"/>
  <c r="FA40" i="2"/>
  <c r="FG44" i="2"/>
  <c r="FK48" i="2"/>
  <c r="FA23" i="2"/>
  <c r="FG27" i="2"/>
  <c r="FK31" i="2"/>
  <c r="AX98" i="5"/>
  <c r="AT98" i="5"/>
  <c r="AW98" i="5"/>
  <c r="AQ99" i="5"/>
  <c r="DZ25" i="5"/>
  <c r="DY24" i="5"/>
  <c r="DX23" i="5"/>
  <c r="DW22" i="5"/>
  <c r="DV21" i="5"/>
  <c r="DU20" i="5"/>
  <c r="DZ48" i="5"/>
  <c r="DY47" i="5"/>
  <c r="DX46" i="5"/>
  <c r="DW45" i="5"/>
  <c r="DV44" i="5"/>
  <c r="DU43" i="5"/>
  <c r="DT42" i="5"/>
  <c r="DS41" i="5"/>
  <c r="DR40" i="5"/>
  <c r="DQ39" i="5"/>
  <c r="DP38" i="5"/>
  <c r="DO37" i="5"/>
  <c r="DN36" i="5"/>
  <c r="DM35" i="5"/>
  <c r="CL35" i="5"/>
  <c r="DL34" i="5"/>
  <c r="CL34" i="5"/>
  <c r="DK33" i="5"/>
  <c r="DJ32" i="5"/>
  <c r="DI31" i="5"/>
  <c r="DH30" i="5"/>
  <c r="DG29" i="5"/>
  <c r="DF28" i="5"/>
  <c r="DE27" i="5"/>
  <c r="DD26" i="5"/>
  <c r="DC25" i="5"/>
  <c r="DB24" i="5"/>
  <c r="DA23" i="5"/>
  <c r="CZ22" i="5"/>
  <c r="CY21" i="5"/>
  <c r="CX20" i="5"/>
  <c r="DY56" i="5"/>
  <c r="DX55" i="5"/>
  <c r="DW54" i="5"/>
  <c r="DV53" i="5"/>
  <c r="DU52" i="5"/>
  <c r="DT51" i="5"/>
  <c r="DS50" i="5"/>
  <c r="DR49" i="5"/>
  <c r="DQ48" i="5"/>
  <c r="DP47" i="5"/>
  <c r="DO46" i="5"/>
  <c r="CL45" i="5"/>
  <c r="DN45" i="5"/>
  <c r="DM44" i="5"/>
  <c r="CL44" i="5"/>
  <c r="DL43" i="5"/>
  <c r="DK42" i="5"/>
  <c r="DJ41" i="5"/>
  <c r="DI40" i="5"/>
  <c r="DH39" i="5"/>
  <c r="DG38" i="5"/>
  <c r="GR9" i="5"/>
  <c r="DF37" i="5"/>
  <c r="DE36" i="5"/>
  <c r="DD35" i="5"/>
  <c r="DC34" i="5"/>
  <c r="DB33" i="5"/>
  <c r="DA32" i="5"/>
  <c r="CZ31" i="5"/>
  <c r="CY30" i="5"/>
  <c r="CX29" i="5"/>
  <c r="CW28" i="5"/>
  <c r="CV27" i="5"/>
  <c r="DQ56" i="5"/>
  <c r="DP55" i="5"/>
  <c r="DO54" i="5"/>
  <c r="CL53" i="5"/>
  <c r="DN53" i="5"/>
  <c r="DM52" i="5"/>
  <c r="DL51" i="5"/>
  <c r="DK50" i="5"/>
  <c r="DJ49" i="5"/>
  <c r="DI48" i="5"/>
  <c r="DH47" i="5"/>
  <c r="DG46" i="5"/>
  <c r="DF45" i="5"/>
  <c r="DE44" i="5"/>
  <c r="DD43" i="5"/>
  <c r="DC42" i="5"/>
  <c r="DB41" i="5"/>
  <c r="DA40" i="5"/>
  <c r="CZ39" i="5"/>
  <c r="CY38" i="5"/>
  <c r="GJ9" i="5"/>
  <c r="GO14" i="5"/>
  <c r="GQ16" i="5"/>
  <c r="GN13" i="5"/>
  <c r="GR17" i="5"/>
  <c r="CX37" i="5"/>
  <c r="GP15" i="5"/>
  <c r="GK10" i="5"/>
  <c r="GL11" i="5"/>
  <c r="GM12" i="5"/>
  <c r="CW36" i="5"/>
  <c r="CV35" i="5"/>
  <c r="DH54" i="5"/>
  <c r="DG53" i="5"/>
  <c r="DE51" i="5"/>
  <c r="CX44" i="5"/>
  <c r="CV42" i="5"/>
  <c r="GG13" i="5"/>
  <c r="GI15" i="5"/>
  <c r="GK17" i="5"/>
  <c r="GE11" i="5"/>
  <c r="GL18" i="5"/>
  <c r="GQ23" i="5"/>
  <c r="GR24" i="5"/>
  <c r="GP22" i="5"/>
  <c r="GM19" i="5"/>
  <c r="DA47" i="5"/>
  <c r="CZ46" i="5"/>
  <c r="GF12" i="5"/>
  <c r="GO21" i="5"/>
  <c r="GJ16" i="5"/>
  <c r="DJ56" i="5"/>
  <c r="CY45" i="5"/>
  <c r="CW43" i="5"/>
  <c r="GD10" i="5"/>
  <c r="GH14" i="5"/>
  <c r="DI55" i="5"/>
  <c r="DF52" i="5"/>
  <c r="DC49" i="5"/>
  <c r="DB48" i="5"/>
  <c r="CQ13" i="5"/>
  <c r="GN20" i="5"/>
  <c r="DD50" i="5"/>
  <c r="GC9" i="5"/>
  <c r="DA56" i="5"/>
  <c r="FU10" i="5"/>
  <c r="GE20" i="5"/>
  <c r="GG22" i="5"/>
  <c r="GO30" i="5"/>
  <c r="GD19" i="5"/>
  <c r="CQ23" i="5"/>
  <c r="GJ25" i="5"/>
  <c r="FW12" i="5"/>
  <c r="CZ55" i="5"/>
  <c r="CW52" i="5"/>
  <c r="FX13" i="5"/>
  <c r="CX53" i="5"/>
  <c r="CV51" i="5"/>
  <c r="GL27" i="5"/>
  <c r="GA16" i="5"/>
  <c r="GC18" i="5"/>
  <c r="GN29" i="5"/>
  <c r="FT9" i="5"/>
  <c r="FY14" i="5"/>
  <c r="GB17" i="5"/>
  <c r="GF21" i="5"/>
  <c r="GI24" i="5"/>
  <c r="GM28" i="5"/>
  <c r="FV11" i="5"/>
  <c r="FZ15" i="5"/>
  <c r="GH23" i="5"/>
  <c r="CY54" i="5"/>
  <c r="GK26" i="5"/>
  <c r="GP31" i="5"/>
  <c r="GR33" i="5"/>
  <c r="GQ32" i="5"/>
  <c r="GB27" i="5"/>
  <c r="GE30" i="5"/>
  <c r="FR17" i="5"/>
  <c r="FW22" i="5"/>
  <c r="FQ16" i="5"/>
  <c r="GA26" i="5"/>
  <c r="GD29" i="5"/>
  <c r="FO14" i="5"/>
  <c r="FU20" i="5"/>
  <c r="FZ25" i="5"/>
  <c r="GC28" i="5"/>
  <c r="FS18" i="5"/>
  <c r="FX23" i="5"/>
  <c r="FT19" i="5"/>
  <c r="FN13" i="5"/>
  <c r="FP15" i="5"/>
  <c r="FY24" i="5"/>
  <c r="FV21" i="5"/>
  <c r="GF31" i="5"/>
  <c r="GN39" i="5"/>
  <c r="GK36" i="5"/>
  <c r="GI34" i="5"/>
  <c r="GM38" i="5"/>
  <c r="GG32" i="5"/>
  <c r="CQ34" i="5"/>
  <c r="GJ35" i="5"/>
  <c r="GO40" i="5"/>
  <c r="GQ42" i="5"/>
  <c r="GH33" i="5"/>
  <c r="GL37" i="5"/>
  <c r="GP41" i="5"/>
  <c r="GR43" i="5"/>
  <c r="EM22" i="2"/>
  <c r="EP25" i="2"/>
  <c r="EV29" i="2"/>
  <c r="EZ33" i="2"/>
  <c r="FF37" i="2"/>
  <c r="FJ41" i="2"/>
  <c r="HM35" i="2"/>
  <c r="HC27" i="2"/>
  <c r="GT20" i="2"/>
  <c r="HJ34" i="2"/>
  <c r="CR34" i="2"/>
  <c r="CS34" i="2" s="1"/>
  <c r="GZ26" i="2"/>
  <c r="IC42" i="2"/>
  <c r="HZ39" i="2"/>
  <c r="HR33" i="2"/>
  <c r="HM28" i="2"/>
  <c r="GX17" i="2"/>
  <c r="HG24" i="2"/>
  <c r="GV15" i="2"/>
  <c r="HE22" i="2"/>
  <c r="EN54" i="2"/>
  <c r="HY21" i="2"/>
  <c r="ED46" i="2"/>
  <c r="EA43" i="2"/>
  <c r="HQ15" i="2"/>
  <c r="EK51" i="2"/>
  <c r="EL52" i="2"/>
  <c r="EA34" i="2"/>
  <c r="IA14" i="2"/>
  <c r="ED37" i="2"/>
  <c r="EE38" i="2"/>
  <c r="EK42" i="2"/>
  <c r="EO46" i="2"/>
  <c r="ER49" i="2"/>
  <c r="EX53" i="2"/>
  <c r="EH24" i="2"/>
  <c r="EN28" i="2"/>
  <c r="EW35" i="2"/>
  <c r="FA39" i="2"/>
  <c r="FG43" i="2"/>
  <c r="FK47" i="2"/>
  <c r="EZ23" i="2"/>
  <c r="FF27" i="2"/>
  <c r="FJ31" i="2"/>
  <c r="FG22" i="2"/>
  <c r="FK26" i="2"/>
  <c r="BY28" i="5"/>
  <c r="BZ28" i="5" s="1"/>
  <c r="BK28" i="5"/>
  <c r="BR28" i="5"/>
  <c r="IB28" i="2"/>
  <c r="HY25" i="2"/>
  <c r="HZ26" i="2"/>
  <c r="IC29" i="2"/>
  <c r="HG11" i="2"/>
  <c r="HH12" i="2"/>
  <c r="EL56" i="2"/>
  <c r="EK55" i="2"/>
  <c r="EC21" i="2"/>
  <c r="EG25" i="2"/>
  <c r="EM29" i="2"/>
  <c r="EP32" i="2"/>
  <c r="EV36" i="2"/>
  <c r="EZ40" i="2"/>
  <c r="FF44" i="2"/>
  <c r="FJ48" i="2"/>
  <c r="HZ24" i="2"/>
  <c r="CR10" i="2"/>
  <c r="CS10" i="2" s="1"/>
  <c r="EL54" i="2"/>
  <c r="EA45" i="2"/>
  <c r="HS19" i="2"/>
  <c r="EN56" i="2"/>
  <c r="HO15" i="2"/>
  <c r="HN14" i="2"/>
  <c r="HX16" i="2"/>
  <c r="HR12" i="2"/>
  <c r="IC21" i="2"/>
  <c r="EB40" i="2"/>
  <c r="EH46" i="2"/>
  <c r="EN50" i="2"/>
  <c r="ER54" i="2"/>
  <c r="HC33" i="2"/>
  <c r="BY55" i="5"/>
  <c r="BZ55" i="5" s="1"/>
  <c r="BR55" i="5"/>
  <c r="BK55" i="5"/>
  <c r="BY43" i="5"/>
  <c r="BZ43" i="5" s="1"/>
  <c r="BK43" i="5"/>
  <c r="BR43" i="5"/>
  <c r="AS92" i="2"/>
  <c r="HJ9" i="2"/>
  <c r="HQ14" i="2"/>
  <c r="EA42" i="2"/>
  <c r="HO12" i="2"/>
  <c r="HW18" i="2"/>
  <c r="EF47" i="2"/>
  <c r="ED45" i="2"/>
  <c r="HX19" i="2"/>
  <c r="EA23" i="2"/>
  <c r="EE27" i="2"/>
  <c r="EK31" i="2"/>
  <c r="EO35" i="2"/>
  <c r="ER38" i="2"/>
  <c r="EX42" i="2"/>
  <c r="FB46" i="2"/>
  <c r="FH50" i="2"/>
  <c r="EZ24" i="2"/>
  <c r="FF28" i="2"/>
  <c r="FJ32" i="2"/>
  <c r="FI22" i="2"/>
  <c r="HS39" i="2"/>
  <c r="HW41" i="2"/>
  <c r="HO35" i="2"/>
  <c r="GS17" i="2"/>
  <c r="HM33" i="2"/>
  <c r="HC25" i="2"/>
  <c r="HH30" i="2"/>
  <c r="EA35" i="2"/>
  <c r="HW11" i="2"/>
  <c r="HT10" i="2"/>
  <c r="ED38" i="2"/>
  <c r="EH42" i="2"/>
  <c r="EN46" i="2"/>
  <c r="EW53" i="2"/>
  <c r="GY33" i="2"/>
  <c r="EP19" i="2"/>
  <c r="EE19" i="2"/>
  <c r="FB19" i="2"/>
  <c r="EZ19" i="2"/>
  <c r="EY19" i="2"/>
  <c r="IL19" i="2"/>
  <c r="IF19" i="2" s="1"/>
  <c r="IG19" i="2" s="1"/>
  <c r="II19" i="2" s="1"/>
  <c r="FF19" i="2"/>
  <c r="AO20" i="2"/>
  <c r="AN20" i="2"/>
  <c r="IA32" i="2"/>
  <c r="EC54" i="2"/>
  <c r="CR18" i="2"/>
  <c r="CS18" i="2" s="1"/>
  <c r="HF15" i="2"/>
  <c r="HT27" i="2"/>
  <c r="HD13" i="2"/>
  <c r="EA52" i="2"/>
  <c r="HG16" i="2"/>
  <c r="EA28" i="2"/>
  <c r="EE32" i="2"/>
  <c r="EK36" i="2"/>
  <c r="EM38" i="2"/>
  <c r="EP41" i="2"/>
  <c r="EV45" i="2"/>
  <c r="EZ49" i="2"/>
  <c r="FF53" i="2"/>
  <c r="FH24" i="2"/>
  <c r="DZ26" i="5"/>
  <c r="DY25" i="5"/>
  <c r="DX24" i="5"/>
  <c r="DW23" i="5"/>
  <c r="DV22" i="5"/>
  <c r="DU21" i="5"/>
  <c r="DT20" i="5"/>
  <c r="DZ41" i="5"/>
  <c r="DY40" i="5"/>
  <c r="DX39" i="5"/>
  <c r="DW38" i="5"/>
  <c r="DV37" i="5"/>
  <c r="DU36" i="5"/>
  <c r="DT35" i="5"/>
  <c r="DS34" i="5"/>
  <c r="DR33" i="5"/>
  <c r="DQ32" i="5"/>
  <c r="DP31" i="5"/>
  <c r="DO30" i="5"/>
  <c r="DN29" i="5"/>
  <c r="DM28" i="5"/>
  <c r="DL27" i="5"/>
  <c r="CL27" i="5"/>
  <c r="DK26" i="5"/>
  <c r="DJ25" i="5"/>
  <c r="DI24" i="5"/>
  <c r="DH23" i="5"/>
  <c r="DG22" i="5"/>
  <c r="DF21" i="5"/>
  <c r="DE20" i="5"/>
  <c r="HG33" i="2"/>
  <c r="GV24" i="2"/>
  <c r="HJ36" i="2"/>
  <c r="HO39" i="2"/>
  <c r="GX26" i="2"/>
  <c r="GW25" i="2"/>
  <c r="HR35" i="2"/>
  <c r="HP33" i="2"/>
  <c r="HQ34" i="2"/>
  <c r="HC22" i="2"/>
  <c r="HM30" i="2"/>
  <c r="GT15" i="2"/>
  <c r="HJ29" i="2"/>
  <c r="GV17" i="2"/>
  <c r="EL24" i="2"/>
  <c r="EO27" i="2"/>
  <c r="ER30" i="2"/>
  <c r="EX34" i="2"/>
  <c r="FB38" i="2"/>
  <c r="FH42" i="2"/>
  <c r="FB23" i="2"/>
  <c r="FH27" i="2"/>
  <c r="BY53" i="5"/>
  <c r="BZ53" i="5" s="1"/>
  <c r="BK53" i="5"/>
  <c r="BR53" i="5"/>
  <c r="EX23" i="2"/>
  <c r="FB27" i="2"/>
  <c r="FH31" i="2"/>
  <c r="HH36" i="2"/>
  <c r="HJ38" i="2"/>
  <c r="GU25" i="2"/>
  <c r="HN40" i="2"/>
  <c r="HM39" i="2"/>
  <c r="HS35" i="2"/>
  <c r="HQ33" i="2"/>
  <c r="IA41" i="2"/>
  <c r="GV16" i="2"/>
  <c r="GT14" i="2"/>
  <c r="GS13" i="2"/>
  <c r="GZ20" i="2"/>
  <c r="GX18" i="2"/>
  <c r="EB31" i="2"/>
  <c r="EF35" i="2"/>
  <c r="IA10" i="2"/>
  <c r="EL39" i="2"/>
  <c r="ER45" i="2"/>
  <c r="EX49" i="2"/>
  <c r="FB53" i="2"/>
  <c r="EW23" i="2"/>
  <c r="FA27" i="2"/>
  <c r="FG31" i="2"/>
  <c r="FK35" i="2"/>
  <c r="EG20" i="2"/>
  <c r="EM20" i="2"/>
  <c r="AV93" i="2"/>
  <c r="AU93" i="2"/>
  <c r="FJ38" i="2"/>
  <c r="DZ27" i="5"/>
  <c r="DY26" i="5"/>
  <c r="DX25" i="5"/>
  <c r="DW24" i="5"/>
  <c r="DV23" i="5"/>
  <c r="DU22" i="5"/>
  <c r="DT21" i="5"/>
  <c r="DS20" i="5"/>
  <c r="DB50" i="5"/>
  <c r="DA49" i="5"/>
  <c r="CX46" i="5"/>
  <c r="GO23" i="5"/>
  <c r="GH16" i="5"/>
  <c r="GQ25" i="5"/>
  <c r="GP24" i="5"/>
  <c r="GL20" i="5"/>
  <c r="GC11" i="5"/>
  <c r="GJ18" i="5"/>
  <c r="CQ15" i="5"/>
  <c r="GF14" i="5"/>
  <c r="DH56" i="5"/>
  <c r="DG55" i="5"/>
  <c r="DD52" i="5"/>
  <c r="CY47" i="5"/>
  <c r="CV44" i="5"/>
  <c r="GM21" i="5"/>
  <c r="GN22" i="5"/>
  <c r="DF54" i="5"/>
  <c r="DE53" i="5"/>
  <c r="CW45" i="5"/>
  <c r="GD12" i="5"/>
  <c r="GE13" i="5"/>
  <c r="GG15" i="5"/>
  <c r="GK19" i="5"/>
  <c r="GB10" i="5"/>
  <c r="GA9" i="5"/>
  <c r="GI17" i="5"/>
  <c r="DC51" i="5"/>
  <c r="CZ48" i="5"/>
  <c r="GR26" i="5"/>
  <c r="FX33" i="5"/>
  <c r="GH43" i="5"/>
  <c r="FT29" i="5"/>
  <c r="FQ26" i="5"/>
  <c r="GG42" i="5"/>
  <c r="FU30" i="5"/>
  <c r="GD39" i="5"/>
  <c r="GB37" i="5"/>
  <c r="FN23" i="5"/>
  <c r="FZ35" i="5"/>
  <c r="FP25" i="5"/>
  <c r="FR27" i="5"/>
  <c r="GA36" i="5"/>
  <c r="FY34" i="5"/>
  <c r="FW32" i="5"/>
  <c r="GE40" i="5"/>
  <c r="GF41" i="5"/>
  <c r="GC38" i="5"/>
  <c r="FO24" i="5"/>
  <c r="FS28" i="5"/>
  <c r="FV31" i="5"/>
  <c r="HJ22" i="2"/>
  <c r="EH34" i="2"/>
  <c r="EV44" i="2"/>
  <c r="EO22" i="2"/>
  <c r="FE34" i="2"/>
  <c r="BY39" i="5"/>
  <c r="BZ39" i="5" s="1"/>
  <c r="BR39" i="5"/>
  <c r="BK39" i="5"/>
  <c r="FE44" i="2"/>
  <c r="IB30" i="2"/>
  <c r="FA33" i="2"/>
  <c r="IB46" i="2"/>
  <c r="H98" i="2"/>
  <c r="G99" i="2"/>
  <c r="I98" i="2"/>
  <c r="EA36" i="2"/>
  <c r="EC38" i="2"/>
  <c r="EV53" i="2"/>
  <c r="FH99" i="5"/>
  <c r="EY99" i="5"/>
  <c r="EU99" i="5"/>
  <c r="EP99" i="5"/>
  <c r="EL99" i="5"/>
  <c r="EG99" i="5"/>
  <c r="EC99" i="5"/>
  <c r="DY99" i="5"/>
  <c r="DU99" i="5"/>
  <c r="DQ99" i="5"/>
  <c r="DM99" i="5"/>
  <c r="DI99" i="5"/>
  <c r="DE99" i="5"/>
  <c r="DA99" i="5"/>
  <c r="CW99" i="5"/>
  <c r="FK99" i="5"/>
  <c r="FG99" i="5"/>
  <c r="FB99" i="5"/>
  <c r="EX99" i="5"/>
  <c r="EO99" i="5"/>
  <c r="EK99" i="5"/>
  <c r="EF99" i="5"/>
  <c r="EB99" i="5"/>
  <c r="DX99" i="5"/>
  <c r="DT99" i="5"/>
  <c r="DP99" i="5"/>
  <c r="DL99" i="5"/>
  <c r="DH99" i="5"/>
  <c r="DD99" i="5"/>
  <c r="CZ99" i="5"/>
  <c r="CV99" i="5"/>
  <c r="FJ99" i="5"/>
  <c r="FF99" i="5"/>
  <c r="FA99" i="5"/>
  <c r="EW99" i="5"/>
  <c r="ER99" i="5"/>
  <c r="EN99" i="5"/>
  <c r="EE99" i="5"/>
  <c r="EA99" i="5"/>
  <c r="DW99" i="5"/>
  <c r="DS99" i="5"/>
  <c r="DO99" i="5"/>
  <c r="DK99" i="5"/>
  <c r="DG99" i="5"/>
  <c r="DC99" i="5"/>
  <c r="CY99" i="5"/>
  <c r="CU100" i="5"/>
  <c r="FI99" i="5"/>
  <c r="FE99" i="5"/>
  <c r="EZ99" i="5"/>
  <c r="EV99" i="5"/>
  <c r="EQ99" i="5"/>
  <c r="EM99" i="5"/>
  <c r="EH99" i="5"/>
  <c r="ED99" i="5"/>
  <c r="DZ99" i="5"/>
  <c r="DV99" i="5"/>
  <c r="DR99" i="5"/>
  <c r="DN99" i="5"/>
  <c r="DJ99" i="5"/>
  <c r="DF99" i="5"/>
  <c r="DB99" i="5"/>
  <c r="CX99" i="5"/>
  <c r="DI54" i="5"/>
  <c r="GQ22" i="5"/>
  <c r="CQ12" i="5"/>
  <c r="GF11" i="5"/>
  <c r="GH13" i="5"/>
  <c r="GG12" i="5"/>
  <c r="DJ55" i="5"/>
  <c r="DD49" i="5"/>
  <c r="DA46" i="5"/>
  <c r="CY44" i="5"/>
  <c r="CX43" i="5"/>
  <c r="CV41" i="5"/>
  <c r="GN19" i="5"/>
  <c r="GP21" i="5"/>
  <c r="GK16" i="5"/>
  <c r="GE10" i="5"/>
  <c r="DH53" i="5"/>
  <c r="DF51" i="5"/>
  <c r="DB47" i="5"/>
  <c r="CW42" i="5"/>
  <c r="GL17" i="5"/>
  <c r="GD9" i="5"/>
  <c r="GI14" i="5"/>
  <c r="GO20" i="5"/>
  <c r="DE50" i="5"/>
  <c r="DC48" i="5"/>
  <c r="GM18" i="5"/>
  <c r="DK56" i="5"/>
  <c r="DG52" i="5"/>
  <c r="CZ45" i="5"/>
  <c r="GR23" i="5"/>
  <c r="GJ15" i="5"/>
  <c r="GG39" i="5"/>
  <c r="GC35" i="5"/>
  <c r="FZ32" i="5"/>
  <c r="GD36" i="5"/>
  <c r="GJ42" i="5"/>
  <c r="FO21" i="5"/>
  <c r="FR24" i="5"/>
  <c r="FV28" i="5"/>
  <c r="GA33" i="5"/>
  <c r="FS25" i="5"/>
  <c r="FP22" i="5"/>
  <c r="CQ42" i="5"/>
  <c r="GB34" i="5"/>
  <c r="GI41" i="5"/>
  <c r="GF38" i="5"/>
  <c r="FW29" i="5"/>
  <c r="FQ23" i="5"/>
  <c r="FN20" i="5"/>
  <c r="GE37" i="5"/>
  <c r="GK43" i="5"/>
  <c r="GH40" i="5"/>
  <c r="FU27" i="5"/>
  <c r="FX30" i="5"/>
  <c r="FT26" i="5"/>
  <c r="FY31" i="5"/>
  <c r="FG40" i="2"/>
  <c r="EE30" i="2"/>
  <c r="FB49" i="2"/>
  <c r="EZ28" i="2"/>
  <c r="FJ36" i="2"/>
  <c r="HT38" i="2"/>
  <c r="HG27" i="2"/>
  <c r="EF26" i="2"/>
  <c r="EU37" i="2"/>
  <c r="ER21" i="2"/>
  <c r="FH33" i="2"/>
  <c r="GP47" i="5"/>
  <c r="GO47" i="5"/>
  <c r="DZ39" i="5"/>
  <c r="DY38" i="5"/>
  <c r="DX37" i="5"/>
  <c r="DW36" i="5"/>
  <c r="DV35" i="5"/>
  <c r="DU34" i="5"/>
  <c r="DT33" i="5"/>
  <c r="DS32" i="5"/>
  <c r="DR31" i="5"/>
  <c r="DQ30" i="5"/>
  <c r="DP29" i="5"/>
  <c r="DO28" i="5"/>
  <c r="DN27" i="5"/>
  <c r="DM26" i="5"/>
  <c r="DL25" i="5"/>
  <c r="CL24" i="5"/>
  <c r="DK24" i="5"/>
  <c r="DJ23" i="5"/>
  <c r="DI22" i="5"/>
  <c r="DH21" i="5"/>
  <c r="DG20" i="5"/>
  <c r="FP12" i="5"/>
  <c r="FU17" i="5"/>
  <c r="GH30" i="5"/>
  <c r="FV18" i="5"/>
  <c r="GA23" i="5"/>
  <c r="FS15" i="5"/>
  <c r="GD26" i="5"/>
  <c r="GF28" i="5"/>
  <c r="GE27" i="5"/>
  <c r="FR14" i="5"/>
  <c r="FT16" i="5"/>
  <c r="FX20" i="5"/>
  <c r="GB24" i="5"/>
  <c r="FN10" i="5"/>
  <c r="FO11" i="5"/>
  <c r="FW19" i="5"/>
  <c r="GC25" i="5"/>
  <c r="FZ22" i="5"/>
  <c r="GG29" i="5"/>
  <c r="FY21" i="5"/>
  <c r="FQ13" i="5"/>
  <c r="GI31" i="5"/>
  <c r="CQ31" i="5"/>
  <c r="GN36" i="5"/>
  <c r="GO37" i="5"/>
  <c r="GR40" i="5"/>
  <c r="GJ32" i="5"/>
  <c r="GK33" i="5"/>
  <c r="GP38" i="5"/>
  <c r="GM35" i="5"/>
  <c r="GQ39" i="5"/>
  <c r="GL34" i="5"/>
  <c r="HZ37" i="2"/>
  <c r="HD19" i="2"/>
  <c r="EB30" i="2"/>
  <c r="EP42" i="2"/>
  <c r="FF54" i="2"/>
  <c r="IB34" i="2"/>
  <c r="HX30" i="2"/>
  <c r="GX10" i="2"/>
  <c r="HH15" i="2"/>
  <c r="HE12" i="2"/>
  <c r="HQ13" i="2"/>
  <c r="EP54" i="2"/>
  <c r="EC35" i="2"/>
  <c r="EN44" i="2"/>
  <c r="FA55" i="2"/>
  <c r="EU38" i="2"/>
  <c r="EP21" i="2"/>
  <c r="FF33" i="2"/>
  <c r="BY54" i="5"/>
  <c r="BZ54" i="5" s="1"/>
  <c r="BK54" i="5"/>
  <c r="BR54" i="5"/>
  <c r="BY38" i="5"/>
  <c r="BZ38" i="5" s="1"/>
  <c r="BR38" i="5"/>
  <c r="BK38" i="5"/>
  <c r="BY30" i="5"/>
  <c r="BZ30" i="5" s="1"/>
  <c r="BR30" i="5"/>
  <c r="BK30" i="5"/>
  <c r="HZ10" i="2"/>
  <c r="EW49" i="2"/>
  <c r="IB37" i="2"/>
  <c r="HN25" i="2"/>
  <c r="HY35" i="2"/>
  <c r="GW13" i="2"/>
  <c r="HP28" i="2"/>
  <c r="EB39" i="2"/>
  <c r="EN49" i="2"/>
  <c r="EP20" i="2"/>
  <c r="HH11" i="2"/>
  <c r="EF51" i="2"/>
  <c r="HR19" i="2"/>
  <c r="EZ34" i="2"/>
  <c r="EH31" i="2"/>
  <c r="FA46" i="2"/>
  <c r="FF23" i="2"/>
  <c r="HY15" i="2"/>
  <c r="EL25" i="2"/>
  <c r="FE40" i="2"/>
  <c r="FG25" i="2"/>
  <c r="HW43" i="2"/>
  <c r="HS33" i="2"/>
  <c r="HF22" i="2"/>
  <c r="EE52" i="2"/>
  <c r="HJ15" i="2"/>
  <c r="HP19" i="2"/>
  <c r="HS14" i="2"/>
  <c r="EL41" i="2"/>
  <c r="EY52" i="2"/>
  <c r="EM35" i="2"/>
  <c r="FF50" i="2"/>
  <c r="FH45" i="2"/>
  <c r="FH28" i="2"/>
  <c r="DZ29" i="5"/>
  <c r="DY28" i="5"/>
  <c r="DX27" i="5"/>
  <c r="DW26" i="5"/>
  <c r="DV25" i="5"/>
  <c r="DU24" i="5"/>
  <c r="DT23" i="5"/>
  <c r="DS22" i="5"/>
  <c r="DR21" i="5"/>
  <c r="DQ20" i="5"/>
  <c r="DR56" i="5"/>
  <c r="DQ55" i="5"/>
  <c r="DP54" i="5"/>
  <c r="DO53" i="5"/>
  <c r="DN52" i="5"/>
  <c r="CL52" i="5"/>
  <c r="DM51" i="5"/>
  <c r="DL50" i="5"/>
  <c r="DK49" i="5"/>
  <c r="DJ48" i="5"/>
  <c r="DI47" i="5"/>
  <c r="DH46" i="5"/>
  <c r="DG45" i="5"/>
  <c r="DF44" i="5"/>
  <c r="DE43" i="5"/>
  <c r="DD42" i="5"/>
  <c r="DC41" i="5"/>
  <c r="DB40" i="5"/>
  <c r="DA39" i="5"/>
  <c r="CZ38" i="5"/>
  <c r="GO13" i="5"/>
  <c r="GL10" i="5"/>
  <c r="GK9" i="5"/>
  <c r="GP14" i="5"/>
  <c r="GN12" i="5"/>
  <c r="GM11" i="5"/>
  <c r="GQ15" i="5"/>
  <c r="CY37" i="5"/>
  <c r="GR16" i="5"/>
  <c r="CX36" i="5"/>
  <c r="CW35" i="5"/>
  <c r="CV34" i="5"/>
  <c r="DE55" i="5"/>
  <c r="CY49" i="5"/>
  <c r="CV46" i="5"/>
  <c r="GB12" i="5"/>
  <c r="GN24" i="5"/>
  <c r="GQ27" i="5"/>
  <c r="GD14" i="5"/>
  <c r="GK21" i="5"/>
  <c r="GC13" i="5"/>
  <c r="GM23" i="5"/>
  <c r="GP26" i="5"/>
  <c r="DC53" i="5"/>
  <c r="GJ20" i="5"/>
  <c r="GG17" i="5"/>
  <c r="GH18" i="5"/>
  <c r="GR28" i="5"/>
  <c r="CQ18" i="5"/>
  <c r="DD54" i="5"/>
  <c r="CZ50" i="5"/>
  <c r="CX48" i="5"/>
  <c r="GF16" i="5"/>
  <c r="GE15" i="5"/>
  <c r="GI19" i="5"/>
  <c r="GL22" i="5"/>
  <c r="DF56" i="5"/>
  <c r="DB52" i="5"/>
  <c r="DA51" i="5"/>
  <c r="CW47" i="5"/>
  <c r="GO25" i="5"/>
  <c r="FY9" i="5"/>
  <c r="FZ10" i="5"/>
  <c r="GA11" i="5"/>
  <c r="GD41" i="5"/>
  <c r="GE42" i="5"/>
  <c r="FU32" i="5"/>
  <c r="FV33" i="5"/>
  <c r="GA38" i="5"/>
  <c r="FP27" i="5"/>
  <c r="GB39" i="5"/>
  <c r="FN25" i="5"/>
  <c r="FO26" i="5"/>
  <c r="FX35" i="5"/>
  <c r="FY36" i="5"/>
  <c r="FW34" i="5"/>
  <c r="FZ37" i="5"/>
  <c r="GF43" i="5"/>
  <c r="FR29" i="5"/>
  <c r="FQ28" i="5"/>
  <c r="FS30" i="5"/>
  <c r="GC40" i="5"/>
  <c r="FT31" i="5"/>
  <c r="FU31" i="5"/>
  <c r="FA34" i="2"/>
  <c r="HQ39" i="2"/>
  <c r="GT13" i="2"/>
  <c r="HP14" i="2"/>
  <c r="EE47" i="2"/>
  <c r="IA23" i="2"/>
  <c r="HW10" i="2"/>
  <c r="EU50" i="2"/>
  <c r="EO29" i="2"/>
  <c r="FH44" i="2"/>
  <c r="FK32" i="2"/>
  <c r="HO17" i="2"/>
  <c r="HT22" i="2"/>
  <c r="CR11" i="2"/>
  <c r="CS11" i="2" s="1"/>
  <c r="HP10" i="2"/>
  <c r="EE43" i="2"/>
  <c r="EU55" i="2"/>
  <c r="BY47" i="5"/>
  <c r="BZ47" i="5" s="1"/>
  <c r="BK47" i="5"/>
  <c r="BR47" i="5"/>
  <c r="HP13" i="2"/>
  <c r="EK50" i="2"/>
  <c r="EM52" i="2"/>
  <c r="HR15" i="2"/>
  <c r="EF28" i="2"/>
  <c r="EL32" i="2"/>
  <c r="EU39" i="2"/>
  <c r="FE47" i="2"/>
  <c r="EW21" i="2"/>
  <c r="FK33" i="2"/>
  <c r="HF28" i="2"/>
  <c r="HJ32" i="2"/>
  <c r="GZ24" i="2"/>
  <c r="HZ14" i="2"/>
  <c r="EK43" i="2"/>
  <c r="ER50" i="2"/>
  <c r="HN42" i="2"/>
  <c r="ER19" i="2"/>
  <c r="EB19" i="2"/>
  <c r="EM19" i="2"/>
  <c r="EE56" i="2"/>
  <c r="HO22" i="2"/>
  <c r="HH17" i="2"/>
  <c r="EF33" i="2"/>
  <c r="FA50" i="2"/>
  <c r="FI25" i="2"/>
  <c r="DZ52" i="5"/>
  <c r="DY51" i="5"/>
  <c r="DX50" i="5"/>
  <c r="DW49" i="5"/>
  <c r="DV48" i="5"/>
  <c r="DU47" i="5"/>
  <c r="DT46" i="5"/>
  <c r="DS45" i="5"/>
  <c r="DR44" i="5"/>
  <c r="DQ43" i="5"/>
  <c r="DP42" i="5"/>
  <c r="DO41" i="5"/>
  <c r="DN40" i="5"/>
  <c r="DM39" i="5"/>
  <c r="CL39" i="5"/>
  <c r="DL38" i="5"/>
  <c r="DK37" i="5"/>
  <c r="DJ36" i="5"/>
  <c r="DI35" i="5"/>
  <c r="DH34" i="5"/>
  <c r="DG33" i="5"/>
  <c r="DF32" i="5"/>
  <c r="DE31" i="5"/>
  <c r="DD30" i="5"/>
  <c r="DC29" i="5"/>
  <c r="DB28" i="5"/>
  <c r="DA27" i="5"/>
  <c r="CZ26" i="5"/>
  <c r="CY25" i="5"/>
  <c r="CX24" i="5"/>
  <c r="CW23" i="5"/>
  <c r="CV22" i="5"/>
  <c r="DS56" i="5"/>
  <c r="DR55" i="5"/>
  <c r="DQ54" i="5"/>
  <c r="DP53" i="5"/>
  <c r="DO52" i="5"/>
  <c r="CL51" i="5"/>
  <c r="DN51" i="5"/>
  <c r="DM50" i="5"/>
  <c r="DL49" i="5"/>
  <c r="DK48" i="5"/>
  <c r="DJ47" i="5"/>
  <c r="DI46" i="5"/>
  <c r="DH45" i="5"/>
  <c r="DG44" i="5"/>
  <c r="DF43" i="5"/>
  <c r="DE42" i="5"/>
  <c r="DD41" i="5"/>
  <c r="DC40" i="5"/>
  <c r="DB39" i="5"/>
  <c r="DA38" i="5"/>
  <c r="GN11" i="5"/>
  <c r="CZ37" i="5"/>
  <c r="GP13" i="5"/>
  <c r="GM10" i="5"/>
  <c r="GQ14" i="5"/>
  <c r="GR15" i="5"/>
  <c r="GO12" i="5"/>
  <c r="GL9" i="5"/>
  <c r="CY36" i="5"/>
  <c r="CX35" i="5"/>
  <c r="CW34" i="5"/>
  <c r="CV33" i="5"/>
  <c r="DA54" i="5"/>
  <c r="CZ53" i="5"/>
  <c r="CW50" i="5"/>
  <c r="GM26" i="5"/>
  <c r="GQ30" i="5"/>
  <c r="FX11" i="5"/>
  <c r="GG20" i="5"/>
  <c r="FW10" i="5"/>
  <c r="GA14" i="5"/>
  <c r="GH21" i="5"/>
  <c r="GC16" i="5"/>
  <c r="GF19" i="5"/>
  <c r="CV49" i="5"/>
  <c r="GE18" i="5"/>
  <c r="GJ23" i="5"/>
  <c r="GB15" i="5"/>
  <c r="GN27" i="5"/>
  <c r="DB55" i="5"/>
  <c r="CX51" i="5"/>
  <c r="FY12" i="5"/>
  <c r="FZ13" i="5"/>
  <c r="GK24" i="5"/>
  <c r="GO28" i="5"/>
  <c r="CQ21" i="5"/>
  <c r="GL25" i="5"/>
  <c r="GD17" i="5"/>
  <c r="DC56" i="5"/>
  <c r="CY52" i="5"/>
  <c r="GP29" i="5"/>
  <c r="GR31" i="5"/>
  <c r="FV9" i="5"/>
  <c r="GI22" i="5"/>
  <c r="GM42" i="5"/>
  <c r="GF35" i="5"/>
  <c r="GD33" i="5"/>
  <c r="GC32" i="5"/>
  <c r="FS22" i="5"/>
  <c r="FT23" i="5"/>
  <c r="FR21" i="5"/>
  <c r="FV25" i="5"/>
  <c r="GL41" i="5"/>
  <c r="GE34" i="5"/>
  <c r="GI38" i="5"/>
  <c r="GK40" i="5"/>
  <c r="FX27" i="5"/>
  <c r="FY28" i="5"/>
  <c r="GB31" i="5"/>
  <c r="FQ20" i="5"/>
  <c r="GJ39" i="5"/>
  <c r="FN17" i="5"/>
  <c r="GG36" i="5"/>
  <c r="GN43" i="5"/>
  <c r="FU24" i="5"/>
  <c r="FW26" i="5"/>
  <c r="FP19" i="5"/>
  <c r="FZ29" i="5"/>
  <c r="CQ39" i="5"/>
  <c r="GH37" i="5"/>
  <c r="FO18" i="5"/>
  <c r="GA30" i="5"/>
  <c r="HP40" i="2"/>
  <c r="GY27" i="2"/>
  <c r="IA42" i="2"/>
  <c r="HW38" i="2"/>
  <c r="HF25" i="2"/>
  <c r="GS14" i="2"/>
  <c r="EU31" i="2"/>
  <c r="EY35" i="2"/>
  <c r="FI43" i="2"/>
  <c r="FE24" i="2"/>
  <c r="FI28" i="2"/>
  <c r="BY41" i="5"/>
  <c r="BZ41" i="5" s="1"/>
  <c r="BR41" i="5"/>
  <c r="BK41" i="5"/>
  <c r="BY25" i="5"/>
  <c r="BZ25" i="5" s="1"/>
  <c r="BR25" i="5"/>
  <c r="BK25" i="5"/>
  <c r="EY24" i="2"/>
  <c r="FE28" i="2"/>
  <c r="FI32" i="2"/>
  <c r="GX28" i="2"/>
  <c r="HT36" i="2"/>
  <c r="HJ28" i="2"/>
  <c r="HN30" i="2"/>
  <c r="EG36" i="2"/>
  <c r="FE54" i="2"/>
  <c r="FB28" i="2"/>
  <c r="GV23" i="2"/>
  <c r="HF31" i="2"/>
  <c r="IC33" i="2"/>
  <c r="HG15" i="2"/>
  <c r="HT26" i="2"/>
  <c r="HD12" i="2"/>
  <c r="DG19" i="5"/>
  <c r="GX23" i="2"/>
  <c r="GU20" i="2"/>
  <c r="HT41" i="2"/>
  <c r="FG35" i="2"/>
  <c r="DU56" i="5"/>
  <c r="DT55" i="5"/>
  <c r="DS54" i="5"/>
  <c r="DR53" i="5"/>
  <c r="DQ52" i="5"/>
  <c r="DP51" i="5"/>
  <c r="DO50" i="5"/>
  <c r="DN49" i="5"/>
  <c r="CL49" i="5"/>
  <c r="DM48" i="5"/>
  <c r="DL47" i="5"/>
  <c r="DK46" i="5"/>
  <c r="DJ45" i="5"/>
  <c r="DI44" i="5"/>
  <c r="DH43" i="5"/>
  <c r="DG42" i="5"/>
  <c r="DF41" i="5"/>
  <c r="DE40" i="5"/>
  <c r="DD39" i="5"/>
  <c r="DC38" i="5"/>
  <c r="GR13" i="5"/>
  <c r="DB37" i="5"/>
  <c r="GQ12" i="5"/>
  <c r="GP11" i="5"/>
  <c r="GO10" i="5"/>
  <c r="GN9" i="5"/>
  <c r="DA36" i="5"/>
  <c r="CZ35" i="5"/>
  <c r="CY34" i="5"/>
  <c r="CX33" i="5"/>
  <c r="CW32" i="5"/>
  <c r="CV31" i="5"/>
  <c r="GM41" i="5"/>
  <c r="GO43" i="5"/>
  <c r="GD32" i="5"/>
  <c r="GK39" i="5"/>
  <c r="GB30" i="5"/>
  <c r="FT22" i="5"/>
  <c r="FR20" i="5"/>
  <c r="FW25" i="5"/>
  <c r="FQ19" i="5"/>
  <c r="CQ38" i="5"/>
  <c r="GF34" i="5"/>
  <c r="GL40" i="5"/>
  <c r="GH36" i="5"/>
  <c r="GJ38" i="5"/>
  <c r="FU23" i="5"/>
  <c r="GI37" i="5"/>
  <c r="FX26" i="5"/>
  <c r="FY27" i="5"/>
  <c r="GG35" i="5"/>
  <c r="GE33" i="5"/>
  <c r="FS21" i="5"/>
  <c r="GA29" i="5"/>
  <c r="FP18" i="5"/>
  <c r="FV24" i="5"/>
  <c r="FO17" i="5"/>
  <c r="FZ28" i="5"/>
  <c r="GN42" i="5"/>
  <c r="FN16" i="5"/>
  <c r="GC31" i="5"/>
  <c r="HR17" i="2"/>
  <c r="IA24" i="2"/>
  <c r="HW20" i="2"/>
  <c r="HD16" i="2"/>
  <c r="GV10" i="2"/>
  <c r="EK35" i="2"/>
  <c r="EW45" i="2"/>
  <c r="EZ31" i="2"/>
  <c r="FJ39" i="2"/>
  <c r="EG26" i="2"/>
  <c r="EV37" i="2"/>
  <c r="FJ49" i="2"/>
  <c r="HE11" i="2"/>
  <c r="HQ21" i="2"/>
  <c r="EN22" i="2"/>
  <c r="FH38" i="2"/>
  <c r="K97" i="2"/>
  <c r="K9" i="2"/>
  <c r="K10" i="2"/>
  <c r="K11" i="2"/>
  <c r="K12" i="2"/>
  <c r="K13" i="2"/>
  <c r="K14" i="2"/>
  <c r="K15" i="2"/>
  <c r="K17" i="2"/>
  <c r="K16" i="2"/>
  <c r="K19" i="2"/>
  <c r="K18" i="2"/>
  <c r="K20" i="2"/>
  <c r="K21" i="2"/>
  <c r="K22" i="2"/>
  <c r="K23" i="2"/>
  <c r="K26" i="2"/>
  <c r="K27" i="2"/>
  <c r="K25" i="2"/>
  <c r="K24" i="2"/>
  <c r="K29" i="2"/>
  <c r="K30" i="2"/>
  <c r="K28" i="2"/>
  <c r="K31" i="2"/>
  <c r="K32" i="2"/>
  <c r="K33" i="2"/>
  <c r="K34" i="2"/>
  <c r="K35" i="2"/>
  <c r="K39" i="2"/>
  <c r="K36" i="2"/>
  <c r="K37" i="2"/>
  <c r="K38" i="2"/>
  <c r="K40" i="2"/>
  <c r="K42" i="2"/>
  <c r="K41" i="2"/>
  <c r="K43" i="2"/>
  <c r="K45" i="2"/>
  <c r="K44" i="2"/>
  <c r="K46" i="2"/>
  <c r="K47" i="2"/>
  <c r="K50" i="2"/>
  <c r="K48" i="2"/>
  <c r="K51" i="2"/>
  <c r="K54" i="2"/>
  <c r="K49" i="2"/>
  <c r="K52" i="2"/>
  <c r="K55" i="2"/>
  <c r="K53" i="2"/>
  <c r="K56" i="2"/>
  <c r="K57" i="2"/>
  <c r="K58" i="2"/>
  <c r="K59" i="2"/>
  <c r="K60" i="2"/>
  <c r="K63" i="2"/>
  <c r="K62" i="2"/>
  <c r="K61" i="2"/>
  <c r="K64" i="2"/>
  <c r="K66" i="2"/>
  <c r="K65" i="2"/>
  <c r="K67" i="2"/>
  <c r="K69" i="2"/>
  <c r="K68" i="2"/>
  <c r="K70" i="2"/>
  <c r="K71" i="2"/>
  <c r="K72" i="2"/>
  <c r="K73" i="2"/>
  <c r="K74" i="2"/>
  <c r="K75" i="2"/>
  <c r="K77" i="2"/>
  <c r="K76" i="2"/>
  <c r="K79" i="2"/>
  <c r="K78" i="2"/>
  <c r="K80" i="2"/>
  <c r="K81" i="2"/>
  <c r="K83" i="2"/>
  <c r="K86" i="2"/>
  <c r="K82" i="2"/>
  <c r="K84" i="2"/>
  <c r="K85" i="2"/>
  <c r="K87" i="2"/>
  <c r="K89" i="2"/>
  <c r="K88" i="2"/>
  <c r="K93" i="2"/>
  <c r="K94" i="2"/>
  <c r="K91" i="2"/>
  <c r="K95" i="2"/>
  <c r="K92" i="2"/>
  <c r="K90" i="2"/>
  <c r="EB37" i="2"/>
  <c r="IC18" i="2"/>
  <c r="ED39" i="2"/>
  <c r="EH43" i="2"/>
  <c r="EN47" i="2"/>
  <c r="DZ31" i="5"/>
  <c r="DY30" i="5"/>
  <c r="DX29" i="5"/>
  <c r="DW28" i="5"/>
  <c r="DV27" i="5"/>
  <c r="DU26" i="5"/>
  <c r="DT25" i="5"/>
  <c r="DS24" i="5"/>
  <c r="DR23" i="5"/>
  <c r="DQ22" i="5"/>
  <c r="DP21" i="5"/>
  <c r="DO20" i="5"/>
  <c r="HM32" i="2"/>
  <c r="HX41" i="2"/>
  <c r="HT39" i="2"/>
  <c r="IB35" i="2"/>
  <c r="HH19" i="2"/>
  <c r="GW10" i="2"/>
  <c r="GZ13" i="2"/>
  <c r="EA54" i="2"/>
  <c r="HT29" i="2"/>
  <c r="EC56" i="2"/>
  <c r="GX11" i="2"/>
  <c r="EK22" i="2"/>
  <c r="EN25" i="2"/>
  <c r="ER29" i="2"/>
  <c r="EX33" i="2"/>
  <c r="FB37" i="2"/>
  <c r="FH41" i="2"/>
  <c r="FV32" i="5"/>
  <c r="FT30" i="5"/>
  <c r="FW33" i="5"/>
  <c r="GF42" i="5"/>
  <c r="GE41" i="5"/>
  <c r="HJ39" i="2"/>
  <c r="HF35" i="2"/>
  <c r="GZ31" i="2"/>
  <c r="HG36" i="2"/>
  <c r="HJ41" i="2"/>
  <c r="GV29" i="2"/>
  <c r="HM42" i="2"/>
  <c r="GZ33" i="2"/>
  <c r="EB27" i="2"/>
  <c r="EF31" i="2"/>
  <c r="EL35" i="2"/>
  <c r="EU42" i="2"/>
  <c r="EY46" i="2"/>
  <c r="FE50" i="2"/>
  <c r="FI54" i="2"/>
  <c r="EW25" i="2"/>
  <c r="FA29" i="2"/>
  <c r="FG33" i="2"/>
  <c r="FK37" i="2"/>
  <c r="ER20" i="2"/>
  <c r="HD25" i="2"/>
  <c r="HZ43" i="2"/>
  <c r="HZ42" i="2"/>
  <c r="HR36" i="2"/>
  <c r="HX40" i="2"/>
  <c r="HF26" i="2"/>
  <c r="HJ30" i="2"/>
  <c r="HD24" i="2"/>
  <c r="GU17" i="2"/>
  <c r="EC23" i="2"/>
  <c r="EG27" i="2"/>
  <c r="EM31" i="2"/>
  <c r="EP34" i="2"/>
  <c r="EV38" i="2"/>
  <c r="EZ42" i="2"/>
  <c r="FF46" i="2"/>
  <c r="FJ50" i="2"/>
  <c r="EU22" i="2"/>
  <c r="EY26" i="2"/>
  <c r="FE30" i="2"/>
  <c r="FI34" i="2"/>
  <c r="GY35" i="2"/>
  <c r="GO48" i="5"/>
  <c r="GJ44" i="5"/>
  <c r="HH42" i="2"/>
  <c r="GK48" i="5"/>
  <c r="GH45" i="5"/>
  <c r="GG44" i="5"/>
  <c r="GM44" i="5"/>
  <c r="GP48" i="5"/>
  <c r="HI45" i="5"/>
  <c r="GN48" i="5"/>
  <c r="GL48" i="5"/>
  <c r="GR47" i="5"/>
  <c r="HE39" i="2"/>
  <c r="HF40" i="2"/>
  <c r="GJ46" i="5"/>
  <c r="GJ45" i="5"/>
  <c r="GK45" i="5"/>
  <c r="CQ46" i="5"/>
  <c r="BK22" i="5"/>
  <c r="DZ50" i="5"/>
  <c r="DY49" i="5"/>
  <c r="DX48" i="5"/>
  <c r="DW47" i="5"/>
  <c r="DV46" i="5"/>
  <c r="DU45" i="5"/>
  <c r="DT44" i="5"/>
  <c r="DS43" i="5"/>
  <c r="DR42" i="5"/>
  <c r="DQ41" i="5"/>
  <c r="DP40" i="5"/>
  <c r="DO39" i="5"/>
  <c r="DN38" i="5"/>
  <c r="CL37" i="5"/>
  <c r="DM37" i="5"/>
  <c r="DL36" i="5"/>
  <c r="DK35" i="5"/>
  <c r="DJ34" i="5"/>
  <c r="DI33" i="5"/>
  <c r="DH32" i="5"/>
  <c r="DG31" i="5"/>
  <c r="DF30" i="5"/>
  <c r="DE29" i="5"/>
  <c r="DD28" i="5"/>
  <c r="DC27" i="5"/>
  <c r="DB26" i="5"/>
  <c r="DA25" i="5"/>
  <c r="CZ24" i="5"/>
  <c r="CY23" i="5"/>
  <c r="CX22" i="5"/>
  <c r="CW21" i="5"/>
  <c r="CV20" i="5"/>
  <c r="DX56" i="5"/>
  <c r="DW55" i="5"/>
  <c r="DV54" i="5"/>
  <c r="DU53" i="5"/>
  <c r="DT52" i="5"/>
  <c r="DS51" i="5"/>
  <c r="DR50" i="5"/>
  <c r="DQ49" i="5"/>
  <c r="DP48" i="5"/>
  <c r="DO47" i="5"/>
  <c r="CL46" i="5"/>
  <c r="DN46" i="5"/>
  <c r="DM45" i="5"/>
  <c r="DL44" i="5"/>
  <c r="DK43" i="5"/>
  <c r="DJ42" i="5"/>
  <c r="DI41" i="5"/>
  <c r="DH40" i="5"/>
  <c r="DG39" i="5"/>
  <c r="DF38" i="5"/>
  <c r="DE37" i="5"/>
  <c r="GR10" i="5"/>
  <c r="GQ9" i="5"/>
  <c r="DD36" i="5"/>
  <c r="DC35" i="5"/>
  <c r="DB34" i="5"/>
  <c r="DA33" i="5"/>
  <c r="CZ32" i="5"/>
  <c r="CY31" i="5"/>
  <c r="CX30" i="5"/>
  <c r="CW29" i="5"/>
  <c r="CV28" i="5"/>
  <c r="DN56" i="5"/>
  <c r="DM55" i="5"/>
  <c r="DL54" i="5"/>
  <c r="DK53" i="5"/>
  <c r="DJ52" i="5"/>
  <c r="DI51" i="5"/>
  <c r="DH50" i="5"/>
  <c r="DG49" i="5"/>
  <c r="DF48" i="5"/>
  <c r="DE47" i="5"/>
  <c r="DD46" i="5"/>
  <c r="DC45" i="5"/>
  <c r="DB44" i="5"/>
  <c r="DA43" i="5"/>
  <c r="CZ42" i="5"/>
  <c r="CY41" i="5"/>
  <c r="CX40" i="5"/>
  <c r="CW39" i="5"/>
  <c r="CV38" i="5"/>
  <c r="GG9" i="5"/>
  <c r="GO17" i="5"/>
  <c r="GP18" i="5"/>
  <c r="CQ9" i="5"/>
  <c r="GJ12" i="5"/>
  <c r="GL14" i="5"/>
  <c r="GK13" i="5"/>
  <c r="GM15" i="5"/>
  <c r="GQ19" i="5"/>
  <c r="GH10" i="5"/>
  <c r="GN16" i="5"/>
  <c r="GI11" i="5"/>
  <c r="GR20" i="5"/>
  <c r="DF55" i="5"/>
  <c r="CX47" i="5"/>
  <c r="GN23" i="5"/>
  <c r="GK20" i="5"/>
  <c r="GB11" i="5"/>
  <c r="GI18" i="5"/>
  <c r="CY48" i="5"/>
  <c r="GJ19" i="5"/>
  <c r="GM22" i="5"/>
  <c r="DD53" i="5"/>
  <c r="CW46" i="5"/>
  <c r="CV45" i="5"/>
  <c r="GD13" i="5"/>
  <c r="GO24" i="5"/>
  <c r="CQ17" i="5"/>
  <c r="GL21" i="5"/>
  <c r="DG56" i="5"/>
  <c r="DC52" i="5"/>
  <c r="DB51" i="5"/>
  <c r="DA50" i="5"/>
  <c r="CZ49" i="5"/>
  <c r="GG16" i="5"/>
  <c r="GC12" i="5"/>
  <c r="GE14" i="5"/>
  <c r="GF15" i="5"/>
  <c r="GR27" i="5"/>
  <c r="FZ9" i="5"/>
  <c r="DE54" i="5"/>
  <c r="GH17" i="5"/>
  <c r="GP25" i="5"/>
  <c r="GQ26" i="5"/>
  <c r="GA10" i="5"/>
  <c r="CQ16" i="5"/>
  <c r="CZ56" i="5"/>
  <c r="CX54" i="5"/>
  <c r="GJ26" i="5"/>
  <c r="GL28" i="5"/>
  <c r="FS9" i="5"/>
  <c r="FX14" i="5"/>
  <c r="GG23" i="5"/>
  <c r="FY15" i="5"/>
  <c r="GN30" i="5"/>
  <c r="FT10" i="5"/>
  <c r="CQ24" i="5"/>
  <c r="FV12" i="5"/>
  <c r="GM29" i="5"/>
  <c r="CY55" i="5"/>
  <c r="CV52" i="5"/>
  <c r="FW13" i="5"/>
  <c r="GA17" i="5"/>
  <c r="GF22" i="5"/>
  <c r="GE21" i="5"/>
  <c r="GH24" i="5"/>
  <c r="FU11" i="5"/>
  <c r="GC19" i="5"/>
  <c r="CW53" i="5"/>
  <c r="GK27" i="5"/>
  <c r="GB18" i="5"/>
  <c r="GD20" i="5"/>
  <c r="GI25" i="5"/>
  <c r="FZ16" i="5"/>
  <c r="GO31" i="5"/>
  <c r="GR34" i="5"/>
  <c r="GQ33" i="5"/>
  <c r="GP32" i="5"/>
  <c r="IB39" i="2"/>
  <c r="HY36" i="2"/>
  <c r="HM26" i="2"/>
  <c r="GY16" i="2"/>
  <c r="HP29" i="2"/>
  <c r="HJ25" i="2"/>
  <c r="HR31" i="2"/>
  <c r="EC31" i="2"/>
  <c r="EG35" i="2"/>
  <c r="IC11" i="2"/>
  <c r="EN40" i="2"/>
  <c r="EW47" i="2"/>
  <c r="FA51" i="2"/>
  <c r="FG55" i="2"/>
  <c r="FH22" i="2"/>
  <c r="IC35" i="2"/>
  <c r="HY31" i="2"/>
  <c r="HO23" i="2"/>
  <c r="CR19" i="2"/>
  <c r="CS19" i="2" s="1"/>
  <c r="HQ25" i="2"/>
  <c r="ED56" i="2"/>
  <c r="HM21" i="2"/>
  <c r="IC32" i="2"/>
  <c r="HS24" i="2"/>
  <c r="EB51" i="2"/>
  <c r="IA30" i="2"/>
  <c r="HJ17" i="2"/>
  <c r="HZ29" i="2"/>
  <c r="HY28" i="2"/>
  <c r="EB42" i="2"/>
  <c r="IB22" i="2"/>
  <c r="EH48" i="2"/>
  <c r="IC23" i="2"/>
  <c r="EM51" i="2"/>
  <c r="ED44" i="2"/>
  <c r="HZ20" i="2"/>
  <c r="HP12" i="2"/>
  <c r="ED36" i="2"/>
  <c r="EE37" i="2"/>
  <c r="HW9" i="2"/>
  <c r="EK41" i="2"/>
  <c r="EO45" i="2"/>
  <c r="ER48" i="2"/>
  <c r="EX52" i="2"/>
  <c r="FB56" i="2"/>
  <c r="EC24" i="2"/>
  <c r="EG28" i="2"/>
  <c r="EM32" i="2"/>
  <c r="EP35" i="2"/>
  <c r="EV39" i="2"/>
  <c r="EZ43" i="2"/>
  <c r="FF47" i="2"/>
  <c r="FJ51" i="2"/>
  <c r="EW26" i="2"/>
  <c r="FA30" i="2"/>
  <c r="FG34" i="2"/>
  <c r="FK38" i="2"/>
  <c r="IK99" i="5"/>
  <c r="IG99" i="5"/>
  <c r="IJ99" i="5"/>
  <c r="IF99" i="5"/>
  <c r="II99" i="5"/>
  <c r="IE100" i="5"/>
  <c r="IL99" i="5"/>
  <c r="IH99" i="5"/>
  <c r="AC98" i="2"/>
  <c r="Y98" i="2"/>
  <c r="X99" i="2"/>
  <c r="AF98" i="2"/>
  <c r="AB98" i="2"/>
  <c r="AE98" i="2"/>
  <c r="AA98" i="2"/>
  <c r="Z98" i="2"/>
  <c r="AD98" i="2"/>
  <c r="Q8" i="21"/>
  <c r="Q2" i="21"/>
  <c r="BY46" i="5"/>
  <c r="BZ46" i="5" s="1"/>
  <c r="BR46" i="5"/>
  <c r="BK46" i="5"/>
  <c r="EB32" i="2"/>
  <c r="EF36" i="2"/>
  <c r="IA11" i="2"/>
  <c r="EK39" i="2"/>
  <c r="EO43" i="2"/>
  <c r="ER46" i="2"/>
  <c r="EX50" i="2"/>
  <c r="FB54" i="2"/>
  <c r="HZ35" i="2"/>
  <c r="IA36" i="2"/>
  <c r="HG20" i="2"/>
  <c r="HM24" i="2"/>
  <c r="HR29" i="2"/>
  <c r="GY14" i="2"/>
  <c r="GU10" i="2"/>
  <c r="GX13" i="2"/>
  <c r="HF36" i="2"/>
  <c r="IC39" i="2"/>
  <c r="IA37" i="2"/>
  <c r="GV12" i="2"/>
  <c r="GU11" i="2"/>
  <c r="HE19" i="2"/>
  <c r="GZ16" i="2"/>
  <c r="HS31" i="2"/>
  <c r="HJ24" i="2"/>
  <c r="HR11" i="2"/>
  <c r="HT13" i="2"/>
  <c r="HQ10" i="2"/>
  <c r="EC40" i="2"/>
  <c r="EK46" i="2"/>
  <c r="EO50" i="2"/>
  <c r="EU54" i="2"/>
  <c r="FB20" i="2"/>
  <c r="CR37" i="2"/>
  <c r="CS37" i="2" s="1"/>
  <c r="HP41" i="2"/>
  <c r="HE32" i="2"/>
  <c r="HQ42" i="2"/>
  <c r="HD31" i="2"/>
  <c r="GU24" i="2"/>
  <c r="HG10" i="2"/>
  <c r="HZ25" i="2"/>
  <c r="IC28" i="2"/>
  <c r="HP17" i="2"/>
  <c r="HT21" i="2"/>
  <c r="EH53" i="2"/>
  <c r="EE50" i="2"/>
  <c r="EN24" i="2"/>
  <c r="EW31" i="2"/>
  <c r="FA35" i="2"/>
  <c r="FG39" i="2"/>
  <c r="FK43" i="2"/>
  <c r="AS95" i="2"/>
  <c r="BY49" i="5"/>
  <c r="BZ49" i="5" s="1"/>
  <c r="BR49" i="5"/>
  <c r="BK49" i="5"/>
  <c r="EA24" i="2"/>
  <c r="EE28" i="2"/>
  <c r="EK32" i="2"/>
  <c r="ER39" i="2"/>
  <c r="EX43" i="2"/>
  <c r="FB47" i="2"/>
  <c r="FH51" i="2"/>
  <c r="FG24" i="2"/>
  <c r="FK28" i="2"/>
  <c r="IC19" i="2"/>
  <c r="HQ9" i="2"/>
  <c r="HX14" i="2"/>
  <c r="ED40" i="2"/>
  <c r="EH44" i="2"/>
  <c r="EN48" i="2"/>
  <c r="EW55" i="2"/>
  <c r="EG22" i="2"/>
  <c r="EM26" i="2"/>
  <c r="EP29" i="2"/>
  <c r="EV33" i="2"/>
  <c r="EZ37" i="2"/>
  <c r="FF41" i="2"/>
  <c r="FJ45" i="2"/>
  <c r="FB22" i="2"/>
  <c r="FH26" i="2"/>
  <c r="EF20" i="2"/>
  <c r="GV19" i="2"/>
  <c r="IB43" i="2"/>
  <c r="HZ38" i="2"/>
  <c r="IC41" i="2"/>
  <c r="HX36" i="2"/>
  <c r="GX16" i="2"/>
  <c r="GZ18" i="2"/>
  <c r="GV14" i="2"/>
  <c r="GY17" i="2"/>
  <c r="HN28" i="2"/>
  <c r="EH55" i="2"/>
  <c r="CR14" i="2"/>
  <c r="CS14" i="2" s="1"/>
  <c r="HN17" i="2"/>
  <c r="HZ27" i="2"/>
  <c r="HF11" i="2"/>
  <c r="EF53" i="2"/>
  <c r="ED51" i="2"/>
  <c r="EU56" i="2"/>
  <c r="HY18" i="2"/>
  <c r="EH47" i="2"/>
  <c r="HQ12" i="2"/>
  <c r="ER55" i="2"/>
  <c r="EG46" i="2"/>
  <c r="EC42" i="2"/>
  <c r="EA32" i="2"/>
  <c r="EE36" i="2"/>
  <c r="EF37" i="2"/>
  <c r="EG38" i="2"/>
  <c r="EM42" i="2"/>
  <c r="EP45" i="2"/>
  <c r="EV49" i="2"/>
  <c r="EZ53" i="2"/>
  <c r="ED28" i="2"/>
  <c r="EH32" i="2"/>
  <c r="EN36" i="2"/>
  <c r="EW43" i="2"/>
  <c r="FA47" i="2"/>
  <c r="FG51" i="2"/>
  <c r="FK55" i="2"/>
  <c r="EF23" i="2"/>
  <c r="EL27" i="2"/>
  <c r="EO30" i="2"/>
  <c r="EU34" i="2"/>
  <c r="EY38" i="2"/>
  <c r="FE42" i="2"/>
  <c r="FI46" i="2"/>
  <c r="EY21" i="2"/>
  <c r="FE25" i="2"/>
  <c r="FI29" i="2"/>
  <c r="V93" i="2"/>
  <c r="DZ37" i="5"/>
  <c r="DY36" i="5"/>
  <c r="DX35" i="5"/>
  <c r="DW34" i="5"/>
  <c r="DV33" i="5"/>
  <c r="DU32" i="5"/>
  <c r="DT31" i="5"/>
  <c r="DS30" i="5"/>
  <c r="DR29" i="5"/>
  <c r="DQ28" i="5"/>
  <c r="DP27" i="5"/>
  <c r="DO26" i="5"/>
  <c r="DN25" i="5"/>
  <c r="DM24" i="5"/>
  <c r="DL23" i="5"/>
  <c r="CL22" i="5"/>
  <c r="DK22" i="5"/>
  <c r="DJ21" i="5"/>
  <c r="DI20" i="5"/>
  <c r="DZ45" i="5"/>
  <c r="DY44" i="5"/>
  <c r="DX43" i="5"/>
  <c r="DW42" i="5"/>
  <c r="DV41" i="5"/>
  <c r="DU40" i="5"/>
  <c r="DT39" i="5"/>
  <c r="DS38" i="5"/>
  <c r="DR37" i="5"/>
  <c r="DQ36" i="5"/>
  <c r="DP35" i="5"/>
  <c r="DO34" i="5"/>
  <c r="DN33" i="5"/>
  <c r="DM32" i="5"/>
  <c r="DL31" i="5"/>
  <c r="CL31" i="5"/>
  <c r="DK30" i="5"/>
  <c r="DJ29" i="5"/>
  <c r="DI28" i="5"/>
  <c r="DH27" i="5"/>
  <c r="DG26" i="5"/>
  <c r="DF25" i="5"/>
  <c r="DE24" i="5"/>
  <c r="DD23" i="5"/>
  <c r="DC22" i="5"/>
  <c r="DB21" i="5"/>
  <c r="DA20" i="5"/>
  <c r="FO16" i="5"/>
  <c r="FU22" i="5"/>
  <c r="GA28" i="5"/>
  <c r="FP17" i="5"/>
  <c r="FW24" i="5"/>
  <c r="FS20" i="5"/>
  <c r="FQ18" i="5"/>
  <c r="FR19" i="5"/>
  <c r="GB29" i="5"/>
  <c r="FX25" i="5"/>
  <c r="FT21" i="5"/>
  <c r="FN15" i="5"/>
  <c r="FY26" i="5"/>
  <c r="FZ27" i="5"/>
  <c r="FV23" i="5"/>
  <c r="GC30" i="5"/>
  <c r="GD31" i="5"/>
  <c r="GK38" i="5"/>
  <c r="GF33" i="5"/>
  <c r="GI36" i="5"/>
  <c r="GO42" i="5"/>
  <c r="GN41" i="5"/>
  <c r="GE32" i="5"/>
  <c r="GP43" i="5"/>
  <c r="GG34" i="5"/>
  <c r="GL39" i="5"/>
  <c r="GJ37" i="5"/>
  <c r="GM40" i="5"/>
  <c r="GH35" i="5"/>
  <c r="CQ37" i="5"/>
  <c r="ER27" i="2"/>
  <c r="EX31" i="2"/>
  <c r="FB35" i="2"/>
  <c r="FH39" i="2"/>
  <c r="HT42" i="2"/>
  <c r="HE29" i="2"/>
  <c r="HD28" i="2"/>
  <c r="HH32" i="2"/>
  <c r="HF30" i="2"/>
  <c r="HP38" i="2"/>
  <c r="HQ32" i="2"/>
  <c r="HX37" i="2"/>
  <c r="HW36" i="2"/>
  <c r="CR26" i="2"/>
  <c r="CS26" i="2" s="1"/>
  <c r="HC20" i="2"/>
  <c r="HJ27" i="2"/>
  <c r="GS12" i="2"/>
  <c r="HP31" i="2"/>
  <c r="HW19" i="2"/>
  <c r="EB44" i="2"/>
  <c r="IB24" i="2"/>
  <c r="HX20" i="2"/>
  <c r="HN12" i="2"/>
  <c r="EF48" i="2"/>
  <c r="EO55" i="2"/>
  <c r="EC36" i="2"/>
  <c r="HT9" i="2"/>
  <c r="IC16" i="2"/>
  <c r="EG40" i="2"/>
  <c r="EM44" i="2"/>
  <c r="EP47" i="2"/>
  <c r="EV51" i="2"/>
  <c r="EZ55" i="2"/>
  <c r="EF22" i="2"/>
  <c r="EL26" i="2"/>
  <c r="EU33" i="2"/>
  <c r="EY37" i="2"/>
  <c r="FE41" i="2"/>
  <c r="FI45" i="2"/>
  <c r="EX21" i="2"/>
  <c r="FB25" i="2"/>
  <c r="FH29" i="2"/>
  <c r="FI24" i="2"/>
  <c r="BY48" i="5"/>
  <c r="BZ48" i="5" s="1"/>
  <c r="BR48" i="5"/>
  <c r="BK48" i="5"/>
  <c r="BY40" i="5"/>
  <c r="BZ40" i="5" s="1"/>
  <c r="BK40" i="5"/>
  <c r="BR40" i="5"/>
  <c r="BY24" i="5"/>
  <c r="BZ24" i="5" s="1"/>
  <c r="BK24" i="5"/>
  <c r="BR24" i="5"/>
  <c r="HJ14" i="2"/>
  <c r="HQ19" i="2"/>
  <c r="HE9" i="2"/>
  <c r="HF10" i="2"/>
  <c r="ED50" i="2"/>
  <c r="EE51" i="2"/>
  <c r="CR13" i="2"/>
  <c r="CS13" i="2" s="1"/>
  <c r="EE23" i="2"/>
  <c r="EK27" i="2"/>
  <c r="ER34" i="2"/>
  <c r="EX38" i="2"/>
  <c r="FB42" i="2"/>
  <c r="FH46" i="2"/>
  <c r="IA25" i="2"/>
  <c r="HQ17" i="2"/>
  <c r="EB46" i="2"/>
  <c r="HY23" i="2"/>
  <c r="EK53" i="2"/>
  <c r="EH52" i="2"/>
  <c r="EF50" i="2"/>
  <c r="IC27" i="2"/>
  <c r="HQ11" i="2"/>
  <c r="HZ18" i="2"/>
  <c r="IB20" i="2"/>
  <c r="HS13" i="2"/>
  <c r="ED42" i="2"/>
  <c r="EF44" i="2"/>
  <c r="EL48" i="2"/>
  <c r="EP52" i="2"/>
  <c r="EV56" i="2"/>
  <c r="HJ40" i="2"/>
  <c r="HM10" i="2"/>
  <c r="HZ21" i="2"/>
  <c r="HT17" i="2"/>
  <c r="HY20" i="2"/>
  <c r="EB43" i="2"/>
  <c r="EL51" i="2"/>
  <c r="EC25" i="2"/>
  <c r="EG29" i="2"/>
  <c r="EM33" i="2"/>
  <c r="EP36" i="2"/>
  <c r="EV40" i="2"/>
  <c r="EZ44" i="2"/>
  <c r="FF48" i="2"/>
  <c r="FJ52" i="2"/>
  <c r="EX22" i="2"/>
  <c r="FB26" i="2"/>
  <c r="FH30" i="2"/>
  <c r="FK24" i="2"/>
  <c r="GZ32" i="2"/>
  <c r="HQ37" i="2"/>
  <c r="HD26" i="2"/>
  <c r="CR32" i="2"/>
  <c r="CS32" i="2" s="1"/>
  <c r="HG29" i="2"/>
  <c r="HX42" i="2"/>
  <c r="GU19" i="2"/>
  <c r="HX12" i="2"/>
  <c r="HY13" i="2"/>
  <c r="IB16" i="2"/>
  <c r="EF40" i="2"/>
  <c r="EL44" i="2"/>
  <c r="EU51" i="2"/>
  <c r="EY55" i="2"/>
  <c r="HO43" i="2"/>
  <c r="EA19" i="2"/>
  <c r="EW19" i="2"/>
  <c r="FA19" i="2"/>
  <c r="FE19" i="2"/>
  <c r="L17" i="2"/>
  <c r="DK18" i="2"/>
  <c r="DJ18" i="2"/>
  <c r="DE18" i="2"/>
  <c r="DH18" i="2"/>
  <c r="DS18" i="2"/>
  <c r="DR18" i="2"/>
  <c r="CZ18" i="2"/>
  <c r="DG18" i="2"/>
  <c r="DF18" i="2"/>
  <c r="DQ18" i="2"/>
  <c r="DA18" i="2"/>
  <c r="DT18" i="2"/>
  <c r="DD18" i="2"/>
  <c r="DB18" i="2"/>
  <c r="CW18" i="2"/>
  <c r="CL18" i="2"/>
  <c r="IJ18" i="2"/>
  <c r="IK18" i="2" s="1"/>
  <c r="DO18" i="2"/>
  <c r="CY18" i="2"/>
  <c r="DN18" i="2"/>
  <c r="CX18" i="2"/>
  <c r="DI18" i="2"/>
  <c r="DL18" i="2"/>
  <c r="CV18" i="2"/>
  <c r="AI18" i="2"/>
  <c r="DC18" i="2"/>
  <c r="DM18" i="2"/>
  <c r="DP18" i="2"/>
  <c r="EG19" i="2"/>
  <c r="EO19" i="2"/>
  <c r="IC43" i="2"/>
  <c r="IC34" i="2"/>
  <c r="HZ31" i="2"/>
  <c r="HJ19" i="2"/>
  <c r="HX29" i="2"/>
  <c r="GZ11" i="2"/>
  <c r="HR25" i="2"/>
  <c r="HS26" i="2"/>
  <c r="EC30" i="2"/>
  <c r="EG34" i="2"/>
  <c r="EL37" i="2"/>
  <c r="EO40" i="2"/>
  <c r="ER43" i="2"/>
  <c r="EX47" i="2"/>
  <c r="FB51" i="2"/>
  <c r="FH55" i="2"/>
  <c r="FF22" i="2"/>
  <c r="FJ26" i="2"/>
  <c r="DZ28" i="5"/>
  <c r="DY27" i="5"/>
  <c r="DX26" i="5"/>
  <c r="DW25" i="5"/>
  <c r="DV24" i="5"/>
  <c r="DU23" i="5"/>
  <c r="DT22" i="5"/>
  <c r="DS21" i="5"/>
  <c r="DR20" i="5"/>
  <c r="DZ44" i="5"/>
  <c r="DY43" i="5"/>
  <c r="DX42" i="5"/>
  <c r="DW41" i="5"/>
  <c r="DV40" i="5"/>
  <c r="DU39" i="5"/>
  <c r="DT38" i="5"/>
  <c r="DS37" i="5"/>
  <c r="DR36" i="5"/>
  <c r="DQ35" i="5"/>
  <c r="DP34" i="5"/>
  <c r="DO33" i="5"/>
  <c r="DN32" i="5"/>
  <c r="DM31" i="5"/>
  <c r="CL30" i="5"/>
  <c r="DL30" i="5"/>
  <c r="DK29" i="5"/>
  <c r="DJ28" i="5"/>
  <c r="DI27" i="5"/>
  <c r="DH26" i="5"/>
  <c r="DG25" i="5"/>
  <c r="DF24" i="5"/>
  <c r="DE23" i="5"/>
  <c r="DD22" i="5"/>
  <c r="DC21" i="5"/>
  <c r="DB20" i="5"/>
  <c r="DA52" i="5"/>
  <c r="CX49" i="5"/>
  <c r="GD15" i="5"/>
  <c r="GH19" i="5"/>
  <c r="GM24" i="5"/>
  <c r="GL23" i="5"/>
  <c r="GR29" i="5"/>
  <c r="CQ19" i="5"/>
  <c r="GN25" i="5"/>
  <c r="CZ51" i="5"/>
  <c r="CY50" i="5"/>
  <c r="GB13" i="5"/>
  <c r="GC14" i="5"/>
  <c r="GQ28" i="5"/>
  <c r="DD55" i="5"/>
  <c r="DC54" i="5"/>
  <c r="CW48" i="5"/>
  <c r="FZ11" i="5"/>
  <c r="GF17" i="5"/>
  <c r="GO26" i="5"/>
  <c r="DE56" i="5"/>
  <c r="DB53" i="5"/>
  <c r="GE16" i="5"/>
  <c r="GG18" i="5"/>
  <c r="FX9" i="5"/>
  <c r="GA12" i="5"/>
  <c r="GK22" i="5"/>
  <c r="GP27" i="5"/>
  <c r="GJ21" i="5"/>
  <c r="CV47" i="5"/>
  <c r="GI20" i="5"/>
  <c r="FY10" i="5"/>
  <c r="FS19" i="5"/>
  <c r="FT20" i="5"/>
  <c r="FP16" i="5"/>
  <c r="GD30" i="5"/>
  <c r="FN14" i="5"/>
  <c r="FQ17" i="5"/>
  <c r="FO15" i="5"/>
  <c r="GC29" i="5"/>
  <c r="GA27" i="5"/>
  <c r="FY25" i="5"/>
  <c r="FW23" i="5"/>
  <c r="FR18" i="5"/>
  <c r="GB28" i="5"/>
  <c r="FX24" i="5"/>
  <c r="FU21" i="5"/>
  <c r="FZ26" i="5"/>
  <c r="GE31" i="5"/>
  <c r="FV22" i="5"/>
  <c r="GG33" i="5"/>
  <c r="GH34" i="5"/>
  <c r="GM39" i="5"/>
  <c r="GI35" i="5"/>
  <c r="GL38" i="5"/>
  <c r="GP42" i="5"/>
  <c r="GQ43" i="5"/>
  <c r="GO41" i="5"/>
  <c r="CQ35" i="5"/>
  <c r="GK37" i="5"/>
  <c r="CQ36" i="5"/>
  <c r="GJ36" i="5"/>
  <c r="GF32" i="5"/>
  <c r="GN40" i="5"/>
  <c r="HQ41" i="2"/>
  <c r="HR42" i="2"/>
  <c r="HH34" i="2"/>
  <c r="HE31" i="2"/>
  <c r="GU23" i="2"/>
  <c r="HC29" i="2"/>
  <c r="HS36" i="2"/>
  <c r="HT37" i="2"/>
  <c r="CR29" i="2"/>
  <c r="CS29" i="2" s="1"/>
  <c r="HE24" i="2"/>
  <c r="GX19" i="2"/>
  <c r="HG26" i="2"/>
  <c r="HH27" i="2"/>
  <c r="EH22" i="2"/>
  <c r="EN26" i="2"/>
  <c r="EP28" i="2"/>
  <c r="EV32" i="2"/>
  <c r="EZ36" i="2"/>
  <c r="FF40" i="2"/>
  <c r="FJ44" i="2"/>
  <c r="EZ21" i="2"/>
  <c r="FF25" i="2"/>
  <c r="FJ29" i="2"/>
  <c r="BY45" i="5"/>
  <c r="BZ45" i="5" s="1"/>
  <c r="BK45" i="5"/>
  <c r="BR45" i="5"/>
  <c r="EV21" i="2"/>
  <c r="EZ25" i="2"/>
  <c r="FF29" i="2"/>
  <c r="FJ33" i="2"/>
  <c r="GS23" i="2"/>
  <c r="HC31" i="2"/>
  <c r="HE33" i="2"/>
  <c r="GZ30" i="2"/>
  <c r="GY29" i="2"/>
  <c r="IB42" i="2"/>
  <c r="HW37" i="2"/>
  <c r="HP32" i="2"/>
  <c r="GU15" i="2"/>
  <c r="HE23" i="2"/>
  <c r="HG25" i="2"/>
  <c r="HD22" i="2"/>
  <c r="HH26" i="2"/>
  <c r="ED33" i="2"/>
  <c r="HZ9" i="2"/>
  <c r="IB11" i="2"/>
  <c r="EN41" i="2"/>
  <c r="EP43" i="2"/>
  <c r="EV47" i="2"/>
  <c r="EZ51" i="2"/>
  <c r="FF55" i="2"/>
  <c r="EU21" i="2"/>
  <c r="EY25" i="2"/>
  <c r="FE29" i="2"/>
  <c r="FI33" i="2"/>
  <c r="BF101" i="5"/>
  <c r="BH100" i="5"/>
  <c r="BG100" i="5"/>
  <c r="HE35" i="2"/>
  <c r="AS89" i="2"/>
  <c r="AH100" i="2"/>
  <c r="AL99" i="2"/>
  <c r="AO99" i="2"/>
  <c r="AK99" i="2"/>
  <c r="AN99" i="2"/>
  <c r="AJ99" i="2"/>
  <c r="AM99" i="2"/>
  <c r="AI99" i="2"/>
  <c r="HC26" i="2"/>
  <c r="DV56" i="5"/>
  <c r="DU55" i="5"/>
  <c r="DT54" i="5"/>
  <c r="DS53" i="5"/>
  <c r="DR52" i="5"/>
  <c r="DQ51" i="5"/>
  <c r="DP50" i="5"/>
  <c r="DO49" i="5"/>
  <c r="DN48" i="5"/>
  <c r="CL48" i="5"/>
  <c r="DM47" i="5"/>
  <c r="DL46" i="5"/>
  <c r="DK45" i="5"/>
  <c r="DJ44" i="5"/>
  <c r="DI43" i="5"/>
  <c r="DH42" i="5"/>
  <c r="DG41" i="5"/>
  <c r="DF40" i="5"/>
  <c r="DE39" i="5"/>
  <c r="DD38" i="5"/>
  <c r="GR12" i="5"/>
  <c r="DC37" i="5"/>
  <c r="GQ11" i="5"/>
  <c r="GO9" i="5"/>
  <c r="GP10" i="5"/>
  <c r="DB36" i="5"/>
  <c r="DA35" i="5"/>
  <c r="CZ34" i="5"/>
  <c r="CY33" i="5"/>
  <c r="CX32" i="5"/>
  <c r="CW31" i="5"/>
  <c r="CV30" i="5"/>
  <c r="GC21" i="5"/>
  <c r="FW15" i="5"/>
  <c r="GA19" i="5"/>
  <c r="GD22" i="5"/>
  <c r="GJ28" i="5"/>
  <c r="FR10" i="5"/>
  <c r="FQ9" i="5"/>
  <c r="GG25" i="5"/>
  <c r="FT12" i="5"/>
  <c r="FV14" i="5"/>
  <c r="GM31" i="5"/>
  <c r="GK29" i="5"/>
  <c r="CV54" i="5"/>
  <c r="FU13" i="5"/>
  <c r="GH26" i="5"/>
  <c r="CQ27" i="5"/>
  <c r="GL30" i="5"/>
  <c r="FX16" i="5"/>
  <c r="FS11" i="5"/>
  <c r="FY17" i="5"/>
  <c r="CX56" i="5"/>
  <c r="GB20" i="5"/>
  <c r="CW55" i="5"/>
  <c r="GI27" i="5"/>
  <c r="GE23" i="5"/>
  <c r="GF24" i="5"/>
  <c r="FZ18" i="5"/>
  <c r="GO33" i="5"/>
  <c r="GR36" i="5"/>
  <c r="GN32" i="5"/>
  <c r="GQ35" i="5"/>
  <c r="GP34" i="5"/>
  <c r="HN13" i="2"/>
  <c r="BX100" i="2"/>
  <c r="CB99" i="2"/>
  <c r="CE99" i="2"/>
  <c r="CA99" i="2"/>
  <c r="BZ99" i="2"/>
  <c r="BY99" i="2"/>
  <c r="FJ56" i="2"/>
  <c r="EY30" i="2"/>
  <c r="EF25" i="2"/>
  <c r="EU36" i="2"/>
  <c r="HN18" i="2"/>
  <c r="EH56" i="2"/>
  <c r="HW12" i="2"/>
  <c r="EM46" i="2"/>
  <c r="IC36" i="2"/>
  <c r="HW30" i="2"/>
  <c r="HG18" i="2"/>
  <c r="FA36" i="2"/>
  <c r="EK34" i="2"/>
  <c r="EX45" i="2"/>
  <c r="EV24" i="2"/>
  <c r="EX20" i="2"/>
  <c r="HW39" i="2"/>
  <c r="HH28" i="2"/>
  <c r="FE45" i="2"/>
  <c r="FB29" i="2"/>
  <c r="GN46" i="5"/>
  <c r="GM48" i="5"/>
  <c r="GL47" i="5"/>
  <c r="DZ32" i="5"/>
  <c r="DY31" i="5"/>
  <c r="DX30" i="5"/>
  <c r="DW29" i="5"/>
  <c r="DV28" i="5"/>
  <c r="DU27" i="5"/>
  <c r="DT26" i="5"/>
  <c r="DS25" i="5"/>
  <c r="DR24" i="5"/>
  <c r="DQ23" i="5"/>
  <c r="DP22" i="5"/>
  <c r="DO21" i="5"/>
  <c r="DN20" i="5"/>
  <c r="HQ30" i="2"/>
  <c r="HG22" i="2"/>
  <c r="EF34" i="2"/>
  <c r="EV46" i="2"/>
  <c r="FK25" i="2"/>
  <c r="CG100" i="2"/>
  <c r="CK99" i="2"/>
  <c r="CN99" i="2"/>
  <c r="CJ99" i="2"/>
  <c r="CM99" i="2"/>
  <c r="CI99" i="2"/>
  <c r="CL99" i="2"/>
  <c r="CH99" i="2"/>
  <c r="HE15" i="2"/>
  <c r="CR16" i="2"/>
  <c r="CS16" i="2" s="1"/>
  <c r="HG14" i="2"/>
  <c r="HN10" i="2"/>
  <c r="EK49" i="2"/>
  <c r="HZ12" i="2"/>
  <c r="EB23" i="2"/>
  <c r="EO34" i="2"/>
  <c r="FI50" i="2"/>
  <c r="EZ29" i="2"/>
  <c r="EA31" i="2"/>
  <c r="EH38" i="2"/>
  <c r="FA53" i="2"/>
  <c r="HS30" i="2"/>
  <c r="HE18" i="2"/>
  <c r="HW33" i="2"/>
  <c r="IC20" i="2"/>
  <c r="EE42" i="2"/>
  <c r="HN39" i="2"/>
  <c r="HO16" i="2"/>
  <c r="HN15" i="2"/>
  <c r="EP26" i="2"/>
  <c r="FF38" i="2"/>
  <c r="ED27" i="2"/>
  <c r="FK54" i="2"/>
  <c r="HW13" i="2"/>
  <c r="EG43" i="2"/>
  <c r="EV54" i="2"/>
  <c r="EU32" i="2"/>
  <c r="FI44" i="2"/>
  <c r="EU20" i="2"/>
  <c r="BY21" i="5"/>
  <c r="BZ21" i="5" s="1"/>
  <c r="BR21" i="5"/>
  <c r="BK21" i="5"/>
  <c r="HR21" i="2"/>
  <c r="EB49" i="2"/>
  <c r="HN9" i="2"/>
  <c r="EP53" i="2"/>
  <c r="EM50" i="2"/>
  <c r="IB13" i="2"/>
  <c r="EU48" i="2"/>
  <c r="EG31" i="2"/>
  <c r="EV42" i="2"/>
  <c r="EE22" i="2"/>
  <c r="EX37" i="2"/>
  <c r="EN23" i="2"/>
  <c r="FG38" i="2"/>
  <c r="AN98" i="5"/>
  <c r="AJ98" i="5"/>
  <c r="AM98" i="5"/>
  <c r="AI98" i="5"/>
  <c r="AL98" i="5"/>
  <c r="AH99" i="5"/>
  <c r="AO98" i="5"/>
  <c r="AK98" i="5"/>
  <c r="GY25" i="2"/>
  <c r="HR40" i="2"/>
  <c r="HY38" i="2"/>
  <c r="GZ19" i="2"/>
  <c r="HS17" i="2"/>
  <c r="HT18" i="2"/>
  <c r="EB35" i="2"/>
  <c r="EF39" i="2"/>
  <c r="EY54" i="2"/>
  <c r="EK25" i="2"/>
  <c r="FB40" i="2"/>
  <c r="FG28" i="2"/>
  <c r="BY36" i="5"/>
  <c r="BZ36" i="5" s="1"/>
  <c r="BR36" i="5"/>
  <c r="BK36" i="5"/>
  <c r="HS21" i="2"/>
  <c r="EA47" i="2"/>
  <c r="EH26" i="2"/>
  <c r="ED48" i="2"/>
  <c r="FH54" i="2"/>
  <c r="EW28" i="2"/>
  <c r="FG36" i="2"/>
  <c r="EH27" i="2"/>
  <c r="EW38" i="2"/>
  <c r="FG46" i="2"/>
  <c r="HX26" i="2"/>
  <c r="HW25" i="2"/>
  <c r="IA29" i="2"/>
  <c r="EU27" i="2"/>
  <c r="FE35" i="2"/>
  <c r="ED20" i="2"/>
  <c r="HP46" i="2"/>
  <c r="HQ46" i="2"/>
  <c r="HS44" i="2"/>
  <c r="HM44" i="2"/>
  <c r="L97" i="2"/>
  <c r="HT11" i="2"/>
  <c r="EK44" i="2"/>
  <c r="ER51" i="2"/>
  <c r="HP35" i="2"/>
  <c r="HN33" i="2"/>
  <c r="HQ26" i="2"/>
  <c r="GV9" i="2"/>
  <c r="HM22" i="2"/>
  <c r="HR27" i="2"/>
  <c r="EU30" i="2"/>
  <c r="FI42" i="2"/>
  <c r="FR28" i="5"/>
  <c r="FO25" i="5"/>
  <c r="HE34" i="2"/>
  <c r="EM36" i="2"/>
  <c r="EZ47" i="2"/>
  <c r="ER22" i="2"/>
  <c r="FB30" i="2"/>
  <c r="FH34" i="2"/>
  <c r="IL99" i="2"/>
  <c r="IH99" i="2"/>
  <c r="IK99" i="2"/>
  <c r="IG99" i="2"/>
  <c r="IE100" i="2"/>
  <c r="IJ99" i="2"/>
  <c r="IF99" i="2"/>
  <c r="II99" i="2"/>
  <c r="GY22" i="2"/>
  <c r="HQ35" i="2"/>
  <c r="HP34" i="2"/>
  <c r="CR30" i="2"/>
  <c r="CS30" i="2" s="1"/>
  <c r="HE25" i="2"/>
  <c r="HM31" i="2"/>
  <c r="GX20" i="2"/>
  <c r="GS15" i="2"/>
  <c r="ED24" i="2"/>
  <c r="EH28" i="2"/>
  <c r="EN32" i="2"/>
  <c r="EW39" i="2"/>
  <c r="FA43" i="2"/>
  <c r="FG47" i="2"/>
  <c r="FK51" i="2"/>
  <c r="EV23" i="2"/>
  <c r="EZ27" i="2"/>
  <c r="FF31" i="2"/>
  <c r="FJ35" i="2"/>
  <c r="HD37" i="2"/>
  <c r="GR49" i="5"/>
  <c r="GM46" i="5"/>
  <c r="HF39" i="2"/>
  <c r="GH44" i="5"/>
  <c r="GU30" i="2"/>
  <c r="GS28" i="2"/>
  <c r="GI44" i="5"/>
  <c r="GP45" i="5"/>
  <c r="GL49" i="5"/>
  <c r="GO44" i="5"/>
  <c r="HG40" i="2"/>
  <c r="GP44" i="5"/>
  <c r="GL45" i="5"/>
  <c r="CQ48" i="5"/>
  <c r="GX34" i="2"/>
  <c r="HH41" i="2"/>
  <c r="GT29" i="2"/>
  <c r="GK47" i="5"/>
  <c r="GT30" i="2"/>
  <c r="CQ45" i="5"/>
  <c r="BR22" i="5"/>
  <c r="DZ24" i="5"/>
  <c r="DY23" i="5"/>
  <c r="DX22" i="5"/>
  <c r="DW21" i="5"/>
  <c r="DV20" i="5"/>
  <c r="DZ35" i="5"/>
  <c r="DY34" i="5"/>
  <c r="DX33" i="5"/>
  <c r="DW32" i="5"/>
  <c r="DV31" i="5"/>
  <c r="DU30" i="5"/>
  <c r="DT29" i="5"/>
  <c r="DS28" i="5"/>
  <c r="DR27" i="5"/>
  <c r="DQ26" i="5"/>
  <c r="DP25" i="5"/>
  <c r="DO24" i="5"/>
  <c r="DN23" i="5"/>
  <c r="DM22" i="5"/>
  <c r="DL21" i="5"/>
  <c r="DK20" i="5"/>
  <c r="CL20" i="5"/>
  <c r="DZ40" i="5"/>
  <c r="DY39" i="5"/>
  <c r="DX38" i="5"/>
  <c r="DW37" i="5"/>
  <c r="DV36" i="5"/>
  <c r="DU35" i="5"/>
  <c r="DT34" i="5"/>
  <c r="DS33" i="5"/>
  <c r="DR32" i="5"/>
  <c r="DQ31" i="5"/>
  <c r="DP30" i="5"/>
  <c r="DO29" i="5"/>
  <c r="DN28" i="5"/>
  <c r="DM27" i="5"/>
  <c r="DL26" i="5"/>
  <c r="CL26" i="5"/>
  <c r="DK25" i="5"/>
  <c r="CL25" i="5"/>
  <c r="DJ24" i="5"/>
  <c r="DI23" i="5"/>
  <c r="DH22" i="5"/>
  <c r="DG21" i="5"/>
  <c r="DF20" i="5"/>
  <c r="FY23" i="5"/>
  <c r="FO13" i="5"/>
  <c r="FZ24" i="5"/>
  <c r="FT18" i="5"/>
  <c r="FV20" i="5"/>
  <c r="GB26" i="5"/>
  <c r="FU19" i="5"/>
  <c r="GD28" i="5"/>
  <c r="FX22" i="5"/>
  <c r="FN12" i="5"/>
  <c r="GA25" i="5"/>
  <c r="FQ15" i="5"/>
  <c r="FW21" i="5"/>
  <c r="GF30" i="5"/>
  <c r="FS17" i="5"/>
  <c r="FR16" i="5"/>
  <c r="GC27" i="5"/>
  <c r="FP14" i="5"/>
  <c r="GE29" i="5"/>
  <c r="GG31" i="5"/>
  <c r="GO39" i="5"/>
  <c r="GK35" i="5"/>
  <c r="CQ33" i="5"/>
  <c r="GI33" i="5"/>
  <c r="GQ41" i="5"/>
  <c r="GR42" i="5"/>
  <c r="GM37" i="5"/>
  <c r="GL36" i="5"/>
  <c r="GH32" i="5"/>
  <c r="GJ34" i="5"/>
  <c r="GN38" i="5"/>
  <c r="GP40" i="5"/>
  <c r="FZ33" i="5"/>
  <c r="GA34" i="5"/>
  <c r="FW30" i="5"/>
  <c r="FU28" i="5"/>
  <c r="FV29" i="5"/>
  <c r="CQ43" i="5"/>
  <c r="GB35" i="5"/>
  <c r="GH41" i="5"/>
  <c r="FO22" i="5"/>
  <c r="GD37" i="5"/>
  <c r="GF39" i="5"/>
  <c r="FN21" i="5"/>
  <c r="FP23" i="5"/>
  <c r="FY32" i="5"/>
  <c r="GG40" i="5"/>
  <c r="GI42" i="5"/>
  <c r="GJ43" i="5"/>
  <c r="FQ24" i="5"/>
  <c r="FT27" i="5"/>
  <c r="FR25" i="5"/>
  <c r="GC36" i="5"/>
  <c r="GE38" i="5"/>
  <c r="FS26" i="5"/>
  <c r="FX31" i="5"/>
  <c r="IC40" i="2"/>
  <c r="IA38" i="2"/>
  <c r="HN27" i="2"/>
  <c r="HO28" i="2"/>
  <c r="HC18" i="2"/>
  <c r="GZ17" i="2"/>
  <c r="CR24" i="2"/>
  <c r="CS24" i="2" s="1"/>
  <c r="GX15" i="2"/>
  <c r="ED32" i="2"/>
  <c r="EH36" i="2"/>
  <c r="IB10" i="2"/>
  <c r="EO41" i="2"/>
  <c r="ER44" i="2"/>
  <c r="EX48" i="2"/>
  <c r="FB52" i="2"/>
  <c r="FH56" i="2"/>
  <c r="FI23" i="2"/>
  <c r="HZ32" i="2"/>
  <c r="GW9" i="2"/>
  <c r="HS27" i="2"/>
  <c r="HH18" i="2"/>
  <c r="HJ20" i="2"/>
  <c r="HP24" i="2"/>
  <c r="HD14" i="2"/>
  <c r="GZ12" i="2"/>
  <c r="EA50" i="2"/>
  <c r="HD11" i="2"/>
  <c r="EG56" i="2"/>
  <c r="HM18" i="2"/>
  <c r="HP21" i="2"/>
  <c r="EE54" i="2"/>
  <c r="HX27" i="2"/>
  <c r="HT25" i="2"/>
  <c r="HS15" i="2"/>
  <c r="EL50" i="2"/>
  <c r="IA21" i="2"/>
  <c r="EN52" i="2"/>
  <c r="EE45" i="2"/>
  <c r="HT16" i="2"/>
  <c r="HM9" i="2"/>
  <c r="EA33" i="2"/>
  <c r="HX10" i="2"/>
  <c r="IC15" i="2"/>
  <c r="EF38" i="2"/>
  <c r="EL42" i="2"/>
  <c r="EP46" i="2"/>
  <c r="EU49" i="2"/>
  <c r="EY53" i="2"/>
  <c r="ED25" i="2"/>
  <c r="EH29" i="2"/>
  <c r="EN33" i="2"/>
  <c r="EW40" i="2"/>
  <c r="FA44" i="2"/>
  <c r="FG48" i="2"/>
  <c r="FK52" i="2"/>
  <c r="ER23" i="2"/>
  <c r="EX27" i="2"/>
  <c r="FB31" i="2"/>
  <c r="FH35" i="2"/>
  <c r="Q10" i="21"/>
  <c r="BY50" i="5"/>
  <c r="BZ50" i="5" s="1"/>
  <c r="BK50" i="5"/>
  <c r="BR50" i="5"/>
  <c r="BY42" i="5"/>
  <c r="BZ42" i="5" s="1"/>
  <c r="BK42" i="5"/>
  <c r="BR42" i="5"/>
  <c r="BY34" i="5"/>
  <c r="BZ34" i="5" s="1"/>
  <c r="BK34" i="5"/>
  <c r="BR34" i="5"/>
  <c r="BY26" i="5"/>
  <c r="BZ26" i="5" s="1"/>
  <c r="BK26" i="5"/>
  <c r="BR26" i="5"/>
  <c r="FP29" i="5"/>
  <c r="FN27" i="5"/>
  <c r="FW36" i="5"/>
  <c r="FY38" i="5"/>
  <c r="GD43" i="5"/>
  <c r="GC42" i="5"/>
  <c r="FV35" i="5"/>
  <c r="GA40" i="5"/>
  <c r="FQ30" i="5"/>
  <c r="FS32" i="5"/>
  <c r="GB41" i="5"/>
  <c r="FU34" i="5"/>
  <c r="FZ39" i="5"/>
  <c r="FT33" i="5"/>
  <c r="FX37" i="5"/>
  <c r="FO28" i="5"/>
  <c r="EC33" i="2"/>
  <c r="IC13" i="2"/>
  <c r="IB12" i="2"/>
  <c r="EL40" i="2"/>
  <c r="EU47" i="2"/>
  <c r="EY51" i="2"/>
  <c r="FE55" i="2"/>
  <c r="HW32" i="2"/>
  <c r="HX33" i="2"/>
  <c r="HC16" i="2"/>
  <c r="CR22" i="2"/>
  <c r="CS22" i="2" s="1"/>
  <c r="HO26" i="2"/>
  <c r="GW12" i="2"/>
  <c r="EA56" i="2"/>
  <c r="HF19" i="2"/>
  <c r="HJ42" i="2"/>
  <c r="HT32" i="2"/>
  <c r="HX34" i="2"/>
  <c r="HN26" i="2"/>
  <c r="CR23" i="2"/>
  <c r="CS23" i="2" s="1"/>
  <c r="HC17" i="2"/>
  <c r="HM25" i="2"/>
  <c r="HQ29" i="2"/>
  <c r="HG21" i="2"/>
  <c r="IA18" i="2"/>
  <c r="HZ17" i="2"/>
  <c r="IB19" i="2"/>
  <c r="ED41" i="2"/>
  <c r="EF43" i="2"/>
  <c r="EL47" i="2"/>
  <c r="EP51" i="2"/>
  <c r="EV55" i="2"/>
  <c r="GZ23" i="2"/>
  <c r="HM38" i="2"/>
  <c r="GS22" i="2"/>
  <c r="HH35" i="2"/>
  <c r="HO40" i="2"/>
  <c r="EA46" i="2"/>
  <c r="IA26" i="2"/>
  <c r="HW22" i="2"/>
  <c r="CR12" i="2"/>
  <c r="CS12" i="2" s="1"/>
  <c r="HJ13" i="2"/>
  <c r="IB27" i="2"/>
  <c r="EK54" i="2"/>
  <c r="EG52" i="2"/>
  <c r="EK21" i="2"/>
  <c r="ER28" i="2"/>
  <c r="EX32" i="2"/>
  <c r="FB36" i="2"/>
  <c r="FH40" i="2"/>
  <c r="DZ55" i="5"/>
  <c r="DY54" i="5"/>
  <c r="DX53" i="5"/>
  <c r="DW52" i="5"/>
  <c r="DV51" i="5"/>
  <c r="DU50" i="5"/>
  <c r="DT49" i="5"/>
  <c r="DS48" i="5"/>
  <c r="DR47" i="5"/>
  <c r="DQ46" i="5"/>
  <c r="DP45" i="5"/>
  <c r="DO44" i="5"/>
  <c r="DN43" i="5"/>
  <c r="CL42" i="5"/>
  <c r="DM42" i="5"/>
  <c r="DL41" i="5"/>
  <c r="DK40" i="5"/>
  <c r="DJ39" i="5"/>
  <c r="DI38" i="5"/>
  <c r="DH37" i="5"/>
  <c r="DG36" i="5"/>
  <c r="DF35" i="5"/>
  <c r="DE34" i="5"/>
  <c r="DD33" i="5"/>
  <c r="DC32" i="5"/>
  <c r="DB31" i="5"/>
  <c r="DA30" i="5"/>
  <c r="CZ29" i="5"/>
  <c r="CY28" i="5"/>
  <c r="CX27" i="5"/>
  <c r="CW26" i="5"/>
  <c r="CV25" i="5"/>
  <c r="FP11" i="5"/>
  <c r="FR13" i="5"/>
  <c r="CQ30" i="5"/>
  <c r="GF27" i="5"/>
  <c r="FZ21" i="5"/>
  <c r="FT15" i="5"/>
  <c r="FS14" i="5"/>
  <c r="FU16" i="5"/>
  <c r="FV17" i="5"/>
  <c r="GG28" i="5"/>
  <c r="FY20" i="5"/>
  <c r="GB23" i="5"/>
  <c r="FQ12" i="5"/>
  <c r="FO10" i="5"/>
  <c r="FW18" i="5"/>
  <c r="GE26" i="5"/>
  <c r="GI30" i="5"/>
  <c r="GH29" i="5"/>
  <c r="GD25" i="5"/>
  <c r="GC24" i="5"/>
  <c r="FN9" i="5"/>
  <c r="GJ31" i="5"/>
  <c r="GA22" i="5"/>
  <c r="FX19" i="5"/>
  <c r="GN35" i="5"/>
  <c r="GL33" i="5"/>
  <c r="GQ38" i="5"/>
  <c r="GO36" i="5"/>
  <c r="GP37" i="5"/>
  <c r="GK32" i="5"/>
  <c r="GR39" i="5"/>
  <c r="GM34" i="5"/>
  <c r="EB25" i="2"/>
  <c r="EF29" i="2"/>
  <c r="EL33" i="2"/>
  <c r="EO36" i="2"/>
  <c r="EU40" i="2"/>
  <c r="EY44" i="2"/>
  <c r="FE48" i="2"/>
  <c r="FI52" i="2"/>
  <c r="FB21" i="2"/>
  <c r="FH25" i="2"/>
  <c r="HT12" i="2"/>
  <c r="EA37" i="2"/>
  <c r="HR10" i="2"/>
  <c r="EE41" i="2"/>
  <c r="EK45" i="2"/>
  <c r="EO49" i="2"/>
  <c r="ER52" i="2"/>
  <c r="EX56" i="2"/>
  <c r="EH23" i="2"/>
  <c r="EN27" i="2"/>
  <c r="EW34" i="2"/>
  <c r="FA38" i="2"/>
  <c r="FG42" i="2"/>
  <c r="FK46" i="2"/>
  <c r="FE23" i="2"/>
  <c r="FI27" i="2"/>
  <c r="EY20" i="2"/>
  <c r="HF27" i="2"/>
  <c r="HR32" i="2"/>
  <c r="IB40" i="2"/>
  <c r="GS11" i="2"/>
  <c r="HH24" i="2"/>
  <c r="GT12" i="2"/>
  <c r="HQ31" i="2"/>
  <c r="HM27" i="2"/>
  <c r="HY26" i="2"/>
  <c r="IB29" i="2"/>
  <c r="HM16" i="2"/>
  <c r="HT23" i="2"/>
  <c r="HD9" i="2"/>
  <c r="EG54" i="2"/>
  <c r="HX25" i="2"/>
  <c r="HW24" i="2"/>
  <c r="IA20" i="2"/>
  <c r="HX17" i="2"/>
  <c r="IC22" i="2"/>
  <c r="IB21" i="2"/>
  <c r="HP11" i="2"/>
  <c r="EK48" i="2"/>
  <c r="ED43" i="2"/>
  <c r="HW16" i="2"/>
  <c r="EB33" i="2"/>
  <c r="HX9" i="2"/>
  <c r="HZ11" i="2"/>
  <c r="EH39" i="2"/>
  <c r="EN43" i="2"/>
  <c r="EW50" i="2"/>
  <c r="FA54" i="2"/>
  <c r="EA25" i="2"/>
  <c r="EE29" i="2"/>
  <c r="EK33" i="2"/>
  <c r="EO37" i="2"/>
  <c r="ER40" i="2"/>
  <c r="EX44" i="2"/>
  <c r="FB48" i="2"/>
  <c r="FH52" i="2"/>
  <c r="EG24" i="2"/>
  <c r="EM28" i="2"/>
  <c r="EP31" i="2"/>
  <c r="EV35" i="2"/>
  <c r="EZ39" i="2"/>
  <c r="FF43" i="2"/>
  <c r="FJ47" i="2"/>
  <c r="EZ22" i="2"/>
  <c r="FF26" i="2"/>
  <c r="FJ30" i="2"/>
  <c r="DZ33" i="5"/>
  <c r="DY32" i="5"/>
  <c r="DX31" i="5"/>
  <c r="DW30" i="5"/>
  <c r="DV29" i="5"/>
  <c r="DU28" i="5"/>
  <c r="DT27" i="5"/>
  <c r="DS26" i="5"/>
  <c r="DR25" i="5"/>
  <c r="DQ24" i="5"/>
  <c r="DP23" i="5"/>
  <c r="DO22" i="5"/>
  <c r="DN21" i="5"/>
  <c r="DM20" i="5"/>
  <c r="DZ42" i="5"/>
  <c r="DY41" i="5"/>
  <c r="DX40" i="5"/>
  <c r="DW39" i="5"/>
  <c r="DV38" i="5"/>
  <c r="DU37" i="5"/>
  <c r="DT36" i="5"/>
  <c r="DS35" i="5"/>
  <c r="DR34" i="5"/>
  <c r="DQ33" i="5"/>
  <c r="DP32" i="5"/>
  <c r="DO31" i="5"/>
  <c r="DN30" i="5"/>
  <c r="DM29" i="5"/>
  <c r="DL28" i="5"/>
  <c r="CL28" i="5"/>
  <c r="DK27" i="5"/>
  <c r="DJ26" i="5"/>
  <c r="DI25" i="5"/>
  <c r="DH24" i="5"/>
  <c r="DG23" i="5"/>
  <c r="DF22" i="5"/>
  <c r="DE21" i="5"/>
  <c r="DD20" i="5"/>
  <c r="GC33" i="5"/>
  <c r="GG37" i="5"/>
  <c r="GJ40" i="5"/>
  <c r="GF36" i="5"/>
  <c r="FP20" i="5"/>
  <c r="GM43" i="5"/>
  <c r="CQ40" i="5"/>
  <c r="GH38" i="5"/>
  <c r="FZ30" i="5"/>
  <c r="GI39" i="5"/>
  <c r="FR22" i="5"/>
  <c r="GD34" i="5"/>
  <c r="GE35" i="5"/>
  <c r="FV26" i="5"/>
  <c r="FQ21" i="5"/>
  <c r="FO19" i="5"/>
  <c r="FT24" i="5"/>
  <c r="FU25" i="5"/>
  <c r="FW27" i="5"/>
  <c r="GK41" i="5"/>
  <c r="GB32" i="5"/>
  <c r="GL42" i="5"/>
  <c r="FX28" i="5"/>
  <c r="FY29" i="5"/>
  <c r="FN18" i="5"/>
  <c r="FS23" i="5"/>
  <c r="GA31" i="5"/>
  <c r="EL21" i="2"/>
  <c r="EO24" i="2"/>
  <c r="EU28" i="2"/>
  <c r="EY32" i="2"/>
  <c r="FE36" i="2"/>
  <c r="FI40" i="2"/>
  <c r="GU21" i="2"/>
  <c r="HG31" i="2"/>
  <c r="GX24" i="2"/>
  <c r="GW23" i="2"/>
  <c r="GV22" i="2"/>
  <c r="IB41" i="2"/>
  <c r="HS34" i="2"/>
  <c r="HT35" i="2"/>
  <c r="GY18" i="2"/>
  <c r="HH25" i="2"/>
  <c r="GU14" i="2"/>
  <c r="HD21" i="2"/>
  <c r="GW16" i="2"/>
  <c r="EH50" i="2"/>
  <c r="HZ22" i="2"/>
  <c r="EP56" i="2"/>
  <c r="HJ10" i="2"/>
  <c r="HR16" i="2"/>
  <c r="HM11" i="2"/>
  <c r="EG49" i="2"/>
  <c r="HO13" i="2"/>
  <c r="HZ13" i="2"/>
  <c r="HX11" i="2"/>
  <c r="HY12" i="2"/>
  <c r="EH41" i="2"/>
  <c r="EN45" i="2"/>
  <c r="EW52" i="2"/>
  <c r="FA56" i="2"/>
  <c r="EG23" i="2"/>
  <c r="EM27" i="2"/>
  <c r="EP30" i="2"/>
  <c r="EV34" i="2"/>
  <c r="EZ38" i="2"/>
  <c r="FF42" i="2"/>
  <c r="FJ46" i="2"/>
  <c r="EY22" i="2"/>
  <c r="FE26" i="2"/>
  <c r="FI30" i="2"/>
  <c r="FF21" i="2"/>
  <c r="FJ25" i="2"/>
  <c r="BY56" i="5"/>
  <c r="BZ56" i="5" s="1"/>
  <c r="CA56" i="5" s="1"/>
  <c r="CB56" i="5" s="1"/>
  <c r="BR56" i="5"/>
  <c r="BS56" i="5" s="1"/>
  <c r="BK56" i="5"/>
  <c r="BL56" i="5" s="1"/>
  <c r="BY32" i="5"/>
  <c r="BZ32" i="5" s="1"/>
  <c r="BR32" i="5"/>
  <c r="BK32" i="5"/>
  <c r="IA27" i="2"/>
  <c r="HP18" i="2"/>
  <c r="EF52" i="2"/>
  <c r="EC49" i="2"/>
  <c r="HR20" i="2"/>
  <c r="EH54" i="2"/>
  <c r="EG53" i="2"/>
  <c r="HM15" i="2"/>
  <c r="EF24" i="2"/>
  <c r="EL28" i="2"/>
  <c r="EO31" i="2"/>
  <c r="EU35" i="2"/>
  <c r="EY39" i="2"/>
  <c r="FE43" i="2"/>
  <c r="FI47" i="2"/>
  <c r="BV99" i="5"/>
  <c r="BR99" i="5"/>
  <c r="BU99" i="5"/>
  <c r="BQ100" i="5"/>
  <c r="BT99" i="5"/>
  <c r="BS99" i="5"/>
  <c r="HG9" i="2"/>
  <c r="EE49" i="2"/>
  <c r="HX22" i="2"/>
  <c r="HM13" i="2"/>
  <c r="EM55" i="2"/>
  <c r="EG51" i="2"/>
  <c r="HP16" i="2"/>
  <c r="HO9" i="2"/>
  <c r="HT14" i="2"/>
  <c r="HY17" i="2"/>
  <c r="EA39" i="2"/>
  <c r="EG45" i="2"/>
  <c r="EM49" i="2"/>
  <c r="GS25" i="2"/>
  <c r="GW29" i="2"/>
  <c r="BY31" i="5"/>
  <c r="BZ31" i="5" s="1"/>
  <c r="BK31" i="5"/>
  <c r="BR31" i="5"/>
  <c r="AS94" i="2"/>
  <c r="BX100" i="5"/>
  <c r="CE99" i="5"/>
  <c r="CA99" i="5"/>
  <c r="BZ99" i="5"/>
  <c r="BY99" i="5"/>
  <c r="CB99" i="5"/>
  <c r="EG48" i="2"/>
  <c r="HS16" i="2"/>
  <c r="EN53" i="2"/>
  <c r="IA22" i="2"/>
  <c r="IB23" i="2"/>
  <c r="EC44" i="2"/>
  <c r="EP55" i="2"/>
  <c r="IC24" i="2"/>
  <c r="ED26" i="2"/>
  <c r="EH30" i="2"/>
  <c r="EN34" i="2"/>
  <c r="EW41" i="2"/>
  <c r="FA45" i="2"/>
  <c r="FG49" i="2"/>
  <c r="FK53" i="2"/>
  <c r="EY23" i="2"/>
  <c r="FE27" i="2"/>
  <c r="FI31" i="2"/>
  <c r="FH21" i="2"/>
  <c r="HD34" i="2"/>
  <c r="GX22" i="2"/>
  <c r="HR38" i="2"/>
  <c r="GT18" i="2"/>
  <c r="HT40" i="2"/>
  <c r="HY43" i="2"/>
  <c r="GY23" i="2"/>
  <c r="GV20" i="2"/>
  <c r="IA15" i="2"/>
  <c r="HS9" i="2"/>
  <c r="IC17" i="2"/>
  <c r="EG41" i="2"/>
  <c r="EM45" i="2"/>
  <c r="EP48" i="2"/>
  <c r="EV52" i="2"/>
  <c r="EZ56" i="2"/>
  <c r="EU19" i="2"/>
  <c r="ED19" i="2"/>
  <c r="EH19" i="2"/>
  <c r="EF19" i="2"/>
  <c r="EX19" i="2"/>
  <c r="AK19" i="2"/>
  <c r="EL19" i="2"/>
  <c r="BF100" i="2"/>
  <c r="BH99" i="2"/>
  <c r="BG99" i="2"/>
  <c r="EB53" i="2"/>
  <c r="HN21" i="2"/>
  <c r="HC12" i="2"/>
  <c r="HE14" i="2"/>
  <c r="HW28" i="2"/>
  <c r="HQ24" i="2"/>
  <c r="HY30" i="2"/>
  <c r="HM20" i="2"/>
  <c r="ED31" i="2"/>
  <c r="EH35" i="2"/>
  <c r="IC10" i="2"/>
  <c r="EU44" i="2"/>
  <c r="EY48" i="2"/>
  <c r="FE52" i="2"/>
  <c r="FI56" i="2"/>
  <c r="FG23" i="2"/>
  <c r="FK27" i="2"/>
  <c r="DW56" i="5"/>
  <c r="DV55" i="5"/>
  <c r="DU54" i="5"/>
  <c r="DT53" i="5"/>
  <c r="DS52" i="5"/>
  <c r="DR51" i="5"/>
  <c r="DQ50" i="5"/>
  <c r="DP49" i="5"/>
  <c r="DO48" i="5"/>
  <c r="DN47" i="5"/>
  <c r="CL47" i="5"/>
  <c r="DM46" i="5"/>
  <c r="DL45" i="5"/>
  <c r="DK44" i="5"/>
  <c r="DJ43" i="5"/>
  <c r="DI42" i="5"/>
  <c r="DH41" i="5"/>
  <c r="DG40" i="5"/>
  <c r="DF39" i="5"/>
  <c r="DE38" i="5"/>
  <c r="GP9" i="5"/>
  <c r="GQ10" i="5"/>
  <c r="GR11" i="5"/>
  <c r="DD37" i="5"/>
  <c r="DC36" i="5"/>
  <c r="DB35" i="5"/>
  <c r="DA34" i="5"/>
  <c r="CZ33" i="5"/>
  <c r="CY32" i="5"/>
  <c r="CX31" i="5"/>
  <c r="CW30" i="5"/>
  <c r="CV29" i="5"/>
  <c r="HN38" i="2"/>
  <c r="HM37" i="2"/>
  <c r="GS21" i="2"/>
  <c r="GT22" i="2"/>
  <c r="HX39" i="2"/>
  <c r="HO32" i="2"/>
  <c r="HZ41" i="2"/>
  <c r="HD23" i="2"/>
  <c r="HN31" i="2"/>
  <c r="GW18" i="2"/>
  <c r="GZ21" i="2"/>
  <c r="GY20" i="2"/>
  <c r="EK23" i="2"/>
  <c r="EW33" i="2"/>
  <c r="FA37" i="2"/>
  <c r="FG41" i="2"/>
  <c r="FK45" i="2"/>
  <c r="FA22" i="2"/>
  <c r="FG26" i="2"/>
  <c r="FK30" i="2"/>
  <c r="BY33" i="5"/>
  <c r="BZ33" i="5" s="1"/>
  <c r="BR33" i="5"/>
  <c r="BK33" i="5"/>
  <c r="EW22" i="2"/>
  <c r="FA26" i="2"/>
  <c r="FG30" i="2"/>
  <c r="FK34" i="2"/>
  <c r="HG35" i="2"/>
  <c r="HD32" i="2"/>
  <c r="GT24" i="2"/>
  <c r="HF34" i="2"/>
  <c r="CR38" i="2"/>
  <c r="CS38" i="2" s="1"/>
  <c r="GW27" i="2"/>
  <c r="HZ40" i="2"/>
  <c r="HR34" i="2"/>
  <c r="CR28" i="2"/>
  <c r="CS28" i="2" s="1"/>
  <c r="HM29" i="2"/>
  <c r="HC21" i="2"/>
  <c r="GW17" i="2"/>
  <c r="HF24" i="2"/>
  <c r="EA30" i="2"/>
  <c r="EE34" i="2"/>
  <c r="IC12" i="2"/>
  <c r="EK38" i="2"/>
  <c r="EO42" i="2"/>
  <c r="EW48" i="2"/>
  <c r="FA52" i="2"/>
  <c r="FG56" i="2"/>
  <c r="EV22" i="2"/>
  <c r="EZ26" i="2"/>
  <c r="FF30" i="2"/>
  <c r="FJ34" i="2"/>
  <c r="V96" i="2"/>
  <c r="FF20" i="2"/>
  <c r="Q20" i="21" l="1"/>
  <c r="Q19" i="21"/>
  <c r="Q6" i="21"/>
  <c r="HN46" i="5"/>
  <c r="GX36" i="5"/>
  <c r="HM46" i="5"/>
  <c r="HJ45" i="5"/>
  <c r="HF41" i="5"/>
  <c r="HI44" i="5"/>
  <c r="HC39" i="5"/>
  <c r="GZ38" i="5"/>
  <c r="GW35" i="5"/>
  <c r="CM56" i="2"/>
  <c r="CN56" i="2" s="1"/>
  <c r="Q33" i="21"/>
  <c r="CR48" i="5"/>
  <c r="AV90" i="2"/>
  <c r="GW33" i="5"/>
  <c r="GZ36" i="5"/>
  <c r="HD39" i="5"/>
  <c r="HC38" i="5"/>
  <c r="CM39" i="2"/>
  <c r="CN39" i="2" s="1"/>
  <c r="Q21" i="21"/>
  <c r="Q23" i="21"/>
  <c r="HM44" i="5"/>
  <c r="HD38" i="5"/>
  <c r="GU32" i="5"/>
  <c r="Q22" i="21"/>
  <c r="CM22" i="2"/>
  <c r="CN22" i="2" s="1"/>
  <c r="CM42" i="2"/>
  <c r="CN42" i="2" s="1"/>
  <c r="CM41" i="2"/>
  <c r="CN41" i="2" s="1"/>
  <c r="HJ46" i="5"/>
  <c r="Q14" i="21"/>
  <c r="Q36" i="21"/>
  <c r="HN45" i="5"/>
  <c r="GW34" i="5"/>
  <c r="HE41" i="5"/>
  <c r="HF40" i="5"/>
  <c r="HH43" i="5"/>
  <c r="GY35" i="5"/>
  <c r="GV33" i="5"/>
  <c r="HI43" i="5"/>
  <c r="GY36" i="5"/>
  <c r="AU96" i="2"/>
  <c r="HE40" i="5"/>
  <c r="GU31" i="5"/>
  <c r="HG42" i="5"/>
  <c r="HN44" i="5"/>
  <c r="Q35" i="21"/>
  <c r="HE39" i="5"/>
  <c r="HN40" i="5"/>
  <c r="GY37" i="5"/>
  <c r="Q17" i="21"/>
  <c r="HG41" i="5"/>
  <c r="GX35" i="5"/>
  <c r="CR40" i="5"/>
  <c r="CS40" i="5" s="1"/>
  <c r="CM44" i="2"/>
  <c r="CN44" i="2" s="1"/>
  <c r="HM43" i="5"/>
  <c r="GU29" i="5"/>
  <c r="Q24" i="21"/>
  <c r="CM18" i="2"/>
  <c r="CN18" i="2" s="1"/>
  <c r="CM48" i="2"/>
  <c r="CN48" i="2" s="1"/>
  <c r="CM29" i="2"/>
  <c r="CN29" i="2" s="1"/>
  <c r="CM30" i="2"/>
  <c r="CN30" i="2" s="1"/>
  <c r="CM50" i="2"/>
  <c r="CN50" i="2" s="1"/>
  <c r="CM51" i="2"/>
  <c r="CN51" i="2" s="1"/>
  <c r="CM34" i="2"/>
  <c r="CN34" i="2" s="1"/>
  <c r="Q39" i="21"/>
  <c r="HM45" i="5"/>
  <c r="Q37" i="21"/>
  <c r="GU30" i="5"/>
  <c r="HH42" i="5"/>
  <c r="HC37" i="5"/>
  <c r="HJ44" i="5"/>
  <c r="CM24" i="2"/>
  <c r="CN24" i="2" s="1"/>
  <c r="EV18" i="2"/>
  <c r="EB18" i="2"/>
  <c r="EL18" i="2"/>
  <c r="CM54" i="2"/>
  <c r="CN54" i="2" s="1"/>
  <c r="CM53" i="2"/>
  <c r="CN53" i="2" s="1"/>
  <c r="HH44" i="5"/>
  <c r="Q7" i="21"/>
  <c r="Q16" i="21"/>
  <c r="GV32" i="5"/>
  <c r="EU18" i="2"/>
  <c r="ED18" i="2"/>
  <c r="EF18" i="2"/>
  <c r="EE18" i="2"/>
  <c r="CM55" i="2"/>
  <c r="CN55" i="2" s="1"/>
  <c r="Q9" i="21"/>
  <c r="CM33" i="2"/>
  <c r="CN33" i="2" s="1"/>
  <c r="CH33" i="2" s="1"/>
  <c r="EH18" i="2"/>
  <c r="EP18" i="2"/>
  <c r="EX18" i="2"/>
  <c r="EG18" i="2"/>
  <c r="EZ18" i="2"/>
  <c r="FA18" i="2"/>
  <c r="CM36" i="2"/>
  <c r="CN36" i="2" s="1"/>
  <c r="CM25" i="2"/>
  <c r="CN25" i="2" s="1"/>
  <c r="CR44" i="5"/>
  <c r="CS44" i="5" s="1"/>
  <c r="GX34" i="5"/>
  <c r="HF42" i="5"/>
  <c r="HN26" i="5"/>
  <c r="EU41" i="5"/>
  <c r="HN29" i="5"/>
  <c r="CR47" i="5"/>
  <c r="CS47" i="5" s="1"/>
  <c r="CM31" i="2"/>
  <c r="CN31" i="2" s="1"/>
  <c r="CM23" i="2"/>
  <c r="CN23" i="2" s="1"/>
  <c r="HN33" i="5"/>
  <c r="Q4" i="21"/>
  <c r="HN43" i="5"/>
  <c r="Q26" i="21"/>
  <c r="EU28" i="5"/>
  <c r="HM31" i="5"/>
  <c r="EU19" i="5"/>
  <c r="CM20" i="2"/>
  <c r="CN20" i="2" s="1"/>
  <c r="CM26" i="2"/>
  <c r="CN26" i="2" s="1"/>
  <c r="CM40" i="2"/>
  <c r="CN40" i="2" s="1"/>
  <c r="CH39" i="2" s="1"/>
  <c r="CM52" i="2"/>
  <c r="CN52" i="2" s="1"/>
  <c r="EV20" i="5"/>
  <c r="CR45" i="5"/>
  <c r="CS45" i="5" s="1"/>
  <c r="EC56" i="5"/>
  <c r="IL18" i="2"/>
  <c r="IF18" i="2" s="1"/>
  <c r="IG18" i="2" s="1"/>
  <c r="IH18" i="2" s="1"/>
  <c r="CM38" i="2"/>
  <c r="CN38" i="2" s="1"/>
  <c r="CM43" i="2"/>
  <c r="CN43" i="2" s="1"/>
  <c r="CH43" i="2" s="1"/>
  <c r="CM27" i="2"/>
  <c r="CN27" i="2" s="1"/>
  <c r="GU19" i="5"/>
  <c r="HM33" i="5"/>
  <c r="HM41" i="5"/>
  <c r="Q31" i="21"/>
  <c r="HN37" i="5"/>
  <c r="GU22" i="5"/>
  <c r="CM19" i="2"/>
  <c r="CN19" i="2" s="1"/>
  <c r="CM37" i="2"/>
  <c r="CN37" i="2" s="1"/>
  <c r="CH36" i="2" s="1"/>
  <c r="CM46" i="2"/>
  <c r="CN46" i="2" s="1"/>
  <c r="CM28" i="2"/>
  <c r="CN28" i="2" s="1"/>
  <c r="Q13" i="21"/>
  <c r="CH56" i="2"/>
  <c r="CI56" i="2" s="1"/>
  <c r="CJ56" i="2" s="1"/>
  <c r="BS42" i="5"/>
  <c r="BV42" i="5" s="1"/>
  <c r="BL50" i="5"/>
  <c r="BO50" i="5" s="1"/>
  <c r="CA40" i="5"/>
  <c r="CB40" i="5" s="1"/>
  <c r="BS54" i="5"/>
  <c r="BV54" i="5" s="1"/>
  <c r="BL55" i="5"/>
  <c r="BM55" i="5" s="1"/>
  <c r="BS31" i="5"/>
  <c r="BV31" i="5" s="1"/>
  <c r="CA49" i="5"/>
  <c r="CB49" i="5" s="1"/>
  <c r="BS45" i="5"/>
  <c r="BV45" i="5" s="1"/>
  <c r="CA32" i="5"/>
  <c r="CB32" i="5" s="1"/>
  <c r="BS46" i="5"/>
  <c r="BV46" i="5" s="1"/>
  <c r="CA26" i="5"/>
  <c r="CB26" i="5" s="1"/>
  <c r="M97" i="2"/>
  <c r="M58" i="2"/>
  <c r="M61" i="2"/>
  <c r="M57" i="2"/>
  <c r="M60" i="2"/>
  <c r="M55" i="2"/>
  <c r="M56" i="2"/>
  <c r="M59" i="2"/>
  <c r="M62" i="2"/>
  <c r="M63" i="2"/>
  <c r="M54" i="2"/>
  <c r="M53" i="2"/>
  <c r="M52" i="2"/>
  <c r="M51" i="2"/>
  <c r="M64" i="2"/>
  <c r="M65" i="2"/>
  <c r="M66" i="2"/>
  <c r="M48" i="2"/>
  <c r="M50" i="2"/>
  <c r="M47" i="2"/>
  <c r="M49" i="2"/>
  <c r="M68" i="2"/>
  <c r="M46" i="2"/>
  <c r="M67" i="2"/>
  <c r="M70" i="2"/>
  <c r="M44" i="2"/>
  <c r="M69" i="2"/>
  <c r="M71" i="2"/>
  <c r="M45" i="2"/>
  <c r="M72" i="2"/>
  <c r="M73" i="2"/>
  <c r="M74" i="2"/>
  <c r="M42" i="2"/>
  <c r="M43" i="2"/>
  <c r="M41" i="2"/>
  <c r="M38" i="2"/>
  <c r="M40" i="2"/>
  <c r="M77" i="2"/>
  <c r="M39" i="2"/>
  <c r="M76" i="2"/>
  <c r="M75" i="2"/>
  <c r="M78" i="2"/>
  <c r="M79" i="2"/>
  <c r="M80" i="2"/>
  <c r="M35" i="2"/>
  <c r="M37" i="2"/>
  <c r="M36" i="2"/>
  <c r="M33" i="2"/>
  <c r="M81" i="2"/>
  <c r="M82" i="2"/>
  <c r="M34" i="2"/>
  <c r="M31" i="2"/>
  <c r="M32" i="2"/>
  <c r="M83" i="2"/>
  <c r="M84" i="2"/>
  <c r="M30" i="2"/>
  <c r="M85" i="2"/>
  <c r="M86" i="2"/>
  <c r="M88" i="2"/>
  <c r="M29" i="2"/>
  <c r="M26" i="2"/>
  <c r="M89" i="2"/>
  <c r="M28" i="2"/>
  <c r="M87" i="2"/>
  <c r="M27" i="2"/>
  <c r="M25" i="2"/>
  <c r="BL36" i="5"/>
  <c r="CG101" i="2"/>
  <c r="CK100" i="2"/>
  <c r="CN100" i="2"/>
  <c r="CJ100" i="2"/>
  <c r="CI100" i="2"/>
  <c r="CH100" i="2"/>
  <c r="CM100" i="2"/>
  <c r="CL100" i="2"/>
  <c r="HN23" i="5"/>
  <c r="BL24" i="5"/>
  <c r="CR9" i="5"/>
  <c r="CS9" i="5" s="1"/>
  <c r="CN57" i="5" s="1"/>
  <c r="CR18" i="5"/>
  <c r="CS18" i="5" s="1"/>
  <c r="CA30" i="5"/>
  <c r="CB30" i="5" s="1"/>
  <c r="CR31" i="5"/>
  <c r="CS31" i="5" s="1"/>
  <c r="CR12" i="5"/>
  <c r="CS12" i="5" s="1"/>
  <c r="CA33" i="5"/>
  <c r="CB33" i="5" s="1"/>
  <c r="EV46" i="5"/>
  <c r="AL19" i="2"/>
  <c r="AM19" i="2"/>
  <c r="AV94" i="2"/>
  <c r="AU94" i="2"/>
  <c r="BS100" i="5"/>
  <c r="BV100" i="5"/>
  <c r="BR100" i="5"/>
  <c r="BU100" i="5"/>
  <c r="BQ101" i="5"/>
  <c r="BT100" i="5"/>
  <c r="BS32" i="5"/>
  <c r="HM34" i="5"/>
  <c r="GU11" i="5"/>
  <c r="BL26" i="5"/>
  <c r="CA34" i="5"/>
  <c r="CB34" i="5" s="1"/>
  <c r="BS50" i="5"/>
  <c r="HM28" i="5"/>
  <c r="EU26" i="5"/>
  <c r="EV22" i="5"/>
  <c r="BS22" i="5"/>
  <c r="CB100" i="2"/>
  <c r="CE100" i="2"/>
  <c r="CA100" i="2"/>
  <c r="BX101" i="2"/>
  <c r="BZ100" i="2"/>
  <c r="BY100" i="2"/>
  <c r="EC32" i="5"/>
  <c r="CR35" i="5"/>
  <c r="CS35" i="5" s="1"/>
  <c r="GU16" i="5"/>
  <c r="HN16" i="5"/>
  <c r="HM15" i="5"/>
  <c r="M18" i="2"/>
  <c r="BS24" i="5"/>
  <c r="BL40" i="5"/>
  <c r="CA48" i="5"/>
  <c r="CB48" i="5" s="1"/>
  <c r="CR37" i="5"/>
  <c r="CS37" i="5" s="1"/>
  <c r="BS49" i="5"/>
  <c r="BL46" i="5"/>
  <c r="HN21" i="5"/>
  <c r="CR24" i="5"/>
  <c r="CS24" i="5" s="1"/>
  <c r="HN14" i="5"/>
  <c r="CA25" i="5"/>
  <c r="CB25" i="5" s="1"/>
  <c r="CR21" i="5"/>
  <c r="CS21" i="5" s="1"/>
  <c r="EV50" i="5"/>
  <c r="CA47" i="5"/>
  <c r="CB47" i="5" s="1"/>
  <c r="GU27" i="5"/>
  <c r="HN42" i="5"/>
  <c r="HN15" i="5"/>
  <c r="EC36" i="5"/>
  <c r="BS30" i="5"/>
  <c r="CA38" i="5"/>
  <c r="CB38" i="5" s="1"/>
  <c r="CR42" i="5"/>
  <c r="CS42" i="5" s="1"/>
  <c r="HM36" i="5"/>
  <c r="HN10" i="5"/>
  <c r="CU101" i="5"/>
  <c r="FI100" i="5"/>
  <c r="FE100" i="5"/>
  <c r="EZ100" i="5"/>
  <c r="EV100" i="5"/>
  <c r="EQ100" i="5"/>
  <c r="EM100" i="5"/>
  <c r="EH100" i="5"/>
  <c r="ED100" i="5"/>
  <c r="DZ100" i="5"/>
  <c r="DV100" i="5"/>
  <c r="DR100" i="5"/>
  <c r="DN100" i="5"/>
  <c r="DJ100" i="5"/>
  <c r="DF100" i="5"/>
  <c r="DB100" i="5"/>
  <c r="CX100" i="5"/>
  <c r="FH100" i="5"/>
  <c r="EY100" i="5"/>
  <c r="EU100" i="5"/>
  <c r="EP100" i="5"/>
  <c r="EL100" i="5"/>
  <c r="EG100" i="5"/>
  <c r="EC100" i="5"/>
  <c r="DY100" i="5"/>
  <c r="DU100" i="5"/>
  <c r="DQ100" i="5"/>
  <c r="DM100" i="5"/>
  <c r="DI100" i="5"/>
  <c r="DE100" i="5"/>
  <c r="DA100" i="5"/>
  <c r="CW100" i="5"/>
  <c r="FK100" i="5"/>
  <c r="FG100" i="5"/>
  <c r="FB100" i="5"/>
  <c r="EX100" i="5"/>
  <c r="EO100" i="5"/>
  <c r="EK100" i="5"/>
  <c r="EF100" i="5"/>
  <c r="EB100" i="5"/>
  <c r="DX100" i="5"/>
  <c r="DT100" i="5"/>
  <c r="DP100" i="5"/>
  <c r="DL100" i="5"/>
  <c r="DH100" i="5"/>
  <c r="DD100" i="5"/>
  <c r="CZ100" i="5"/>
  <c r="CV100" i="5"/>
  <c r="FJ100" i="5"/>
  <c r="FF100" i="5"/>
  <c r="FA100" i="5"/>
  <c r="EW100" i="5"/>
  <c r="ER100" i="5"/>
  <c r="EN100" i="5"/>
  <c r="EE100" i="5"/>
  <c r="EA100" i="5"/>
  <c r="DW100" i="5"/>
  <c r="DS100" i="5"/>
  <c r="DO100" i="5"/>
  <c r="DK100" i="5"/>
  <c r="DG100" i="5"/>
  <c r="DC100" i="5"/>
  <c r="CY100" i="5"/>
  <c r="BS39" i="5"/>
  <c r="CA43" i="5"/>
  <c r="CB43" i="5" s="1"/>
  <c r="BS28" i="5"/>
  <c r="HM29" i="5"/>
  <c r="CR23" i="5"/>
  <c r="CS23" i="5" s="1"/>
  <c r="HN20" i="5"/>
  <c r="HM10" i="5"/>
  <c r="EU51" i="5"/>
  <c r="EV35" i="5"/>
  <c r="GU21" i="5"/>
  <c r="CA22" i="5"/>
  <c r="CB22" i="5" s="1"/>
  <c r="AU87" i="2"/>
  <c r="AV87" i="2"/>
  <c r="AV86" i="2"/>
  <c r="AU86" i="2"/>
  <c r="AU80" i="2"/>
  <c r="AV80" i="2"/>
  <c r="AU77" i="2"/>
  <c r="AV77" i="2"/>
  <c r="AV72" i="2"/>
  <c r="AU72" i="2"/>
  <c r="AV69" i="2"/>
  <c r="AU69" i="2"/>
  <c r="AV64" i="2"/>
  <c r="AU64" i="2"/>
  <c r="AU60" i="2"/>
  <c r="AV60" i="2"/>
  <c r="AJ57" i="2"/>
  <c r="AV57" i="2"/>
  <c r="AU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U52" i="2"/>
  <c r="AV52" i="2"/>
  <c r="AV47" i="2"/>
  <c r="AU47" i="2"/>
  <c r="AV43" i="2"/>
  <c r="AU43" i="2"/>
  <c r="AV42" i="2"/>
  <c r="AU42" i="2"/>
  <c r="AV34" i="2"/>
  <c r="AU34" i="2"/>
  <c r="AV32" i="2"/>
  <c r="AU32" i="2"/>
  <c r="AU28" i="2"/>
  <c r="AV28" i="2"/>
  <c r="AV25" i="2"/>
  <c r="AU25" i="2"/>
  <c r="AU18" i="2"/>
  <c r="AV18" i="2"/>
  <c r="AV16" i="2"/>
  <c r="AU16" i="2"/>
  <c r="AU12" i="2"/>
  <c r="AV12" i="2"/>
  <c r="EU37" i="5"/>
  <c r="EU35" i="5"/>
  <c r="EV30" i="5"/>
  <c r="EV21" i="5"/>
  <c r="HN19" i="5"/>
  <c r="EU32" i="5"/>
  <c r="AK18" i="5"/>
  <c r="AJ18" i="5"/>
  <c r="IL18" i="5"/>
  <c r="IF18" i="5" s="1"/>
  <c r="IG18" i="5" s="1"/>
  <c r="M17" i="5"/>
  <c r="CL17" i="5"/>
  <c r="DI17" i="5"/>
  <c r="DH17" i="5"/>
  <c r="DK17" i="5"/>
  <c r="DJ17" i="5"/>
  <c r="IJ17" i="5"/>
  <c r="IK17" i="5" s="1"/>
  <c r="DA17" i="5"/>
  <c r="CZ17" i="5"/>
  <c r="DR17" i="5"/>
  <c r="DE17" i="5"/>
  <c r="DD17" i="5"/>
  <c r="DG17" i="5"/>
  <c r="DF17" i="5"/>
  <c r="DP17" i="5"/>
  <c r="DS17" i="5"/>
  <c r="DB17" i="5"/>
  <c r="DM17" i="5"/>
  <c r="CW17" i="5"/>
  <c r="DL17" i="5"/>
  <c r="CV17" i="5"/>
  <c r="DO17" i="5"/>
  <c r="CY17" i="5"/>
  <c r="DN17" i="5"/>
  <c r="CX17" i="5"/>
  <c r="L16" i="5"/>
  <c r="DQ17" i="5"/>
  <c r="DC17" i="5"/>
  <c r="AI17" i="5"/>
  <c r="BU17" i="5"/>
  <c r="HN39" i="5"/>
  <c r="CR29" i="5"/>
  <c r="CS29" i="5" s="1"/>
  <c r="EC45" i="5"/>
  <c r="EV25" i="5"/>
  <c r="M91" i="2"/>
  <c r="M21" i="2"/>
  <c r="M96" i="2"/>
  <c r="GW102" i="5"/>
  <c r="GZ102" i="5"/>
  <c r="GV102" i="5"/>
  <c r="GY102" i="5"/>
  <c r="GU102" i="5"/>
  <c r="GX102" i="5"/>
  <c r="BS23" i="5"/>
  <c r="BS35" i="5"/>
  <c r="BL52" i="5"/>
  <c r="CM47" i="2"/>
  <c r="CN47" i="2" s="1"/>
  <c r="EC41" i="5"/>
  <c r="EU39" i="5"/>
  <c r="BJ101" i="2"/>
  <c r="BN100" i="2"/>
  <c r="BM100" i="2"/>
  <c r="BO100" i="2"/>
  <c r="BL100" i="2"/>
  <c r="BK100" i="2"/>
  <c r="EU53" i="5"/>
  <c r="CM21" i="5"/>
  <c r="CN21" i="5" s="1"/>
  <c r="CR11" i="5"/>
  <c r="CS11" i="5" s="1"/>
  <c r="CM32" i="2"/>
  <c r="CN32" i="2" s="1"/>
  <c r="EV53" i="5"/>
  <c r="AN19" i="5"/>
  <c r="AO19" i="5"/>
  <c r="EV27" i="5"/>
  <c r="EC49" i="5"/>
  <c r="AC99" i="2"/>
  <c r="Y99" i="2"/>
  <c r="AF99" i="2"/>
  <c r="AB99" i="2"/>
  <c r="X100" i="2"/>
  <c r="AE99" i="2"/>
  <c r="AA99" i="2"/>
  <c r="AD99" i="2"/>
  <c r="Z99" i="2"/>
  <c r="EU36" i="5"/>
  <c r="BL41" i="5"/>
  <c r="EC51" i="5"/>
  <c r="EU38" i="5"/>
  <c r="BL28" i="5"/>
  <c r="HM19" i="5"/>
  <c r="EC37" i="5"/>
  <c r="EV52" i="5"/>
  <c r="BL37" i="5"/>
  <c r="HM16" i="5"/>
  <c r="B102" i="19"/>
  <c r="D102" i="19" s="1"/>
  <c r="E102" i="19"/>
  <c r="F102" i="19" s="1"/>
  <c r="A103" i="19"/>
  <c r="C102" i="19"/>
  <c r="AV85" i="2"/>
  <c r="AU85" i="2"/>
  <c r="AV70" i="2"/>
  <c r="AU70" i="2"/>
  <c r="AU56" i="2"/>
  <c r="AV56" i="2"/>
  <c r="AV46" i="2"/>
  <c r="AU46" i="2"/>
  <c r="AU37" i="2"/>
  <c r="AV37" i="2"/>
  <c r="AU22" i="2"/>
  <c r="AV22" i="2"/>
  <c r="AV15" i="2"/>
  <c r="AU15" i="2"/>
  <c r="EV38" i="5"/>
  <c r="GU13" i="5"/>
  <c r="EC19" i="5"/>
  <c r="BL27" i="5"/>
  <c r="EC52" i="5"/>
  <c r="GU10" i="5"/>
  <c r="EU40" i="5"/>
  <c r="BL23" i="5"/>
  <c r="BS52" i="5"/>
  <c r="EU22" i="5"/>
  <c r="EC38" i="5"/>
  <c r="EV19" i="5"/>
  <c r="BL33" i="5"/>
  <c r="CR30" i="5"/>
  <c r="CS30" i="5" s="1"/>
  <c r="EV42" i="5"/>
  <c r="CA50" i="5"/>
  <c r="CB50" i="5" s="1"/>
  <c r="HM37" i="5"/>
  <c r="GU14" i="5"/>
  <c r="BS36" i="5"/>
  <c r="BS21" i="5"/>
  <c r="HM22" i="5"/>
  <c r="EU46" i="5"/>
  <c r="M20" i="2"/>
  <c r="FB18" i="2"/>
  <c r="GU17" i="5"/>
  <c r="EC47" i="5"/>
  <c r="EV55" i="5"/>
  <c r="EC30" i="5"/>
  <c r="EU44" i="5"/>
  <c r="EV37" i="5"/>
  <c r="BL22" i="5"/>
  <c r="GU18" i="5"/>
  <c r="HM32" i="5"/>
  <c r="EU47" i="5"/>
  <c r="BL25" i="5"/>
  <c r="BS41" i="5"/>
  <c r="HN34" i="5"/>
  <c r="HM17" i="5"/>
  <c r="HN18" i="5"/>
  <c r="EC35" i="5"/>
  <c r="BS47" i="5"/>
  <c r="EC48" i="5"/>
  <c r="EU50" i="5"/>
  <c r="BL38" i="5"/>
  <c r="BL54" i="5"/>
  <c r="EU25" i="5"/>
  <c r="HM9" i="5"/>
  <c r="GU25" i="5"/>
  <c r="HM39" i="5"/>
  <c r="HM12" i="5"/>
  <c r="CR15" i="5"/>
  <c r="CS15" i="5" s="1"/>
  <c r="EC46" i="5"/>
  <c r="BL53" i="5"/>
  <c r="EU27" i="5"/>
  <c r="IH19" i="2"/>
  <c r="BS43" i="5"/>
  <c r="BS55" i="5"/>
  <c r="CA28" i="5"/>
  <c r="CB28" i="5" s="1"/>
  <c r="CR34" i="5"/>
  <c r="CS34" i="5" s="1"/>
  <c r="EC53" i="5"/>
  <c r="CR13" i="5"/>
  <c r="CS13" i="5" s="1"/>
  <c r="HN11" i="5"/>
  <c r="EC29" i="5"/>
  <c r="EU34" i="5"/>
  <c r="GU28" i="5"/>
  <c r="BS37" i="5"/>
  <c r="HN36" i="5"/>
  <c r="CR20" i="5"/>
  <c r="CS20" i="5" s="1"/>
  <c r="EC34" i="5"/>
  <c r="EU48" i="5"/>
  <c r="AU84" i="2"/>
  <c r="AV84" i="2"/>
  <c r="AU79" i="2"/>
  <c r="AV79" i="2"/>
  <c r="AU76" i="2"/>
  <c r="AV76" i="2"/>
  <c r="AV78" i="2"/>
  <c r="AU78" i="2"/>
  <c r="AU68" i="2"/>
  <c r="AV68" i="2"/>
  <c r="AV67" i="2"/>
  <c r="AU67" i="2"/>
  <c r="AV61" i="2"/>
  <c r="AU61" i="2"/>
  <c r="AU58" i="2"/>
  <c r="AV58" i="2"/>
  <c r="AU53" i="2"/>
  <c r="AV53" i="2"/>
  <c r="AV50" i="2"/>
  <c r="AU50" i="2"/>
  <c r="AU49" i="2"/>
  <c r="AV49" i="2"/>
  <c r="AU41" i="2"/>
  <c r="AV41" i="2"/>
  <c r="AU38" i="2"/>
  <c r="AV38" i="2"/>
  <c r="AV35" i="2"/>
  <c r="AU35" i="2"/>
  <c r="AU31" i="2"/>
  <c r="AV31" i="2"/>
  <c r="AV26" i="2"/>
  <c r="AU26" i="2"/>
  <c r="AV23" i="2"/>
  <c r="AU23" i="2"/>
  <c r="AU21" i="2"/>
  <c r="AV21" i="2"/>
  <c r="AU13" i="2"/>
  <c r="AV13" i="2"/>
  <c r="AU10" i="2"/>
  <c r="AV10" i="2"/>
  <c r="BL29" i="5"/>
  <c r="EC23" i="5"/>
  <c r="BL51" i="5"/>
  <c r="CR32" i="5"/>
  <c r="CS32" i="5" s="1"/>
  <c r="HN28" i="5"/>
  <c r="EC21" i="5"/>
  <c r="EV36" i="5"/>
  <c r="EU29" i="5"/>
  <c r="BY20" i="5"/>
  <c r="BZ20" i="5" s="1"/>
  <c r="CA20" i="5" s="1"/>
  <c r="CB20" i="5" s="1"/>
  <c r="BR20" i="5"/>
  <c r="BS20" i="5" s="1"/>
  <c r="BK20" i="5"/>
  <c r="BL20" i="5" s="1"/>
  <c r="II19" i="5"/>
  <c r="S25" i="21" s="1"/>
  <c r="IH19" i="5"/>
  <c r="HN22" i="5"/>
  <c r="CR25" i="5"/>
  <c r="CS25" i="5" s="1"/>
  <c r="BS27" i="5"/>
  <c r="CR22" i="5"/>
  <c r="CS22" i="5" s="1"/>
  <c r="HM18" i="5"/>
  <c r="S31" i="21"/>
  <c r="S34" i="21"/>
  <c r="S3" i="21"/>
  <c r="S4" i="21"/>
  <c r="HM24" i="5"/>
  <c r="HN25" i="5"/>
  <c r="HN12" i="5"/>
  <c r="CK100" i="5"/>
  <c r="CG101" i="5"/>
  <c r="CN100" i="5"/>
  <c r="CJ100" i="5"/>
  <c r="CM100" i="5"/>
  <c r="CI100" i="5"/>
  <c r="CL100" i="5"/>
  <c r="CH100" i="5"/>
  <c r="M95" i="2"/>
  <c r="M22" i="2"/>
  <c r="M24" i="2"/>
  <c r="CM35" i="2"/>
  <c r="CN35" i="2" s="1"/>
  <c r="CA23" i="5"/>
  <c r="CB23" i="5" s="1"/>
  <c r="BL44" i="5"/>
  <c r="CA52" i="5"/>
  <c r="CB52" i="5" s="1"/>
  <c r="HN24" i="5"/>
  <c r="GU9" i="5"/>
  <c r="CR10" i="5"/>
  <c r="CS10" i="5" s="1"/>
  <c r="EU55" i="5"/>
  <c r="EC25" i="5"/>
  <c r="EV40" i="5"/>
  <c r="CM45" i="2"/>
  <c r="CN45" i="2" s="1"/>
  <c r="EC39" i="5"/>
  <c r="EV23" i="5"/>
  <c r="EC42" i="5"/>
  <c r="EU56" i="5"/>
  <c r="HN9" i="5"/>
  <c r="HM40" i="5"/>
  <c r="BF101" i="2"/>
  <c r="BH100" i="2"/>
  <c r="BG100" i="2"/>
  <c r="CR33" i="5"/>
  <c r="CS33" i="5" s="1"/>
  <c r="BL21" i="5"/>
  <c r="AH101" i="2"/>
  <c r="AL100" i="2"/>
  <c r="AK100" i="2"/>
  <c r="AO100" i="2"/>
  <c r="AJ100" i="2"/>
  <c r="AN100" i="2"/>
  <c r="AI100" i="2"/>
  <c r="AM100" i="2"/>
  <c r="EU30" i="5"/>
  <c r="HM20" i="5"/>
  <c r="EC54" i="5"/>
  <c r="CR17" i="5"/>
  <c r="CS17" i="5" s="1"/>
  <c r="EU54" i="5"/>
  <c r="HM26" i="5"/>
  <c r="EC43" i="5"/>
  <c r="CA39" i="5"/>
  <c r="CB39" i="5" s="1"/>
  <c r="HN13" i="5"/>
  <c r="BS53" i="5"/>
  <c r="AU92" i="2"/>
  <c r="AV92" i="2"/>
  <c r="HN30" i="5"/>
  <c r="EU43" i="5"/>
  <c r="EC50" i="5"/>
  <c r="EU42" i="5"/>
  <c r="EV34" i="5"/>
  <c r="G100" i="5"/>
  <c r="I99" i="5"/>
  <c r="H99" i="5"/>
  <c r="AV88" i="2"/>
  <c r="AU88" i="2"/>
  <c r="AV81" i="2"/>
  <c r="AU81" i="2"/>
  <c r="AU74" i="2"/>
  <c r="AV74" i="2"/>
  <c r="AU66" i="2"/>
  <c r="AV66" i="2"/>
  <c r="AV63" i="2"/>
  <c r="AU63" i="2"/>
  <c r="AV55" i="2"/>
  <c r="AU55" i="2"/>
  <c r="AV51" i="2"/>
  <c r="AU51" i="2"/>
  <c r="AU45" i="2"/>
  <c r="AV45" i="2"/>
  <c r="AV39" i="2"/>
  <c r="AU39" i="2"/>
  <c r="AV30" i="2"/>
  <c r="AU30" i="2"/>
  <c r="AU27" i="2"/>
  <c r="AV27" i="2"/>
  <c r="AU19" i="2"/>
  <c r="AV19" i="2"/>
  <c r="AV11" i="2"/>
  <c r="AU11" i="2"/>
  <c r="BS29" i="5"/>
  <c r="BS51" i="5"/>
  <c r="BS100" i="2"/>
  <c r="BV100" i="2"/>
  <c r="BR100" i="2"/>
  <c r="BQ101" i="2"/>
  <c r="BU100" i="2"/>
  <c r="BT100" i="2"/>
  <c r="HM21" i="5"/>
  <c r="CR26" i="5"/>
  <c r="CS26" i="5" s="1"/>
  <c r="EV33" i="5"/>
  <c r="EC18" i="5"/>
  <c r="HM38" i="5"/>
  <c r="CR14" i="5"/>
  <c r="CS14" i="5" s="1"/>
  <c r="M90" i="2"/>
  <c r="M92" i="2"/>
  <c r="CA35" i="5"/>
  <c r="CB35" i="5" s="1"/>
  <c r="BS44" i="5"/>
  <c r="EV54" i="5"/>
  <c r="AL19" i="5"/>
  <c r="AM19" i="5"/>
  <c r="EC31" i="5"/>
  <c r="BL31" i="5"/>
  <c r="BM56" i="5"/>
  <c r="BO56" i="5"/>
  <c r="EV29" i="5"/>
  <c r="M94" i="2"/>
  <c r="HM25" i="5"/>
  <c r="BS34" i="5"/>
  <c r="BL42" i="5"/>
  <c r="HN38" i="5"/>
  <c r="CR43" i="5"/>
  <c r="CS43" i="5" s="1"/>
  <c r="AH100" i="5"/>
  <c r="AO99" i="5"/>
  <c r="AK99" i="5"/>
  <c r="AN99" i="5"/>
  <c r="AJ99" i="5"/>
  <c r="AM99" i="5"/>
  <c r="AI99" i="5"/>
  <c r="AL99" i="5"/>
  <c r="CR27" i="5"/>
  <c r="CS27" i="5" s="1"/>
  <c r="BL45" i="5"/>
  <c r="CR36" i="5"/>
  <c r="CS36" i="5" s="1"/>
  <c r="HN31" i="5"/>
  <c r="AJ18" i="2"/>
  <c r="AK18" i="2"/>
  <c r="EC18" i="2"/>
  <c r="EK18" i="2"/>
  <c r="EM18" i="2"/>
  <c r="ER18" i="2"/>
  <c r="CA24" i="5"/>
  <c r="CB24" i="5" s="1"/>
  <c r="BL48" i="5"/>
  <c r="EU31" i="5"/>
  <c r="EU23" i="5"/>
  <c r="AU95" i="2"/>
  <c r="AV95" i="2"/>
  <c r="CA46" i="5"/>
  <c r="CB46" i="5" s="1"/>
  <c r="IE101" i="5"/>
  <c r="IL100" i="5"/>
  <c r="IH100" i="5"/>
  <c r="IK100" i="5"/>
  <c r="IG100" i="5"/>
  <c r="IJ100" i="5"/>
  <c r="IF100" i="5"/>
  <c r="II100" i="5"/>
  <c r="BS33" i="5"/>
  <c r="EU45" i="5"/>
  <c r="AN19" i="2"/>
  <c r="AO19" i="2"/>
  <c r="CB100" i="5"/>
  <c r="BX101" i="5"/>
  <c r="CE100" i="5"/>
  <c r="CA100" i="5"/>
  <c r="BZ100" i="5"/>
  <c r="BY100" i="5"/>
  <c r="CA31" i="5"/>
  <c r="CB31" i="5" s="1"/>
  <c r="BL32" i="5"/>
  <c r="BT56" i="5"/>
  <c r="BV56" i="5"/>
  <c r="HN35" i="5"/>
  <c r="GU20" i="5"/>
  <c r="EC27" i="5"/>
  <c r="BS26" i="5"/>
  <c r="BL34" i="5"/>
  <c r="CA42" i="5"/>
  <c r="CB42" i="5" s="1"/>
  <c r="GU23" i="5"/>
  <c r="EU21" i="5"/>
  <c r="II100" i="2"/>
  <c r="IE101" i="2"/>
  <c r="IH100" i="2"/>
  <c r="IL100" i="2"/>
  <c r="IG100" i="2"/>
  <c r="IK100" i="2"/>
  <c r="IJ100" i="2"/>
  <c r="IF100" i="2"/>
  <c r="CA36" i="5"/>
  <c r="CB36" i="5" s="1"/>
  <c r="CA21" i="5"/>
  <c r="CB21" i="5" s="1"/>
  <c r="EV47" i="5"/>
  <c r="AV89" i="2"/>
  <c r="AU89" i="2"/>
  <c r="BF102" i="5"/>
  <c r="BH101" i="5"/>
  <c r="BG101" i="5"/>
  <c r="CA45" i="5"/>
  <c r="CB45" i="5" s="1"/>
  <c r="HM30" i="5"/>
  <c r="CR19" i="5"/>
  <c r="CS19" i="5" s="1"/>
  <c r="EV31" i="5"/>
  <c r="M19" i="2"/>
  <c r="EY18" i="2"/>
  <c r="EA18" i="2"/>
  <c r="EW18" i="2"/>
  <c r="FE18" i="2"/>
  <c r="EN18" i="2"/>
  <c r="EO18" i="2"/>
  <c r="M17" i="2"/>
  <c r="DD17" i="2"/>
  <c r="DS17" i="2"/>
  <c r="DC17" i="2"/>
  <c r="DR17" i="2"/>
  <c r="DB17" i="2"/>
  <c r="DM17" i="2"/>
  <c r="CW17" i="2"/>
  <c r="DL17" i="2"/>
  <c r="DE17" i="2"/>
  <c r="IJ17" i="2"/>
  <c r="IK17" i="2" s="1"/>
  <c r="DP17" i="2"/>
  <c r="CZ17" i="2"/>
  <c r="DO17" i="2"/>
  <c r="CY17" i="2"/>
  <c r="DN17" i="2"/>
  <c r="CX17" i="2"/>
  <c r="DI17" i="2"/>
  <c r="CL17" i="2"/>
  <c r="CM17" i="2" s="1"/>
  <c r="DJ17" i="2"/>
  <c r="AI17" i="2"/>
  <c r="DH17" i="2"/>
  <c r="DG17" i="2"/>
  <c r="DF17" i="2"/>
  <c r="DQ17" i="2"/>
  <c r="EZ17" i="2" s="1"/>
  <c r="DA17" i="2"/>
  <c r="L16" i="2"/>
  <c r="CV17" i="2"/>
  <c r="DK17" i="2"/>
  <c r="ER17" i="2" s="1"/>
  <c r="BS40" i="5"/>
  <c r="BS48" i="5"/>
  <c r="HN32" i="5"/>
  <c r="EV32" i="5"/>
  <c r="EV24" i="5"/>
  <c r="BL49" i="5"/>
  <c r="CR16" i="5"/>
  <c r="CS16" i="5" s="1"/>
  <c r="HM13" i="5"/>
  <c r="EC40" i="5"/>
  <c r="EV45" i="5"/>
  <c r="EC22" i="5"/>
  <c r="CR46" i="5"/>
  <c r="CS46" i="5" s="1"/>
  <c r="CM19" i="5" s="1"/>
  <c r="CN19" i="5" s="1"/>
  <c r="HN41" i="5"/>
  <c r="CR38" i="5"/>
  <c r="CS38" i="5" s="1"/>
  <c r="EC33" i="5"/>
  <c r="EV48" i="5"/>
  <c r="BS25" i="5"/>
  <c r="CA41" i="5"/>
  <c r="CB41" i="5" s="1"/>
  <c r="CR39" i="5"/>
  <c r="CS39" i="5" s="1"/>
  <c r="EU49" i="5"/>
  <c r="EC24" i="5"/>
  <c r="EV39" i="5"/>
  <c r="BL47" i="5"/>
  <c r="HM14" i="5"/>
  <c r="EV51" i="5"/>
  <c r="BL30" i="5"/>
  <c r="BS38" i="5"/>
  <c r="CA54" i="5"/>
  <c r="CB54" i="5" s="1"/>
  <c r="HN27" i="5"/>
  <c r="GU12" i="5"/>
  <c r="EV26" i="5"/>
  <c r="H99" i="2"/>
  <c r="G100" i="2"/>
  <c r="I99" i="2"/>
  <c r="BL39" i="5"/>
  <c r="CA53" i="5"/>
  <c r="CB53" i="5" s="1"/>
  <c r="EV28" i="5"/>
  <c r="BL43" i="5"/>
  <c r="CA55" i="5"/>
  <c r="CB55" i="5" s="1"/>
  <c r="GU15" i="5"/>
  <c r="EC44" i="5"/>
  <c r="EV44" i="5"/>
  <c r="EC20" i="5"/>
  <c r="AQ100" i="5"/>
  <c r="AX99" i="5"/>
  <c r="AT99" i="5"/>
  <c r="AW99" i="5"/>
  <c r="HM42" i="5"/>
  <c r="CA37" i="5"/>
  <c r="CB37" i="5" s="1"/>
  <c r="HM35" i="5"/>
  <c r="CR41" i="5"/>
  <c r="CS41" i="5" s="1"/>
  <c r="HN17" i="5"/>
  <c r="EV49" i="5"/>
  <c r="EC28" i="5"/>
  <c r="EV43" i="5"/>
  <c r="EU33" i="5"/>
  <c r="BN100" i="5"/>
  <c r="BJ101" i="5"/>
  <c r="BM100" i="5"/>
  <c r="BL100" i="5"/>
  <c r="BO100" i="5"/>
  <c r="BK100" i="5"/>
  <c r="AU83" i="2"/>
  <c r="AV83" i="2"/>
  <c r="AU82" i="2"/>
  <c r="AV82" i="2"/>
  <c r="AU75" i="2"/>
  <c r="AV75" i="2"/>
  <c r="AV73" i="2"/>
  <c r="AU73" i="2"/>
  <c r="AV71" i="2"/>
  <c r="AU71" i="2"/>
  <c r="AU65" i="2"/>
  <c r="AV65" i="2"/>
  <c r="AV62" i="2"/>
  <c r="AU62" i="2"/>
  <c r="AV59" i="2"/>
  <c r="AU59" i="2"/>
  <c r="AU54" i="2"/>
  <c r="AV54" i="2"/>
  <c r="AU48" i="2"/>
  <c r="AV48" i="2"/>
  <c r="AV44" i="2"/>
  <c r="AU44" i="2"/>
  <c r="AU40" i="2"/>
  <c r="AV40" i="2"/>
  <c r="AU36" i="2"/>
  <c r="AV36" i="2"/>
  <c r="AV33" i="2"/>
  <c r="AU33" i="2"/>
  <c r="AV29" i="2"/>
  <c r="AU29" i="2"/>
  <c r="AV24" i="2"/>
  <c r="AU24" i="2"/>
  <c r="AU20" i="2"/>
  <c r="AV20" i="2"/>
  <c r="AU17" i="2"/>
  <c r="AV17" i="2"/>
  <c r="AV14" i="2"/>
  <c r="AU14" i="2"/>
  <c r="AV9" i="2"/>
  <c r="AU9" i="2"/>
  <c r="GU26" i="5"/>
  <c r="CA29" i="5"/>
  <c r="CB29" i="5" s="1"/>
  <c r="CM49" i="2"/>
  <c r="CN49" i="2" s="1"/>
  <c r="CA51" i="5"/>
  <c r="CB51" i="5" s="1"/>
  <c r="AW100" i="2"/>
  <c r="AQ101" i="2"/>
  <c r="AT100" i="2"/>
  <c r="AX100" i="2"/>
  <c r="HM27" i="5"/>
  <c r="EU20" i="5"/>
  <c r="AF99" i="5"/>
  <c r="AB99" i="5"/>
  <c r="X100" i="5"/>
  <c r="AE99" i="5"/>
  <c r="AA99" i="5"/>
  <c r="AD99" i="5"/>
  <c r="Z99" i="5"/>
  <c r="AC99" i="5"/>
  <c r="Y99" i="5"/>
  <c r="EC55" i="5"/>
  <c r="CA27" i="5"/>
  <c r="CB27" i="5" s="1"/>
  <c r="CM21" i="2"/>
  <c r="CN21" i="2" s="1"/>
  <c r="EV18" i="5"/>
  <c r="EU18" i="5"/>
  <c r="GU24" i="5"/>
  <c r="HM11" i="5"/>
  <c r="EC26" i="5"/>
  <c r="EV41" i="5"/>
  <c r="EU24" i="5"/>
  <c r="M93" i="2"/>
  <c r="M23" i="2"/>
  <c r="BL35" i="5"/>
  <c r="CA44" i="5"/>
  <c r="CB44" i="5" s="1"/>
  <c r="CR28" i="5"/>
  <c r="CS28" i="5" s="1"/>
  <c r="HM23" i="5"/>
  <c r="EV56" i="5"/>
  <c r="FI100" i="2"/>
  <c r="FE100" i="2"/>
  <c r="EZ100" i="2"/>
  <c r="EV100" i="2"/>
  <c r="EQ100" i="2"/>
  <c r="EM100" i="2"/>
  <c r="EH100" i="2"/>
  <c r="ED100" i="2"/>
  <c r="DZ100" i="2"/>
  <c r="DV100" i="2"/>
  <c r="DR100" i="2"/>
  <c r="DN100" i="2"/>
  <c r="DJ100" i="2"/>
  <c r="DF100" i="2"/>
  <c r="DB100" i="2"/>
  <c r="CX100" i="2"/>
  <c r="CU101" i="2"/>
  <c r="FH100" i="2"/>
  <c r="EY100" i="2"/>
  <c r="EU100" i="2"/>
  <c r="EP100" i="2"/>
  <c r="EL100" i="2"/>
  <c r="EG100" i="2"/>
  <c r="EC100" i="2"/>
  <c r="DY100" i="2"/>
  <c r="DU100" i="2"/>
  <c r="DQ100" i="2"/>
  <c r="DM100" i="2"/>
  <c r="DI100" i="2"/>
  <c r="DE100" i="2"/>
  <c r="DA100" i="2"/>
  <c r="CW100" i="2"/>
  <c r="FK100" i="2"/>
  <c r="FB100" i="2"/>
  <c r="EK100" i="2"/>
  <c r="EB100" i="2"/>
  <c r="DT100" i="2"/>
  <c r="DL100" i="2"/>
  <c r="DD100" i="2"/>
  <c r="CV100" i="2"/>
  <c r="FJ100" i="2"/>
  <c r="FA100" i="2"/>
  <c r="ER100" i="2"/>
  <c r="EA100" i="2"/>
  <c r="DS100" i="2"/>
  <c r="DK100" i="2"/>
  <c r="DC100" i="2"/>
  <c r="FG100" i="2"/>
  <c r="EX100" i="2"/>
  <c r="EO100" i="2"/>
  <c r="EF100" i="2"/>
  <c r="DX100" i="2"/>
  <c r="DP100" i="2"/>
  <c r="DH100" i="2"/>
  <c r="CZ100" i="2"/>
  <c r="FF100" i="2"/>
  <c r="EW100" i="2"/>
  <c r="EN100" i="2"/>
  <c r="EE100" i="2"/>
  <c r="DW100" i="2"/>
  <c r="DO100" i="2"/>
  <c r="DG100" i="2"/>
  <c r="CY100" i="2"/>
  <c r="EU52" i="5"/>
  <c r="CM55" i="5"/>
  <c r="CN55" i="5" s="1"/>
  <c r="BU17" i="2" l="1"/>
  <c r="CD9" i="2"/>
  <c r="CH55" i="2"/>
  <c r="CI55" i="2" s="1"/>
  <c r="CJ55" i="2" s="1"/>
  <c r="CH41" i="2"/>
  <c r="CH38" i="2"/>
  <c r="CH21" i="2"/>
  <c r="CD17" i="2"/>
  <c r="CH22" i="2"/>
  <c r="CD21" i="2"/>
  <c r="CH35" i="2"/>
  <c r="CH47" i="2"/>
  <c r="CH51" i="2"/>
  <c r="CH32" i="2"/>
  <c r="CH50" i="2"/>
  <c r="CH52" i="2"/>
  <c r="CH19" i="2"/>
  <c r="CH30" i="2"/>
  <c r="CH53" i="2"/>
  <c r="CH23" i="2"/>
  <c r="CH29" i="2"/>
  <c r="CM26" i="5"/>
  <c r="CN26" i="5" s="1"/>
  <c r="CM31" i="5"/>
  <c r="CN31" i="5" s="1"/>
  <c r="CM43" i="5"/>
  <c r="CN43" i="5" s="1"/>
  <c r="CM51" i="5"/>
  <c r="CN51" i="5" s="1"/>
  <c r="CM40" i="5"/>
  <c r="CN40" i="5" s="1"/>
  <c r="CM47" i="5"/>
  <c r="CN47" i="5" s="1"/>
  <c r="CH49" i="2"/>
  <c r="CD55" i="2"/>
  <c r="CD51" i="2"/>
  <c r="CH54" i="2"/>
  <c r="CH24" i="2"/>
  <c r="CH27" i="2"/>
  <c r="CM32" i="5"/>
  <c r="CN32" i="5" s="1"/>
  <c r="CM29" i="5"/>
  <c r="CN29" i="5" s="1"/>
  <c r="CM22" i="5"/>
  <c r="CN22" i="5" s="1"/>
  <c r="CH21" i="5" s="1"/>
  <c r="CD10" i="2"/>
  <c r="CH28" i="2"/>
  <c r="CD15" i="2"/>
  <c r="CH25" i="2"/>
  <c r="CD12" i="2"/>
  <c r="CD49" i="2"/>
  <c r="CH45" i="2"/>
  <c r="EU17" i="5"/>
  <c r="CH18" i="2"/>
  <c r="CH26" i="2"/>
  <c r="CH40" i="2"/>
  <c r="CH37" i="2"/>
  <c r="EN17" i="2"/>
  <c r="CN17" i="2"/>
  <c r="CH17" i="2" s="1"/>
  <c r="IL17" i="2"/>
  <c r="IF17" i="2" s="1"/>
  <c r="IG17" i="2" s="1"/>
  <c r="II17" i="2" s="1"/>
  <c r="FB17" i="2"/>
  <c r="CD50" i="2"/>
  <c r="EF17" i="2"/>
  <c r="EO17" i="2"/>
  <c r="EP17" i="2"/>
  <c r="EX17" i="2"/>
  <c r="EL17" i="2"/>
  <c r="EG17" i="2"/>
  <c r="EK17" i="2"/>
  <c r="CD22" i="2"/>
  <c r="CH42" i="2"/>
  <c r="CD58" i="2"/>
  <c r="EA17" i="2"/>
  <c r="EM17" i="2"/>
  <c r="EW17" i="2"/>
  <c r="EY17" i="2"/>
  <c r="EB17" i="2"/>
  <c r="EH17" i="2"/>
  <c r="CK56" i="2"/>
  <c r="CD16" i="2"/>
  <c r="ED17" i="2"/>
  <c r="EV17" i="2"/>
  <c r="CD14" i="2"/>
  <c r="CD19" i="2"/>
  <c r="CD60" i="2"/>
  <c r="R36" i="21"/>
  <c r="II18" i="2"/>
  <c r="R37" i="21"/>
  <c r="R26" i="21"/>
  <c r="R17" i="21"/>
  <c r="R21" i="21"/>
  <c r="R19" i="21"/>
  <c r="R14" i="21"/>
  <c r="R22" i="21"/>
  <c r="R18" i="21"/>
  <c r="R13" i="21"/>
  <c r="S23" i="21"/>
  <c r="S6" i="21"/>
  <c r="BO55" i="5"/>
  <c r="CH46" i="2"/>
  <c r="BT54" i="5"/>
  <c r="CH44" i="2"/>
  <c r="CH34" i="2"/>
  <c r="BT46" i="5"/>
  <c r="CH31" i="2"/>
  <c r="BT31" i="5"/>
  <c r="BO43" i="5"/>
  <c r="BM43" i="5"/>
  <c r="G101" i="2"/>
  <c r="H100" i="2"/>
  <c r="I100" i="2"/>
  <c r="BM30" i="5"/>
  <c r="BO30" i="5"/>
  <c r="BV40" i="5"/>
  <c r="BT40" i="5"/>
  <c r="BG102" i="5"/>
  <c r="BH102" i="5"/>
  <c r="BY101" i="5"/>
  <c r="CB101" i="5"/>
  <c r="BX102" i="5"/>
  <c r="CE101" i="5"/>
  <c r="CA101" i="5"/>
  <c r="BZ101" i="5"/>
  <c r="BO45" i="5"/>
  <c r="BM45" i="5"/>
  <c r="BY19" i="5"/>
  <c r="BZ19" i="5" s="1"/>
  <c r="CA19" i="5" s="1"/>
  <c r="CB19" i="5" s="1"/>
  <c r="BR19" i="5"/>
  <c r="BS19" i="5" s="1"/>
  <c r="BK19" i="5"/>
  <c r="BL19" i="5" s="1"/>
  <c r="R12" i="21"/>
  <c r="R27" i="21"/>
  <c r="BV101" i="2"/>
  <c r="BR101" i="2"/>
  <c r="BQ102" i="2"/>
  <c r="BU101" i="2"/>
  <c r="BT101" i="2"/>
  <c r="BS101" i="2"/>
  <c r="CD28" i="2"/>
  <c r="CD37" i="2"/>
  <c r="CD38" i="2"/>
  <c r="CD46" i="2"/>
  <c r="CD59" i="2"/>
  <c r="G101" i="5"/>
  <c r="I100" i="5"/>
  <c r="H100" i="5"/>
  <c r="CM45" i="5"/>
  <c r="CN45" i="5" s="1"/>
  <c r="CM25" i="5"/>
  <c r="CN25" i="5" s="1"/>
  <c r="BT20" i="5"/>
  <c r="BV20" i="5"/>
  <c r="BM29" i="5"/>
  <c r="BO29" i="5"/>
  <c r="CD11" i="2"/>
  <c r="CD27" i="2"/>
  <c r="CD39" i="2"/>
  <c r="CD40" i="2"/>
  <c r="CD44" i="2"/>
  <c r="CD45" i="2"/>
  <c r="CM44" i="5"/>
  <c r="CN44" i="5" s="1"/>
  <c r="BO25" i="5"/>
  <c r="BM25" i="5"/>
  <c r="BO33" i="5"/>
  <c r="BM33" i="5"/>
  <c r="CM34" i="5"/>
  <c r="CN34" i="5" s="1"/>
  <c r="CM27" i="5"/>
  <c r="CN27" i="5" s="1"/>
  <c r="X101" i="2"/>
  <c r="AE100" i="2"/>
  <c r="AA100" i="2"/>
  <c r="AD100" i="2"/>
  <c r="Z100" i="2"/>
  <c r="AC100" i="2"/>
  <c r="Y100" i="2"/>
  <c r="AF100" i="2"/>
  <c r="AB100" i="2"/>
  <c r="CM20" i="5"/>
  <c r="CN20" i="5" s="1"/>
  <c r="CH20" i="5" s="1"/>
  <c r="CM18" i="5"/>
  <c r="CN18" i="5" s="1"/>
  <c r="CH18" i="5" s="1"/>
  <c r="AK17" i="5"/>
  <c r="AJ17" i="5"/>
  <c r="EC17" i="5"/>
  <c r="AM18" i="5"/>
  <c r="AL18" i="5"/>
  <c r="CD29" i="2"/>
  <c r="CD30" i="2"/>
  <c r="CD35" i="2"/>
  <c r="CD36" i="2"/>
  <c r="CD47" i="2"/>
  <c r="AL22" i="2"/>
  <c r="AM22" i="2"/>
  <c r="AL26" i="2"/>
  <c r="AM26" i="2"/>
  <c r="AM30" i="2"/>
  <c r="AL30" i="2"/>
  <c r="AL34" i="2"/>
  <c r="AM34" i="2"/>
  <c r="AL38" i="2"/>
  <c r="AM38" i="2"/>
  <c r="AL42" i="2"/>
  <c r="AM42" i="2"/>
  <c r="AM46" i="2"/>
  <c r="AL46" i="2"/>
  <c r="AM50" i="2"/>
  <c r="AL50" i="2"/>
  <c r="AL54" i="2"/>
  <c r="AM54" i="2"/>
  <c r="CD52" i="2"/>
  <c r="BN11" i="2"/>
  <c r="BN15" i="2"/>
  <c r="BN19" i="2"/>
  <c r="BN23" i="2"/>
  <c r="BN27" i="2"/>
  <c r="BN31" i="2"/>
  <c r="BN35" i="2"/>
  <c r="BN39" i="2"/>
  <c r="BN43" i="2"/>
  <c r="BN47" i="2"/>
  <c r="BN51" i="2"/>
  <c r="BN55" i="2"/>
  <c r="BN13" i="2"/>
  <c r="BN29" i="2"/>
  <c r="BN41" i="2"/>
  <c r="BN53" i="2"/>
  <c r="BN12" i="2"/>
  <c r="BN16" i="2"/>
  <c r="BN20" i="2"/>
  <c r="BN24" i="2"/>
  <c r="BN28" i="2"/>
  <c r="BN32" i="2"/>
  <c r="BN36" i="2"/>
  <c r="BN40" i="2"/>
  <c r="BN44" i="2"/>
  <c r="BN48" i="2"/>
  <c r="BN52" i="2"/>
  <c r="BN56" i="2"/>
  <c r="BN10" i="2"/>
  <c r="BN25" i="2"/>
  <c r="BN45" i="2"/>
  <c r="BN9" i="2"/>
  <c r="BN14" i="2"/>
  <c r="BN18" i="2"/>
  <c r="BN22" i="2"/>
  <c r="BN26" i="2"/>
  <c r="BN30" i="2"/>
  <c r="BN34" i="2"/>
  <c r="BN38" i="2"/>
  <c r="BN42" i="2"/>
  <c r="BN46" i="2"/>
  <c r="BN50" i="2"/>
  <c r="BN54" i="2"/>
  <c r="BN17" i="2"/>
  <c r="BN21" i="2"/>
  <c r="BN33" i="2"/>
  <c r="BN37" i="2"/>
  <c r="BN49" i="2"/>
  <c r="BU56" i="2"/>
  <c r="BU55" i="2"/>
  <c r="BU54" i="2"/>
  <c r="BU53" i="2"/>
  <c r="BU52" i="2"/>
  <c r="BU51" i="2"/>
  <c r="BU50" i="2"/>
  <c r="BU49" i="2"/>
  <c r="BU48" i="2"/>
  <c r="BU47" i="2"/>
  <c r="BU46" i="2"/>
  <c r="BU45" i="2"/>
  <c r="BU44" i="2"/>
  <c r="BU43" i="2"/>
  <c r="BU42" i="2"/>
  <c r="BU41" i="2"/>
  <c r="BU40" i="2"/>
  <c r="BU39" i="2"/>
  <c r="BU38" i="2"/>
  <c r="BU37" i="2"/>
  <c r="BU36" i="2"/>
  <c r="BU35" i="2"/>
  <c r="BU34" i="2"/>
  <c r="BU33" i="2"/>
  <c r="BU32" i="2"/>
  <c r="BU31" i="2"/>
  <c r="BU30" i="2"/>
  <c r="BU29" i="2"/>
  <c r="BU28" i="2"/>
  <c r="BU27" i="2"/>
  <c r="BU26" i="2"/>
  <c r="BU25" i="2"/>
  <c r="BU24" i="2"/>
  <c r="BU23" i="2"/>
  <c r="BU22" i="2"/>
  <c r="BU21" i="2"/>
  <c r="BU20" i="2"/>
  <c r="BU19" i="2"/>
  <c r="BU18" i="2"/>
  <c r="CM52" i="5"/>
  <c r="CN52" i="5" s="1"/>
  <c r="BM46" i="5"/>
  <c r="BO46" i="5"/>
  <c r="R28" i="21"/>
  <c r="CM24" i="5"/>
  <c r="CN24" i="5" s="1"/>
  <c r="BO24" i="5"/>
  <c r="BM24" i="5"/>
  <c r="AQ102" i="2"/>
  <c r="AX101" i="2"/>
  <c r="AT101" i="2"/>
  <c r="AW101" i="2"/>
  <c r="R32" i="21"/>
  <c r="R20" i="21"/>
  <c r="R2" i="21"/>
  <c r="R29" i="21"/>
  <c r="R8" i="21"/>
  <c r="BT33" i="5"/>
  <c r="BV33" i="5"/>
  <c r="BV29" i="5"/>
  <c r="BT29" i="5"/>
  <c r="BO21" i="5"/>
  <c r="BM21" i="5"/>
  <c r="BM44" i="5"/>
  <c r="BO44" i="5"/>
  <c r="CL101" i="5"/>
  <c r="CH101" i="5"/>
  <c r="CK101" i="5"/>
  <c r="CG102" i="5"/>
  <c r="CN101" i="5"/>
  <c r="CJ101" i="5"/>
  <c r="CM101" i="5"/>
  <c r="CI101" i="5"/>
  <c r="R3" i="21"/>
  <c r="R31" i="21"/>
  <c r="R4" i="21"/>
  <c r="R34" i="21"/>
  <c r="CD25" i="2"/>
  <c r="CD26" i="2"/>
  <c r="CD41" i="2"/>
  <c r="CD42" i="2"/>
  <c r="CD43" i="2"/>
  <c r="CD31" i="2"/>
  <c r="CD32" i="2"/>
  <c r="CD33" i="2"/>
  <c r="CD34" i="2"/>
  <c r="CD48" i="2"/>
  <c r="BV52" i="5"/>
  <c r="BT52" i="5"/>
  <c r="E103" i="19"/>
  <c r="F103" i="19" s="1"/>
  <c r="A104" i="19"/>
  <c r="C103" i="19"/>
  <c r="B103" i="19"/>
  <c r="D103" i="19" s="1"/>
  <c r="BO28" i="5"/>
  <c r="BM28" i="5"/>
  <c r="BO41" i="5"/>
  <c r="BM41" i="5"/>
  <c r="BT42" i="5"/>
  <c r="BO52" i="5"/>
  <c r="BM52" i="5"/>
  <c r="BT49" i="5"/>
  <c r="BV49" i="5"/>
  <c r="FH101" i="2"/>
  <c r="EY101" i="2"/>
  <c r="EU101" i="2"/>
  <c r="EP101" i="2"/>
  <c r="EL101" i="2"/>
  <c r="EG101" i="2"/>
  <c r="EC101" i="2"/>
  <c r="DY101" i="2"/>
  <c r="DU101" i="2"/>
  <c r="DQ101" i="2"/>
  <c r="DM101" i="2"/>
  <c r="DI101" i="2"/>
  <c r="DE101" i="2"/>
  <c r="DA101" i="2"/>
  <c r="CW101" i="2"/>
  <c r="FG101" i="2"/>
  <c r="FA101" i="2"/>
  <c r="EV101" i="2"/>
  <c r="EO101" i="2"/>
  <c r="ED101" i="2"/>
  <c r="DX101" i="2"/>
  <c r="DS101" i="2"/>
  <c r="DN101" i="2"/>
  <c r="DH101" i="2"/>
  <c r="DC101" i="2"/>
  <c r="CX101" i="2"/>
  <c r="FK101" i="2"/>
  <c r="FF101" i="2"/>
  <c r="EZ101" i="2"/>
  <c r="EN101" i="2"/>
  <c r="EH101" i="2"/>
  <c r="EB101" i="2"/>
  <c r="DW101" i="2"/>
  <c r="DR101" i="2"/>
  <c r="DL101" i="2"/>
  <c r="DG101" i="2"/>
  <c r="DB101" i="2"/>
  <c r="CV101" i="2"/>
  <c r="FJ101" i="2"/>
  <c r="FE101" i="2"/>
  <c r="EX101" i="2"/>
  <c r="ER101" i="2"/>
  <c r="EM101" i="2"/>
  <c r="EF101" i="2"/>
  <c r="EA101" i="2"/>
  <c r="DV101" i="2"/>
  <c r="DP101" i="2"/>
  <c r="DK101" i="2"/>
  <c r="DF101" i="2"/>
  <c r="CZ101" i="2"/>
  <c r="CU102" i="2"/>
  <c r="FI101" i="2"/>
  <c r="FB101" i="2"/>
  <c r="EW101" i="2"/>
  <c r="EQ101" i="2"/>
  <c r="EK101" i="2"/>
  <c r="EE101" i="2"/>
  <c r="DZ101" i="2"/>
  <c r="DT101" i="2"/>
  <c r="DO101" i="2"/>
  <c r="DJ101" i="2"/>
  <c r="DD101" i="2"/>
  <c r="CY101" i="2"/>
  <c r="CD20" i="2"/>
  <c r="BO31" i="5"/>
  <c r="BM31" i="5"/>
  <c r="CD57" i="2"/>
  <c r="BT37" i="5"/>
  <c r="BV37" i="5"/>
  <c r="BT55" i="5"/>
  <c r="BV55" i="5"/>
  <c r="BO53" i="5"/>
  <c r="BM53" i="5"/>
  <c r="BM54" i="5"/>
  <c r="BO54" i="5"/>
  <c r="BO22" i="5"/>
  <c r="BM22" i="5"/>
  <c r="CM30" i="5"/>
  <c r="CN30" i="5" s="1"/>
  <c r="BT21" i="5"/>
  <c r="BV21" i="5"/>
  <c r="BO23" i="5"/>
  <c r="BM23" i="5"/>
  <c r="CM36" i="5"/>
  <c r="CN36" i="5" s="1"/>
  <c r="CD13" i="2"/>
  <c r="BT35" i="5"/>
  <c r="BV35" i="5"/>
  <c r="IL17" i="5"/>
  <c r="IF17" i="5" s="1"/>
  <c r="IG17" i="5" s="1"/>
  <c r="AM20" i="2"/>
  <c r="BK19" i="2" s="1"/>
  <c r="AL20" i="2"/>
  <c r="AM24" i="2"/>
  <c r="AL24" i="2"/>
  <c r="AL28" i="2"/>
  <c r="AM28" i="2"/>
  <c r="AL32" i="2"/>
  <c r="AM32" i="2"/>
  <c r="AL36" i="2"/>
  <c r="AM36" i="2"/>
  <c r="AM40" i="2"/>
  <c r="AL40" i="2"/>
  <c r="AL44" i="2"/>
  <c r="AM44" i="2"/>
  <c r="AM48" i="2"/>
  <c r="AL48" i="2"/>
  <c r="AL52" i="2"/>
  <c r="AM52" i="2"/>
  <c r="AM56" i="2"/>
  <c r="AL56" i="2"/>
  <c r="CD56" i="2"/>
  <c r="CM33" i="5"/>
  <c r="CN33" i="5" s="1"/>
  <c r="BV28" i="5"/>
  <c r="BT28" i="5"/>
  <c r="BT39" i="5"/>
  <c r="BV39" i="5"/>
  <c r="FJ101" i="5"/>
  <c r="FF101" i="5"/>
  <c r="FA101" i="5"/>
  <c r="EW101" i="5"/>
  <c r="ER101" i="5"/>
  <c r="EN101" i="5"/>
  <c r="EE101" i="5"/>
  <c r="EA101" i="5"/>
  <c r="DW101" i="5"/>
  <c r="DS101" i="5"/>
  <c r="DO101" i="5"/>
  <c r="DK101" i="5"/>
  <c r="DG101" i="5"/>
  <c r="DC101" i="5"/>
  <c r="CY101" i="5"/>
  <c r="CU102" i="5"/>
  <c r="FI101" i="5"/>
  <c r="FE101" i="5"/>
  <c r="EZ101" i="5"/>
  <c r="EV101" i="5"/>
  <c r="EQ101" i="5"/>
  <c r="EM101" i="5"/>
  <c r="EH101" i="5"/>
  <c r="ED101" i="5"/>
  <c r="DZ101" i="5"/>
  <c r="DV101" i="5"/>
  <c r="DR101" i="5"/>
  <c r="DN101" i="5"/>
  <c r="DJ101" i="5"/>
  <c r="DF101" i="5"/>
  <c r="DB101" i="5"/>
  <c r="CX101" i="5"/>
  <c r="FH101" i="5"/>
  <c r="EY101" i="5"/>
  <c r="EU101" i="5"/>
  <c r="EP101" i="5"/>
  <c r="EL101" i="5"/>
  <c r="EG101" i="5"/>
  <c r="EC101" i="5"/>
  <c r="DY101" i="5"/>
  <c r="DU101" i="5"/>
  <c r="DQ101" i="5"/>
  <c r="DM101" i="5"/>
  <c r="DI101" i="5"/>
  <c r="DE101" i="5"/>
  <c r="DA101" i="5"/>
  <c r="CW101" i="5"/>
  <c r="FK101" i="5"/>
  <c r="FG101" i="5"/>
  <c r="FB101" i="5"/>
  <c r="EX101" i="5"/>
  <c r="EO101" i="5"/>
  <c r="EK101" i="5"/>
  <c r="EF101" i="5"/>
  <c r="EB101" i="5"/>
  <c r="DX101" i="5"/>
  <c r="DT101" i="5"/>
  <c r="DP101" i="5"/>
  <c r="DL101" i="5"/>
  <c r="DH101" i="5"/>
  <c r="DD101" i="5"/>
  <c r="CZ101" i="5"/>
  <c r="CV101" i="5"/>
  <c r="BT24" i="5"/>
  <c r="BV24" i="5"/>
  <c r="CM28" i="5"/>
  <c r="CN28" i="5" s="1"/>
  <c r="BM36" i="5"/>
  <c r="BO36" i="5"/>
  <c r="R41" i="21"/>
  <c r="R33" i="21"/>
  <c r="R5" i="21"/>
  <c r="AC100" i="5"/>
  <c r="Y100" i="5"/>
  <c r="AF100" i="5"/>
  <c r="AB100" i="5"/>
  <c r="X101" i="5"/>
  <c r="AE100" i="5"/>
  <c r="AA100" i="5"/>
  <c r="AD100" i="5"/>
  <c r="Z100" i="5"/>
  <c r="AW100" i="5"/>
  <c r="AQ101" i="5"/>
  <c r="AX100" i="5"/>
  <c r="AT100" i="5"/>
  <c r="BO47" i="5"/>
  <c r="BM47" i="5"/>
  <c r="BM49" i="5"/>
  <c r="BO49" i="5"/>
  <c r="M16" i="2"/>
  <c r="DQ16" i="2"/>
  <c r="DA16" i="2"/>
  <c r="DD16" i="2"/>
  <c r="DC16" i="2"/>
  <c r="DR16" i="2"/>
  <c r="DB16" i="2"/>
  <c r="CW16" i="2"/>
  <c r="DP16" i="2"/>
  <c r="CY16" i="2"/>
  <c r="CX16" i="2"/>
  <c r="IJ16" i="2"/>
  <c r="IK16" i="2" s="1"/>
  <c r="CV16" i="2"/>
  <c r="DK16" i="2"/>
  <c r="DJ16" i="2"/>
  <c r="DE16" i="2"/>
  <c r="DH16" i="2"/>
  <c r="DG16" i="2"/>
  <c r="DF16" i="2"/>
  <c r="L15" i="2"/>
  <c r="DM16" i="2"/>
  <c r="CZ16" i="2"/>
  <c r="DO16" i="2"/>
  <c r="DN16" i="2"/>
  <c r="CL16" i="2"/>
  <c r="CM16" i="2" s="1"/>
  <c r="DI16" i="2"/>
  <c r="DL16" i="2"/>
  <c r="AI16" i="2"/>
  <c r="BU16" i="2"/>
  <c r="R30" i="21"/>
  <c r="R35" i="21"/>
  <c r="IK101" i="2"/>
  <c r="IG101" i="2"/>
  <c r="IL101" i="2"/>
  <c r="IF101" i="2"/>
  <c r="IJ101" i="2"/>
  <c r="IE102" i="2"/>
  <c r="II101" i="2"/>
  <c r="IH101" i="2"/>
  <c r="AO18" i="2"/>
  <c r="AN18" i="2"/>
  <c r="AO18" i="5"/>
  <c r="AN18" i="5"/>
  <c r="AM23" i="2"/>
  <c r="AL23" i="2"/>
  <c r="AL27" i="2"/>
  <c r="AM27" i="2"/>
  <c r="AM31" i="2"/>
  <c r="AL31" i="2"/>
  <c r="AM35" i="2"/>
  <c r="AL35" i="2"/>
  <c r="AM39" i="2"/>
  <c r="AL39" i="2"/>
  <c r="AL43" i="2"/>
  <c r="AM43" i="2"/>
  <c r="AM47" i="2"/>
  <c r="AL47" i="2"/>
  <c r="AL51" i="2"/>
  <c r="AM51" i="2"/>
  <c r="AM55" i="2"/>
  <c r="AL55" i="2"/>
  <c r="AM57" i="2"/>
  <c r="AL57" i="2"/>
  <c r="BT30" i="5"/>
  <c r="BV30" i="5"/>
  <c r="BM40" i="5"/>
  <c r="BO40" i="5"/>
  <c r="BT50" i="5"/>
  <c r="BV50" i="5"/>
  <c r="BQ102" i="5"/>
  <c r="BT101" i="5"/>
  <c r="BS101" i="5"/>
  <c r="BV101" i="5"/>
  <c r="BR101" i="5"/>
  <c r="BU101" i="5"/>
  <c r="CH48" i="2"/>
  <c r="CG102" i="2"/>
  <c r="CN101" i="2"/>
  <c r="CJ101" i="2"/>
  <c r="CM101" i="2"/>
  <c r="CH101" i="2"/>
  <c r="CL101" i="2"/>
  <c r="CK101" i="2"/>
  <c r="CI101" i="2"/>
  <c r="CM56" i="5"/>
  <c r="CN56" i="5" s="1"/>
  <c r="CH56" i="5" s="1"/>
  <c r="CI56" i="5" s="1"/>
  <c r="CM35" i="5"/>
  <c r="CN35" i="5" s="1"/>
  <c r="BO39" i="5"/>
  <c r="BM39" i="5"/>
  <c r="R7" i="21"/>
  <c r="R39" i="21"/>
  <c r="R40" i="21"/>
  <c r="BT25" i="5"/>
  <c r="BV25" i="5"/>
  <c r="CM37" i="5"/>
  <c r="CN37" i="5" s="1"/>
  <c r="BO34" i="5"/>
  <c r="BM34" i="5"/>
  <c r="BM32" i="5"/>
  <c r="BO32" i="5"/>
  <c r="CH20" i="2"/>
  <c r="II101" i="5"/>
  <c r="IE102" i="5"/>
  <c r="IL101" i="5"/>
  <c r="IH101" i="5"/>
  <c r="IK101" i="5"/>
  <c r="IG101" i="5"/>
  <c r="IJ101" i="5"/>
  <c r="IF101" i="5"/>
  <c r="AL18" i="2"/>
  <c r="AM18" i="2"/>
  <c r="BM42" i="5"/>
  <c r="BO42" i="5"/>
  <c r="CM54" i="5"/>
  <c r="CN54" i="5" s="1"/>
  <c r="CH54" i="5" s="1"/>
  <c r="BT45" i="5"/>
  <c r="CM23" i="5"/>
  <c r="CN23" i="5" s="1"/>
  <c r="BO35" i="5"/>
  <c r="BM35" i="5"/>
  <c r="CD24" i="2"/>
  <c r="BO101" i="5"/>
  <c r="BK101" i="5"/>
  <c r="BN101" i="5"/>
  <c r="BJ102" i="5"/>
  <c r="BM101" i="5"/>
  <c r="BL101" i="5"/>
  <c r="CM53" i="5"/>
  <c r="CN53" i="5" s="1"/>
  <c r="BT38" i="5"/>
  <c r="BV38" i="5"/>
  <c r="BV48" i="5"/>
  <c r="BT48" i="5"/>
  <c r="AK17" i="2"/>
  <c r="AJ17" i="2"/>
  <c r="EC17" i="2"/>
  <c r="EE17" i="2"/>
  <c r="EU17" i="2"/>
  <c r="FA17" i="2"/>
  <c r="BV26" i="5"/>
  <c r="BT26" i="5"/>
  <c r="CM42" i="5"/>
  <c r="CN42" i="5" s="1"/>
  <c r="BM48" i="5"/>
  <c r="BO48" i="5"/>
  <c r="AL100" i="5"/>
  <c r="AH101" i="5"/>
  <c r="AO100" i="5"/>
  <c r="AK100" i="5"/>
  <c r="AN100" i="5"/>
  <c r="AJ100" i="5"/>
  <c r="AM100" i="5"/>
  <c r="AI100" i="5"/>
  <c r="BV34" i="5"/>
  <c r="BT34" i="5"/>
  <c r="BV44" i="5"/>
  <c r="BT44" i="5"/>
  <c r="BT51" i="5"/>
  <c r="BV51" i="5"/>
  <c r="BT53" i="5"/>
  <c r="BV53" i="5"/>
  <c r="AH102" i="2"/>
  <c r="AO101" i="2"/>
  <c r="AK101" i="2"/>
  <c r="AN101" i="2"/>
  <c r="AI101" i="2"/>
  <c r="AM101" i="2"/>
  <c r="AL101" i="2"/>
  <c r="AJ101" i="2"/>
  <c r="BM50" i="5"/>
  <c r="BH101" i="2"/>
  <c r="BG101" i="2"/>
  <c r="BF102" i="2"/>
  <c r="CM41" i="5"/>
  <c r="CN41" i="5" s="1"/>
  <c r="BV27" i="5"/>
  <c r="BT27" i="5"/>
  <c r="BO20" i="5"/>
  <c r="BM20" i="5"/>
  <c r="BO51" i="5"/>
  <c r="BM51" i="5"/>
  <c r="CM38" i="5"/>
  <c r="CN38" i="5" s="1"/>
  <c r="CD53" i="2"/>
  <c r="CD54" i="2"/>
  <c r="BT43" i="5"/>
  <c r="BV43" i="5"/>
  <c r="BM38" i="5"/>
  <c r="BO38" i="5"/>
  <c r="BV47" i="5"/>
  <c r="BT47" i="5"/>
  <c r="CM39" i="5"/>
  <c r="CN39" i="5" s="1"/>
  <c r="BV41" i="5"/>
  <c r="BT41" i="5"/>
  <c r="BT36" i="5"/>
  <c r="BV36" i="5"/>
  <c r="BO27" i="5"/>
  <c r="BM27" i="5"/>
  <c r="CM50" i="5"/>
  <c r="CN50" i="5" s="1"/>
  <c r="BO37" i="5"/>
  <c r="BM37" i="5"/>
  <c r="CM46" i="5"/>
  <c r="CN46" i="5" s="1"/>
  <c r="BJ102" i="2"/>
  <c r="BM101" i="2"/>
  <c r="BO101" i="2"/>
  <c r="BN101" i="2"/>
  <c r="BL101" i="2"/>
  <c r="BK101" i="2"/>
  <c r="BV23" i="5"/>
  <c r="BT23" i="5"/>
  <c r="M16" i="5"/>
  <c r="CL16" i="5"/>
  <c r="CM16" i="5" s="1"/>
  <c r="DI16" i="5"/>
  <c r="DJ16" i="5"/>
  <c r="DD16" i="5"/>
  <c r="DF16" i="5"/>
  <c r="DA16" i="5"/>
  <c r="CZ16" i="5"/>
  <c r="DB16" i="5"/>
  <c r="IJ16" i="5"/>
  <c r="IK16" i="5" s="1"/>
  <c r="DM16" i="5"/>
  <c r="CW16" i="5"/>
  <c r="DL16" i="5"/>
  <c r="CV16" i="5"/>
  <c r="DO16" i="5"/>
  <c r="CY16" i="5"/>
  <c r="DN16" i="5"/>
  <c r="CX16" i="5"/>
  <c r="DH16" i="5"/>
  <c r="DK16" i="5"/>
  <c r="DE16" i="5"/>
  <c r="DG16" i="5"/>
  <c r="L15" i="5"/>
  <c r="DQ16" i="5"/>
  <c r="DP16" i="5"/>
  <c r="DC16" i="5"/>
  <c r="DR16" i="5"/>
  <c r="AI16" i="5"/>
  <c r="BU16" i="5"/>
  <c r="EV17" i="5"/>
  <c r="CM17" i="5"/>
  <c r="CN17" i="5" s="1"/>
  <c r="IH18" i="5"/>
  <c r="II18" i="5"/>
  <c r="S11" i="21" s="1"/>
  <c r="CD18" i="2"/>
  <c r="CD23" i="2"/>
  <c r="AM21" i="2"/>
  <c r="AL21" i="2"/>
  <c r="AM25" i="2"/>
  <c r="AL25" i="2"/>
  <c r="AL29" i="2"/>
  <c r="AM29" i="2"/>
  <c r="AL33" i="2"/>
  <c r="AM33" i="2"/>
  <c r="AL37" i="2"/>
  <c r="AM37" i="2"/>
  <c r="AL41" i="2"/>
  <c r="AM41" i="2"/>
  <c r="AM45" i="2"/>
  <c r="AL45" i="2"/>
  <c r="AL49" i="2"/>
  <c r="AM49" i="2"/>
  <c r="AM53" i="2"/>
  <c r="AL53" i="2"/>
  <c r="CM49" i="5"/>
  <c r="CN49" i="5" s="1"/>
  <c r="CM48" i="5"/>
  <c r="CN48" i="5" s="1"/>
  <c r="BX102" i="2"/>
  <c r="CE101" i="2"/>
  <c r="CA101" i="2"/>
  <c r="CB101" i="2"/>
  <c r="BZ101" i="2"/>
  <c r="BY101" i="2"/>
  <c r="BT22" i="5"/>
  <c r="BV22" i="5"/>
  <c r="BO26" i="5"/>
  <c r="BM26" i="5"/>
  <c r="BV32" i="5"/>
  <c r="BT32" i="5"/>
  <c r="R24" i="21"/>
  <c r="R6" i="21"/>
  <c r="CH25" i="5" l="1"/>
  <c r="CI53" i="2"/>
  <c r="CK53" i="2" s="1"/>
  <c r="CH46" i="5"/>
  <c r="CK55" i="2"/>
  <c r="CI49" i="2"/>
  <c r="CK49" i="2" s="1"/>
  <c r="CI52" i="2"/>
  <c r="CH51" i="5"/>
  <c r="CH26" i="5"/>
  <c r="CH31" i="5"/>
  <c r="CI51" i="2"/>
  <c r="CI50" i="2"/>
  <c r="CK50" i="2" s="1"/>
  <c r="CH30" i="5"/>
  <c r="CH39" i="5"/>
  <c r="CH32" i="5"/>
  <c r="CH42" i="5"/>
  <c r="CI48" i="2"/>
  <c r="CK48" i="2" s="1"/>
  <c r="CE49" i="2"/>
  <c r="R23" i="21"/>
  <c r="CH50" i="5"/>
  <c r="O4" i="21"/>
  <c r="O26" i="21"/>
  <c r="CI54" i="2"/>
  <c r="CE11" i="2"/>
  <c r="CH28" i="5"/>
  <c r="CE33" i="2"/>
  <c r="IL16" i="5"/>
  <c r="IF16" i="5" s="1"/>
  <c r="IG16" i="5" s="1"/>
  <c r="II16" i="5" s="1"/>
  <c r="CE17" i="2"/>
  <c r="EC16" i="5"/>
  <c r="CN16" i="5"/>
  <c r="CH16" i="5" s="1"/>
  <c r="EU16" i="5"/>
  <c r="O19" i="21"/>
  <c r="IH17" i="2"/>
  <c r="EW16" i="2"/>
  <c r="O35" i="21"/>
  <c r="CE37" i="2"/>
  <c r="CE21" i="2"/>
  <c r="EP16" i="2"/>
  <c r="ER16" i="2"/>
  <c r="FA16" i="2"/>
  <c r="EZ16" i="2"/>
  <c r="CE45" i="2"/>
  <c r="CE29" i="2"/>
  <c r="CE13" i="2"/>
  <c r="O36" i="21"/>
  <c r="EE16" i="2"/>
  <c r="EN16" i="2"/>
  <c r="ED16" i="2"/>
  <c r="O21" i="21"/>
  <c r="CE56" i="2"/>
  <c r="CE41" i="2"/>
  <c r="CE25" i="2"/>
  <c r="CE9" i="2"/>
  <c r="O23" i="21"/>
  <c r="O7" i="21"/>
  <c r="O18" i="21"/>
  <c r="O14" i="21"/>
  <c r="O40" i="21"/>
  <c r="R25" i="21"/>
  <c r="O2" i="21"/>
  <c r="O24" i="21"/>
  <c r="O22" i="21"/>
  <c r="O5" i="21"/>
  <c r="O28" i="21"/>
  <c r="O32" i="21"/>
  <c r="O30" i="21"/>
  <c r="O12" i="21"/>
  <c r="O20" i="21"/>
  <c r="S38" i="21"/>
  <c r="S9" i="21"/>
  <c r="O39" i="21"/>
  <c r="O29" i="21"/>
  <c r="O37" i="21"/>
  <c r="O27" i="21"/>
  <c r="O41" i="21"/>
  <c r="O34" i="21"/>
  <c r="O3" i="21"/>
  <c r="O33" i="21"/>
  <c r="O15" i="21"/>
  <c r="O31" i="21"/>
  <c r="O13" i="21"/>
  <c r="O17" i="21"/>
  <c r="O8" i="21"/>
  <c r="CH44" i="5"/>
  <c r="CH48" i="5"/>
  <c r="CI28" i="2"/>
  <c r="CK28" i="2" s="1"/>
  <c r="CI22" i="2"/>
  <c r="CK22" i="2" s="1"/>
  <c r="CH23" i="5"/>
  <c r="CI18" i="2"/>
  <c r="CK18" i="2" s="1"/>
  <c r="CH43" i="5"/>
  <c r="CH17" i="5"/>
  <c r="CH35" i="5"/>
  <c r="CI34" i="2"/>
  <c r="CK34" i="2" s="1"/>
  <c r="CH22" i="5"/>
  <c r="CH49" i="5"/>
  <c r="CH41" i="5"/>
  <c r="CH37" i="5"/>
  <c r="AD101" i="5"/>
  <c r="Z101" i="5"/>
  <c r="AC101" i="5"/>
  <c r="Y101" i="5"/>
  <c r="AF101" i="5"/>
  <c r="AB101" i="5"/>
  <c r="X102" i="5"/>
  <c r="AE101" i="5"/>
  <c r="AA101" i="5"/>
  <c r="BR19" i="2"/>
  <c r="CH34" i="5"/>
  <c r="BY29" i="2"/>
  <c r="BZ29" i="2" s="1"/>
  <c r="BK29" i="2"/>
  <c r="BR29" i="2"/>
  <c r="S15" i="21"/>
  <c r="S10" i="21"/>
  <c r="BY53" i="2"/>
  <c r="BZ53" i="2" s="1"/>
  <c r="BK53" i="2"/>
  <c r="BR53" i="2"/>
  <c r="AJ16" i="5"/>
  <c r="AK16" i="5"/>
  <c r="CH38" i="5"/>
  <c r="CI35" i="2"/>
  <c r="AO17" i="2"/>
  <c r="AN17" i="2"/>
  <c r="BL102" i="5"/>
  <c r="BO102" i="5"/>
  <c r="BK102" i="5"/>
  <c r="BN102" i="5"/>
  <c r="BM102" i="5"/>
  <c r="BY43" i="2"/>
  <c r="BZ43" i="2" s="1"/>
  <c r="BK43" i="2"/>
  <c r="BR43" i="2"/>
  <c r="BY27" i="2"/>
  <c r="BZ27" i="2" s="1"/>
  <c r="BR27" i="2"/>
  <c r="BK27" i="2"/>
  <c r="CI30" i="2"/>
  <c r="BY49" i="2"/>
  <c r="BZ49" i="2" s="1"/>
  <c r="BR49" i="2"/>
  <c r="BK49" i="2"/>
  <c r="BY41" i="2"/>
  <c r="BZ41" i="2" s="1"/>
  <c r="BR41" i="2"/>
  <c r="BK41" i="2"/>
  <c r="BY33" i="2"/>
  <c r="BZ33" i="2" s="1"/>
  <c r="BR33" i="2"/>
  <c r="BK33" i="2"/>
  <c r="M15" i="5"/>
  <c r="DI15" i="5"/>
  <c r="DH15" i="5"/>
  <c r="DK15" i="5"/>
  <c r="DJ15" i="5"/>
  <c r="IJ15" i="5"/>
  <c r="IK15" i="5" s="1"/>
  <c r="DE15" i="5"/>
  <c r="DD15" i="5"/>
  <c r="DG15" i="5"/>
  <c r="DF15" i="5"/>
  <c r="CL15" i="5"/>
  <c r="CM15" i="5" s="1"/>
  <c r="DQ15" i="5"/>
  <c r="CZ15" i="5"/>
  <c r="DC15" i="5"/>
  <c r="DB15" i="5"/>
  <c r="L14" i="5"/>
  <c r="DM15" i="5"/>
  <c r="CW15" i="5"/>
  <c r="DL15" i="5"/>
  <c r="CV15" i="5"/>
  <c r="DO15" i="5"/>
  <c r="CY15" i="5"/>
  <c r="DN15" i="5"/>
  <c r="CX15" i="5"/>
  <c r="DA15" i="5"/>
  <c r="DP15" i="5"/>
  <c r="AI15" i="5"/>
  <c r="BU15" i="5"/>
  <c r="EV16" i="5"/>
  <c r="CI45" i="2"/>
  <c r="AL102" i="2"/>
  <c r="AN102" i="2"/>
  <c r="AI102" i="2"/>
  <c r="AM102" i="2"/>
  <c r="AK102" i="2"/>
  <c r="AO102" i="2"/>
  <c r="AJ102" i="2"/>
  <c r="CH53" i="5"/>
  <c r="CI20" i="2"/>
  <c r="CK56" i="5"/>
  <c r="CJ56" i="5"/>
  <c r="CK102" i="2"/>
  <c r="CN102" i="2"/>
  <c r="CI102" i="2"/>
  <c r="CM102" i="2"/>
  <c r="CH102" i="2"/>
  <c r="CL102" i="2"/>
  <c r="CJ102" i="2"/>
  <c r="BY35" i="2"/>
  <c r="BZ35" i="2" s="1"/>
  <c r="BR35" i="2"/>
  <c r="BK35" i="2"/>
  <c r="IL102" i="2"/>
  <c r="IH102" i="2"/>
  <c r="IG102" i="2"/>
  <c r="IK102" i="2"/>
  <c r="IF102" i="2"/>
  <c r="IJ102" i="2"/>
  <c r="II102" i="2"/>
  <c r="EU16" i="2"/>
  <c r="EX16" i="2"/>
  <c r="EM16" i="2"/>
  <c r="EC16" i="2"/>
  <c r="EG16" i="2"/>
  <c r="EF16" i="2"/>
  <c r="CH33" i="5"/>
  <c r="BY52" i="2"/>
  <c r="BZ52" i="2" s="1"/>
  <c r="BR52" i="2"/>
  <c r="BK52" i="2"/>
  <c r="BY44" i="2"/>
  <c r="BZ44" i="2" s="1"/>
  <c r="BR44" i="2"/>
  <c r="BK44" i="2"/>
  <c r="BY36" i="2"/>
  <c r="BZ36" i="2" s="1"/>
  <c r="BK36" i="2"/>
  <c r="BR36" i="2"/>
  <c r="BY28" i="2"/>
  <c r="BZ28" i="2" s="1"/>
  <c r="BK28" i="2"/>
  <c r="BR28" i="2"/>
  <c r="CH36" i="5"/>
  <c r="CI23" i="2"/>
  <c r="CI31" i="2"/>
  <c r="A105" i="19"/>
  <c r="C104" i="19"/>
  <c r="B104" i="19"/>
  <c r="D104" i="19" s="1"/>
  <c r="E104" i="19"/>
  <c r="F104" i="19" s="1"/>
  <c r="CH40" i="5"/>
  <c r="CI19" i="2"/>
  <c r="CE57" i="2"/>
  <c r="CE53" i="2"/>
  <c r="CE50" i="2"/>
  <c r="CE46" i="2"/>
  <c r="CE42" i="2"/>
  <c r="CE38" i="2"/>
  <c r="CE34" i="2"/>
  <c r="CE30" i="2"/>
  <c r="CE26" i="2"/>
  <c r="CE22" i="2"/>
  <c r="CE18" i="2"/>
  <c r="CE14" i="2"/>
  <c r="CE10" i="2"/>
  <c r="BY42" i="2"/>
  <c r="BZ42" i="2" s="1"/>
  <c r="BR42" i="2"/>
  <c r="BK42" i="2"/>
  <c r="BY34" i="2"/>
  <c r="BZ34" i="2" s="1"/>
  <c r="BK34" i="2"/>
  <c r="BR34" i="2"/>
  <c r="BY26" i="2"/>
  <c r="BZ26" i="2" s="1"/>
  <c r="BK26" i="2"/>
  <c r="BR26" i="2"/>
  <c r="CI47" i="2"/>
  <c r="CH27" i="5"/>
  <c r="CI37" i="2"/>
  <c r="CK52" i="2"/>
  <c r="BO19" i="5"/>
  <c r="O6" i="21" s="1"/>
  <c r="BM19" i="5"/>
  <c r="CI21" i="2"/>
  <c r="BH102" i="2"/>
  <c r="BG102" i="2"/>
  <c r="BY20" i="2"/>
  <c r="BZ20" i="2" s="1"/>
  <c r="BK20" i="2"/>
  <c r="BR20" i="2"/>
  <c r="CM102" i="5"/>
  <c r="CI102" i="5"/>
  <c r="CL102" i="5"/>
  <c r="CH102" i="5"/>
  <c r="CK102" i="5"/>
  <c r="CN102" i="5"/>
  <c r="CJ102" i="5"/>
  <c r="AW102" i="2"/>
  <c r="AT102" i="2"/>
  <c r="AX102" i="2"/>
  <c r="HM47" i="2"/>
  <c r="BY50" i="2"/>
  <c r="BZ50" i="2" s="1"/>
  <c r="BK50" i="2"/>
  <c r="BR50" i="2"/>
  <c r="AL17" i="5"/>
  <c r="AM17" i="5"/>
  <c r="BT19" i="5"/>
  <c r="BV19" i="5"/>
  <c r="CI29" i="2"/>
  <c r="AM101" i="5"/>
  <c r="AI101" i="5"/>
  <c r="AL101" i="5"/>
  <c r="AH102" i="5"/>
  <c r="AO101" i="5"/>
  <c r="AK101" i="5"/>
  <c r="AN101" i="5"/>
  <c r="AJ101" i="5"/>
  <c r="AM17" i="2"/>
  <c r="AL17" i="2"/>
  <c r="CI39" i="2"/>
  <c r="BY18" i="2"/>
  <c r="BZ18" i="2" s="1"/>
  <c r="BK18" i="2"/>
  <c r="BR18" i="2"/>
  <c r="IJ102" i="5"/>
  <c r="IF102" i="5"/>
  <c r="II102" i="5"/>
  <c r="IL102" i="5"/>
  <c r="IH102" i="5"/>
  <c r="IK102" i="5"/>
  <c r="IG102" i="5"/>
  <c r="CI46" i="2"/>
  <c r="CI42" i="2"/>
  <c r="BY55" i="2"/>
  <c r="BZ55" i="2" s="1"/>
  <c r="BR55" i="2"/>
  <c r="BK55" i="2"/>
  <c r="BY47" i="2"/>
  <c r="BZ47" i="2" s="1"/>
  <c r="BK47" i="2"/>
  <c r="BR47" i="2"/>
  <c r="BY39" i="2"/>
  <c r="BZ39" i="2" s="1"/>
  <c r="BK39" i="2"/>
  <c r="BR39" i="2"/>
  <c r="BY31" i="2"/>
  <c r="BZ31" i="2" s="1"/>
  <c r="BR31" i="2"/>
  <c r="BK31" i="2"/>
  <c r="BY23" i="2"/>
  <c r="BZ23" i="2" s="1"/>
  <c r="BK23" i="2"/>
  <c r="BR23" i="2"/>
  <c r="CI43" i="2"/>
  <c r="CN16" i="2"/>
  <c r="CH16" i="2" s="1"/>
  <c r="CI16" i="2" s="1"/>
  <c r="EV16" i="2"/>
  <c r="EO16" i="2"/>
  <c r="EA16" i="2"/>
  <c r="EY16" i="2"/>
  <c r="EH16" i="2"/>
  <c r="BY32" i="2"/>
  <c r="BZ32" i="2" s="1"/>
  <c r="BK32" i="2"/>
  <c r="BR32" i="2"/>
  <c r="CH47" i="5"/>
  <c r="CI17" i="2"/>
  <c r="BY19" i="2"/>
  <c r="BZ19" i="2" s="1"/>
  <c r="CE55" i="2"/>
  <c r="CE52" i="2"/>
  <c r="CE48" i="2"/>
  <c r="CE44" i="2"/>
  <c r="CE40" i="2"/>
  <c r="CE36" i="2"/>
  <c r="CE32" i="2"/>
  <c r="CE28" i="2"/>
  <c r="CE24" i="2"/>
  <c r="CE20" i="2"/>
  <c r="CE16" i="2"/>
  <c r="CE12" i="2"/>
  <c r="BY54" i="2"/>
  <c r="BZ54" i="2" s="1"/>
  <c r="BR54" i="2"/>
  <c r="BK54" i="2"/>
  <c r="BY38" i="2"/>
  <c r="BZ38" i="2" s="1"/>
  <c r="BR38" i="2"/>
  <c r="BK38" i="2"/>
  <c r="BY22" i="2"/>
  <c r="BZ22" i="2" s="1"/>
  <c r="BR22" i="2"/>
  <c r="BK22" i="2"/>
  <c r="BY18" i="5"/>
  <c r="BZ18" i="5" s="1"/>
  <c r="CA18" i="5" s="1"/>
  <c r="CB18" i="5" s="1"/>
  <c r="BR18" i="5"/>
  <c r="BS18" i="5" s="1"/>
  <c r="BK18" i="5"/>
  <c r="BL18" i="5" s="1"/>
  <c r="AN17" i="5"/>
  <c r="AO17" i="5"/>
  <c r="CI25" i="2"/>
  <c r="CI27" i="2"/>
  <c r="H101" i="5"/>
  <c r="G102" i="5"/>
  <c r="I101" i="5"/>
  <c r="G102" i="2"/>
  <c r="I101" i="2"/>
  <c r="H101" i="2"/>
  <c r="CI41" i="2"/>
  <c r="CB102" i="2"/>
  <c r="CA102" i="2"/>
  <c r="CE102" i="2"/>
  <c r="BZ102" i="2"/>
  <c r="BY102" i="2"/>
  <c r="BY25" i="2"/>
  <c r="BZ25" i="2" s="1"/>
  <c r="BK25" i="2"/>
  <c r="BR25" i="2"/>
  <c r="CI36" i="2"/>
  <c r="CI32" i="2"/>
  <c r="CI40" i="2"/>
  <c r="BZ102" i="5"/>
  <c r="BY102" i="5"/>
  <c r="CB102" i="5"/>
  <c r="CE102" i="5"/>
  <c r="CA102" i="5"/>
  <c r="CI38" i="2"/>
  <c r="BY37" i="2"/>
  <c r="BZ37" i="2" s="1"/>
  <c r="BK37" i="2"/>
  <c r="BR37" i="2"/>
  <c r="BN102" i="2"/>
  <c r="BK102" i="2"/>
  <c r="BO102" i="2"/>
  <c r="BM102" i="2"/>
  <c r="BL102" i="2"/>
  <c r="CI33" i="2"/>
  <c r="BY45" i="2"/>
  <c r="BZ45" i="2" s="1"/>
  <c r="BK45" i="2"/>
  <c r="BR45" i="2"/>
  <c r="BY21" i="2"/>
  <c r="BZ21" i="2" s="1"/>
  <c r="BR21" i="2"/>
  <c r="BK21" i="2"/>
  <c r="BU102" i="5"/>
  <c r="BT102" i="5"/>
  <c r="BS102" i="5"/>
  <c r="BV102" i="5"/>
  <c r="BR102" i="5"/>
  <c r="BY51" i="2"/>
  <c r="BZ51" i="2" s="1"/>
  <c r="BK51" i="2"/>
  <c r="BR51" i="2"/>
  <c r="CI44" i="2"/>
  <c r="AK16" i="2"/>
  <c r="AJ16" i="2"/>
  <c r="M15" i="2"/>
  <c r="L14" i="2"/>
  <c r="DH15" i="2"/>
  <c r="DO15" i="2"/>
  <c r="DM15" i="2"/>
  <c r="CW15" i="2"/>
  <c r="CZ15" i="2"/>
  <c r="IJ15" i="2"/>
  <c r="IK15" i="2" s="1"/>
  <c r="DK15" i="2"/>
  <c r="DE15" i="2"/>
  <c r="DJ15" i="2"/>
  <c r="DQ15" i="2"/>
  <c r="CV15" i="2"/>
  <c r="CL15" i="2"/>
  <c r="CM15" i="2" s="1"/>
  <c r="DP15" i="2"/>
  <c r="CY15" i="2"/>
  <c r="DI15" i="2"/>
  <c r="DN15" i="2"/>
  <c r="AI15" i="2"/>
  <c r="DL15" i="2"/>
  <c r="DC15" i="2"/>
  <c r="CX15" i="2"/>
  <c r="DA15" i="2"/>
  <c r="EF15" i="2" s="1"/>
  <c r="DF15" i="2"/>
  <c r="DD15" i="2"/>
  <c r="DG15" i="2"/>
  <c r="DB15" i="2"/>
  <c r="EG15" i="2" s="1"/>
  <c r="BU15" i="2"/>
  <c r="EL16" i="2"/>
  <c r="IL16" i="2"/>
  <c r="IF16" i="2" s="1"/>
  <c r="IG16" i="2" s="1"/>
  <c r="EB16" i="2"/>
  <c r="EK16" i="2"/>
  <c r="AX101" i="5"/>
  <c r="AT101" i="5"/>
  <c r="AW101" i="5"/>
  <c r="AQ102" i="5"/>
  <c r="FK102" i="5"/>
  <c r="FG102" i="5"/>
  <c r="FB102" i="5"/>
  <c r="EX102" i="5"/>
  <c r="EO102" i="5"/>
  <c r="EK102" i="5"/>
  <c r="EF102" i="5"/>
  <c r="EB102" i="5"/>
  <c r="DX102" i="5"/>
  <c r="DT102" i="5"/>
  <c r="DP102" i="5"/>
  <c r="DL102" i="5"/>
  <c r="DH102" i="5"/>
  <c r="DD102" i="5"/>
  <c r="CZ102" i="5"/>
  <c r="CV102" i="5"/>
  <c r="FJ102" i="5"/>
  <c r="FF102" i="5"/>
  <c r="FA102" i="5"/>
  <c r="EW102" i="5"/>
  <c r="ER102" i="5"/>
  <c r="EN102" i="5"/>
  <c r="EE102" i="5"/>
  <c r="EA102" i="5"/>
  <c r="DW102" i="5"/>
  <c r="DS102" i="5"/>
  <c r="DO102" i="5"/>
  <c r="DK102" i="5"/>
  <c r="DG102" i="5"/>
  <c r="DC102" i="5"/>
  <c r="CY102" i="5"/>
  <c r="FI102" i="5"/>
  <c r="FE102" i="5"/>
  <c r="EZ102" i="5"/>
  <c r="EV102" i="5"/>
  <c r="EQ102" i="5"/>
  <c r="EM102" i="5"/>
  <c r="EH102" i="5"/>
  <c r="ED102" i="5"/>
  <c r="DZ102" i="5"/>
  <c r="DV102" i="5"/>
  <c r="DR102" i="5"/>
  <c r="DN102" i="5"/>
  <c r="DJ102" i="5"/>
  <c r="DF102" i="5"/>
  <c r="DB102" i="5"/>
  <c r="CX102" i="5"/>
  <c r="FH102" i="5"/>
  <c r="EY102" i="5"/>
  <c r="EU102" i="5"/>
  <c r="EP102" i="5"/>
  <c r="EL102" i="5"/>
  <c r="EG102" i="5"/>
  <c r="EC102" i="5"/>
  <c r="DY102" i="5"/>
  <c r="DU102" i="5"/>
  <c r="DQ102" i="5"/>
  <c r="DM102" i="5"/>
  <c r="DI102" i="5"/>
  <c r="DE102" i="5"/>
  <c r="DA102" i="5"/>
  <c r="CW102" i="5"/>
  <c r="CK51" i="2"/>
  <c r="BY56" i="2"/>
  <c r="BZ56" i="2" s="1"/>
  <c r="CA56" i="2" s="1"/>
  <c r="CB56" i="2" s="1"/>
  <c r="BK56" i="2"/>
  <c r="BL56" i="2" s="1"/>
  <c r="BR56" i="2"/>
  <c r="BS56" i="2" s="1"/>
  <c r="BY48" i="2"/>
  <c r="BZ48" i="2" s="1"/>
  <c r="BK48" i="2"/>
  <c r="BR48" i="2"/>
  <c r="BY40" i="2"/>
  <c r="BZ40" i="2" s="1"/>
  <c r="BR40" i="2"/>
  <c r="BK40" i="2"/>
  <c r="BY24" i="2"/>
  <c r="BZ24" i="2" s="1"/>
  <c r="BK24" i="2"/>
  <c r="BR24" i="2"/>
  <c r="II17" i="5"/>
  <c r="S16" i="21" s="1"/>
  <c r="IH17" i="5"/>
  <c r="CI24" i="2"/>
  <c r="FI102" i="2"/>
  <c r="FE102" i="2"/>
  <c r="EZ102" i="2"/>
  <c r="EV102" i="2"/>
  <c r="EQ102" i="2"/>
  <c r="EM102" i="2"/>
  <c r="EH102" i="2"/>
  <c r="ED102" i="2"/>
  <c r="DZ102" i="2"/>
  <c r="DV102" i="2"/>
  <c r="DR102" i="2"/>
  <c r="DN102" i="2"/>
  <c r="DJ102" i="2"/>
  <c r="DF102" i="2"/>
  <c r="DB102" i="2"/>
  <c r="CX102" i="2"/>
  <c r="FH102" i="2"/>
  <c r="FB102" i="2"/>
  <c r="EW102" i="2"/>
  <c r="EP102" i="2"/>
  <c r="EK102" i="2"/>
  <c r="EE102" i="2"/>
  <c r="DY102" i="2"/>
  <c r="DT102" i="2"/>
  <c r="DO102" i="2"/>
  <c r="DI102" i="2"/>
  <c r="DD102" i="2"/>
  <c r="CY102" i="2"/>
  <c r="FG102" i="2"/>
  <c r="FA102" i="2"/>
  <c r="EU102" i="2"/>
  <c r="EO102" i="2"/>
  <c r="EC102" i="2"/>
  <c r="DX102" i="2"/>
  <c r="DS102" i="2"/>
  <c r="DM102" i="2"/>
  <c r="DH102" i="2"/>
  <c r="DC102" i="2"/>
  <c r="CW102" i="2"/>
  <c r="FK102" i="2"/>
  <c r="FF102" i="2"/>
  <c r="EY102" i="2"/>
  <c r="EN102" i="2"/>
  <c r="EG102" i="2"/>
  <c r="EB102" i="2"/>
  <c r="DW102" i="2"/>
  <c r="DQ102" i="2"/>
  <c r="DL102" i="2"/>
  <c r="DG102" i="2"/>
  <c r="DA102" i="2"/>
  <c r="CV102" i="2"/>
  <c r="FJ102" i="2"/>
  <c r="EX102" i="2"/>
  <c r="ER102" i="2"/>
  <c r="EL102" i="2"/>
  <c r="EF102" i="2"/>
  <c r="EA102" i="2"/>
  <c r="DU102" i="2"/>
  <c r="DP102" i="2"/>
  <c r="DK102" i="2"/>
  <c r="DE102" i="2"/>
  <c r="CZ102" i="2"/>
  <c r="CH55" i="5"/>
  <c r="CI55" i="5" s="1"/>
  <c r="CH24" i="5"/>
  <c r="CH52" i="5"/>
  <c r="CE54" i="2"/>
  <c r="CE51" i="2"/>
  <c r="CE47" i="2"/>
  <c r="CE43" i="2"/>
  <c r="CE39" i="2"/>
  <c r="CE35" i="2"/>
  <c r="CE31" i="2"/>
  <c r="CE27" i="2"/>
  <c r="CE23" i="2"/>
  <c r="CE19" i="2"/>
  <c r="CE15" i="2"/>
  <c r="BY46" i="2"/>
  <c r="BZ46" i="2" s="1"/>
  <c r="BR46" i="2"/>
  <c r="BK46" i="2"/>
  <c r="BY30" i="2"/>
  <c r="BZ30" i="2" s="1"/>
  <c r="BK30" i="2"/>
  <c r="BR30" i="2"/>
  <c r="AF101" i="2"/>
  <c r="AB101" i="2"/>
  <c r="AC101" i="2"/>
  <c r="AA101" i="2"/>
  <c r="AE101" i="2"/>
  <c r="Z101" i="2"/>
  <c r="X102" i="2"/>
  <c r="AD101" i="2"/>
  <c r="Y101" i="2"/>
  <c r="CI26" i="2"/>
  <c r="CH45" i="5"/>
  <c r="BS102" i="2"/>
  <c r="BV102" i="2"/>
  <c r="BU102" i="2"/>
  <c r="BT102" i="2"/>
  <c r="BR102" i="2"/>
  <c r="CH29" i="5"/>
  <c r="CH19" i="5"/>
  <c r="CJ48" i="2" l="1"/>
  <c r="CJ49" i="2"/>
  <c r="CK54" i="2"/>
  <c r="CJ51" i="2"/>
  <c r="CJ54" i="2"/>
  <c r="CJ50" i="2"/>
  <c r="CJ53" i="2"/>
  <c r="CJ52" i="2"/>
  <c r="R11" i="21"/>
  <c r="O25" i="21"/>
  <c r="EY15" i="2"/>
  <c r="EC15" i="5"/>
  <c r="IL15" i="5"/>
  <c r="IF15" i="5" s="1"/>
  <c r="IG15" i="5" s="1"/>
  <c r="IH15" i="5" s="1"/>
  <c r="EV15" i="5"/>
  <c r="R9" i="21"/>
  <c r="R38" i="21"/>
  <c r="CI45" i="5"/>
  <c r="CK45" i="5" s="1"/>
  <c r="CI48" i="5"/>
  <c r="CK48" i="5" s="1"/>
  <c r="BS46" i="2"/>
  <c r="BV46" i="2" s="1"/>
  <c r="BL48" i="2"/>
  <c r="BO48" i="2" s="1"/>
  <c r="IH16" i="5"/>
  <c r="BL40" i="2"/>
  <c r="BO40" i="2" s="1"/>
  <c r="CI46" i="5"/>
  <c r="CK46" i="5" s="1"/>
  <c r="BS45" i="2"/>
  <c r="BV45" i="2" s="1"/>
  <c r="CI33" i="5"/>
  <c r="CA30" i="2"/>
  <c r="CB30" i="2" s="1"/>
  <c r="CI30" i="5"/>
  <c r="CK30" i="5" s="1"/>
  <c r="CI43" i="5"/>
  <c r="CK43" i="5" s="1"/>
  <c r="CI49" i="5"/>
  <c r="CI29" i="5"/>
  <c r="CK29" i="5" s="1"/>
  <c r="CJ22" i="2"/>
  <c r="CI54" i="5"/>
  <c r="CJ54" i="5" s="1"/>
  <c r="CI51" i="5"/>
  <c r="CK51" i="5" s="1"/>
  <c r="BL55" i="2"/>
  <c r="BM55" i="2" s="1"/>
  <c r="CI26" i="5"/>
  <c r="CK26" i="5" s="1"/>
  <c r="CJ18" i="2"/>
  <c r="EO15" i="2"/>
  <c r="CJ25" i="2"/>
  <c r="CK25" i="2"/>
  <c r="CA38" i="2"/>
  <c r="CB38" i="2" s="1"/>
  <c r="CA19" i="2"/>
  <c r="CB19" i="2" s="1"/>
  <c r="CA39" i="2"/>
  <c r="CB39" i="2" s="1"/>
  <c r="CK29" i="2"/>
  <c r="CJ29" i="2"/>
  <c r="CA42" i="2"/>
  <c r="CB42" i="2" s="1"/>
  <c r="CK31" i="2"/>
  <c r="CJ31" i="2"/>
  <c r="CA44" i="2"/>
  <c r="CB44" i="2" s="1"/>
  <c r="CK20" i="2"/>
  <c r="CJ20" i="2"/>
  <c r="BL33" i="2"/>
  <c r="CA27" i="2"/>
  <c r="CB27" i="2" s="1"/>
  <c r="CK49" i="5"/>
  <c r="CJ55" i="5"/>
  <c r="CK55" i="5"/>
  <c r="BS24" i="2"/>
  <c r="BS40" i="2"/>
  <c r="CK26" i="2"/>
  <c r="CJ26" i="2"/>
  <c r="AC102" i="2"/>
  <c r="Y102" i="2"/>
  <c r="AB102" i="2"/>
  <c r="AF102" i="2"/>
  <c r="AA102" i="2"/>
  <c r="AE102" i="2"/>
  <c r="Z102" i="2"/>
  <c r="AD102" i="2"/>
  <c r="BS30" i="2"/>
  <c r="CA40" i="2"/>
  <c r="CB40" i="2" s="1"/>
  <c r="EK15" i="2"/>
  <c r="EH15" i="2"/>
  <c r="EA15" i="2"/>
  <c r="EV15" i="2"/>
  <c r="BS51" i="2"/>
  <c r="CA45" i="2"/>
  <c r="CB45" i="2" s="1"/>
  <c r="CJ38" i="2"/>
  <c r="CK38" i="2"/>
  <c r="CI19" i="5"/>
  <c r="CI44" i="5"/>
  <c r="BL30" i="2"/>
  <c r="CA46" i="2"/>
  <c r="CB46" i="2" s="1"/>
  <c r="CI52" i="5"/>
  <c r="CA24" i="2"/>
  <c r="CB24" i="2" s="1"/>
  <c r="BS48" i="2"/>
  <c r="BO56" i="2"/>
  <c r="BM56" i="2"/>
  <c r="AX102" i="5"/>
  <c r="AT102" i="5"/>
  <c r="AW102" i="5"/>
  <c r="EM15" i="2"/>
  <c r="EU15" i="2"/>
  <c r="ED15" i="2"/>
  <c r="EZ15" i="2"/>
  <c r="IL15" i="2"/>
  <c r="IF15" i="2" s="1"/>
  <c r="IG15" i="2" s="1"/>
  <c r="EX15" i="2"/>
  <c r="AL16" i="2"/>
  <c r="AM16" i="2"/>
  <c r="BL51" i="2"/>
  <c r="CA21" i="2"/>
  <c r="CB21" i="2" s="1"/>
  <c r="CJ33" i="2"/>
  <c r="CK33" i="2"/>
  <c r="BS37" i="2"/>
  <c r="CK36" i="2"/>
  <c r="CJ36" i="2"/>
  <c r="CI16" i="5"/>
  <c r="CA25" i="2"/>
  <c r="CB25" i="2" s="1"/>
  <c r="CK27" i="2"/>
  <c r="CJ27" i="2"/>
  <c r="BL22" i="2"/>
  <c r="BS38" i="2"/>
  <c r="CA54" i="2"/>
  <c r="CB54" i="2" s="1"/>
  <c r="CJ17" i="2"/>
  <c r="CK17" i="2"/>
  <c r="CA32" i="2"/>
  <c r="CB32" i="2" s="1"/>
  <c r="CK43" i="2"/>
  <c r="CJ43" i="2"/>
  <c r="BL31" i="2"/>
  <c r="BL39" i="2"/>
  <c r="CA47" i="2"/>
  <c r="CB47" i="2" s="1"/>
  <c r="CK42" i="2"/>
  <c r="CJ42" i="2"/>
  <c r="CK39" i="2"/>
  <c r="CJ39" i="2"/>
  <c r="CI42" i="5"/>
  <c r="BS50" i="2"/>
  <c r="BS20" i="2"/>
  <c r="CI37" i="5"/>
  <c r="CJ47" i="2"/>
  <c r="CK47" i="2"/>
  <c r="BS34" i="2"/>
  <c r="BS42" i="2"/>
  <c r="CI40" i="5"/>
  <c r="A106" i="19"/>
  <c r="C105" i="19"/>
  <c r="B105" i="19"/>
  <c r="D105" i="19" s="1"/>
  <c r="E105" i="19"/>
  <c r="F105" i="19" s="1"/>
  <c r="CI36" i="5"/>
  <c r="BS36" i="2"/>
  <c r="BS44" i="2"/>
  <c r="CA52" i="2"/>
  <c r="CB52" i="2" s="1"/>
  <c r="CI53" i="5"/>
  <c r="AJ15" i="5"/>
  <c r="AK15" i="5"/>
  <c r="EU15" i="5"/>
  <c r="CN15" i="5"/>
  <c r="CH15" i="5" s="1"/>
  <c r="CI15" i="5" s="1"/>
  <c r="CI17" i="5"/>
  <c r="BL41" i="2"/>
  <c r="BS49" i="2"/>
  <c r="BS27" i="2"/>
  <c r="CA43" i="2"/>
  <c r="CB43" i="2" s="1"/>
  <c r="AN16" i="5"/>
  <c r="AO16" i="5"/>
  <c r="CA53" i="2"/>
  <c r="CB53" i="2" s="1"/>
  <c r="CA29" i="2"/>
  <c r="CB29" i="2" s="1"/>
  <c r="CI24" i="5"/>
  <c r="AJ15" i="2"/>
  <c r="AK15" i="2"/>
  <c r="CA51" i="2"/>
  <c r="CB51" i="2" s="1"/>
  <c r="BL37" i="2"/>
  <c r="I102" i="2"/>
  <c r="H102" i="2"/>
  <c r="BS22" i="2"/>
  <c r="BS31" i="2"/>
  <c r="CJ46" i="2"/>
  <c r="CK46" i="2"/>
  <c r="CI23" i="5"/>
  <c r="BL50" i="2"/>
  <c r="BL34" i="2"/>
  <c r="CK33" i="5"/>
  <c r="BL35" i="2"/>
  <c r="CA49" i="2"/>
  <c r="CB49" i="2" s="1"/>
  <c r="AL16" i="5"/>
  <c r="AM16" i="5"/>
  <c r="AE102" i="5"/>
  <c r="AA102" i="5"/>
  <c r="AD102" i="5"/>
  <c r="Z102" i="5"/>
  <c r="AC102" i="5"/>
  <c r="Y102" i="5"/>
  <c r="AF102" i="5"/>
  <c r="AB102" i="5"/>
  <c r="BL46" i="2"/>
  <c r="CA48" i="2"/>
  <c r="CB48" i="2" s="1"/>
  <c r="EN15" i="2"/>
  <c r="EC15" i="2"/>
  <c r="EW15" i="2"/>
  <c r="CN15" i="2"/>
  <c r="CH15" i="2" s="1"/>
  <c r="CI15" i="2" s="1"/>
  <c r="EL15" i="2"/>
  <c r="EB15" i="2"/>
  <c r="M14" i="2"/>
  <c r="DB14" i="2"/>
  <c r="DM14" i="2"/>
  <c r="DL14" i="2"/>
  <c r="CY14" i="2"/>
  <c r="CX14" i="2"/>
  <c r="DI14" i="2"/>
  <c r="DH14" i="2"/>
  <c r="CL14" i="2"/>
  <c r="CM14" i="2" s="1"/>
  <c r="DK14" i="2"/>
  <c r="DJ14" i="2"/>
  <c r="DE14" i="2"/>
  <c r="DD14" i="2"/>
  <c r="L13" i="2"/>
  <c r="AI14" i="2"/>
  <c r="DG14" i="2"/>
  <c r="DF14" i="2"/>
  <c r="DA14" i="2"/>
  <c r="DP14" i="2"/>
  <c r="EY14" i="2" s="1"/>
  <c r="CZ14" i="2"/>
  <c r="IJ14" i="2"/>
  <c r="IK14" i="2" s="1"/>
  <c r="DC14" i="2"/>
  <c r="CW14" i="2"/>
  <c r="EB14" i="2" s="1"/>
  <c r="CV14" i="2"/>
  <c r="DO14" i="2"/>
  <c r="DN14" i="2"/>
  <c r="BU14" i="2"/>
  <c r="CJ44" i="2"/>
  <c r="CK44" i="2"/>
  <c r="BL21" i="2"/>
  <c r="BL45" i="2"/>
  <c r="CA37" i="2"/>
  <c r="CB37" i="2" s="1"/>
  <c r="CI25" i="5"/>
  <c r="CI32" i="5"/>
  <c r="BS25" i="2"/>
  <c r="CJ41" i="2"/>
  <c r="CK41" i="2"/>
  <c r="I102" i="5"/>
  <c r="H102" i="5"/>
  <c r="CI20" i="5"/>
  <c r="BV18" i="5"/>
  <c r="BT18" i="5"/>
  <c r="CA22" i="2"/>
  <c r="CB22" i="2" s="1"/>
  <c r="BL54" i="2"/>
  <c r="CI47" i="5"/>
  <c r="BS32" i="2"/>
  <c r="BL23" i="2"/>
  <c r="CA31" i="2"/>
  <c r="CB31" i="2" s="1"/>
  <c r="BS47" i="2"/>
  <c r="BS55" i="2"/>
  <c r="BL18" i="2"/>
  <c r="CI41" i="5"/>
  <c r="BY17" i="5"/>
  <c r="BZ17" i="5" s="1"/>
  <c r="CA17" i="5" s="1"/>
  <c r="CB17" i="5" s="1"/>
  <c r="BK17" i="5"/>
  <c r="BL17" i="5" s="1"/>
  <c r="BR17" i="5"/>
  <c r="BS17" i="5" s="1"/>
  <c r="CA50" i="2"/>
  <c r="CB50" i="2" s="1"/>
  <c r="CA20" i="2"/>
  <c r="CB20" i="2" s="1"/>
  <c r="CJ21" i="2"/>
  <c r="CK21" i="2"/>
  <c r="CJ37" i="2"/>
  <c r="CK37" i="2"/>
  <c r="BL26" i="2"/>
  <c r="CA34" i="2"/>
  <c r="CB34" i="2" s="1"/>
  <c r="CI21" i="5"/>
  <c r="BL28" i="2"/>
  <c r="CA36" i="2"/>
  <c r="CB36" i="2" s="1"/>
  <c r="BL52" i="2"/>
  <c r="CI28" i="5"/>
  <c r="BS35" i="2"/>
  <c r="BS33" i="2"/>
  <c r="CA41" i="2"/>
  <c r="CB41" i="2" s="1"/>
  <c r="CJ30" i="2"/>
  <c r="CK30" i="2"/>
  <c r="BS43" i="2"/>
  <c r="CJ35" i="2"/>
  <c r="CK35" i="2"/>
  <c r="BS53" i="2"/>
  <c r="CI39" i="5"/>
  <c r="BS29" i="2"/>
  <c r="CI34" i="5"/>
  <c r="CI22" i="5"/>
  <c r="CJ34" i="2"/>
  <c r="EE15" i="2"/>
  <c r="AO16" i="2"/>
  <c r="AN16" i="2"/>
  <c r="CJ40" i="2"/>
  <c r="CK40" i="2"/>
  <c r="BO18" i="5"/>
  <c r="O11" i="21" s="1"/>
  <c r="BM18" i="5"/>
  <c r="BS23" i="2"/>
  <c r="BS18" i="2"/>
  <c r="AN102" i="5"/>
  <c r="AJ102" i="5"/>
  <c r="AM102" i="5"/>
  <c r="AI102" i="5"/>
  <c r="AL102" i="5"/>
  <c r="AO102" i="5"/>
  <c r="AK102" i="5"/>
  <c r="BL20" i="2"/>
  <c r="BS26" i="2"/>
  <c r="BS28" i="2"/>
  <c r="BL36" i="2"/>
  <c r="BS41" i="2"/>
  <c r="CI18" i="5"/>
  <c r="CJ24" i="2"/>
  <c r="CK24" i="2"/>
  <c r="II16" i="2"/>
  <c r="IH16" i="2"/>
  <c r="BL24" i="2"/>
  <c r="BV56" i="2"/>
  <c r="BT56" i="2"/>
  <c r="EP15" i="2"/>
  <c r="ER15" i="2"/>
  <c r="CI50" i="5"/>
  <c r="BS21" i="2"/>
  <c r="CJ32" i="2"/>
  <c r="CK32" i="2"/>
  <c r="CI35" i="5"/>
  <c r="CJ28" i="2"/>
  <c r="BL25" i="2"/>
  <c r="R15" i="21"/>
  <c r="R10" i="21"/>
  <c r="BL38" i="2"/>
  <c r="BS54" i="2"/>
  <c r="BL32" i="2"/>
  <c r="CK16" i="2"/>
  <c r="CJ16" i="2"/>
  <c r="CA23" i="2"/>
  <c r="CB23" i="2" s="1"/>
  <c r="BS39" i="2"/>
  <c r="BL47" i="2"/>
  <c r="CA55" i="2"/>
  <c r="CB55" i="2" s="1"/>
  <c r="CA18" i="2"/>
  <c r="CB18" i="2" s="1"/>
  <c r="BY17" i="2"/>
  <c r="BZ17" i="2" s="1"/>
  <c r="CA17" i="2" s="1"/>
  <c r="CB17" i="2" s="1"/>
  <c r="BR17" i="2"/>
  <c r="BS17" i="2" s="1"/>
  <c r="BK17" i="2"/>
  <c r="BL17" i="2" s="1"/>
  <c r="CI31" i="5"/>
  <c r="CI27" i="5"/>
  <c r="CA26" i="2"/>
  <c r="CB26" i="2" s="1"/>
  <c r="BL42" i="2"/>
  <c r="CK19" i="2"/>
  <c r="CJ19" i="2"/>
  <c r="CJ23" i="2"/>
  <c r="CK23" i="2"/>
  <c r="CA28" i="2"/>
  <c r="CB28" i="2" s="1"/>
  <c r="BL44" i="2"/>
  <c r="BS52" i="2"/>
  <c r="CA35" i="2"/>
  <c r="CB35" i="2" s="1"/>
  <c r="CJ45" i="2"/>
  <c r="CK45" i="2"/>
  <c r="M14" i="5"/>
  <c r="DC14" i="5"/>
  <c r="DM14" i="5"/>
  <c r="CW14" i="5"/>
  <c r="DL14" i="5"/>
  <c r="CV14" i="5"/>
  <c r="DO14" i="5"/>
  <c r="CY14" i="5"/>
  <c r="DN14" i="5"/>
  <c r="CX14" i="5"/>
  <c r="L13" i="5"/>
  <c r="DI14" i="5"/>
  <c r="DH14" i="5"/>
  <c r="DK14" i="5"/>
  <c r="DJ14" i="5"/>
  <c r="DE14" i="5"/>
  <c r="DD14" i="5"/>
  <c r="DG14" i="5"/>
  <c r="DF14" i="5"/>
  <c r="CL14" i="5"/>
  <c r="CM14" i="5" s="1"/>
  <c r="IJ14" i="5"/>
  <c r="IK14" i="5" s="1"/>
  <c r="DA14" i="5"/>
  <c r="DP14" i="5"/>
  <c r="CZ14" i="5"/>
  <c r="DB14" i="5"/>
  <c r="AI14" i="5"/>
  <c r="BU14" i="5"/>
  <c r="CA33" i="2"/>
  <c r="CB33" i="2" s="1"/>
  <c r="BL49" i="2"/>
  <c r="BL27" i="2"/>
  <c r="BL43" i="2"/>
  <c r="CI38" i="5"/>
  <c r="BL53" i="2"/>
  <c r="BL29" i="2"/>
  <c r="BS19" i="2"/>
  <c r="BL19" i="2"/>
  <c r="R16" i="21" l="1"/>
  <c r="P23" i="21"/>
  <c r="P40" i="21"/>
  <c r="EV14" i="5"/>
  <c r="EA14" i="2"/>
  <c r="EE14" i="2"/>
  <c r="EN14" i="2"/>
  <c r="EX14" i="2"/>
  <c r="IL14" i="2"/>
  <c r="IF14" i="2" s="1"/>
  <c r="IG14" i="2" s="1"/>
  <c r="II14" i="2" s="1"/>
  <c r="EM14" i="2"/>
  <c r="EK14" i="2"/>
  <c r="CN14" i="2"/>
  <c r="CH14" i="2" s="1"/>
  <c r="CI14" i="2" s="1"/>
  <c r="CK14" i="2" s="1"/>
  <c r="ED14" i="2"/>
  <c r="P31" i="21"/>
  <c r="O10" i="21"/>
  <c r="O38" i="21"/>
  <c r="O9" i="21"/>
  <c r="P7" i="21"/>
  <c r="II15" i="5"/>
  <c r="CJ51" i="5"/>
  <c r="CK54" i="5"/>
  <c r="CJ48" i="5"/>
  <c r="CJ29" i="5"/>
  <c r="BM48" i="2"/>
  <c r="BT46" i="2"/>
  <c r="BO55" i="2"/>
  <c r="BT19" i="2"/>
  <c r="BV19" i="2"/>
  <c r="BO44" i="2"/>
  <c r="BM44" i="2"/>
  <c r="BM17" i="2"/>
  <c r="BO17" i="2"/>
  <c r="BT41" i="2"/>
  <c r="BV41" i="2"/>
  <c r="BV28" i="2"/>
  <c r="BT28" i="2"/>
  <c r="CJ39" i="5"/>
  <c r="CK39" i="5"/>
  <c r="BT43" i="2"/>
  <c r="BV43" i="2"/>
  <c r="BV33" i="2"/>
  <c r="BT33" i="2"/>
  <c r="CK28" i="5"/>
  <c r="CJ28" i="5"/>
  <c r="CK21" i="5"/>
  <c r="CJ21" i="5"/>
  <c r="BV47" i="2"/>
  <c r="BT47" i="2"/>
  <c r="CJ47" i="5"/>
  <c r="CK47" i="5"/>
  <c r="AL15" i="2"/>
  <c r="AM15" i="2"/>
  <c r="BT48" i="2"/>
  <c r="BV48" i="2"/>
  <c r="BO30" i="2"/>
  <c r="BM30" i="2"/>
  <c r="BV30" i="2"/>
  <c r="BT30" i="2"/>
  <c r="BT24" i="2"/>
  <c r="BV24" i="2"/>
  <c r="BO33" i="2"/>
  <c r="BM33" i="2"/>
  <c r="BO43" i="2"/>
  <c r="BM43" i="2"/>
  <c r="BT17" i="2"/>
  <c r="BV17" i="2"/>
  <c r="BO47" i="2"/>
  <c r="BM47" i="2"/>
  <c r="BM19" i="2"/>
  <c r="BO19" i="2"/>
  <c r="BM29" i="2"/>
  <c r="BO29" i="2"/>
  <c r="BM27" i="2"/>
  <c r="BO27" i="2"/>
  <c r="EU14" i="5"/>
  <c r="BV39" i="2"/>
  <c r="BT39" i="2"/>
  <c r="BM32" i="2"/>
  <c r="BO32" i="2"/>
  <c r="BM24" i="2"/>
  <c r="BO24" i="2"/>
  <c r="CJ45" i="5"/>
  <c r="BT18" i="2"/>
  <c r="BV18" i="2"/>
  <c r="BO53" i="2"/>
  <c r="BM53" i="2"/>
  <c r="BO49" i="2"/>
  <c r="BM49" i="2"/>
  <c r="CN14" i="5"/>
  <c r="CH14" i="5" s="1"/>
  <c r="CI14" i="5" s="1"/>
  <c r="BT52" i="2"/>
  <c r="BV52" i="2"/>
  <c r="BT54" i="2"/>
  <c r="BV54" i="2"/>
  <c r="BM25" i="2"/>
  <c r="BO25" i="2"/>
  <c r="BM36" i="2"/>
  <c r="BO36" i="2"/>
  <c r="BT23" i="2"/>
  <c r="BV23" i="2"/>
  <c r="BT29" i="2"/>
  <c r="BV29" i="2"/>
  <c r="BT35" i="2"/>
  <c r="BV35" i="2"/>
  <c r="BO28" i="2"/>
  <c r="BM28" i="2"/>
  <c r="BO17" i="5"/>
  <c r="O16" i="21" s="1"/>
  <c r="BM17" i="5"/>
  <c r="BV55" i="2"/>
  <c r="BT55" i="2"/>
  <c r="BV32" i="2"/>
  <c r="BT32" i="2"/>
  <c r="HD40" i="2"/>
  <c r="GX36" i="2"/>
  <c r="GS31" i="2"/>
  <c r="GT32" i="2"/>
  <c r="GZ38" i="2"/>
  <c r="GU33" i="2"/>
  <c r="HE41" i="2"/>
  <c r="HC39" i="2"/>
  <c r="GV34" i="2"/>
  <c r="GY37" i="2"/>
  <c r="GW35" i="2"/>
  <c r="HF42" i="2"/>
  <c r="GB43" i="2"/>
  <c r="EQ14" i="2" s="1"/>
  <c r="HG43" i="2"/>
  <c r="GI51" i="5"/>
  <c r="GQ50" i="5"/>
  <c r="GN51" i="5"/>
  <c r="GK50" i="5"/>
  <c r="GH50" i="5"/>
  <c r="GM50" i="5"/>
  <c r="GO50" i="5"/>
  <c r="GQ51" i="5"/>
  <c r="GR51" i="5"/>
  <c r="GP51" i="5"/>
  <c r="GF50" i="5"/>
  <c r="EW14" i="5" s="1"/>
  <c r="GR50" i="5"/>
  <c r="GH51" i="5"/>
  <c r="GL50" i="5"/>
  <c r="GJ51" i="5"/>
  <c r="GN50" i="5"/>
  <c r="GJ50" i="5"/>
  <c r="GO51" i="5"/>
  <c r="GP50" i="5"/>
  <c r="GL51" i="5"/>
  <c r="GK51" i="5"/>
  <c r="GG50" i="5"/>
  <c r="GM51" i="5"/>
  <c r="GI50" i="5"/>
  <c r="GG51" i="5"/>
  <c r="CJ32" i="5"/>
  <c r="CK32" i="5"/>
  <c r="BO21" i="2"/>
  <c r="BM21" i="2"/>
  <c r="EW14" i="2"/>
  <c r="EH14" i="2"/>
  <c r="EF14" i="2"/>
  <c r="M13" i="2"/>
  <c r="DK13" i="2"/>
  <c r="DJ13" i="2"/>
  <c r="DE13" i="2"/>
  <c r="DD13" i="2"/>
  <c r="L12" i="2"/>
  <c r="AI13" i="2"/>
  <c r="CY13" i="2"/>
  <c r="DN13" i="2"/>
  <c r="DH13" i="2"/>
  <c r="DG13" i="2"/>
  <c r="EN13" i="2" s="1"/>
  <c r="DF13" i="2"/>
  <c r="DA13" i="2"/>
  <c r="CZ13" i="2"/>
  <c r="IJ13" i="2"/>
  <c r="IK13" i="2" s="1"/>
  <c r="IL13" i="2" s="1"/>
  <c r="DC13" i="2"/>
  <c r="DB13" i="2"/>
  <c r="DM13" i="2"/>
  <c r="CW13" i="2"/>
  <c r="EB13" i="2" s="1"/>
  <c r="DL13" i="2"/>
  <c r="CV13" i="2"/>
  <c r="DO13" i="2"/>
  <c r="CX13" i="2"/>
  <c r="EC13" i="2" s="1"/>
  <c r="DI13" i="2"/>
  <c r="CL13" i="2"/>
  <c r="CM13" i="2" s="1"/>
  <c r="BU13" i="2"/>
  <c r="ER14" i="2"/>
  <c r="EC14" i="2"/>
  <c r="EG14" i="2"/>
  <c r="CK15" i="2"/>
  <c r="CJ15" i="2"/>
  <c r="BY16" i="5"/>
  <c r="BZ16" i="5" s="1"/>
  <c r="CA16" i="5" s="1"/>
  <c r="CB16" i="5" s="1"/>
  <c r="BK16" i="5"/>
  <c r="BL16" i="5" s="1"/>
  <c r="BR16" i="5"/>
  <c r="BS16" i="5" s="1"/>
  <c r="BO35" i="2"/>
  <c r="BM35" i="2"/>
  <c r="BO50" i="2"/>
  <c r="BM50" i="2"/>
  <c r="BV31" i="2"/>
  <c r="BT31" i="2"/>
  <c r="AN15" i="2"/>
  <c r="AO15" i="2"/>
  <c r="CK24" i="5"/>
  <c r="CJ24" i="5"/>
  <c r="BT27" i="2"/>
  <c r="BV27" i="2"/>
  <c r="CJ53" i="5"/>
  <c r="CK53" i="5"/>
  <c r="CJ36" i="5"/>
  <c r="CK36" i="5"/>
  <c r="B106" i="19"/>
  <c r="D106" i="19" s="1"/>
  <c r="E106" i="19"/>
  <c r="F106" i="19" s="1"/>
  <c r="A107" i="19"/>
  <c r="C106" i="19"/>
  <c r="BT20" i="2"/>
  <c r="BV20" i="2"/>
  <c r="BY16" i="2"/>
  <c r="BZ16" i="2" s="1"/>
  <c r="CA16" i="2" s="1"/>
  <c r="CB16" i="2" s="1"/>
  <c r="BR16" i="2"/>
  <c r="BS16" i="2" s="1"/>
  <c r="BK16" i="2"/>
  <c r="BL16" i="2" s="1"/>
  <c r="BV40" i="2"/>
  <c r="BT40" i="2"/>
  <c r="BT45" i="2"/>
  <c r="CJ38" i="5"/>
  <c r="CK38" i="5"/>
  <c r="CK27" i="5"/>
  <c r="CJ27" i="5"/>
  <c r="BO38" i="2"/>
  <c r="BM38" i="2"/>
  <c r="CK23" i="5"/>
  <c r="CJ23" i="5"/>
  <c r="FR31" i="5"/>
  <c r="FN31" i="5"/>
  <c r="FQ31" i="5"/>
  <c r="ED14" i="5" s="1"/>
  <c r="FO31" i="5"/>
  <c r="FS33" i="5"/>
  <c r="FU35" i="5"/>
  <c r="FN28" i="5"/>
  <c r="FW37" i="5"/>
  <c r="FT34" i="5"/>
  <c r="FY39" i="5"/>
  <c r="GA41" i="5"/>
  <c r="EP14" i="5" s="1"/>
  <c r="FV36" i="5"/>
  <c r="EK14" i="5" s="1"/>
  <c r="GB42" i="5"/>
  <c r="FX38" i="5"/>
  <c r="FO29" i="5"/>
  <c r="FR32" i="5"/>
  <c r="GW32" i="5" s="1"/>
  <c r="FZ40" i="5"/>
  <c r="GC43" i="5"/>
  <c r="ER14" i="5" s="1"/>
  <c r="BV49" i="2"/>
  <c r="BT49" i="2"/>
  <c r="AK14" i="5"/>
  <c r="AJ14" i="5"/>
  <c r="EC14" i="5"/>
  <c r="CK35" i="5"/>
  <c r="CJ35" i="5"/>
  <c r="CJ18" i="5"/>
  <c r="CK18" i="5"/>
  <c r="BT26" i="2"/>
  <c r="BV26" i="2"/>
  <c r="CK34" i="5"/>
  <c r="CJ34" i="5"/>
  <c r="BT53" i="2"/>
  <c r="BV53" i="2"/>
  <c r="BO52" i="2"/>
  <c r="BM52" i="2"/>
  <c r="CJ41" i="5"/>
  <c r="CK41" i="5"/>
  <c r="BM54" i="2"/>
  <c r="BO54" i="2"/>
  <c r="CK20" i="5"/>
  <c r="CJ20" i="5"/>
  <c r="EL14" i="2"/>
  <c r="EO14" i="2"/>
  <c r="EU14" i="2"/>
  <c r="CJ46" i="5"/>
  <c r="CJ33" i="5"/>
  <c r="BO37" i="2"/>
  <c r="BM37" i="2"/>
  <c r="BM41" i="2"/>
  <c r="BO41" i="2"/>
  <c r="CK15" i="5"/>
  <c r="CJ15" i="5"/>
  <c r="AN15" i="5"/>
  <c r="AO15" i="5"/>
  <c r="BT44" i="2"/>
  <c r="BV44" i="2"/>
  <c r="BT42" i="2"/>
  <c r="BV42" i="2"/>
  <c r="BO31" i="2"/>
  <c r="BM31" i="2"/>
  <c r="BT38" i="2"/>
  <c r="BV38" i="2"/>
  <c r="CK44" i="5"/>
  <c r="CJ44" i="5"/>
  <c r="CJ26" i="5"/>
  <c r="M13" i="5"/>
  <c r="DM13" i="5"/>
  <c r="CW13" i="5"/>
  <c r="DL13" i="5"/>
  <c r="CV13" i="5"/>
  <c r="DO13" i="5"/>
  <c r="CY13" i="5"/>
  <c r="DN13" i="5"/>
  <c r="CX13" i="5"/>
  <c r="DK13" i="5"/>
  <c r="DF13" i="5"/>
  <c r="DI13" i="5"/>
  <c r="DH13" i="5"/>
  <c r="DJ13" i="5"/>
  <c r="IJ13" i="5"/>
  <c r="IK13" i="5" s="1"/>
  <c r="DA13" i="5"/>
  <c r="CZ13" i="5"/>
  <c r="DC13" i="5"/>
  <c r="DB13" i="5"/>
  <c r="CL13" i="5"/>
  <c r="CM13" i="5" s="1"/>
  <c r="L12" i="5"/>
  <c r="DE13" i="5"/>
  <c r="DD13" i="5"/>
  <c r="DG13" i="5"/>
  <c r="AI13" i="5"/>
  <c r="BU13" i="5"/>
  <c r="BT21" i="2"/>
  <c r="BV21" i="2"/>
  <c r="CJ22" i="5"/>
  <c r="CK22" i="5"/>
  <c r="P14" i="21" s="1"/>
  <c r="CJ25" i="5"/>
  <c r="CK25" i="5"/>
  <c r="BM46" i="2"/>
  <c r="BO46" i="2"/>
  <c r="CJ43" i="5"/>
  <c r="CJ40" i="5"/>
  <c r="CK40" i="5"/>
  <c r="BT50" i="2"/>
  <c r="BV50" i="2"/>
  <c r="BO39" i="2"/>
  <c r="BM39" i="2"/>
  <c r="CJ30" i="5"/>
  <c r="CJ50" i="5"/>
  <c r="CK50" i="5"/>
  <c r="IL14" i="5"/>
  <c r="IF14" i="5" s="1"/>
  <c r="IG14" i="5" s="1"/>
  <c r="BO42" i="2"/>
  <c r="BM42" i="2"/>
  <c r="CK31" i="5"/>
  <c r="CJ31" i="5"/>
  <c r="BM20" i="2"/>
  <c r="BO20" i="2"/>
  <c r="BM26" i="2"/>
  <c r="BO26" i="2"/>
  <c r="BV17" i="5"/>
  <c r="BT17" i="5"/>
  <c r="BM18" i="2"/>
  <c r="BO18" i="2"/>
  <c r="BM23" i="2"/>
  <c r="BO23" i="2"/>
  <c r="BV25" i="2"/>
  <c r="BT25" i="2"/>
  <c r="BM45" i="2"/>
  <c r="BO45" i="2"/>
  <c r="AK14" i="2"/>
  <c r="AJ14" i="2"/>
  <c r="EP14" i="2"/>
  <c r="EV14" i="2"/>
  <c r="BO34" i="2"/>
  <c r="BM34" i="2"/>
  <c r="BV22" i="2"/>
  <c r="BT22" i="2"/>
  <c r="BM40" i="2"/>
  <c r="CJ17" i="5"/>
  <c r="CK17" i="5"/>
  <c r="AL15" i="5"/>
  <c r="AM15" i="5"/>
  <c r="BT36" i="2"/>
  <c r="BV36" i="2"/>
  <c r="BV34" i="2"/>
  <c r="BT34" i="2"/>
  <c r="CJ37" i="5"/>
  <c r="CK37" i="5"/>
  <c r="CJ42" i="5"/>
  <c r="CK42" i="5"/>
  <c r="BM22" i="2"/>
  <c r="BO22" i="2"/>
  <c r="CJ16" i="5"/>
  <c r="CK16" i="5"/>
  <c r="BV37" i="2"/>
  <c r="BT37" i="2"/>
  <c r="BO51" i="2"/>
  <c r="BM51" i="2"/>
  <c r="IH15" i="2"/>
  <c r="II15" i="2"/>
  <c r="CK52" i="5"/>
  <c r="CJ52" i="5"/>
  <c r="CJ19" i="5"/>
  <c r="CK19" i="5"/>
  <c r="BV51" i="2"/>
  <c r="BT51" i="2"/>
  <c r="CJ49" i="5"/>
  <c r="EP13" i="2" l="1"/>
  <c r="EU13" i="2"/>
  <c r="EH13" i="2"/>
  <c r="EM13" i="2"/>
  <c r="ED13" i="2"/>
  <c r="EL13" i="2"/>
  <c r="P27" i="21"/>
  <c r="P13" i="21"/>
  <c r="P18" i="21"/>
  <c r="P41" i="21"/>
  <c r="P15" i="21"/>
  <c r="EE14" i="5"/>
  <c r="IF13" i="2"/>
  <c r="IG13" i="2" s="1"/>
  <c r="II13" i="2" s="1"/>
  <c r="EA14" i="5"/>
  <c r="P26" i="21"/>
  <c r="P19" i="21"/>
  <c r="EK13" i="5"/>
  <c r="EG13" i="5"/>
  <c r="EM13" i="5"/>
  <c r="EB13" i="5"/>
  <c r="EL13" i="5"/>
  <c r="EH13" i="5"/>
  <c r="ER13" i="5"/>
  <c r="EV13" i="5"/>
  <c r="EB14" i="5"/>
  <c r="P21" i="21"/>
  <c r="CN13" i="2"/>
  <c r="CH13" i="2" s="1"/>
  <c r="CI13" i="2" s="1"/>
  <c r="CJ13" i="2" s="1"/>
  <c r="EA13" i="2"/>
  <c r="EG13" i="2"/>
  <c r="EF13" i="2"/>
  <c r="EW13" i="2"/>
  <c r="EK13" i="2"/>
  <c r="EX19" i="5"/>
  <c r="IC46" i="5"/>
  <c r="IL13" i="5"/>
  <c r="IF13" i="5" s="1"/>
  <c r="IG13" i="5" s="1"/>
  <c r="IH13" i="5" s="1"/>
  <c r="ED13" i="5"/>
  <c r="P17" i="21"/>
  <c r="P30" i="21"/>
  <c r="P12" i="21"/>
  <c r="P20" i="21"/>
  <c r="P2" i="21"/>
  <c r="P24" i="21"/>
  <c r="P10" i="21"/>
  <c r="P38" i="21"/>
  <c r="P9" i="21"/>
  <c r="P22" i="21"/>
  <c r="P5" i="21"/>
  <c r="P4" i="21"/>
  <c r="P36" i="21"/>
  <c r="P35" i="21"/>
  <c r="P28" i="21"/>
  <c r="P32" i="21"/>
  <c r="P6" i="21"/>
  <c r="P34" i="21"/>
  <c r="P3" i="21"/>
  <c r="P33" i="21"/>
  <c r="P11" i="21"/>
  <c r="P39" i="21"/>
  <c r="P25" i="21"/>
  <c r="P29" i="21"/>
  <c r="P37" i="21"/>
  <c r="P8" i="21"/>
  <c r="P16" i="21"/>
  <c r="IH14" i="2"/>
  <c r="CJ14" i="2"/>
  <c r="AO14" i="5"/>
  <c r="AN14" i="5"/>
  <c r="HI42" i="5"/>
  <c r="HI14" i="5"/>
  <c r="HI16" i="5"/>
  <c r="EQ31" i="5"/>
  <c r="EQ30" i="5"/>
  <c r="HI28" i="5"/>
  <c r="HI10" i="5"/>
  <c r="EQ49" i="5"/>
  <c r="EQ33" i="5"/>
  <c r="HI23" i="5"/>
  <c r="HI29" i="5"/>
  <c r="HI37" i="5"/>
  <c r="EQ18" i="5"/>
  <c r="HI13" i="5"/>
  <c r="EQ21" i="5"/>
  <c r="EQ34" i="5"/>
  <c r="EQ25" i="5"/>
  <c r="EQ56" i="5"/>
  <c r="EQ41" i="5"/>
  <c r="EQ32" i="5"/>
  <c r="EQ40" i="5"/>
  <c r="HI19" i="5"/>
  <c r="HI22" i="5"/>
  <c r="EQ20" i="5"/>
  <c r="HI31" i="5"/>
  <c r="HI32" i="5"/>
  <c r="EQ48" i="5"/>
  <c r="HI38" i="5"/>
  <c r="EQ43" i="5"/>
  <c r="HI25" i="5"/>
  <c r="HI36" i="5"/>
  <c r="HI39" i="5"/>
  <c r="HI24" i="5"/>
  <c r="EQ23" i="5"/>
  <c r="HI41" i="5"/>
  <c r="HI20" i="5"/>
  <c r="EQ42" i="5"/>
  <c r="HI30" i="5"/>
  <c r="EQ27" i="5"/>
  <c r="EQ19" i="5"/>
  <c r="EQ54" i="5"/>
  <c r="HI12" i="5"/>
  <c r="HI17" i="5"/>
  <c r="HI40" i="5"/>
  <c r="HI26" i="5"/>
  <c r="EQ28" i="5"/>
  <c r="EQ36" i="5"/>
  <c r="EQ24" i="5"/>
  <c r="HI9" i="5"/>
  <c r="EQ22" i="5"/>
  <c r="HI35" i="5"/>
  <c r="EQ47" i="5"/>
  <c r="EQ55" i="5"/>
  <c r="EQ26" i="5"/>
  <c r="HI18" i="5"/>
  <c r="HI27" i="5"/>
  <c r="HI34" i="5"/>
  <c r="EQ38" i="5"/>
  <c r="EQ44" i="5"/>
  <c r="EQ45" i="5"/>
  <c r="HI15" i="5"/>
  <c r="EQ46" i="5"/>
  <c r="HI21" i="5"/>
  <c r="EQ53" i="5"/>
  <c r="EQ50" i="5"/>
  <c r="HI33" i="5"/>
  <c r="EQ35" i="5"/>
  <c r="EQ37" i="5"/>
  <c r="EQ51" i="5"/>
  <c r="EQ39" i="5"/>
  <c r="EQ29" i="5"/>
  <c r="HI11" i="5"/>
  <c r="EQ52" i="5"/>
  <c r="EQ17" i="5"/>
  <c r="EQ16" i="5"/>
  <c r="EQ15" i="5"/>
  <c r="GX33" i="5"/>
  <c r="EF33" i="5"/>
  <c r="GX20" i="5"/>
  <c r="EF50" i="5"/>
  <c r="GX24" i="5"/>
  <c r="GX10" i="5"/>
  <c r="GX17" i="5"/>
  <c r="EF24" i="5"/>
  <c r="EF52" i="5"/>
  <c r="GX15" i="5"/>
  <c r="GX27" i="5"/>
  <c r="GX11" i="5"/>
  <c r="GX22" i="5"/>
  <c r="GX16" i="5"/>
  <c r="EF55" i="5"/>
  <c r="EF29" i="5"/>
  <c r="EF40" i="5"/>
  <c r="EF30" i="5"/>
  <c r="EF20" i="5"/>
  <c r="EF54" i="5"/>
  <c r="EF51" i="5"/>
  <c r="EF49" i="5"/>
  <c r="GX18" i="5"/>
  <c r="EF37" i="5"/>
  <c r="EF44" i="5"/>
  <c r="EF19" i="5"/>
  <c r="GX21" i="5"/>
  <c r="GX13" i="5"/>
  <c r="EF34" i="5"/>
  <c r="GX32" i="5"/>
  <c r="GX26" i="5"/>
  <c r="GX30" i="5"/>
  <c r="EF53" i="5"/>
  <c r="EF28" i="5"/>
  <c r="GX19" i="5"/>
  <c r="EF43" i="5"/>
  <c r="EF27" i="5"/>
  <c r="EF18" i="5"/>
  <c r="EF38" i="5"/>
  <c r="EF47" i="5"/>
  <c r="EF22" i="5"/>
  <c r="EF41" i="5"/>
  <c r="EF26" i="5"/>
  <c r="EF25" i="5"/>
  <c r="EF56" i="5"/>
  <c r="GX29" i="5"/>
  <c r="GX12" i="5"/>
  <c r="EF35" i="5"/>
  <c r="GX28" i="5"/>
  <c r="EF21" i="5"/>
  <c r="EF32" i="5"/>
  <c r="EF45" i="5"/>
  <c r="GX23" i="5"/>
  <c r="GX9" i="5"/>
  <c r="EF36" i="5"/>
  <c r="GX25" i="5"/>
  <c r="EF23" i="5"/>
  <c r="EF31" i="5"/>
  <c r="GX31" i="5"/>
  <c r="EF42" i="5"/>
  <c r="GX14" i="5"/>
  <c r="EF39" i="5"/>
  <c r="EF46" i="5"/>
  <c r="EF48" i="5"/>
  <c r="EF17" i="5"/>
  <c r="EF16" i="5"/>
  <c r="EF15" i="5"/>
  <c r="E107" i="19"/>
  <c r="F107" i="19" s="1"/>
  <c r="A108" i="19"/>
  <c r="C107" i="19"/>
  <c r="B107" i="19"/>
  <c r="D107" i="19" s="1"/>
  <c r="EQ13" i="5"/>
  <c r="HD37" i="5"/>
  <c r="EL55" i="5"/>
  <c r="HD23" i="5"/>
  <c r="EL25" i="5"/>
  <c r="HD33" i="5"/>
  <c r="HD17" i="5"/>
  <c r="HD12" i="5"/>
  <c r="EL27" i="5"/>
  <c r="EL35" i="5"/>
  <c r="HD14" i="5"/>
  <c r="EL30" i="5"/>
  <c r="EL28" i="5"/>
  <c r="HD16" i="5"/>
  <c r="EL32" i="5"/>
  <c r="EL46" i="5"/>
  <c r="EL39" i="5"/>
  <c r="HD13" i="5"/>
  <c r="EL43" i="5"/>
  <c r="HD22" i="5"/>
  <c r="EL41" i="5"/>
  <c r="HD20" i="5"/>
  <c r="HD27" i="5"/>
  <c r="EL36" i="5"/>
  <c r="HD18" i="5"/>
  <c r="HD21" i="5"/>
  <c r="EL22" i="5"/>
  <c r="HD11" i="5"/>
  <c r="EL18" i="5"/>
  <c r="HD24" i="5"/>
  <c r="HD25" i="5"/>
  <c r="HD15" i="5"/>
  <c r="EL23" i="5"/>
  <c r="HD31" i="5"/>
  <c r="EL38" i="5"/>
  <c r="HD10" i="5"/>
  <c r="HD19" i="5"/>
  <c r="HD29" i="5"/>
  <c r="EL51" i="5"/>
  <c r="EL52" i="5"/>
  <c r="EL21" i="5"/>
  <c r="EL44" i="5"/>
  <c r="EL19" i="5"/>
  <c r="EL34" i="5"/>
  <c r="EL24" i="5"/>
  <c r="HD28" i="5"/>
  <c r="HD9" i="5"/>
  <c r="EL54" i="5"/>
  <c r="EL53" i="5"/>
  <c r="EL47" i="5"/>
  <c r="HD26" i="5"/>
  <c r="EL31" i="5"/>
  <c r="EL20" i="5"/>
  <c r="EL33" i="5"/>
  <c r="EL56" i="5"/>
  <c r="EL48" i="5"/>
  <c r="HD36" i="5"/>
  <c r="EL42" i="5"/>
  <c r="HD35" i="5"/>
  <c r="EL26" i="5"/>
  <c r="EL45" i="5"/>
  <c r="EL29" i="5"/>
  <c r="HD34" i="5"/>
  <c r="HD32" i="5"/>
  <c r="EL49" i="5"/>
  <c r="HD30" i="5"/>
  <c r="EL37" i="5"/>
  <c r="EL40" i="5"/>
  <c r="EL50" i="5"/>
  <c r="EL17" i="5"/>
  <c r="EL16" i="5"/>
  <c r="EL15" i="5"/>
  <c r="AO14" i="2"/>
  <c r="AN14" i="2"/>
  <c r="EF14" i="5"/>
  <c r="EE13" i="5"/>
  <c r="EO13" i="5"/>
  <c r="EA13" i="5"/>
  <c r="EN13" i="5"/>
  <c r="CN13" i="5"/>
  <c r="CH13" i="5" s="1"/>
  <c r="CI13" i="5" s="1"/>
  <c r="EF13" i="5"/>
  <c r="EP13" i="5"/>
  <c r="EW13" i="5"/>
  <c r="EU13" i="5"/>
  <c r="EQ14" i="5"/>
  <c r="AM14" i="5"/>
  <c r="AL14" i="5"/>
  <c r="HJ43" i="5"/>
  <c r="HJ24" i="5"/>
  <c r="ER46" i="5"/>
  <c r="ER30" i="5"/>
  <c r="ER53" i="5"/>
  <c r="ER35" i="5"/>
  <c r="HJ40" i="5"/>
  <c r="ER26" i="5"/>
  <c r="HJ19" i="5"/>
  <c r="HJ13" i="5"/>
  <c r="ER54" i="5"/>
  <c r="ER23" i="5"/>
  <c r="ER27" i="5"/>
  <c r="HJ27" i="5"/>
  <c r="ER34" i="5"/>
  <c r="ER52" i="5"/>
  <c r="HJ39" i="5"/>
  <c r="HJ42" i="5"/>
  <c r="ER45" i="5"/>
  <c r="HJ16" i="5"/>
  <c r="ER49" i="5"/>
  <c r="HJ29" i="5"/>
  <c r="HJ25" i="5"/>
  <c r="HJ9" i="5"/>
  <c r="ER38" i="5"/>
  <c r="ER37" i="5"/>
  <c r="ER24" i="5"/>
  <c r="ER42" i="5"/>
  <c r="ER33" i="5"/>
  <c r="HJ33" i="5"/>
  <c r="HJ34" i="5"/>
  <c r="ER43" i="5"/>
  <c r="ER29" i="5"/>
  <c r="ER22" i="5"/>
  <c r="HJ11" i="5"/>
  <c r="ER41" i="5"/>
  <c r="HJ26" i="5"/>
  <c r="HJ37" i="5"/>
  <c r="ER39" i="5"/>
  <c r="ER55" i="5"/>
  <c r="HJ23" i="5"/>
  <c r="ER44" i="5"/>
  <c r="ER48" i="5"/>
  <c r="HJ35" i="5"/>
  <c r="ER32" i="5"/>
  <c r="HJ17" i="5"/>
  <c r="ER18" i="5"/>
  <c r="HJ15" i="5"/>
  <c r="HJ32" i="5"/>
  <c r="ER56" i="5"/>
  <c r="HJ41" i="5"/>
  <c r="HJ22" i="5"/>
  <c r="ER20" i="5"/>
  <c r="HJ18" i="5"/>
  <c r="HJ10" i="5"/>
  <c r="HJ38" i="5"/>
  <c r="ER36" i="5"/>
  <c r="ER21" i="5"/>
  <c r="ER19" i="5"/>
  <c r="ER40" i="5"/>
  <c r="HJ31" i="5"/>
  <c r="HJ28" i="5"/>
  <c r="HJ21" i="5"/>
  <c r="HJ12" i="5"/>
  <c r="ER28" i="5"/>
  <c r="HJ20" i="5"/>
  <c r="HJ14" i="5"/>
  <c r="HJ30" i="5"/>
  <c r="ER31" i="5"/>
  <c r="ER51" i="5"/>
  <c r="ER47" i="5"/>
  <c r="ER25" i="5"/>
  <c r="HJ36" i="5"/>
  <c r="ER50" i="5"/>
  <c r="ER17" i="5"/>
  <c r="ER16" i="5"/>
  <c r="ER15" i="5"/>
  <c r="HE38" i="5"/>
  <c r="HE37" i="5"/>
  <c r="EM38" i="5"/>
  <c r="EM23" i="5"/>
  <c r="HE34" i="5"/>
  <c r="HE29" i="5"/>
  <c r="HE28" i="5"/>
  <c r="EM22" i="5"/>
  <c r="EM24" i="5"/>
  <c r="EM55" i="5"/>
  <c r="EM32" i="5"/>
  <c r="EM18" i="5"/>
  <c r="HE17" i="5"/>
  <c r="EM19" i="5"/>
  <c r="EM39" i="5"/>
  <c r="HE30" i="5"/>
  <c r="EM26" i="5"/>
  <c r="EM43" i="5"/>
  <c r="HE16" i="5"/>
  <c r="EM40" i="5"/>
  <c r="HE35" i="5"/>
  <c r="HE21" i="5"/>
  <c r="EM33" i="5"/>
  <c r="EM25" i="5"/>
  <c r="EM53" i="5"/>
  <c r="EM34" i="5"/>
  <c r="HE32" i="5"/>
  <c r="HE18" i="5"/>
  <c r="EM20" i="5"/>
  <c r="EM44" i="5"/>
  <c r="HE12" i="5"/>
  <c r="HE19" i="5"/>
  <c r="HE14" i="5"/>
  <c r="EM52" i="5"/>
  <c r="EM51" i="5"/>
  <c r="EM37" i="5"/>
  <c r="HE26" i="5"/>
  <c r="EM41" i="5"/>
  <c r="HE20" i="5"/>
  <c r="EM42" i="5"/>
  <c r="EM49" i="5"/>
  <c r="EM46" i="5"/>
  <c r="HE9" i="5"/>
  <c r="HE11" i="5"/>
  <c r="HE36" i="5"/>
  <c r="EM31" i="5"/>
  <c r="EM47" i="5"/>
  <c r="EM35" i="5"/>
  <c r="HE22" i="5"/>
  <c r="EM48" i="5"/>
  <c r="HE27" i="5"/>
  <c r="HE13" i="5"/>
  <c r="EM50" i="5"/>
  <c r="HE31" i="5"/>
  <c r="HE25" i="5"/>
  <c r="HE33" i="5"/>
  <c r="HE24" i="5"/>
  <c r="EM56" i="5"/>
  <c r="HE23" i="5"/>
  <c r="EM45" i="5"/>
  <c r="EM29" i="5"/>
  <c r="EM54" i="5"/>
  <c r="EM27" i="5"/>
  <c r="EM30" i="5"/>
  <c r="EM21" i="5"/>
  <c r="EM28" i="5"/>
  <c r="HE10" i="5"/>
  <c r="EM36" i="5"/>
  <c r="HE15" i="5"/>
  <c r="EM17" i="5"/>
  <c r="EM16" i="5"/>
  <c r="EM15" i="5"/>
  <c r="HF39" i="5"/>
  <c r="HF25" i="5"/>
  <c r="EN25" i="5"/>
  <c r="HF21" i="5"/>
  <c r="EN37" i="5"/>
  <c r="HF22" i="5"/>
  <c r="HF16" i="5"/>
  <c r="HF33" i="5"/>
  <c r="EN35" i="5"/>
  <c r="EN51" i="5"/>
  <c r="HF17" i="5"/>
  <c r="HF28" i="5"/>
  <c r="EN44" i="5"/>
  <c r="EN28" i="5"/>
  <c r="HF18" i="5"/>
  <c r="EN42" i="5"/>
  <c r="HF23" i="5"/>
  <c r="EN56" i="5"/>
  <c r="HF14" i="5"/>
  <c r="EN34" i="5"/>
  <c r="EN24" i="5"/>
  <c r="EN54" i="5"/>
  <c r="HF36" i="5"/>
  <c r="EN36" i="5"/>
  <c r="HF13" i="5"/>
  <c r="EN18" i="5"/>
  <c r="EN27" i="5"/>
  <c r="EN47" i="5"/>
  <c r="EN39" i="5"/>
  <c r="EN43" i="5"/>
  <c r="EN50" i="5"/>
  <c r="EN40" i="5"/>
  <c r="HF15" i="5"/>
  <c r="EN48" i="5"/>
  <c r="HF35" i="5"/>
  <c r="EN41" i="5"/>
  <c r="HF26" i="5"/>
  <c r="HF29" i="5"/>
  <c r="EN33" i="5"/>
  <c r="HF9" i="5"/>
  <c r="EN20" i="5"/>
  <c r="EN38" i="5"/>
  <c r="EN29" i="5"/>
  <c r="EN32" i="5"/>
  <c r="HF12" i="5"/>
  <c r="EN45" i="5"/>
  <c r="EN19" i="5"/>
  <c r="HF24" i="5"/>
  <c r="EN53" i="5"/>
  <c r="HF20" i="5"/>
  <c r="EN52" i="5"/>
  <c r="EN46" i="5"/>
  <c r="EN21" i="5"/>
  <c r="EN26" i="5"/>
  <c r="EN49" i="5"/>
  <c r="EN31" i="5"/>
  <c r="EN22" i="5"/>
  <c r="HF30" i="5"/>
  <c r="HF11" i="5"/>
  <c r="HF19" i="5"/>
  <c r="HF37" i="5"/>
  <c r="HF32" i="5"/>
  <c r="EN23" i="5"/>
  <c r="HF38" i="5"/>
  <c r="HF10" i="5"/>
  <c r="HF27" i="5"/>
  <c r="HF31" i="5"/>
  <c r="HF34" i="5"/>
  <c r="EN55" i="5"/>
  <c r="EN30" i="5"/>
  <c r="EN17" i="5"/>
  <c r="EN16" i="5"/>
  <c r="EN15" i="5"/>
  <c r="GZ35" i="5"/>
  <c r="GZ28" i="5"/>
  <c r="EH29" i="5"/>
  <c r="EH25" i="5"/>
  <c r="GZ15" i="5"/>
  <c r="EH38" i="5"/>
  <c r="EH18" i="5"/>
  <c r="GZ25" i="5"/>
  <c r="EH52" i="5"/>
  <c r="GZ27" i="5"/>
  <c r="GZ20" i="5"/>
  <c r="GZ33" i="5"/>
  <c r="EH41" i="5"/>
  <c r="EH20" i="5"/>
  <c r="EH36" i="5"/>
  <c r="GZ24" i="5"/>
  <c r="EH55" i="5"/>
  <c r="EH28" i="5"/>
  <c r="EH43" i="5"/>
  <c r="GZ10" i="5"/>
  <c r="EH39" i="5"/>
  <c r="EH46" i="5"/>
  <c r="EH22" i="5"/>
  <c r="EH45" i="5"/>
  <c r="EH27" i="5"/>
  <c r="GZ12" i="5"/>
  <c r="GZ19" i="5"/>
  <c r="EH35" i="5"/>
  <c r="EH34" i="5"/>
  <c r="GZ26" i="5"/>
  <c r="GZ29" i="5"/>
  <c r="EH44" i="5"/>
  <c r="GZ9" i="5"/>
  <c r="EH30" i="5"/>
  <c r="EH32" i="5"/>
  <c r="EH37" i="5"/>
  <c r="GZ22" i="5"/>
  <c r="GZ31" i="5"/>
  <c r="GZ17" i="5"/>
  <c r="EH23" i="5"/>
  <c r="GZ34" i="5"/>
  <c r="GZ30" i="5"/>
  <c r="EH42" i="5"/>
  <c r="GZ16" i="5"/>
  <c r="GZ23" i="5"/>
  <c r="EH50" i="5"/>
  <c r="EH26" i="5"/>
  <c r="GZ14" i="5"/>
  <c r="EH56" i="5"/>
  <c r="GZ13" i="5"/>
  <c r="GZ21" i="5"/>
  <c r="EH21" i="5"/>
  <c r="EH49" i="5"/>
  <c r="EH33" i="5"/>
  <c r="GZ18" i="5"/>
  <c r="EH31" i="5"/>
  <c r="EH47" i="5"/>
  <c r="GZ11" i="5"/>
  <c r="EH40" i="5"/>
  <c r="EH53" i="5"/>
  <c r="EH48" i="5"/>
  <c r="EH24" i="5"/>
  <c r="EH19" i="5"/>
  <c r="EH54" i="5"/>
  <c r="GZ32" i="5"/>
  <c r="EH51" i="5"/>
  <c r="EH17" i="5"/>
  <c r="EH16" i="5"/>
  <c r="EH15" i="5"/>
  <c r="GS31" i="5"/>
  <c r="GS29" i="5"/>
  <c r="GS30" i="5"/>
  <c r="EA19" i="5"/>
  <c r="BV16" i="2"/>
  <c r="BT16" i="2"/>
  <c r="BV16" i="5"/>
  <c r="BT16" i="5"/>
  <c r="EX13" i="2"/>
  <c r="EV13" i="2"/>
  <c r="EE13" i="2"/>
  <c r="EO13" i="2"/>
  <c r="M12" i="2"/>
  <c r="DC12" i="2"/>
  <c r="DB12" i="2"/>
  <c r="DM12" i="2"/>
  <c r="CW12" i="2"/>
  <c r="DL12" i="2"/>
  <c r="CV12" i="2"/>
  <c r="CZ12" i="2"/>
  <c r="CY12" i="2"/>
  <c r="DN12" i="2"/>
  <c r="CX12" i="2"/>
  <c r="DI12" i="2"/>
  <c r="DH12" i="2"/>
  <c r="DG12" i="2"/>
  <c r="DF12" i="2"/>
  <c r="IJ12" i="2"/>
  <c r="IK12" i="2" s="1"/>
  <c r="CL12" i="2"/>
  <c r="CM12" i="2" s="1"/>
  <c r="DK12" i="2"/>
  <c r="DJ12" i="2"/>
  <c r="DE12" i="2"/>
  <c r="DD12" i="2"/>
  <c r="L11" i="2"/>
  <c r="AI12" i="2"/>
  <c r="DA12" i="2"/>
  <c r="BU12" i="2"/>
  <c r="ER13" i="2"/>
  <c r="HP46" i="5"/>
  <c r="HP31" i="5"/>
  <c r="EX21" i="5"/>
  <c r="HP9" i="5"/>
  <c r="HP43" i="5"/>
  <c r="EX44" i="5"/>
  <c r="HP20" i="5"/>
  <c r="EX50" i="5"/>
  <c r="HP12" i="5"/>
  <c r="EX46" i="5"/>
  <c r="EX51" i="5"/>
  <c r="EX32" i="5"/>
  <c r="HP14" i="5"/>
  <c r="EX26" i="5"/>
  <c r="HP36" i="5"/>
  <c r="EX41" i="5"/>
  <c r="EX45" i="5"/>
  <c r="HP10" i="5"/>
  <c r="EX48" i="5"/>
  <c r="EX52" i="5"/>
  <c r="HP22" i="5"/>
  <c r="EX35" i="5"/>
  <c r="HP25" i="5"/>
  <c r="EX22" i="5"/>
  <c r="HP28" i="5"/>
  <c r="HP18" i="5"/>
  <c r="EX36" i="5"/>
  <c r="HP27" i="5"/>
  <c r="EX31" i="5"/>
  <c r="HP33" i="5"/>
  <c r="HP42" i="5"/>
  <c r="EX40" i="5"/>
  <c r="EX27" i="5"/>
  <c r="HP26" i="5"/>
  <c r="HP34" i="5"/>
  <c r="EX20" i="5"/>
  <c r="EX30" i="5"/>
  <c r="EX43" i="5"/>
  <c r="EX49" i="5"/>
  <c r="HP11" i="5"/>
  <c r="HP40" i="5"/>
  <c r="HP17" i="5"/>
  <c r="HP15" i="5"/>
  <c r="EX54" i="5"/>
  <c r="EX38" i="5"/>
  <c r="HP24" i="5"/>
  <c r="EX42" i="5"/>
  <c r="EX56" i="5"/>
  <c r="EX34" i="5"/>
  <c r="HP29" i="5"/>
  <c r="HP35" i="5"/>
  <c r="EX53" i="5"/>
  <c r="HP39" i="5"/>
  <c r="HP19" i="5"/>
  <c r="EX55" i="5"/>
  <c r="HP45" i="5"/>
  <c r="HP30" i="5"/>
  <c r="HP41" i="5"/>
  <c r="EX47" i="5"/>
  <c r="HP38" i="5"/>
  <c r="EX18" i="5"/>
  <c r="EX39" i="5"/>
  <c r="HP23" i="5"/>
  <c r="HP21" i="5"/>
  <c r="EX25" i="5"/>
  <c r="EX33" i="5"/>
  <c r="HP44" i="5"/>
  <c r="HP13" i="5"/>
  <c r="HP16" i="5"/>
  <c r="EX37" i="5"/>
  <c r="EX23" i="5"/>
  <c r="EX28" i="5"/>
  <c r="HP37" i="5"/>
  <c r="EX24" i="5"/>
  <c r="EX29" i="5"/>
  <c r="HP32" i="5"/>
  <c r="EX17" i="5"/>
  <c r="EX16" i="5"/>
  <c r="EX15" i="5"/>
  <c r="HZ45" i="5"/>
  <c r="HW9" i="5"/>
  <c r="FE40" i="5"/>
  <c r="HW12" i="5"/>
  <c r="FE45" i="5"/>
  <c r="HW32" i="5"/>
  <c r="FE31" i="5"/>
  <c r="HW22" i="5"/>
  <c r="FE20" i="5"/>
  <c r="HW24" i="5"/>
  <c r="FE50" i="5"/>
  <c r="HW23" i="5"/>
  <c r="HW37" i="5"/>
  <c r="HW42" i="5"/>
  <c r="FE49" i="5"/>
  <c r="FE39" i="5"/>
  <c r="FE29" i="5"/>
  <c r="HW45" i="5"/>
  <c r="FE54" i="5"/>
  <c r="HW17" i="5"/>
  <c r="FE56" i="5"/>
  <c r="HW44" i="5"/>
  <c r="HW31" i="5"/>
  <c r="HW40" i="5"/>
  <c r="HW20" i="5"/>
  <c r="HW18" i="5"/>
  <c r="HW33" i="5"/>
  <c r="FE28" i="5"/>
  <c r="FE18" i="5"/>
  <c r="FE48" i="5"/>
  <c r="HW14" i="5"/>
  <c r="FE53" i="5"/>
  <c r="FE34" i="5"/>
  <c r="HW38" i="5"/>
  <c r="HW21" i="5"/>
  <c r="HW34" i="5"/>
  <c r="HW46" i="5"/>
  <c r="FE26" i="5"/>
  <c r="FE25" i="5"/>
  <c r="FE33" i="5"/>
  <c r="FE38" i="5"/>
  <c r="HW43" i="5"/>
  <c r="FE37" i="5"/>
  <c r="FE27" i="5"/>
  <c r="HW36" i="5"/>
  <c r="FE22" i="5"/>
  <c r="HW27" i="5"/>
  <c r="FE36" i="5"/>
  <c r="FE46" i="5"/>
  <c r="FE23" i="5"/>
  <c r="FE35" i="5"/>
  <c r="HW29" i="5"/>
  <c r="HW19" i="5"/>
  <c r="HW16" i="5"/>
  <c r="HW35" i="5"/>
  <c r="HW26" i="5"/>
  <c r="HW15" i="5"/>
  <c r="HW13" i="5"/>
  <c r="HW30" i="5"/>
  <c r="HW39" i="5"/>
  <c r="HW10" i="5"/>
  <c r="FE41" i="5"/>
  <c r="FE24" i="5"/>
  <c r="FE44" i="5"/>
  <c r="FE21" i="5"/>
  <c r="HW11" i="5"/>
  <c r="FE43" i="5"/>
  <c r="FE19" i="5"/>
  <c r="FE47" i="5"/>
  <c r="FE30" i="5"/>
  <c r="HW28" i="5"/>
  <c r="FE52" i="5"/>
  <c r="FE55" i="5"/>
  <c r="HW41" i="5"/>
  <c r="HW25" i="5"/>
  <c r="FE51" i="5"/>
  <c r="FE42" i="5"/>
  <c r="FE32" i="5"/>
  <c r="FF53" i="5"/>
  <c r="HX38" i="5"/>
  <c r="FF38" i="5"/>
  <c r="FF29" i="5"/>
  <c r="HX32" i="5"/>
  <c r="HX34" i="5"/>
  <c r="FF23" i="5"/>
  <c r="HX9" i="5"/>
  <c r="FF31" i="5"/>
  <c r="FF35" i="5"/>
  <c r="HX46" i="5"/>
  <c r="FF39" i="5"/>
  <c r="FF47" i="5"/>
  <c r="HX13" i="5"/>
  <c r="FF27" i="5"/>
  <c r="HX24" i="5"/>
  <c r="HX42" i="5"/>
  <c r="FF21" i="5"/>
  <c r="FF55" i="5"/>
  <c r="FF56" i="5"/>
  <c r="HX26" i="5"/>
  <c r="HX23" i="5"/>
  <c r="HX11" i="5"/>
  <c r="FF48" i="5"/>
  <c r="HX30" i="5"/>
  <c r="FF50" i="5"/>
  <c r="HX31" i="5"/>
  <c r="FF40" i="5"/>
  <c r="FF30" i="5"/>
  <c r="HX10" i="5"/>
  <c r="FF52" i="5"/>
  <c r="FF43" i="5"/>
  <c r="FF33" i="5"/>
  <c r="HX15" i="5"/>
  <c r="FF42" i="5"/>
  <c r="FF41" i="5"/>
  <c r="HX43" i="5"/>
  <c r="HX29" i="5"/>
  <c r="FF24" i="5"/>
  <c r="FF34" i="5"/>
  <c r="HX45" i="5"/>
  <c r="FF19" i="5"/>
  <c r="HX44" i="5"/>
  <c r="HX41" i="5"/>
  <c r="HX36" i="5"/>
  <c r="HX14" i="5"/>
  <c r="HX17" i="5"/>
  <c r="HX19" i="5"/>
  <c r="FF25" i="5"/>
  <c r="HX40" i="5"/>
  <c r="HX35" i="5"/>
  <c r="FF46" i="5"/>
  <c r="HX22" i="5"/>
  <c r="HX21" i="5"/>
  <c r="FF49" i="5"/>
  <c r="FF28" i="5"/>
  <c r="FF20" i="5"/>
  <c r="HX37" i="5"/>
  <c r="HX20" i="5"/>
  <c r="FF37" i="5"/>
  <c r="HX39" i="5"/>
  <c r="FF44" i="5"/>
  <c r="FF54" i="5"/>
  <c r="HX18" i="5"/>
  <c r="HX12" i="5"/>
  <c r="HX27" i="5"/>
  <c r="HX33" i="5"/>
  <c r="HX16" i="5"/>
  <c r="FF32" i="5"/>
  <c r="FF45" i="5"/>
  <c r="FF26" i="5"/>
  <c r="FF22" i="5"/>
  <c r="FF36" i="5"/>
  <c r="HX28" i="5"/>
  <c r="HX25" i="5"/>
  <c r="FF51" i="5"/>
  <c r="IB46" i="5"/>
  <c r="IB26" i="5"/>
  <c r="IB16" i="5"/>
  <c r="FJ24" i="5"/>
  <c r="IB39" i="5"/>
  <c r="IB10" i="5"/>
  <c r="IB12" i="5"/>
  <c r="FJ48" i="5"/>
  <c r="IB36" i="5"/>
  <c r="FJ45" i="5"/>
  <c r="FJ36" i="5"/>
  <c r="FJ49" i="5"/>
  <c r="FJ30" i="5"/>
  <c r="IB30" i="5"/>
  <c r="FJ26" i="5"/>
  <c r="FJ40" i="5"/>
  <c r="FJ55" i="5"/>
  <c r="IB37" i="5"/>
  <c r="IB24" i="5"/>
  <c r="IB18" i="5"/>
  <c r="FJ35" i="5"/>
  <c r="FJ39" i="5"/>
  <c r="IB9" i="5"/>
  <c r="IB35" i="5"/>
  <c r="FJ43" i="5"/>
  <c r="FJ51" i="5"/>
  <c r="IB15" i="5"/>
  <c r="IB32" i="5"/>
  <c r="FJ34" i="5"/>
  <c r="FJ47" i="5"/>
  <c r="IB20" i="5"/>
  <c r="FJ32" i="5"/>
  <c r="FJ46" i="5"/>
  <c r="IB40" i="5"/>
  <c r="FJ28" i="5"/>
  <c r="FJ38" i="5"/>
  <c r="FJ25" i="5"/>
  <c r="IB42" i="5"/>
  <c r="IB29" i="5"/>
  <c r="FJ53" i="5"/>
  <c r="FJ27" i="5"/>
  <c r="IB33" i="5"/>
  <c r="FJ42" i="5"/>
  <c r="FJ33" i="5"/>
  <c r="IB17" i="5"/>
  <c r="IB28" i="5"/>
  <c r="IB22" i="5"/>
  <c r="FJ23" i="5"/>
  <c r="IB43" i="5"/>
  <c r="IB25" i="5"/>
  <c r="IB19" i="5"/>
  <c r="FJ56" i="5"/>
  <c r="FJ37" i="5"/>
  <c r="FJ31" i="5"/>
  <c r="FJ29" i="5"/>
  <c r="IB41" i="5"/>
  <c r="IB27" i="5"/>
  <c r="IB23" i="5"/>
  <c r="IB34" i="5"/>
  <c r="IB31" i="5"/>
  <c r="IB21" i="5"/>
  <c r="IB45" i="5"/>
  <c r="IB13" i="5"/>
  <c r="FJ50" i="5"/>
  <c r="FJ52" i="5"/>
  <c r="IB44" i="5"/>
  <c r="FJ41" i="5"/>
  <c r="IB38" i="5"/>
  <c r="FJ54" i="5"/>
  <c r="IB11" i="5"/>
  <c r="FJ44" i="5"/>
  <c r="IB14" i="5"/>
  <c r="CK14" i="5"/>
  <c r="CJ14" i="5"/>
  <c r="EH14" i="5"/>
  <c r="EM14" i="5"/>
  <c r="GY34" i="5"/>
  <c r="GY18" i="5"/>
  <c r="EG36" i="5"/>
  <c r="EG40" i="5"/>
  <c r="GY32" i="5"/>
  <c r="EG54" i="5"/>
  <c r="GY19" i="5"/>
  <c r="GY13" i="5"/>
  <c r="EG33" i="5"/>
  <c r="EG56" i="5"/>
  <c r="GY33" i="5"/>
  <c r="GY10" i="5"/>
  <c r="EG39" i="5"/>
  <c r="EG22" i="5"/>
  <c r="EG42" i="5"/>
  <c r="EG49" i="5"/>
  <c r="EG46" i="5"/>
  <c r="EG29" i="5"/>
  <c r="EG43" i="5"/>
  <c r="GY27" i="5"/>
  <c r="GY20" i="5"/>
  <c r="EG31" i="5"/>
  <c r="EG21" i="5"/>
  <c r="EG44" i="5"/>
  <c r="EG52" i="5"/>
  <c r="GY11" i="5"/>
  <c r="GY28" i="5"/>
  <c r="GY12" i="5"/>
  <c r="EG53" i="5"/>
  <c r="GY15" i="5"/>
  <c r="GY21" i="5"/>
  <c r="EG48" i="5"/>
  <c r="EG51" i="5"/>
  <c r="GY9" i="5"/>
  <c r="EG38" i="5"/>
  <c r="EG45" i="5"/>
  <c r="EG47" i="5"/>
  <c r="EG27" i="5"/>
  <c r="GY17" i="5"/>
  <c r="EG35" i="5"/>
  <c r="EG30" i="5"/>
  <c r="GY16" i="5"/>
  <c r="EG18" i="5"/>
  <c r="EG34" i="5"/>
  <c r="GY23" i="5"/>
  <c r="GY29" i="5"/>
  <c r="EG41" i="5"/>
  <c r="EG25" i="5"/>
  <c r="EG23" i="5"/>
  <c r="GY24" i="5"/>
  <c r="EG26" i="5"/>
  <c r="GY22" i="5"/>
  <c r="EG37" i="5"/>
  <c r="EG24" i="5"/>
  <c r="EG32" i="5"/>
  <c r="GY26" i="5"/>
  <c r="EG50" i="5"/>
  <c r="GY30" i="5"/>
  <c r="EG55" i="5"/>
  <c r="GY14" i="5"/>
  <c r="EG19" i="5"/>
  <c r="EG20" i="5"/>
  <c r="EG28" i="5"/>
  <c r="GY31" i="5"/>
  <c r="GY25" i="5"/>
  <c r="EG17" i="5"/>
  <c r="EG16" i="5"/>
  <c r="EG15" i="5"/>
  <c r="HS28" i="5"/>
  <c r="HS23" i="5"/>
  <c r="HS26" i="5"/>
  <c r="FA23" i="5"/>
  <c r="FA44" i="5"/>
  <c r="FA31" i="5"/>
  <c r="HS22" i="5"/>
  <c r="FA22" i="5"/>
  <c r="HS45" i="5"/>
  <c r="FA40" i="5"/>
  <c r="FA54" i="5"/>
  <c r="HS27" i="5"/>
  <c r="FA51" i="5"/>
  <c r="FA25" i="5"/>
  <c r="HS43" i="5"/>
  <c r="HS38" i="5"/>
  <c r="HS42" i="5"/>
  <c r="HS18" i="5"/>
  <c r="FA43" i="5"/>
  <c r="FA28" i="5"/>
  <c r="HS10" i="5"/>
  <c r="HS44" i="5"/>
  <c r="FA53" i="5"/>
  <c r="HS20" i="5"/>
  <c r="FA26" i="5"/>
  <c r="FA30" i="5"/>
  <c r="HS21" i="5"/>
  <c r="FA24" i="5"/>
  <c r="HS39" i="5"/>
  <c r="HS33" i="5"/>
  <c r="FA42" i="5"/>
  <c r="FA27" i="5"/>
  <c r="FA52" i="5"/>
  <c r="HS36" i="5"/>
  <c r="HS41" i="5"/>
  <c r="HS31" i="5"/>
  <c r="HS37" i="5"/>
  <c r="HS46" i="5"/>
  <c r="FA41" i="5"/>
  <c r="HS24" i="5"/>
  <c r="HS30" i="5"/>
  <c r="HS14" i="5"/>
  <c r="FA47" i="5"/>
  <c r="FA21" i="5"/>
  <c r="HS15" i="5"/>
  <c r="HS16" i="5"/>
  <c r="FA49" i="5"/>
  <c r="HS34" i="5"/>
  <c r="FA32" i="5"/>
  <c r="HS9" i="5"/>
  <c r="FA38" i="5"/>
  <c r="HS29" i="5"/>
  <c r="FA37" i="5"/>
  <c r="FA33" i="5"/>
  <c r="FA20" i="5"/>
  <c r="FA34" i="5"/>
  <c r="FA36" i="5"/>
  <c r="FA29" i="5"/>
  <c r="HS19" i="5"/>
  <c r="HS12" i="5"/>
  <c r="FA48" i="5"/>
  <c r="HS17" i="5"/>
  <c r="FA46" i="5"/>
  <c r="HS13" i="5"/>
  <c r="FA56" i="5"/>
  <c r="HS35" i="5"/>
  <c r="FA55" i="5"/>
  <c r="FA39" i="5"/>
  <c r="HS11" i="5"/>
  <c r="HS40" i="5"/>
  <c r="FA50" i="5"/>
  <c r="HS32" i="5"/>
  <c r="FA35" i="5"/>
  <c r="HS25" i="5"/>
  <c r="FA19" i="5"/>
  <c r="FA18" i="5"/>
  <c r="FA45" i="5"/>
  <c r="FA17" i="5"/>
  <c r="FA16" i="5"/>
  <c r="HQ46" i="5"/>
  <c r="HQ35" i="5"/>
  <c r="EY49" i="5"/>
  <c r="EY30" i="5"/>
  <c r="HQ42" i="5"/>
  <c r="EY56" i="5"/>
  <c r="EY21" i="5"/>
  <c r="EY29" i="5"/>
  <c r="HQ28" i="5"/>
  <c r="HQ39" i="5"/>
  <c r="HQ20" i="5"/>
  <c r="EY34" i="5"/>
  <c r="HQ18" i="5"/>
  <c r="HQ40" i="5"/>
  <c r="HQ13" i="5"/>
  <c r="EY33" i="5"/>
  <c r="EY24" i="5"/>
  <c r="EY44" i="5"/>
  <c r="HQ12" i="5"/>
  <c r="EY32" i="5"/>
  <c r="HQ9" i="5"/>
  <c r="HQ26" i="5"/>
  <c r="HQ17" i="5"/>
  <c r="HQ10" i="5"/>
  <c r="EY53" i="5"/>
  <c r="HQ16" i="5"/>
  <c r="EY37" i="5"/>
  <c r="EY39" i="5"/>
  <c r="EY26" i="5"/>
  <c r="HQ19" i="5"/>
  <c r="EY48" i="5"/>
  <c r="EY51" i="5"/>
  <c r="HQ43" i="5"/>
  <c r="EY47" i="5"/>
  <c r="EY38" i="5"/>
  <c r="EY28" i="5"/>
  <c r="HQ38" i="5"/>
  <c r="EY23" i="5"/>
  <c r="HQ37" i="5"/>
  <c r="HQ21" i="5"/>
  <c r="EY42" i="5"/>
  <c r="EY31" i="5"/>
  <c r="HQ32" i="5"/>
  <c r="EY19" i="5"/>
  <c r="EY20" i="5"/>
  <c r="HQ27" i="5"/>
  <c r="HQ30" i="5"/>
  <c r="HQ11" i="5"/>
  <c r="EY35" i="5"/>
  <c r="EY40" i="5"/>
  <c r="HQ45" i="5"/>
  <c r="EY41" i="5"/>
  <c r="EY43" i="5"/>
  <c r="HQ34" i="5"/>
  <c r="HQ22" i="5"/>
  <c r="HQ41" i="5"/>
  <c r="HQ36" i="5"/>
  <c r="HQ23" i="5"/>
  <c r="HQ31" i="5"/>
  <c r="HQ25" i="5"/>
  <c r="EY36" i="5"/>
  <c r="HQ33" i="5"/>
  <c r="EY46" i="5"/>
  <c r="EY22" i="5"/>
  <c r="EY55" i="5"/>
  <c r="EY18" i="5"/>
  <c r="HQ15" i="5"/>
  <c r="EY45" i="5"/>
  <c r="EY27" i="5"/>
  <c r="HQ29" i="5"/>
  <c r="EY25" i="5"/>
  <c r="HQ44" i="5"/>
  <c r="EY50" i="5"/>
  <c r="HQ24" i="5"/>
  <c r="EY54" i="5"/>
  <c r="HQ14" i="5"/>
  <c r="EY52" i="5"/>
  <c r="EY17" i="5"/>
  <c r="EY16" i="5"/>
  <c r="EY15" i="5"/>
  <c r="AM14" i="2"/>
  <c r="AL14" i="2"/>
  <c r="EX13" i="5"/>
  <c r="HC36" i="5"/>
  <c r="EK37" i="5"/>
  <c r="HC14" i="5"/>
  <c r="EK54" i="5"/>
  <c r="HC18" i="5"/>
  <c r="EK35" i="5"/>
  <c r="EK32" i="5"/>
  <c r="HC11" i="5"/>
  <c r="HC34" i="5"/>
  <c r="EK38" i="5"/>
  <c r="EK44" i="5"/>
  <c r="EK47" i="5"/>
  <c r="EK23" i="5"/>
  <c r="EK28" i="5"/>
  <c r="EK26" i="5"/>
  <c r="HC26" i="5"/>
  <c r="HC23" i="5"/>
  <c r="HC12" i="5"/>
  <c r="HC32" i="5"/>
  <c r="EK41" i="5"/>
  <c r="EK24" i="5"/>
  <c r="HC35" i="5"/>
  <c r="EK50" i="5"/>
  <c r="EK43" i="5"/>
  <c r="EK27" i="5"/>
  <c r="HC30" i="5"/>
  <c r="EK48" i="5"/>
  <c r="HC21" i="5"/>
  <c r="EK34" i="5"/>
  <c r="EK51" i="5"/>
  <c r="HC24" i="5"/>
  <c r="HC17" i="5"/>
  <c r="HC25" i="5"/>
  <c r="EK18" i="5"/>
  <c r="EK39" i="5"/>
  <c r="HC33" i="5"/>
  <c r="EK40" i="5"/>
  <c r="EK21" i="5"/>
  <c r="HC31" i="5"/>
  <c r="EK31" i="5"/>
  <c r="EK45" i="5"/>
  <c r="EK46" i="5"/>
  <c r="EK53" i="5"/>
  <c r="EK42" i="5"/>
  <c r="EK33" i="5"/>
  <c r="EK25" i="5"/>
  <c r="HC16" i="5"/>
  <c r="EK22" i="5"/>
  <c r="EK20" i="5"/>
  <c r="EK55" i="5"/>
  <c r="EK36" i="5"/>
  <c r="HC28" i="5"/>
  <c r="EK49" i="5"/>
  <c r="EK29" i="5"/>
  <c r="HC15" i="5"/>
  <c r="HC27" i="5"/>
  <c r="EK52" i="5"/>
  <c r="EK56" i="5"/>
  <c r="HC19" i="5"/>
  <c r="EK19" i="5"/>
  <c r="HC22" i="5"/>
  <c r="HC9" i="5"/>
  <c r="EK30" i="5"/>
  <c r="HC10" i="5"/>
  <c r="HC29" i="5"/>
  <c r="HC20" i="5"/>
  <c r="HC13" i="5"/>
  <c r="EK17" i="5"/>
  <c r="EK16" i="5"/>
  <c r="EK15" i="5"/>
  <c r="EZ31" i="5"/>
  <c r="EZ26" i="5"/>
  <c r="EZ55" i="5"/>
  <c r="HR17" i="5"/>
  <c r="HR24" i="5"/>
  <c r="HR15" i="5"/>
  <c r="EZ48" i="5"/>
  <c r="EZ39" i="5"/>
  <c r="EZ29" i="5"/>
  <c r="HR10" i="5"/>
  <c r="HR9" i="5"/>
  <c r="HR31" i="5"/>
  <c r="HR14" i="5"/>
  <c r="HR23" i="5"/>
  <c r="HR16" i="5"/>
  <c r="EZ23" i="5"/>
  <c r="EZ20" i="5"/>
  <c r="EZ30" i="5"/>
  <c r="HR29" i="5"/>
  <c r="EZ44" i="5"/>
  <c r="HR11" i="5"/>
  <c r="HR34" i="5"/>
  <c r="EZ38" i="5"/>
  <c r="EZ21" i="5"/>
  <c r="EZ46" i="5"/>
  <c r="EZ36" i="5"/>
  <c r="EZ45" i="5"/>
  <c r="EZ19" i="5"/>
  <c r="HR38" i="5"/>
  <c r="HR25" i="5"/>
  <c r="HR45" i="5"/>
  <c r="HR39" i="5"/>
  <c r="EZ33" i="5"/>
  <c r="HR36" i="5"/>
  <c r="HR44" i="5"/>
  <c r="EZ41" i="5"/>
  <c r="EZ22" i="5"/>
  <c r="HR19" i="5"/>
  <c r="EZ32" i="5"/>
  <c r="EZ47" i="5"/>
  <c r="EZ18" i="5"/>
  <c r="HR13" i="5"/>
  <c r="HR42" i="5"/>
  <c r="EZ51" i="5"/>
  <c r="EZ52" i="5"/>
  <c r="EZ53" i="5"/>
  <c r="HR26" i="5"/>
  <c r="HR12" i="5"/>
  <c r="HR28" i="5"/>
  <c r="HR40" i="5"/>
  <c r="EZ42" i="5"/>
  <c r="HR37" i="5"/>
  <c r="HR41" i="5"/>
  <c r="EZ56" i="5"/>
  <c r="HR46" i="5"/>
  <c r="EZ40" i="5"/>
  <c r="EZ28" i="5"/>
  <c r="EZ50" i="5"/>
  <c r="HR35" i="5"/>
  <c r="EZ54" i="5"/>
  <c r="HR30" i="5"/>
  <c r="HR33" i="5"/>
  <c r="HR20" i="5"/>
  <c r="EZ49" i="5"/>
  <c r="HR22" i="5"/>
  <c r="EZ34" i="5"/>
  <c r="EZ25" i="5"/>
  <c r="EZ24" i="5"/>
  <c r="HR18" i="5"/>
  <c r="HR43" i="5"/>
  <c r="EZ27" i="5"/>
  <c r="HR21" i="5"/>
  <c r="EZ37" i="5"/>
  <c r="HR27" i="5"/>
  <c r="EZ35" i="5"/>
  <c r="EZ43" i="5"/>
  <c r="HR32" i="5"/>
  <c r="EZ17" i="5"/>
  <c r="EZ16" i="5"/>
  <c r="EZ15" i="5"/>
  <c r="FG40" i="5"/>
  <c r="HY41" i="5"/>
  <c r="FG33" i="5"/>
  <c r="FG23" i="5"/>
  <c r="HY10" i="5"/>
  <c r="FG52" i="5"/>
  <c r="HY21" i="5"/>
  <c r="FG50" i="5"/>
  <c r="FG44" i="5"/>
  <c r="FG39" i="5"/>
  <c r="FG34" i="5"/>
  <c r="FG43" i="5"/>
  <c r="HY34" i="5"/>
  <c r="HY23" i="5"/>
  <c r="FG53" i="5"/>
  <c r="HY25" i="5"/>
  <c r="HY11" i="5"/>
  <c r="HY39" i="5"/>
  <c r="FG49" i="5"/>
  <c r="FG29" i="5"/>
  <c r="FG36" i="5"/>
  <c r="HY9" i="5"/>
  <c r="FG47" i="5"/>
  <c r="FG32" i="5"/>
  <c r="HY38" i="5"/>
  <c r="FG56" i="5"/>
  <c r="HY45" i="5"/>
  <c r="HY24" i="5"/>
  <c r="HY20" i="5"/>
  <c r="FG30" i="5"/>
  <c r="FG20" i="5"/>
  <c r="FG28" i="5"/>
  <c r="HY19" i="5"/>
  <c r="HY31" i="5"/>
  <c r="HY35" i="5"/>
  <c r="FG27" i="5"/>
  <c r="FG48" i="5"/>
  <c r="FG35" i="5"/>
  <c r="FG22" i="5"/>
  <c r="HY37" i="5"/>
  <c r="FG21" i="5"/>
  <c r="HY16" i="5"/>
  <c r="FG26" i="5"/>
  <c r="HY27" i="5"/>
  <c r="FG54" i="5"/>
  <c r="FG51" i="5"/>
  <c r="HY43" i="5"/>
  <c r="FG25" i="5"/>
  <c r="HY26" i="5"/>
  <c r="HY18" i="5"/>
  <c r="FG55" i="5"/>
  <c r="HY30" i="5"/>
  <c r="HY22" i="5"/>
  <c r="HY28" i="5"/>
  <c r="FG42" i="5"/>
  <c r="HY15" i="5"/>
  <c r="HY17" i="5"/>
  <c r="HY46" i="5"/>
  <c r="HY32" i="5"/>
  <c r="FG41" i="5"/>
  <c r="FG46" i="5"/>
  <c r="HY36" i="5"/>
  <c r="FG37" i="5"/>
  <c r="HY44" i="5"/>
  <c r="HY14" i="5"/>
  <c r="HY33" i="5"/>
  <c r="HY42" i="5"/>
  <c r="FG31" i="5"/>
  <c r="HY12" i="5"/>
  <c r="HY29" i="5"/>
  <c r="FG24" i="5"/>
  <c r="FG38" i="5"/>
  <c r="HY40" i="5"/>
  <c r="HY13" i="5"/>
  <c r="FG45" i="5"/>
  <c r="FK45" i="5"/>
  <c r="FK50" i="5"/>
  <c r="FK41" i="5"/>
  <c r="FK35" i="5"/>
  <c r="IC12" i="5"/>
  <c r="IC31" i="5"/>
  <c r="IC17" i="5"/>
  <c r="FK43" i="5"/>
  <c r="FK28" i="5"/>
  <c r="FK42" i="5"/>
  <c r="FK49" i="5"/>
  <c r="IC32" i="5"/>
  <c r="IC22" i="5"/>
  <c r="IC36" i="5"/>
  <c r="IC26" i="5"/>
  <c r="FK48" i="5"/>
  <c r="IC37" i="5"/>
  <c r="IC35" i="5"/>
  <c r="IC38" i="5"/>
  <c r="FK53" i="5"/>
  <c r="IC11" i="5"/>
  <c r="IC34" i="5"/>
  <c r="FK31" i="5"/>
  <c r="IC33" i="5"/>
  <c r="FK30" i="5"/>
  <c r="IC45" i="5"/>
  <c r="FK40" i="5"/>
  <c r="FK51" i="5"/>
  <c r="FK36" i="5"/>
  <c r="IC18" i="5"/>
  <c r="IC23" i="5"/>
  <c r="IC29" i="5"/>
  <c r="FK44" i="5"/>
  <c r="FK37" i="5"/>
  <c r="IC20" i="5"/>
  <c r="IC13" i="5"/>
  <c r="FK27" i="5"/>
  <c r="FK56" i="5"/>
  <c r="FK54" i="5"/>
  <c r="IC16" i="5"/>
  <c r="FK33" i="5"/>
  <c r="IC15" i="5"/>
  <c r="FK47" i="5"/>
  <c r="IC43" i="5"/>
  <c r="IC30" i="5"/>
  <c r="FK52" i="5"/>
  <c r="FK39" i="5"/>
  <c r="FK26" i="5"/>
  <c r="IC21" i="5"/>
  <c r="FK34" i="5"/>
  <c r="IC39" i="5"/>
  <c r="IC27" i="5"/>
  <c r="IC28" i="5"/>
  <c r="FK25" i="5"/>
  <c r="FK38" i="5"/>
  <c r="IC42" i="5"/>
  <c r="IC24" i="5"/>
  <c r="FK55" i="5"/>
  <c r="FK29" i="5"/>
  <c r="IC19" i="5"/>
  <c r="IC10" i="5"/>
  <c r="IC40" i="5"/>
  <c r="IC41" i="5"/>
  <c r="FK46" i="5"/>
  <c r="IC25" i="5"/>
  <c r="FK24" i="5"/>
  <c r="FK32" i="5"/>
  <c r="IC9" i="5"/>
  <c r="IC14" i="5"/>
  <c r="IC44" i="5"/>
  <c r="FB37" i="5"/>
  <c r="HT22" i="5"/>
  <c r="HT20" i="5"/>
  <c r="HT40" i="5"/>
  <c r="HT43" i="5"/>
  <c r="HT42" i="5"/>
  <c r="HT25" i="5"/>
  <c r="FB29" i="5"/>
  <c r="FB34" i="5"/>
  <c r="HT12" i="5"/>
  <c r="HT21" i="5"/>
  <c r="FB41" i="5"/>
  <c r="FB27" i="5"/>
  <c r="HT32" i="5"/>
  <c r="FB33" i="5"/>
  <c r="HT37" i="5"/>
  <c r="HT19" i="5"/>
  <c r="HT14" i="5"/>
  <c r="HT15" i="5"/>
  <c r="FB45" i="5"/>
  <c r="HT16" i="5"/>
  <c r="FB52" i="5"/>
  <c r="FB56" i="5"/>
  <c r="HT33" i="5"/>
  <c r="FB22" i="5"/>
  <c r="FB20" i="5"/>
  <c r="FB26" i="5"/>
  <c r="HT27" i="5"/>
  <c r="HT10" i="5"/>
  <c r="FB40" i="5"/>
  <c r="HT28" i="5"/>
  <c r="FB19" i="5"/>
  <c r="FB30" i="5"/>
  <c r="FB25" i="5"/>
  <c r="HT38" i="5"/>
  <c r="HT45" i="5"/>
  <c r="HT23" i="5"/>
  <c r="FB18" i="5"/>
  <c r="HT30" i="5"/>
  <c r="HT29" i="5"/>
  <c r="FB53" i="5"/>
  <c r="FB54" i="5"/>
  <c r="HT36" i="5"/>
  <c r="FB50" i="5"/>
  <c r="FB55" i="5"/>
  <c r="HT34" i="5"/>
  <c r="FB36" i="5"/>
  <c r="FB39" i="5"/>
  <c r="HT41" i="5"/>
  <c r="FB42" i="5"/>
  <c r="FB46" i="5"/>
  <c r="HT13" i="5"/>
  <c r="HT24" i="5"/>
  <c r="FB21" i="5"/>
  <c r="HT9" i="5"/>
  <c r="HT46" i="5"/>
  <c r="HT18" i="5"/>
  <c r="FB23" i="5"/>
  <c r="FB48" i="5"/>
  <c r="FB35" i="5"/>
  <c r="FB44" i="5"/>
  <c r="HT31" i="5"/>
  <c r="HT39" i="5"/>
  <c r="FB32" i="5"/>
  <c r="FB49" i="5"/>
  <c r="FB28" i="5"/>
  <c r="FB51" i="5"/>
  <c r="HT26" i="5"/>
  <c r="HT44" i="5"/>
  <c r="FB31" i="5"/>
  <c r="HT11" i="5"/>
  <c r="FB38" i="5"/>
  <c r="FB43" i="5"/>
  <c r="FB24" i="5"/>
  <c r="FB47" i="5"/>
  <c r="HT35" i="5"/>
  <c r="HT17" i="5"/>
  <c r="FB17" i="5"/>
  <c r="EN14" i="5"/>
  <c r="HG40" i="5"/>
  <c r="EO34" i="5"/>
  <c r="EO24" i="5"/>
  <c r="EO56" i="5"/>
  <c r="EO33" i="5"/>
  <c r="HG32" i="5"/>
  <c r="EO39" i="5"/>
  <c r="EO22" i="5"/>
  <c r="EO40" i="5"/>
  <c r="EO20" i="5"/>
  <c r="HG20" i="5"/>
  <c r="HG30" i="5"/>
  <c r="HG33" i="5"/>
  <c r="HG36" i="5"/>
  <c r="HG13" i="5"/>
  <c r="HG10" i="5"/>
  <c r="HG35" i="5"/>
  <c r="HG12" i="5"/>
  <c r="EO18" i="5"/>
  <c r="EO26" i="5"/>
  <c r="EO23" i="5"/>
  <c r="EO36" i="5"/>
  <c r="EO42" i="5"/>
  <c r="HG28" i="5"/>
  <c r="EO53" i="5"/>
  <c r="HG21" i="5"/>
  <c r="HG27" i="5"/>
  <c r="HG37" i="5"/>
  <c r="HG19" i="5"/>
  <c r="EO41" i="5"/>
  <c r="HG29" i="5"/>
  <c r="EO55" i="5"/>
  <c r="HG24" i="5"/>
  <c r="HG22" i="5"/>
  <c r="HG17" i="5"/>
  <c r="HG16" i="5"/>
  <c r="EO48" i="5"/>
  <c r="EO37" i="5"/>
  <c r="HG9" i="5"/>
  <c r="HG15" i="5"/>
  <c r="EO38" i="5"/>
  <c r="EO43" i="5"/>
  <c r="EO54" i="5"/>
  <c r="EO44" i="5"/>
  <c r="HG23" i="5"/>
  <c r="EO25" i="5"/>
  <c r="EO51" i="5"/>
  <c r="EO21" i="5"/>
  <c r="EO30" i="5"/>
  <c r="HG18" i="5"/>
  <c r="EO45" i="5"/>
  <c r="EO28" i="5"/>
  <c r="EO19" i="5"/>
  <c r="EO27" i="5"/>
  <c r="EO50" i="5"/>
  <c r="EO32" i="5"/>
  <c r="EO47" i="5"/>
  <c r="EO31" i="5"/>
  <c r="EO35" i="5"/>
  <c r="EO49" i="5"/>
  <c r="EO46" i="5"/>
  <c r="HG38" i="5"/>
  <c r="HG31" i="5"/>
  <c r="HG14" i="5"/>
  <c r="HG34" i="5"/>
  <c r="HG11" i="5"/>
  <c r="HG25" i="5"/>
  <c r="EO52" i="5"/>
  <c r="HG39" i="5"/>
  <c r="HG26" i="5"/>
  <c r="EO29" i="5"/>
  <c r="EO17" i="5"/>
  <c r="EO16" i="5"/>
  <c r="EO15" i="5"/>
  <c r="GW31" i="5"/>
  <c r="GW25" i="5"/>
  <c r="EE56" i="5"/>
  <c r="GW20" i="5"/>
  <c r="EE43" i="5"/>
  <c r="EE55" i="5"/>
  <c r="EE28" i="5"/>
  <c r="GW19" i="5"/>
  <c r="GW18" i="5"/>
  <c r="EE19" i="5"/>
  <c r="GW29" i="5"/>
  <c r="EE20" i="5"/>
  <c r="GW26" i="5"/>
  <c r="EE30" i="5"/>
  <c r="GW11" i="5"/>
  <c r="EE46" i="5"/>
  <c r="EE21" i="5"/>
  <c r="EE51" i="5"/>
  <c r="EE32" i="5"/>
  <c r="EE25" i="5"/>
  <c r="GW22" i="5"/>
  <c r="GW21" i="5"/>
  <c r="GW24" i="5"/>
  <c r="GW15" i="5"/>
  <c r="EE40" i="5"/>
  <c r="GW16" i="5"/>
  <c r="GW10" i="5"/>
  <c r="GW17" i="5"/>
  <c r="EE39" i="5"/>
  <c r="GW23" i="5"/>
  <c r="EE23" i="5"/>
  <c r="EE27" i="5"/>
  <c r="EE41" i="5"/>
  <c r="EE24" i="5"/>
  <c r="GW9" i="5"/>
  <c r="EE38" i="5"/>
  <c r="EE44" i="5"/>
  <c r="GW12" i="5"/>
  <c r="EE22" i="5"/>
  <c r="GW30" i="5"/>
  <c r="EE54" i="5"/>
  <c r="EE37" i="5"/>
  <c r="EE45" i="5"/>
  <c r="EE52" i="5"/>
  <c r="EE35" i="5"/>
  <c r="EE33" i="5"/>
  <c r="GW28" i="5"/>
  <c r="EE31" i="5"/>
  <c r="EE36" i="5"/>
  <c r="EE29" i="5"/>
  <c r="EE26" i="5"/>
  <c r="GW27" i="5"/>
  <c r="EE53" i="5"/>
  <c r="GW14" i="5"/>
  <c r="EE48" i="5"/>
  <c r="EE18" i="5"/>
  <c r="EE47" i="5"/>
  <c r="EE42" i="5"/>
  <c r="EE34" i="5"/>
  <c r="GW13" i="5"/>
  <c r="EE49" i="5"/>
  <c r="EE50" i="5"/>
  <c r="EE17" i="5"/>
  <c r="EE16" i="5"/>
  <c r="EE15" i="5"/>
  <c r="BO16" i="5"/>
  <c r="BM16" i="5"/>
  <c r="EG14" i="5"/>
  <c r="EY14" i="5"/>
  <c r="BY15" i="5"/>
  <c r="BZ15" i="5" s="1"/>
  <c r="CA15" i="5" s="1"/>
  <c r="CB15" i="5" s="1"/>
  <c r="BK15" i="5"/>
  <c r="BL15" i="5" s="1"/>
  <c r="BR15" i="5"/>
  <c r="BS15" i="5" s="1"/>
  <c r="GT31" i="5"/>
  <c r="GT30" i="5"/>
  <c r="EB19" i="5"/>
  <c r="IH14" i="5"/>
  <c r="II14" i="5"/>
  <c r="AK13" i="5"/>
  <c r="AJ13" i="5"/>
  <c r="M12" i="5"/>
  <c r="DM12" i="5"/>
  <c r="CW12" i="5"/>
  <c r="DL12" i="5"/>
  <c r="CV12" i="5"/>
  <c r="CY12" i="5"/>
  <c r="DN12" i="5"/>
  <c r="CX12" i="5"/>
  <c r="DC12" i="5"/>
  <c r="IJ12" i="5"/>
  <c r="IK12" i="5" s="1"/>
  <c r="CL12" i="5"/>
  <c r="CM12" i="5" s="1"/>
  <c r="DI12" i="5"/>
  <c r="DH12" i="5"/>
  <c r="DK12" i="5"/>
  <c r="DJ12" i="5"/>
  <c r="CZ12" i="5"/>
  <c r="L11" i="5"/>
  <c r="DE12" i="5"/>
  <c r="DD12" i="5"/>
  <c r="DG12" i="5"/>
  <c r="DF12" i="5"/>
  <c r="DA12" i="5"/>
  <c r="DB12" i="5"/>
  <c r="AI12" i="5"/>
  <c r="BU12" i="5"/>
  <c r="EC13" i="5"/>
  <c r="GT29" i="5"/>
  <c r="GT17" i="5"/>
  <c r="EB42" i="5"/>
  <c r="GT16" i="5"/>
  <c r="EB39" i="5"/>
  <c r="EB23" i="5"/>
  <c r="GT21" i="5"/>
  <c r="EB18" i="5"/>
  <c r="EB25" i="5"/>
  <c r="EB30" i="5"/>
  <c r="GT11" i="5"/>
  <c r="EB28" i="5"/>
  <c r="EB26" i="5"/>
  <c r="GT10" i="5"/>
  <c r="GT28" i="5"/>
  <c r="EB35" i="5"/>
  <c r="GT27" i="5"/>
  <c r="GT12" i="5"/>
  <c r="GT25" i="5"/>
  <c r="EB31" i="5"/>
  <c r="EB45" i="5"/>
  <c r="EB44" i="5"/>
  <c r="EB40" i="5"/>
  <c r="EB36" i="5"/>
  <c r="EB49" i="5"/>
  <c r="EB51" i="5"/>
  <c r="EB50" i="5"/>
  <c r="GT9" i="5"/>
  <c r="EB56" i="5"/>
  <c r="GT18" i="5"/>
  <c r="EB34" i="5"/>
  <c r="GT15" i="5"/>
  <c r="EB38" i="5"/>
  <c r="EB21" i="5"/>
  <c r="GT23" i="5"/>
  <c r="EB41" i="5"/>
  <c r="GT26" i="5"/>
  <c r="EB32" i="5"/>
  <c r="GT24" i="5"/>
  <c r="EB27" i="5"/>
  <c r="EB54" i="5"/>
  <c r="GT13" i="5"/>
  <c r="GT22" i="5"/>
  <c r="GT19" i="5"/>
  <c r="EB53" i="5"/>
  <c r="EB52" i="5"/>
  <c r="EB29" i="5"/>
  <c r="EB47" i="5"/>
  <c r="EB46" i="5"/>
  <c r="EB43" i="5"/>
  <c r="GT20" i="5"/>
  <c r="EB33" i="5"/>
  <c r="EB22" i="5"/>
  <c r="EB20" i="5"/>
  <c r="EB24" i="5"/>
  <c r="EB37" i="5"/>
  <c r="EB48" i="5"/>
  <c r="EB55" i="5"/>
  <c r="GT14" i="5"/>
  <c r="EB17" i="5"/>
  <c r="EB16" i="5"/>
  <c r="EB15" i="5"/>
  <c r="HH41" i="5"/>
  <c r="HH31" i="5"/>
  <c r="HH30" i="5"/>
  <c r="EP46" i="5"/>
  <c r="HH36" i="5"/>
  <c r="EP30" i="5"/>
  <c r="EP49" i="5"/>
  <c r="HH9" i="5"/>
  <c r="HH17" i="5"/>
  <c r="EP33" i="5"/>
  <c r="EP55" i="5"/>
  <c r="HH24" i="5"/>
  <c r="EP25" i="5"/>
  <c r="HH19" i="5"/>
  <c r="HH28" i="5"/>
  <c r="EP41" i="5"/>
  <c r="EP44" i="5"/>
  <c r="HH23" i="5"/>
  <c r="EP21" i="5"/>
  <c r="EP52" i="5"/>
  <c r="EP56" i="5"/>
  <c r="HH25" i="5"/>
  <c r="HH32" i="5"/>
  <c r="EP34" i="5"/>
  <c r="EP32" i="5"/>
  <c r="EP36" i="5"/>
  <c r="HH34" i="5"/>
  <c r="EP47" i="5"/>
  <c r="HH16" i="5"/>
  <c r="HH39" i="5"/>
  <c r="HH15" i="5"/>
  <c r="EP42" i="5"/>
  <c r="HH21" i="5"/>
  <c r="EP48" i="5"/>
  <c r="EP28" i="5"/>
  <c r="HH40" i="5"/>
  <c r="EP26" i="5"/>
  <c r="HH12" i="5"/>
  <c r="HH10" i="5"/>
  <c r="EP29" i="5"/>
  <c r="EP18" i="5"/>
  <c r="HH35" i="5"/>
  <c r="HH26" i="5"/>
  <c r="EP31" i="5"/>
  <c r="EP39" i="5"/>
  <c r="HH37" i="5"/>
  <c r="EP23" i="5"/>
  <c r="EP43" i="5"/>
  <c r="EP54" i="5"/>
  <c r="EP45" i="5"/>
  <c r="HH20" i="5"/>
  <c r="HH38" i="5"/>
  <c r="EP50" i="5"/>
  <c r="HH11" i="5"/>
  <c r="EP22" i="5"/>
  <c r="EP40" i="5"/>
  <c r="HH13" i="5"/>
  <c r="EP38" i="5"/>
  <c r="HH29" i="5"/>
  <c r="HH22" i="5"/>
  <c r="EP20" i="5"/>
  <c r="EP51" i="5"/>
  <c r="EP35" i="5"/>
  <c r="EP24" i="5"/>
  <c r="HH18" i="5"/>
  <c r="EP37" i="5"/>
  <c r="EP53" i="5"/>
  <c r="EP19" i="5"/>
  <c r="HH27" i="5"/>
  <c r="EP27" i="5"/>
  <c r="HH14" i="5"/>
  <c r="HH33" i="5"/>
  <c r="EP17" i="5"/>
  <c r="EP16" i="5"/>
  <c r="EP15" i="5"/>
  <c r="GS28" i="5"/>
  <c r="EA55" i="5"/>
  <c r="EA23" i="5"/>
  <c r="EA47" i="5"/>
  <c r="GS25" i="5"/>
  <c r="EA18" i="5"/>
  <c r="EA20" i="5"/>
  <c r="GS16" i="5"/>
  <c r="GS14" i="5"/>
  <c r="GS18" i="5"/>
  <c r="EA43" i="5"/>
  <c r="EA25" i="5"/>
  <c r="EA50" i="5"/>
  <c r="EA35" i="5"/>
  <c r="EA53" i="5"/>
  <c r="EA40" i="5"/>
  <c r="EA29" i="5"/>
  <c r="GS9" i="5"/>
  <c r="EA45" i="5"/>
  <c r="EA41" i="5"/>
  <c r="GS13" i="5"/>
  <c r="EA32" i="5"/>
  <c r="GS27" i="5"/>
  <c r="EA38" i="5"/>
  <c r="EA37" i="5"/>
  <c r="GS26" i="5"/>
  <c r="EA52" i="5"/>
  <c r="EA28" i="5"/>
  <c r="GS23" i="5"/>
  <c r="EA21" i="5"/>
  <c r="EA56" i="5"/>
  <c r="EA26" i="5"/>
  <c r="GS20" i="5"/>
  <c r="EA42" i="5"/>
  <c r="EA48" i="5"/>
  <c r="GS21" i="5"/>
  <c r="EA27" i="5"/>
  <c r="EA54" i="5"/>
  <c r="EA34" i="5"/>
  <c r="GS10" i="5"/>
  <c r="EA31" i="5"/>
  <c r="EA22" i="5"/>
  <c r="EA36" i="5"/>
  <c r="EA30" i="5"/>
  <c r="EA49" i="5"/>
  <c r="EA33" i="5"/>
  <c r="EA44" i="5"/>
  <c r="EA51" i="5"/>
  <c r="GS22" i="5"/>
  <c r="GS12" i="5"/>
  <c r="GS17" i="5"/>
  <c r="GS24" i="5"/>
  <c r="EA39" i="5"/>
  <c r="EA24" i="5"/>
  <c r="GS15" i="5"/>
  <c r="EA46" i="5"/>
  <c r="GS19" i="5"/>
  <c r="GS11" i="5"/>
  <c r="EA17" i="5"/>
  <c r="EA16" i="5"/>
  <c r="EA15" i="5"/>
  <c r="GV31" i="5"/>
  <c r="GV26" i="5"/>
  <c r="GV12" i="5"/>
  <c r="ED28" i="5"/>
  <c r="ED50" i="5"/>
  <c r="GV19" i="5"/>
  <c r="ED52" i="5"/>
  <c r="ED49" i="5"/>
  <c r="GV14" i="5"/>
  <c r="ED43" i="5"/>
  <c r="ED48" i="5"/>
  <c r="GV30" i="5"/>
  <c r="ED53" i="5"/>
  <c r="ED39" i="5"/>
  <c r="GV17" i="5"/>
  <c r="ED19" i="5"/>
  <c r="GV13" i="5"/>
  <c r="ED38" i="5"/>
  <c r="GV10" i="5"/>
  <c r="GV27" i="5"/>
  <c r="GV11" i="5"/>
  <c r="ED31" i="5"/>
  <c r="ED30" i="5"/>
  <c r="ED22" i="5"/>
  <c r="ED40" i="5"/>
  <c r="ED29" i="5"/>
  <c r="ED36" i="5"/>
  <c r="ED54" i="5"/>
  <c r="GV25" i="5"/>
  <c r="GV21" i="5"/>
  <c r="ED41" i="5"/>
  <c r="ED23" i="5"/>
  <c r="GV29" i="5"/>
  <c r="ED47" i="5"/>
  <c r="ED46" i="5"/>
  <c r="GV16" i="5"/>
  <c r="ED45" i="5"/>
  <c r="GV23" i="5"/>
  <c r="ED35" i="5"/>
  <c r="ED56" i="5"/>
  <c r="GV15" i="5"/>
  <c r="ED27" i="5"/>
  <c r="GV22" i="5"/>
  <c r="GV28" i="5"/>
  <c r="ED20" i="5"/>
  <c r="ED18" i="5"/>
  <c r="ED26" i="5"/>
  <c r="ED55" i="5"/>
  <c r="ED34" i="5"/>
  <c r="GV20" i="5"/>
  <c r="ED25" i="5"/>
  <c r="ED21" i="5"/>
  <c r="ED51" i="5"/>
  <c r="ED42" i="5"/>
  <c r="ED37" i="5"/>
  <c r="ED44" i="5"/>
  <c r="ED33" i="5"/>
  <c r="GV24" i="5"/>
  <c r="ED32" i="5"/>
  <c r="GV9" i="5"/>
  <c r="GV18" i="5"/>
  <c r="ED24" i="5"/>
  <c r="ED17" i="5"/>
  <c r="ED16" i="5"/>
  <c r="ED15" i="5"/>
  <c r="BO16" i="2"/>
  <c r="BM16" i="2"/>
  <c r="AK13" i="2"/>
  <c r="AJ13" i="2"/>
  <c r="EQ13" i="2"/>
  <c r="IA46" i="5"/>
  <c r="IA37" i="5"/>
  <c r="FI45" i="5"/>
  <c r="FI28" i="5"/>
  <c r="IA23" i="5"/>
  <c r="FI34" i="5"/>
  <c r="FI48" i="5"/>
  <c r="IA14" i="5"/>
  <c r="FI25" i="5"/>
  <c r="IA19" i="5"/>
  <c r="FI30" i="5"/>
  <c r="IA10" i="5"/>
  <c r="IA20" i="5"/>
  <c r="FI35" i="5"/>
  <c r="IA27" i="5"/>
  <c r="IA32" i="5"/>
  <c r="FI56" i="5"/>
  <c r="FI55" i="5"/>
  <c r="FI46" i="5"/>
  <c r="FI36" i="5"/>
  <c r="IA31" i="5"/>
  <c r="IA43" i="5"/>
  <c r="FI43" i="5"/>
  <c r="IA9" i="5"/>
  <c r="FI33" i="5"/>
  <c r="IA42" i="5"/>
  <c r="FI23" i="5"/>
  <c r="FI40" i="5"/>
  <c r="FI22" i="5"/>
  <c r="FI38" i="5"/>
  <c r="IA41" i="5"/>
  <c r="IA16" i="5"/>
  <c r="IA28" i="5"/>
  <c r="IA38" i="5"/>
  <c r="FI32" i="5"/>
  <c r="IA35" i="5"/>
  <c r="IA17" i="5"/>
  <c r="IA40" i="5"/>
  <c r="IA44" i="5"/>
  <c r="FI44" i="5"/>
  <c r="IA13" i="5"/>
  <c r="IA39" i="5"/>
  <c r="IA30" i="5"/>
  <c r="IA25" i="5"/>
  <c r="IA24" i="5"/>
  <c r="FI24" i="5"/>
  <c r="FI54" i="5"/>
  <c r="IA26" i="5"/>
  <c r="IA36" i="5"/>
  <c r="FI47" i="5"/>
  <c r="FI42" i="5"/>
  <c r="FI29" i="5"/>
  <c r="FI37" i="5"/>
  <c r="IA21" i="5"/>
  <c r="IA33" i="5"/>
  <c r="IA45" i="5"/>
  <c r="IA34" i="5"/>
  <c r="IA29" i="5"/>
  <c r="FI41" i="5"/>
  <c r="FI31" i="5"/>
  <c r="FI26" i="5"/>
  <c r="IA15" i="5"/>
  <c r="IA12" i="5"/>
  <c r="FI51" i="5"/>
  <c r="FI53" i="5"/>
  <c r="IA18" i="5"/>
  <c r="FI50" i="5"/>
  <c r="FI27" i="5"/>
  <c r="FI39" i="5"/>
  <c r="IA22" i="5"/>
  <c r="FI52" i="5"/>
  <c r="IA11" i="5"/>
  <c r="FI49" i="5"/>
  <c r="HO46" i="5"/>
  <c r="HO44" i="5"/>
  <c r="HO38" i="5"/>
  <c r="EW43" i="5"/>
  <c r="HO24" i="5"/>
  <c r="HO19" i="5"/>
  <c r="HO11" i="5"/>
  <c r="EW50" i="5"/>
  <c r="HO45" i="5"/>
  <c r="HO9" i="5"/>
  <c r="EW21" i="5"/>
  <c r="EW34" i="5"/>
  <c r="EW55" i="5"/>
  <c r="EW54" i="5"/>
  <c r="HO16" i="5"/>
  <c r="HO14" i="5"/>
  <c r="HO29" i="5"/>
  <c r="HO30" i="5"/>
  <c r="EW28" i="5"/>
  <c r="EW20" i="5"/>
  <c r="HO33" i="5"/>
  <c r="EW56" i="5"/>
  <c r="HO40" i="5"/>
  <c r="EW19" i="5"/>
  <c r="EW51" i="5"/>
  <c r="EW37" i="5"/>
  <c r="EW52" i="5"/>
  <c r="HO36" i="5"/>
  <c r="HO17" i="5"/>
  <c r="EW32" i="5"/>
  <c r="EW25" i="5"/>
  <c r="HO37" i="5"/>
  <c r="EW44" i="5"/>
  <c r="HO39" i="5"/>
  <c r="HO21" i="5"/>
  <c r="HO18" i="5"/>
  <c r="HO15" i="5"/>
  <c r="EW41" i="5"/>
  <c r="HO27" i="5"/>
  <c r="EW23" i="5"/>
  <c r="EW33" i="5"/>
  <c r="EW38" i="5"/>
  <c r="HO43" i="5"/>
  <c r="EW29" i="5"/>
  <c r="HO31" i="5"/>
  <c r="EW48" i="5"/>
  <c r="EW49" i="5"/>
  <c r="EW22" i="5"/>
  <c r="EW53" i="5"/>
  <c r="EW30" i="5"/>
  <c r="EW46" i="5"/>
  <c r="EW42" i="5"/>
  <c r="HO10" i="5"/>
  <c r="HO23" i="5"/>
  <c r="HO26" i="5"/>
  <c r="HO13" i="5"/>
  <c r="HO12" i="5"/>
  <c r="EW35" i="5"/>
  <c r="EW31" i="5"/>
  <c r="HO20" i="5"/>
  <c r="EW24" i="5"/>
  <c r="HO32" i="5"/>
  <c r="HO42" i="5"/>
  <c r="EW40" i="5"/>
  <c r="HO28" i="5"/>
  <c r="EW27" i="5"/>
  <c r="HO41" i="5"/>
  <c r="EW45" i="5"/>
  <c r="EW18" i="5"/>
  <c r="EW26" i="5"/>
  <c r="HO34" i="5"/>
  <c r="HO35" i="5"/>
  <c r="HO22" i="5"/>
  <c r="EW36" i="5"/>
  <c r="HO25" i="5"/>
  <c r="EW47" i="5"/>
  <c r="EW39" i="5"/>
  <c r="EW17" i="5"/>
  <c r="EW16" i="5"/>
  <c r="EW15" i="5"/>
  <c r="FH42" i="5"/>
  <c r="FH47" i="5"/>
  <c r="FH39" i="5"/>
  <c r="HZ10" i="5"/>
  <c r="FH48" i="5"/>
  <c r="FH55" i="5"/>
  <c r="HZ46" i="5"/>
  <c r="HZ32" i="5"/>
  <c r="FH35" i="5"/>
  <c r="HZ28" i="5"/>
  <c r="FH36" i="5"/>
  <c r="HZ21" i="5"/>
  <c r="HZ14" i="5"/>
  <c r="HZ11" i="5"/>
  <c r="FH32" i="5"/>
  <c r="FH27" i="5"/>
  <c r="HZ16" i="5"/>
  <c r="HZ35" i="5"/>
  <c r="FH53" i="5"/>
  <c r="HZ19" i="5"/>
  <c r="FH37" i="5"/>
  <c r="HZ44" i="5"/>
  <c r="HZ15" i="5"/>
  <c r="FH29" i="5"/>
  <c r="FH40" i="5"/>
  <c r="FH56" i="5"/>
  <c r="HZ26" i="5"/>
  <c r="FH43" i="5"/>
  <c r="FH49" i="5"/>
  <c r="HZ13" i="5"/>
  <c r="HZ27" i="5"/>
  <c r="HZ34" i="5"/>
  <c r="FH33" i="5"/>
  <c r="FH28" i="5"/>
  <c r="FH23" i="5"/>
  <c r="HZ31" i="5"/>
  <c r="HZ24" i="5"/>
  <c r="HZ30" i="5"/>
  <c r="FH45" i="5"/>
  <c r="FH31" i="5"/>
  <c r="HZ29" i="5"/>
  <c r="HZ22" i="5"/>
  <c r="HZ41" i="5"/>
  <c r="HZ23" i="5"/>
  <c r="FH51" i="5"/>
  <c r="FH54" i="5"/>
  <c r="FH22" i="5"/>
  <c r="HZ18" i="5"/>
  <c r="FH21" i="5"/>
  <c r="HZ20" i="5"/>
  <c r="HZ40" i="5"/>
  <c r="FH46" i="5"/>
  <c r="FH50" i="5"/>
  <c r="FH34" i="5"/>
  <c r="HZ33" i="5"/>
  <c r="HZ9" i="5"/>
  <c r="HZ36" i="5"/>
  <c r="FH52" i="5"/>
  <c r="FH41" i="5"/>
  <c r="HZ42" i="5"/>
  <c r="HZ12" i="5"/>
  <c r="HZ25" i="5"/>
  <c r="FH26" i="5"/>
  <c r="FH24" i="5"/>
  <c r="FH38" i="5"/>
  <c r="HZ38" i="5"/>
  <c r="FH30" i="5"/>
  <c r="HZ39" i="5"/>
  <c r="FH25" i="5"/>
  <c r="HZ17" i="5"/>
  <c r="HZ43" i="5"/>
  <c r="HZ37" i="5"/>
  <c r="FH44" i="5"/>
  <c r="HI43" i="2"/>
  <c r="HI41" i="2"/>
  <c r="HI29" i="2"/>
  <c r="EQ26" i="2"/>
  <c r="HI21" i="2"/>
  <c r="HI15" i="2"/>
  <c r="HI9" i="2"/>
  <c r="EQ49" i="2"/>
  <c r="HI10" i="2"/>
  <c r="EQ50" i="2"/>
  <c r="EQ27" i="2"/>
  <c r="HI18" i="2"/>
  <c r="EQ47" i="2"/>
  <c r="EQ38" i="2"/>
  <c r="EQ36" i="2"/>
  <c r="EQ30" i="2"/>
  <c r="EQ48" i="2"/>
  <c r="HI35" i="2"/>
  <c r="EQ44" i="2"/>
  <c r="EQ51" i="2"/>
  <c r="EQ55" i="2"/>
  <c r="HI39" i="2"/>
  <c r="HI25" i="2"/>
  <c r="EQ53" i="2"/>
  <c r="EQ37" i="2"/>
  <c r="HI27" i="2"/>
  <c r="HI34" i="2"/>
  <c r="HI40" i="2"/>
  <c r="EQ40" i="2"/>
  <c r="HI12" i="2"/>
  <c r="HI14" i="2"/>
  <c r="HI31" i="2"/>
  <c r="EQ20" i="2"/>
  <c r="EQ28" i="2"/>
  <c r="HI38" i="2"/>
  <c r="EQ33" i="2"/>
  <c r="HI17" i="2"/>
  <c r="HI32" i="2"/>
  <c r="EQ24" i="2"/>
  <c r="EQ34" i="2"/>
  <c r="EQ32" i="2"/>
  <c r="EQ21" i="2"/>
  <c r="EQ43" i="2"/>
  <c r="HI19" i="2"/>
  <c r="HI42" i="2"/>
  <c r="HI33" i="2"/>
  <c r="EQ41" i="2"/>
  <c r="HI30" i="2"/>
  <c r="EQ52" i="2"/>
  <c r="HI16" i="2"/>
  <c r="EQ54" i="2"/>
  <c r="EQ39" i="2"/>
  <c r="EQ45" i="2"/>
  <c r="HI22" i="2"/>
  <c r="HI28" i="2"/>
  <c r="HI37" i="2"/>
  <c r="EQ23" i="2"/>
  <c r="EQ31" i="2"/>
  <c r="EQ42" i="2"/>
  <c r="HI24" i="2"/>
  <c r="EQ22" i="2"/>
  <c r="HI13" i="2"/>
  <c r="EQ56" i="2"/>
  <c r="EQ25" i="2"/>
  <c r="HI23" i="2"/>
  <c r="EQ35" i="2"/>
  <c r="HI36" i="2"/>
  <c r="EQ46" i="2"/>
  <c r="HI11" i="2"/>
  <c r="EQ29" i="2"/>
  <c r="EQ19" i="2"/>
  <c r="HI26" i="2"/>
  <c r="HI20" i="2"/>
  <c r="EQ18" i="2"/>
  <c r="EQ17" i="2"/>
  <c r="EQ16" i="2"/>
  <c r="EQ15" i="2"/>
  <c r="EL14" i="5"/>
  <c r="EO14" i="5"/>
  <c r="BY15" i="2"/>
  <c r="BZ15" i="2" s="1"/>
  <c r="CA15" i="2" s="1"/>
  <c r="CB15" i="2" s="1"/>
  <c r="BK15" i="2"/>
  <c r="BL15" i="2" s="1"/>
  <c r="BR15" i="2"/>
  <c r="BS15" i="2" s="1"/>
  <c r="EX14" i="5"/>
  <c r="EF12" i="2" l="1"/>
  <c r="EL12" i="2"/>
  <c r="IL12" i="2"/>
  <c r="IF12" i="2" s="1"/>
  <c r="IG12" i="2" s="1"/>
  <c r="IH12" i="2" s="1"/>
  <c r="EK12" i="2"/>
  <c r="CN12" i="2"/>
  <c r="CH12" i="2" s="1"/>
  <c r="CI12" i="2" s="1"/>
  <c r="EO12" i="2"/>
  <c r="ED12" i="2"/>
  <c r="EB12" i="2"/>
  <c r="EP12" i="2"/>
  <c r="EE12" i="2"/>
  <c r="EV12" i="2"/>
  <c r="IH13" i="2"/>
  <c r="EG12" i="5"/>
  <c r="EQ12" i="5"/>
  <c r="EB12" i="5"/>
  <c r="ER12" i="2"/>
  <c r="EN12" i="2"/>
  <c r="EW12" i="2"/>
  <c r="EU12" i="2"/>
  <c r="EH12" i="2"/>
  <c r="EK12" i="5"/>
  <c r="EW12" i="5"/>
  <c r="CN12" i="5"/>
  <c r="CH12" i="5" s="1"/>
  <c r="CI12" i="5" s="1"/>
  <c r="CK12" i="5" s="1"/>
  <c r="CK13" i="2"/>
  <c r="II13" i="5"/>
  <c r="BM15" i="2"/>
  <c r="BO15" i="2"/>
  <c r="BV15" i="2"/>
  <c r="BT15" i="2"/>
  <c r="AK12" i="5"/>
  <c r="AJ12" i="5"/>
  <c r="EN12" i="5"/>
  <c r="EE12" i="5"/>
  <c r="EP12" i="5"/>
  <c r="EC12" i="5"/>
  <c r="EU12" i="5"/>
  <c r="AL13" i="5"/>
  <c r="AM13" i="5"/>
  <c r="M11" i="2"/>
  <c r="CY11" i="2"/>
  <c r="CX11" i="2"/>
  <c r="DI11" i="2"/>
  <c r="DH11" i="2"/>
  <c r="L10" i="2"/>
  <c r="CZ11" i="2"/>
  <c r="IJ11" i="2"/>
  <c r="IK11" i="2" s="1"/>
  <c r="DK11" i="2"/>
  <c r="DJ11" i="2"/>
  <c r="DE11" i="2"/>
  <c r="DD11" i="2"/>
  <c r="CL11" i="2"/>
  <c r="CM11" i="2" s="1"/>
  <c r="DF11" i="2"/>
  <c r="DA11" i="2"/>
  <c r="AI11" i="2"/>
  <c r="DG11" i="2"/>
  <c r="DC11" i="2"/>
  <c r="DB11" i="2"/>
  <c r="DM11" i="2"/>
  <c r="EV11" i="2" s="1"/>
  <c r="CW11" i="2"/>
  <c r="EB11" i="2" s="1"/>
  <c r="DL11" i="2"/>
  <c r="CV11" i="2"/>
  <c r="BU11" i="2"/>
  <c r="CJ13" i="5"/>
  <c r="CK13" i="5"/>
  <c r="BV15" i="5"/>
  <c r="BT15" i="5"/>
  <c r="ER12" i="5"/>
  <c r="ED12" i="5"/>
  <c r="BO15" i="5"/>
  <c r="BM15" i="5"/>
  <c r="BY14" i="2"/>
  <c r="BZ14" i="2" s="1"/>
  <c r="CA14" i="2" s="1"/>
  <c r="CB14" i="2" s="1"/>
  <c r="BK14" i="2"/>
  <c r="BL14" i="2" s="1"/>
  <c r="BR14" i="2"/>
  <c r="BS14" i="2" s="1"/>
  <c r="BY14" i="5"/>
  <c r="BZ14" i="5" s="1"/>
  <c r="CA14" i="5" s="1"/>
  <c r="CB14" i="5" s="1"/>
  <c r="BR14" i="5"/>
  <c r="BS14" i="5" s="1"/>
  <c r="BK14" i="5"/>
  <c r="BL14" i="5" s="1"/>
  <c r="AL13" i="2"/>
  <c r="AM13" i="2"/>
  <c r="AN13" i="5"/>
  <c r="AO13" i="5"/>
  <c r="AN13" i="2"/>
  <c r="AO13" i="2"/>
  <c r="EF12" i="5"/>
  <c r="EL12" i="5"/>
  <c r="IL12" i="5"/>
  <c r="IF12" i="5" s="1"/>
  <c r="IG12" i="5" s="1"/>
  <c r="EV12" i="5"/>
  <c r="EM12" i="5"/>
  <c r="M11" i="5"/>
  <c r="DM11" i="5"/>
  <c r="CW11" i="5"/>
  <c r="DL11" i="5"/>
  <c r="CV11" i="5"/>
  <c r="CY11" i="5"/>
  <c r="CX11" i="5"/>
  <c r="DE11" i="5"/>
  <c r="DG11" i="5"/>
  <c r="DF11" i="5"/>
  <c r="CL11" i="5"/>
  <c r="CM11" i="5" s="1"/>
  <c r="IJ11" i="5"/>
  <c r="IK11" i="5" s="1"/>
  <c r="DI11" i="5"/>
  <c r="DH11" i="5"/>
  <c r="DK11" i="5"/>
  <c r="DJ11" i="5"/>
  <c r="DD11" i="5"/>
  <c r="L10" i="5"/>
  <c r="DA11" i="5"/>
  <c r="CZ11" i="5"/>
  <c r="DC11" i="5"/>
  <c r="DB11" i="5"/>
  <c r="AI11" i="5"/>
  <c r="BU11" i="5"/>
  <c r="EO12" i="5"/>
  <c r="EH12" i="5"/>
  <c r="EA12" i="5"/>
  <c r="AJ12" i="2"/>
  <c r="AK12" i="2"/>
  <c r="EQ12" i="2"/>
  <c r="EM12" i="2"/>
  <c r="EC12" i="2"/>
  <c r="EA12" i="2"/>
  <c r="EG12" i="2"/>
  <c r="A109" i="19"/>
  <c r="C108" i="19"/>
  <c r="B108" i="19"/>
  <c r="D108" i="19" s="1"/>
  <c r="E108" i="19"/>
  <c r="F108" i="19" s="1"/>
  <c r="II12" i="2" l="1"/>
  <c r="CK12" i="2"/>
  <c r="CJ12" i="2"/>
  <c r="EU11" i="2"/>
  <c r="EH11" i="2"/>
  <c r="EN11" i="2"/>
  <c r="CN11" i="2"/>
  <c r="CH11" i="2" s="1"/>
  <c r="CI11" i="2" s="1"/>
  <c r="CJ11" i="2" s="1"/>
  <c r="EM11" i="2"/>
  <c r="EQ11" i="2"/>
  <c r="ED11" i="2"/>
  <c r="EF11" i="5"/>
  <c r="ER11" i="5"/>
  <c r="CJ12" i="5"/>
  <c r="CN11" i="5"/>
  <c r="CH11" i="5" s="1"/>
  <c r="CI11" i="5" s="1"/>
  <c r="EB11" i="5"/>
  <c r="BM14" i="2"/>
  <c r="BO14" i="2"/>
  <c r="M10" i="2"/>
  <c r="CL10" i="2"/>
  <c r="CM10" i="2" s="1"/>
  <c r="DC10" i="2"/>
  <c r="DB10" i="2"/>
  <c r="CW10" i="2"/>
  <c r="DL10" i="2"/>
  <c r="CV10" i="2"/>
  <c r="IJ10" i="2"/>
  <c r="IK10" i="2" s="1"/>
  <c r="DD10" i="2"/>
  <c r="AI10" i="2"/>
  <c r="L9" i="2"/>
  <c r="CY10" i="2"/>
  <c r="CX10" i="2"/>
  <c r="DI10" i="2"/>
  <c r="EP10" i="2" s="1"/>
  <c r="DH10" i="2"/>
  <c r="DG10" i="2"/>
  <c r="DF10" i="2"/>
  <c r="DA10" i="2"/>
  <c r="EF10" i="2" s="1"/>
  <c r="CZ10" i="2"/>
  <c r="DK10" i="2"/>
  <c r="DJ10" i="2"/>
  <c r="DE10" i="2"/>
  <c r="EL10" i="2" s="1"/>
  <c r="BU10" i="2"/>
  <c r="EO11" i="5"/>
  <c r="ED11" i="5"/>
  <c r="AN12" i="2"/>
  <c r="AO12" i="2"/>
  <c r="EH11" i="5"/>
  <c r="EK11" i="5"/>
  <c r="EN11" i="5"/>
  <c r="AL12" i="2"/>
  <c r="AM12" i="2"/>
  <c r="EE11" i="5"/>
  <c r="EQ11" i="5"/>
  <c r="IL11" i="5"/>
  <c r="IF11" i="5" s="1"/>
  <c r="IG11" i="5" s="1"/>
  <c r="EL11" i="5"/>
  <c r="EU11" i="5"/>
  <c r="BV14" i="5"/>
  <c r="BT14" i="5"/>
  <c r="BV14" i="2"/>
  <c r="BT14" i="2"/>
  <c r="EA11" i="2"/>
  <c r="EG11" i="2"/>
  <c r="EF11" i="2"/>
  <c r="EL11" i="2"/>
  <c r="EE11" i="2"/>
  <c r="EC11" i="2"/>
  <c r="AK11" i="5"/>
  <c r="AJ11" i="5"/>
  <c r="EC11" i="5"/>
  <c r="BY13" i="2"/>
  <c r="BZ13" i="2" s="1"/>
  <c r="CA13" i="2" s="1"/>
  <c r="CB13" i="2" s="1"/>
  <c r="BR13" i="2"/>
  <c r="BS13" i="2" s="1"/>
  <c r="BK13" i="2"/>
  <c r="BL13" i="2" s="1"/>
  <c r="EM11" i="5"/>
  <c r="II12" i="5"/>
  <c r="IH12" i="5"/>
  <c r="ER11" i="2"/>
  <c r="EO11" i="2"/>
  <c r="AM12" i="5"/>
  <c r="AL12" i="5"/>
  <c r="EG11" i="5"/>
  <c r="M10" i="5"/>
  <c r="DI10" i="5"/>
  <c r="DH10" i="5"/>
  <c r="DK10" i="5"/>
  <c r="DJ10" i="5"/>
  <c r="IJ10" i="5"/>
  <c r="IK10" i="5" s="1"/>
  <c r="CL10" i="5"/>
  <c r="CM10" i="5" s="1"/>
  <c r="DE10" i="5"/>
  <c r="DD10" i="5"/>
  <c r="DG10" i="5"/>
  <c r="DF10" i="5"/>
  <c r="L9" i="5"/>
  <c r="DC10" i="5"/>
  <c r="CW10" i="5"/>
  <c r="DL10" i="5"/>
  <c r="CV10" i="5"/>
  <c r="CY10" i="5"/>
  <c r="CX10" i="5"/>
  <c r="DA10" i="5"/>
  <c r="CZ10" i="5"/>
  <c r="DB10" i="5"/>
  <c r="AI10" i="5"/>
  <c r="BU10" i="5"/>
  <c r="EV11" i="5"/>
  <c r="A110" i="19"/>
  <c r="C109" i="19"/>
  <c r="B109" i="19"/>
  <c r="D109" i="19" s="1"/>
  <c r="E109" i="19"/>
  <c r="F109" i="19" s="1"/>
  <c r="EP11" i="5"/>
  <c r="EA11" i="5"/>
  <c r="BM14" i="5"/>
  <c r="BO14" i="5"/>
  <c r="AJ11" i="2"/>
  <c r="AK11" i="2"/>
  <c r="EK11" i="2"/>
  <c r="IL11" i="2"/>
  <c r="IF11" i="2" s="1"/>
  <c r="IG11" i="2" s="1"/>
  <c r="EP11" i="2"/>
  <c r="BY13" i="5"/>
  <c r="BZ13" i="5" s="1"/>
  <c r="CA13" i="5" s="1"/>
  <c r="CB13" i="5" s="1"/>
  <c r="BR13" i="5"/>
  <c r="BS13" i="5" s="1"/>
  <c r="BK13" i="5"/>
  <c r="BL13" i="5" s="1"/>
  <c r="AN12" i="5"/>
  <c r="AO12" i="5"/>
  <c r="EC10" i="5" l="1"/>
  <c r="EE10" i="2"/>
  <c r="EO10" i="2"/>
  <c r="CK11" i="2"/>
  <c r="EA10" i="2"/>
  <c r="EH10" i="2"/>
  <c r="ER10" i="2"/>
  <c r="EQ10" i="2"/>
  <c r="EM10" i="2"/>
  <c r="EC10" i="2"/>
  <c r="EK10" i="2"/>
  <c r="AJ10" i="5"/>
  <c r="AK10" i="5"/>
  <c r="EB10" i="5"/>
  <c r="EN10" i="5"/>
  <c r="BM13" i="2"/>
  <c r="BO13" i="2"/>
  <c r="II11" i="5"/>
  <c r="IH11" i="5"/>
  <c r="AL11" i="2"/>
  <c r="AM11" i="2"/>
  <c r="B110" i="19"/>
  <c r="D110" i="19" s="1"/>
  <c r="E110" i="19"/>
  <c r="F110" i="19" s="1"/>
  <c r="A111" i="19"/>
  <c r="C110" i="19"/>
  <c r="II11" i="2"/>
  <c r="IH11" i="2"/>
  <c r="EA10" i="5"/>
  <c r="DI9" i="5"/>
  <c r="DE9" i="5"/>
  <c r="DA9" i="5"/>
  <c r="CW9" i="5"/>
  <c r="IJ9" i="5"/>
  <c r="IK9" i="5" s="1"/>
  <c r="DH9" i="5"/>
  <c r="DD9" i="5"/>
  <c r="CZ9" i="5"/>
  <c r="CV9" i="5"/>
  <c r="CL9" i="5"/>
  <c r="CM9" i="5" s="1"/>
  <c r="M9" i="5"/>
  <c r="DF9" i="5"/>
  <c r="DC9" i="5"/>
  <c r="AI9" i="5"/>
  <c r="DK9" i="5"/>
  <c r="DJ9" i="5"/>
  <c r="DG9" i="5"/>
  <c r="BU9" i="5"/>
  <c r="DB9" i="5"/>
  <c r="CY9" i="5"/>
  <c r="CX9" i="5"/>
  <c r="ER10" i="5"/>
  <c r="BV13" i="5"/>
  <c r="BT13" i="5"/>
  <c r="EF10" i="5"/>
  <c r="EU10" i="5"/>
  <c r="EM10" i="5"/>
  <c r="CN10" i="5"/>
  <c r="CH10" i="5" s="1"/>
  <c r="CI10" i="5" s="1"/>
  <c r="EO10" i="5"/>
  <c r="BY12" i="2"/>
  <c r="BZ12" i="2" s="1"/>
  <c r="CA12" i="2" s="1"/>
  <c r="CB12" i="2" s="1"/>
  <c r="BR12" i="2"/>
  <c r="BS12" i="2" s="1"/>
  <c r="BK12" i="2"/>
  <c r="BL12" i="2" s="1"/>
  <c r="EN10" i="2"/>
  <c r="ED10" i="2"/>
  <c r="IL10" i="2"/>
  <c r="IF10" i="2" s="1"/>
  <c r="IG10" i="2" s="1"/>
  <c r="EG10" i="2"/>
  <c r="EP10" i="5"/>
  <c r="AL11" i="5"/>
  <c r="AM11" i="5"/>
  <c r="ED10" i="5"/>
  <c r="EH10" i="5"/>
  <c r="EK10" i="5"/>
  <c r="EQ10" i="5"/>
  <c r="BT13" i="2"/>
  <c r="BV13" i="2"/>
  <c r="AN11" i="5"/>
  <c r="AO11" i="5"/>
  <c r="AK10" i="2"/>
  <c r="AJ10" i="2"/>
  <c r="EU10" i="2"/>
  <c r="CN10" i="2"/>
  <c r="CH10" i="2" s="1"/>
  <c r="CI10" i="2" s="1"/>
  <c r="AO11" i="2"/>
  <c r="AN11" i="2"/>
  <c r="IL10" i="5"/>
  <c r="IF10" i="5" s="1"/>
  <c r="IG10" i="5" s="1"/>
  <c r="BY12" i="5"/>
  <c r="BZ12" i="5" s="1"/>
  <c r="CA12" i="5" s="1"/>
  <c r="CB12" i="5" s="1"/>
  <c r="BR12" i="5"/>
  <c r="BS12" i="5" s="1"/>
  <c r="BK12" i="5"/>
  <c r="BL12" i="5" s="1"/>
  <c r="DJ9" i="2"/>
  <c r="DF9" i="2"/>
  <c r="DB9" i="2"/>
  <c r="CX9" i="2"/>
  <c r="DH9" i="2"/>
  <c r="DD9" i="2"/>
  <c r="CZ9" i="2"/>
  <c r="CV9" i="2"/>
  <c r="CL9" i="2"/>
  <c r="CM9" i="2" s="1"/>
  <c r="M9" i="2"/>
  <c r="BU9" i="2"/>
  <c r="DI9" i="2"/>
  <c r="DC9" i="2"/>
  <c r="DA9" i="2"/>
  <c r="CW9" i="2"/>
  <c r="DG9" i="2"/>
  <c r="DK9" i="2"/>
  <c r="IJ9" i="2"/>
  <c r="IK9" i="2" s="1"/>
  <c r="AI9" i="2"/>
  <c r="DE9" i="2"/>
  <c r="CY9" i="2"/>
  <c r="EG10" i="5"/>
  <c r="BO13" i="5"/>
  <c r="BM13" i="5"/>
  <c r="EE10" i="5"/>
  <c r="EL10" i="5"/>
  <c r="EB10" i="2"/>
  <c r="CK11" i="5"/>
  <c r="CJ11" i="5"/>
  <c r="ED9" i="2" l="1"/>
  <c r="ER9" i="2"/>
  <c r="EH9" i="2"/>
  <c r="CN9" i="2"/>
  <c r="CH9" i="2" s="1"/>
  <c r="CI9" i="2" s="1"/>
  <c r="CJ9" i="2" s="1"/>
  <c r="EO9" i="2"/>
  <c r="EL9" i="2"/>
  <c r="EN9" i="2"/>
  <c r="EP9" i="2"/>
  <c r="EA9" i="2"/>
  <c r="EC9" i="2"/>
  <c r="EQ9" i="2"/>
  <c r="CN9" i="5"/>
  <c r="CH9" i="5" s="1"/>
  <c r="CI9" i="5" s="1"/>
  <c r="IL9" i="2"/>
  <c r="IF9" i="2" s="1"/>
  <c r="IG9" i="2" s="1"/>
  <c r="IH9" i="2" s="1"/>
  <c r="EF9" i="2"/>
  <c r="EK9" i="2"/>
  <c r="EM9" i="2"/>
  <c r="CJ10" i="2"/>
  <c r="CK10" i="2"/>
  <c r="BY11" i="5"/>
  <c r="BZ11" i="5" s="1"/>
  <c r="CA11" i="5" s="1"/>
  <c r="CB11" i="5" s="1"/>
  <c r="BK11" i="5"/>
  <c r="BL11" i="5" s="1"/>
  <c r="BR11" i="5"/>
  <c r="BS11" i="5" s="1"/>
  <c r="IH10" i="2"/>
  <c r="II10" i="2"/>
  <c r="BV12" i="2"/>
  <c r="BT12" i="2"/>
  <c r="EG9" i="5"/>
  <c r="ER9" i="5"/>
  <c r="EK9" i="5"/>
  <c r="EF9" i="5"/>
  <c r="AJ9" i="5"/>
  <c r="AK9" i="5"/>
  <c r="EO9" i="5"/>
  <c r="AM10" i="2"/>
  <c r="AL10" i="2"/>
  <c r="EC9" i="5"/>
  <c r="EN9" i="5"/>
  <c r="EH9" i="5"/>
  <c r="EA9" i="5"/>
  <c r="IL9" i="5"/>
  <c r="IF9" i="5" s="1"/>
  <c r="IG9" i="5" s="1"/>
  <c r="EP9" i="5"/>
  <c r="BY11" i="2"/>
  <c r="BZ11" i="2" s="1"/>
  <c r="CA11" i="2" s="1"/>
  <c r="CB11" i="2" s="1"/>
  <c r="BR11" i="2"/>
  <c r="BS11" i="2" s="1"/>
  <c r="BK11" i="2"/>
  <c r="BL11" i="2" s="1"/>
  <c r="AO10" i="5"/>
  <c r="AN10" i="5"/>
  <c r="II10" i="5"/>
  <c r="IH10" i="5"/>
  <c r="EL9" i="5"/>
  <c r="BO12" i="5"/>
  <c r="BM12" i="5"/>
  <c r="AJ9" i="2"/>
  <c r="AK9" i="2"/>
  <c r="EB9" i="2"/>
  <c r="EE9" i="2"/>
  <c r="EG9" i="2"/>
  <c r="BT12" i="5"/>
  <c r="BV12" i="5"/>
  <c r="AO10" i="2"/>
  <c r="AN10" i="2"/>
  <c r="BM12" i="2"/>
  <c r="BO12" i="2"/>
  <c r="CK10" i="5"/>
  <c r="CJ10" i="5"/>
  <c r="ED9" i="5"/>
  <c r="EQ9" i="5"/>
  <c r="EM9" i="5"/>
  <c r="EE9" i="5"/>
  <c r="EB9" i="5"/>
  <c r="E111" i="19"/>
  <c r="F111" i="19" s="1"/>
  <c r="A112" i="19"/>
  <c r="C111" i="19"/>
  <c r="B111" i="19"/>
  <c r="D111" i="19" s="1"/>
  <c r="AL10" i="5"/>
  <c r="AM10" i="5"/>
  <c r="II9" i="2" l="1"/>
  <c r="CK9" i="2"/>
  <c r="CK9" i="5"/>
  <c r="CJ9" i="5"/>
  <c r="BV11" i="5"/>
  <c r="BT11" i="5"/>
  <c r="BY10" i="5"/>
  <c r="BZ10" i="5" s="1"/>
  <c r="CA10" i="5" s="1"/>
  <c r="CB10" i="5" s="1"/>
  <c r="BR10" i="5"/>
  <c r="BS10" i="5" s="1"/>
  <c r="BK10" i="5"/>
  <c r="BL10" i="5" s="1"/>
  <c r="A113" i="19"/>
  <c r="C112" i="19"/>
  <c r="B112" i="19"/>
  <c r="D112" i="19" s="1"/>
  <c r="E112" i="19"/>
  <c r="F112" i="19" s="1"/>
  <c r="IH9" i="5"/>
  <c r="II9" i="5"/>
  <c r="AN9" i="5"/>
  <c r="AO9" i="5"/>
  <c r="AN9" i="2"/>
  <c r="AO9" i="2"/>
  <c r="BV11" i="2"/>
  <c r="BT11" i="2"/>
  <c r="AL9" i="5"/>
  <c r="AM9" i="5"/>
  <c r="BO11" i="5"/>
  <c r="BM11" i="5"/>
  <c r="BO11" i="2"/>
  <c r="BM11" i="2"/>
  <c r="AM9" i="2"/>
  <c r="AL9" i="2"/>
  <c r="BY10" i="2"/>
  <c r="BZ10" i="2" s="1"/>
  <c r="CA10" i="2" s="1"/>
  <c r="CB10" i="2" s="1"/>
  <c r="BK10" i="2"/>
  <c r="BL10" i="2" s="1"/>
  <c r="BR10" i="2"/>
  <c r="BS10" i="2" s="1"/>
  <c r="BV10" i="2" l="1"/>
  <c r="BT10" i="2"/>
  <c r="BR9" i="2"/>
  <c r="BS9" i="2" s="1"/>
  <c r="BY9" i="2"/>
  <c r="BZ9" i="2" s="1"/>
  <c r="CA9" i="2" s="1"/>
  <c r="CB9" i="2" s="1"/>
  <c r="BK9" i="2"/>
  <c r="BL9" i="2" s="1"/>
  <c r="BT10" i="5"/>
  <c r="BV10" i="5"/>
  <c r="BY9" i="5"/>
  <c r="BZ9" i="5" s="1"/>
  <c r="CA9" i="5" s="1"/>
  <c r="CB9" i="5" s="1"/>
  <c r="BK9" i="5"/>
  <c r="BL9" i="5" s="1"/>
  <c r="BR9" i="5"/>
  <c r="BS9" i="5" s="1"/>
  <c r="E113" i="19"/>
  <c r="F113" i="19" s="1"/>
  <c r="A114" i="19"/>
  <c r="C113" i="19"/>
  <c r="B113" i="19"/>
  <c r="D113" i="19" s="1"/>
  <c r="BM10" i="2"/>
  <c r="BO10" i="2"/>
  <c r="BM10" i="5"/>
  <c r="BO10" i="5"/>
  <c r="BV9" i="2" l="1"/>
  <c r="BT9" i="2"/>
  <c r="BT9" i="5"/>
  <c r="BV9" i="5"/>
  <c r="C114" i="19"/>
  <c r="B114" i="19"/>
  <c r="D114" i="19" s="1"/>
  <c r="E114" i="19"/>
  <c r="F114" i="19" s="1"/>
  <c r="A115" i="19"/>
  <c r="BO9" i="5"/>
  <c r="BM9" i="5"/>
  <c r="BM9" i="2"/>
  <c r="BO9" i="2"/>
  <c r="E115" i="19" l="1"/>
  <c r="F115" i="19" s="1"/>
  <c r="A116" i="19"/>
  <c r="C115" i="19"/>
  <c r="B115" i="19"/>
  <c r="D115" i="19" s="1"/>
  <c r="A117" i="19" l="1"/>
  <c r="C116" i="19"/>
  <c r="B116" i="19"/>
  <c r="D116" i="19" s="1"/>
  <c r="E116" i="19"/>
  <c r="F116" i="19" s="1"/>
  <c r="E117" i="19" l="1"/>
  <c r="F117" i="19" s="1"/>
  <c r="A118" i="19"/>
  <c r="C117" i="19"/>
  <c r="B117" i="19"/>
  <c r="D117" i="19" s="1"/>
  <c r="A119" i="19" l="1"/>
  <c r="C118" i="19"/>
  <c r="B118" i="19"/>
  <c r="D118" i="19" s="1"/>
  <c r="E118" i="19"/>
  <c r="F118" i="19" s="1"/>
  <c r="E119" i="19" l="1"/>
  <c r="F119" i="19" s="1"/>
  <c r="A120" i="19"/>
  <c r="C119" i="19"/>
  <c r="B119" i="19"/>
  <c r="D119" i="19" s="1"/>
  <c r="A121" i="19" l="1"/>
  <c r="C120" i="19"/>
  <c r="B120" i="19"/>
  <c r="D120" i="19" s="1"/>
  <c r="E120" i="19"/>
  <c r="F120" i="19" s="1"/>
  <c r="E121" i="19" l="1"/>
  <c r="F121" i="19" s="1"/>
  <c r="A122" i="19"/>
  <c r="C121" i="19"/>
  <c r="B121" i="19"/>
  <c r="D121" i="19" s="1"/>
  <c r="A123" i="19" l="1"/>
  <c r="C122" i="19"/>
  <c r="B122" i="19"/>
  <c r="D122" i="19" s="1"/>
  <c r="E122" i="19"/>
  <c r="F122" i="19" s="1"/>
  <c r="E123" i="19" l="1"/>
  <c r="F123" i="19" s="1"/>
  <c r="A124" i="19"/>
  <c r="C123" i="19"/>
  <c r="B123" i="19"/>
  <c r="D123" i="19" s="1"/>
  <c r="A125" i="19" l="1"/>
  <c r="C124" i="19"/>
  <c r="B124" i="19"/>
  <c r="D124" i="19" s="1"/>
  <c r="E124" i="19"/>
  <c r="F124" i="19" s="1"/>
  <c r="E125" i="19" l="1"/>
  <c r="F125" i="19" s="1"/>
  <c r="A126" i="19"/>
  <c r="C125" i="19"/>
  <c r="B125" i="19"/>
  <c r="D125" i="19" s="1"/>
  <c r="A127" i="19" l="1"/>
  <c r="C126" i="19"/>
  <c r="B126" i="19"/>
  <c r="D126" i="19" s="1"/>
  <c r="E126" i="19"/>
  <c r="F126" i="19" s="1"/>
  <c r="E127" i="19" l="1"/>
  <c r="F127" i="19" s="1"/>
  <c r="A128" i="19"/>
  <c r="C127" i="19"/>
  <c r="B127" i="19"/>
  <c r="D127" i="19" s="1"/>
  <c r="A129" i="19" l="1"/>
  <c r="C128" i="19"/>
  <c r="B128" i="19"/>
  <c r="D128" i="19" s="1"/>
  <c r="E128" i="19"/>
  <c r="F128" i="19" s="1"/>
  <c r="E129" i="19" l="1"/>
  <c r="F129" i="19" s="1"/>
  <c r="C129" i="19"/>
  <c r="B129" i="19"/>
  <c r="D129" i="19" s="1"/>
  <c r="H2" i="21" l="1"/>
  <c r="U2" i="21" l="1"/>
  <c r="U43" i="21" s="1"/>
  <c r="I2" i="21"/>
  <c r="K2" i="21"/>
  <c r="T43" i="21"/>
  <c r="L2" i="21" l="1"/>
  <c r="M2" i="21"/>
  <c r="J2" i="21"/>
</calcChain>
</file>

<file path=xl/sharedStrings.xml><?xml version="1.0" encoding="utf-8"?>
<sst xmlns="http://schemas.openxmlformats.org/spreadsheetml/2006/main" count="851" uniqueCount="517">
  <si>
    <t>Rundungsparameter</t>
  </si>
  <si>
    <t>Rundlx</t>
  </si>
  <si>
    <t>RundDx</t>
  </si>
  <si>
    <t>v</t>
  </si>
  <si>
    <t>Rundäx</t>
  </si>
  <si>
    <t>BeginnAlter</t>
  </si>
  <si>
    <t>FaktorAlter</t>
  </si>
  <si>
    <t>RundIx</t>
  </si>
  <si>
    <t>Rundex</t>
  </si>
  <si>
    <t>RundCx</t>
  </si>
  <si>
    <t>Grundzahlen</t>
  </si>
  <si>
    <t>Ordnungen und Bestände</t>
  </si>
  <si>
    <t>Temporäre Aktivenrente (Beitrag)</t>
  </si>
  <si>
    <t xml:space="preserve">Anwartschaft auf Rücktrittsrente und </t>
  </si>
  <si>
    <t xml:space="preserve">Anwartschaft auf Altersrente und </t>
  </si>
  <si>
    <t>auf Waisenrente</t>
  </si>
  <si>
    <t>x</t>
  </si>
  <si>
    <t>y</t>
  </si>
  <si>
    <t>z</t>
  </si>
  <si>
    <t>x-y=0</t>
  </si>
  <si>
    <t>x-y=-3</t>
  </si>
  <si>
    <t>x-y=-6</t>
  </si>
  <si>
    <t>x-y=-9</t>
  </si>
  <si>
    <t>Witwerrente</t>
  </si>
  <si>
    <t>temporäre Invalidenrente</t>
  </si>
  <si>
    <t>auf Witwerrente</t>
  </si>
  <si>
    <t>Anwartschaft einer Altersrentnerin</t>
  </si>
  <si>
    <t>D-iw-y/x=y-9</t>
  </si>
  <si>
    <t>D-iw-y/x=y-6</t>
  </si>
  <si>
    <t>D-iw-y/x=y-3</t>
  </si>
  <si>
    <t>D-iw-y/x=y</t>
  </si>
  <si>
    <t>D-iw-y/x=y+3</t>
  </si>
  <si>
    <t>D-iw-y/x=y+6</t>
  </si>
  <si>
    <t>D-iw-y/x=y+9</t>
  </si>
  <si>
    <t>D-iw-y/x=y+15</t>
  </si>
  <si>
    <t>D-iw-y/x=y+12</t>
  </si>
  <si>
    <t>D-w-y/x=y-9</t>
  </si>
  <si>
    <t>D-w-y/x=y-6</t>
  </si>
  <si>
    <t>D-w-y/x=y-3</t>
  </si>
  <si>
    <t>D-w-y/x=y</t>
  </si>
  <si>
    <t>D-w-y/x=y+3</t>
  </si>
  <si>
    <t>D-w-y/x=y+6</t>
  </si>
  <si>
    <t>D-w-y/x=y+9</t>
  </si>
  <si>
    <t>D-w-y/x=y+12</t>
  </si>
  <si>
    <t>D-w-y/x=y+15</t>
  </si>
  <si>
    <t>Witwenrente</t>
  </si>
  <si>
    <t>auf Witwenrente</t>
  </si>
  <si>
    <t>D-w-x/y=x-15</t>
  </si>
  <si>
    <t>D-w-x/y=x-12</t>
  </si>
  <si>
    <t>D-w-x/y=x-9</t>
  </si>
  <si>
    <t>D-w-x/y=x-6</t>
  </si>
  <si>
    <t>D-w-x/y=x-3</t>
  </si>
  <si>
    <t>D-w-x/y=x</t>
  </si>
  <si>
    <t>D-w-x/y=x+3</t>
  </si>
  <si>
    <t>D-w-x/y=x+6</t>
  </si>
  <si>
    <t>D-w-x/y=x+9</t>
  </si>
  <si>
    <t>Anwartschaft eines Altersrentners</t>
  </si>
  <si>
    <t>D-iw-x/y=x-15</t>
  </si>
  <si>
    <t>D-iw-x/y=x-12</t>
  </si>
  <si>
    <t>D-iw-x/y=x-9</t>
  </si>
  <si>
    <t>D-iw-x/y=x-6</t>
  </si>
  <si>
    <t>D-iw-x/y=x-3</t>
  </si>
  <si>
    <t>D-iw-x/y=x</t>
  </si>
  <si>
    <t>D-iw-x/y=x+3</t>
  </si>
  <si>
    <t>D-iw-x/y=x+6</t>
  </si>
  <si>
    <t>D-iw-x/y=x+9</t>
  </si>
  <si>
    <t>Veränderbare Berechnungsparameter</t>
  </si>
  <si>
    <t>Kürzungen</t>
  </si>
  <si>
    <t>Fixparameter</t>
  </si>
  <si>
    <t>60 - 65</t>
  </si>
  <si>
    <t xml:space="preserve"> 0 - 10%</t>
  </si>
  <si>
    <t>Rücktrittsalter Frauen (s)</t>
  </si>
  <si>
    <t>Rücktrittsalter Männer (s)</t>
  </si>
  <si>
    <t>Unterjährigkeit (m)</t>
  </si>
  <si>
    <t>Schlussalter Kinder (z*)</t>
  </si>
  <si>
    <r>
      <t>*i</t>
    </r>
    <r>
      <rPr>
        <b/>
        <vertAlign val="subscript"/>
        <sz val="12"/>
        <rFont val="Times New Roman"/>
        <family val="1"/>
      </rPr>
      <t>x</t>
    </r>
  </si>
  <si>
    <r>
      <t>q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</si>
  <si>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r>
      <t>q</t>
    </r>
    <r>
      <rPr>
        <b/>
        <vertAlign val="subscript"/>
        <sz val="12"/>
        <rFont val="Times New Roman"/>
        <family val="1"/>
      </rPr>
      <t>x</t>
    </r>
  </si>
  <si>
    <r>
      <t>*q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</t>
    </r>
  </si>
  <si>
    <r>
      <t>l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</t>
    </r>
  </si>
  <si>
    <r>
      <t>I</t>
    </r>
    <r>
      <rPr>
        <b/>
        <vertAlign val="subscript"/>
        <sz val="12"/>
        <rFont val="Times New Roman"/>
        <family val="1"/>
      </rPr>
      <t>x</t>
    </r>
  </si>
  <si>
    <r>
      <t>l</t>
    </r>
    <r>
      <rPr>
        <b/>
        <vertAlign val="subscript"/>
        <sz val="12"/>
        <rFont val="Times New Roman"/>
        <family val="1"/>
      </rPr>
      <t>x</t>
    </r>
  </si>
  <si>
    <r>
      <t>l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</si>
  <si>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r>
      <t>ê</t>
    </r>
    <r>
      <rPr>
        <b/>
        <vertAlign val="subscript"/>
        <sz val="12"/>
        <rFont val="Times New Roman"/>
        <family val="1"/>
      </rPr>
      <t>x</t>
    </r>
  </si>
  <si>
    <r>
      <t>ê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</si>
  <si>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t>Grundzahlen der Witwen- und Waisenversicherung</t>
  </si>
  <si>
    <t>Grundzahlen der Witwer- und Waisenversicherung</t>
  </si>
  <si>
    <r>
      <t>w</t>
    </r>
    <r>
      <rPr>
        <b/>
        <vertAlign val="subscript"/>
        <sz val="12"/>
        <rFont val="Times New Roman"/>
        <family val="1"/>
      </rPr>
      <t>x</t>
    </r>
  </si>
  <si>
    <r>
      <t>y</t>
    </r>
    <r>
      <rPr>
        <b/>
        <vertAlign val="subscript"/>
        <sz val="12"/>
        <rFont val="Times New Roman"/>
        <family val="1"/>
      </rPr>
      <t>x</t>
    </r>
  </si>
  <si>
    <r>
      <t>k</t>
    </r>
    <r>
      <rPr>
        <b/>
        <vertAlign val="subscript"/>
        <sz val="12"/>
        <rFont val="Times New Roman"/>
        <family val="1"/>
      </rPr>
      <t>x</t>
    </r>
  </si>
  <si>
    <r>
      <t>z</t>
    </r>
    <r>
      <rPr>
        <b/>
        <vertAlign val="subscript"/>
        <sz val="12"/>
        <rFont val="Times New Roman"/>
        <family val="1"/>
      </rPr>
      <t>x</t>
    </r>
  </si>
  <si>
    <r>
      <t>q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</si>
  <si>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l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</si>
  <si>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ê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</si>
  <si>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*q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</t>
    </r>
  </si>
  <si>
    <r>
      <t>*i</t>
    </r>
    <r>
      <rPr>
        <b/>
        <vertAlign val="subscript"/>
        <sz val="12"/>
        <rFont val="Times New Roman"/>
        <family val="1"/>
      </rPr>
      <t>y</t>
    </r>
  </si>
  <si>
    <r>
      <t>q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</si>
  <si>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q</t>
    </r>
    <r>
      <rPr>
        <b/>
        <vertAlign val="subscript"/>
        <sz val="12"/>
        <rFont val="Times New Roman"/>
        <family val="1"/>
      </rPr>
      <t>y</t>
    </r>
  </si>
  <si>
    <r>
      <t>l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</t>
    </r>
  </si>
  <si>
    <r>
      <t>I</t>
    </r>
    <r>
      <rPr>
        <b/>
        <vertAlign val="subscript"/>
        <sz val="12"/>
        <rFont val="Times New Roman"/>
        <family val="1"/>
      </rPr>
      <t>y</t>
    </r>
  </si>
  <si>
    <r>
      <t>l</t>
    </r>
    <r>
      <rPr>
        <b/>
        <vertAlign val="subscript"/>
        <sz val="12"/>
        <rFont val="Times New Roman"/>
        <family val="1"/>
      </rPr>
      <t>y</t>
    </r>
  </si>
  <si>
    <r>
      <t>l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</si>
  <si>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ê</t>
    </r>
    <r>
      <rPr>
        <b/>
        <vertAlign val="subscript"/>
        <sz val="12"/>
        <rFont val="Times New Roman"/>
        <family val="1"/>
      </rPr>
      <t>y</t>
    </r>
  </si>
  <si>
    <r>
      <t>ê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</si>
  <si>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w</t>
    </r>
    <r>
      <rPr>
        <b/>
        <vertAlign val="subscript"/>
        <sz val="12"/>
        <rFont val="Times New Roman"/>
        <family val="1"/>
      </rPr>
      <t>y</t>
    </r>
  </si>
  <si>
    <r>
      <t>x</t>
    </r>
    <r>
      <rPr>
        <b/>
        <vertAlign val="subscript"/>
        <sz val="12"/>
        <rFont val="Times New Roman"/>
        <family val="1"/>
      </rPr>
      <t>y</t>
    </r>
  </si>
  <si>
    <r>
      <t>k</t>
    </r>
    <r>
      <rPr>
        <b/>
        <vertAlign val="subscript"/>
        <sz val="12"/>
        <rFont val="Times New Roman"/>
        <family val="1"/>
      </rPr>
      <t>y</t>
    </r>
  </si>
  <si>
    <r>
      <t>z</t>
    </r>
    <r>
      <rPr>
        <b/>
        <vertAlign val="subscript"/>
        <sz val="12"/>
        <rFont val="Times New Roman"/>
        <family val="1"/>
      </rPr>
      <t>y</t>
    </r>
  </si>
  <si>
    <r>
      <t>q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</si>
  <si>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l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</si>
  <si>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ê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</si>
  <si>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</si>
  <si>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</si>
  <si>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</si>
  <si>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perscript"/>
        <sz val="12"/>
        <rFont val="Times New Roman"/>
        <family val="1"/>
      </rPr>
      <t>a(m)</t>
    </r>
    <r>
      <rPr>
        <b/>
        <vertAlign val="subscript"/>
        <sz val="12"/>
        <rFont val="Times New Roman"/>
        <family val="1"/>
      </rPr>
      <t>x:s-x</t>
    </r>
  </si>
  <si>
    <r>
      <t>C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</t>
    </r>
  </si>
  <si>
    <r>
      <t>M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x:s-x</t>
    </r>
  </si>
  <si>
    <r>
      <t>C</t>
    </r>
    <r>
      <rPr>
        <b/>
        <vertAlign val="superscript"/>
        <sz val="12"/>
        <rFont val="Times New Roman"/>
        <family val="1"/>
      </rPr>
      <t>ai</t>
    </r>
    <r>
      <rPr>
        <b/>
        <vertAlign val="subscript"/>
        <sz val="12"/>
        <rFont val="Times New Roman"/>
        <family val="1"/>
      </rPr>
      <t>x</t>
    </r>
  </si>
  <si>
    <r>
      <t>M</t>
    </r>
    <r>
      <rPr>
        <b/>
        <vertAlign val="superscript"/>
        <sz val="12"/>
        <rFont val="Times New Roman"/>
        <family val="1"/>
      </rPr>
      <t>ai</t>
    </r>
    <r>
      <rPr>
        <b/>
        <vertAlign val="subscript"/>
        <sz val="12"/>
        <rFont val="Times New Roman"/>
        <family val="1"/>
      </rPr>
      <t>x:s-x</t>
    </r>
  </si>
  <si>
    <r>
      <t>D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</si>
  <si>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</si>
  <si>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</si>
  <si>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a(m)</t>
    </r>
    <r>
      <rPr>
        <b/>
        <vertAlign val="subscript"/>
        <sz val="12"/>
        <rFont val="Times New Roman"/>
        <family val="1"/>
      </rPr>
      <t>y:s-y</t>
    </r>
  </si>
  <si>
    <r>
      <t>C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</t>
    </r>
  </si>
  <si>
    <r>
      <t>M</t>
    </r>
    <r>
      <rPr>
        <b/>
        <vertAlign val="superscript"/>
        <sz val="12"/>
        <rFont val="Times New Roman"/>
        <family val="1"/>
      </rPr>
      <t>a</t>
    </r>
    <r>
      <rPr>
        <b/>
        <vertAlign val="subscript"/>
        <sz val="12"/>
        <rFont val="Times New Roman"/>
        <family val="1"/>
      </rPr>
      <t>y:s-y</t>
    </r>
  </si>
  <si>
    <r>
      <t>C</t>
    </r>
    <r>
      <rPr>
        <b/>
        <vertAlign val="superscript"/>
        <sz val="12"/>
        <rFont val="Times New Roman"/>
        <family val="1"/>
      </rPr>
      <t>ai</t>
    </r>
    <r>
      <rPr>
        <b/>
        <vertAlign val="subscript"/>
        <sz val="12"/>
        <rFont val="Times New Roman"/>
        <family val="1"/>
      </rPr>
      <t>y</t>
    </r>
  </si>
  <si>
    <r>
      <t>M</t>
    </r>
    <r>
      <rPr>
        <b/>
        <vertAlign val="superscript"/>
        <sz val="12"/>
        <rFont val="Times New Roman"/>
        <family val="1"/>
      </rPr>
      <t>ai</t>
    </r>
    <r>
      <rPr>
        <b/>
        <vertAlign val="subscript"/>
        <sz val="12"/>
        <rFont val="Times New Roman"/>
        <family val="1"/>
      </rPr>
      <t>y:s-y</t>
    </r>
  </si>
  <si>
    <r>
      <t>D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</si>
  <si>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</si>
  <si>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</si>
  <si>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</si>
  <si>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</si>
  <si>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</si>
  <si>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x:s-x</t>
    </r>
  </si>
  <si>
    <r>
      <t>N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</si>
  <si>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bscript"/>
        <sz val="12"/>
        <rFont val="Times New Roman"/>
        <family val="1"/>
      </rPr>
      <t>x:s-x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</si>
  <si>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x:s-x</t>
    </r>
  </si>
  <si>
    <r>
      <t>D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</si>
  <si>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</si>
  <si>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</si>
  <si>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</si>
  <si>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</si>
  <si>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</si>
  <si>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</si>
  <si>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</si>
  <si>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</si>
  <si>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i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</si>
  <si>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y:s-y</t>
    </r>
  </si>
  <si>
    <r>
      <t>N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</si>
  <si>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</si>
  <si>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y:s-y</t>
    </r>
  </si>
  <si>
    <r>
      <t>D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</si>
  <si>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</si>
  <si>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</si>
  <si>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</si>
  <si>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</si>
  <si>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</si>
  <si>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</si>
  <si>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y</t>
    </r>
  </si>
  <si>
    <r>
      <t>ä</t>
    </r>
    <r>
      <rPr>
        <b/>
        <vertAlign val="subscript"/>
        <sz val="12"/>
        <rFont val="Times New Roman"/>
        <family val="1"/>
      </rPr>
      <t>z*-z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</si>
  <si>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z*-z</t>
    </r>
  </si>
  <si>
    <r>
      <t>D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</si>
  <si>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</si>
  <si>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perscript"/>
        <sz val="12"/>
        <rFont val="Times New Roman"/>
        <family val="1"/>
      </rPr>
      <t>w</t>
    </r>
    <r>
      <rPr>
        <b/>
        <vertAlign val="subscript"/>
        <sz val="12"/>
        <rFont val="Times New Roman"/>
        <family val="1"/>
      </rPr>
      <t>x</t>
    </r>
  </si>
  <si>
    <r>
      <t>ä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x</t>
    </r>
  </si>
  <si>
    <t>Waisenrente</t>
  </si>
  <si>
    <t>lebenslängliche Invalidenrente</t>
  </si>
  <si>
    <r>
      <t>D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</si>
  <si>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</t>
    </r>
  </si>
  <si>
    <r>
      <t>S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</t>
    </r>
  </si>
  <si>
    <r>
      <t>s-y/</t>
    </r>
    <r>
      <rPr>
        <b/>
        <sz val="12"/>
        <rFont val="Times New Roman"/>
        <family val="1"/>
      </rPr>
      <t>a</t>
    </r>
    <r>
      <rPr>
        <b/>
        <vertAlign val="superscript"/>
        <sz val="12"/>
        <rFont val="Times New Roman"/>
        <family val="1"/>
      </rPr>
      <t>a(m)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</si>
  <si>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</si>
  <si>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</si>
  <si>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</t>
    </r>
  </si>
  <si>
    <r>
      <t>S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</t>
    </r>
  </si>
  <si>
    <r>
      <t>s-x/</t>
    </r>
    <r>
      <rPr>
        <b/>
        <sz val="12"/>
        <rFont val="Times New Roman"/>
        <family val="1"/>
      </rPr>
      <t>a</t>
    </r>
    <r>
      <rPr>
        <b/>
        <vertAlign val="superscript"/>
        <sz val="12"/>
        <rFont val="Times New Roman"/>
        <family val="1"/>
      </rPr>
      <t>a(m)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</si>
  <si>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</t>
    </r>
  </si>
  <si>
    <r>
      <t>s-x/</t>
    </r>
    <r>
      <rPr>
        <b/>
        <sz val="12"/>
        <rFont val="Times New Roman"/>
        <family val="1"/>
      </rPr>
      <t>a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</si>
  <si>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x:s-x</t>
    </r>
  </si>
  <si>
    <r>
      <t>a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y:s-y</t>
    </r>
  </si>
  <si>
    <r>
      <t>s-y/</t>
    </r>
    <r>
      <rPr>
        <b/>
        <sz val="12"/>
        <rFont val="Times New Roman"/>
        <family val="1"/>
      </rPr>
      <t>a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y</t>
    </r>
  </si>
  <si>
    <t>zur Invaliden- und Altersrente</t>
  </si>
  <si>
    <t>Lebenslängliche und temporäre Gesamtrente / Altersrente</t>
  </si>
  <si>
    <t>Lebenslängliche und temporäre Invalidenrente</t>
  </si>
  <si>
    <t xml:space="preserve">Kinderrente und Anwartschaft auf Kinderzulage </t>
  </si>
  <si>
    <r>
      <t>a</t>
    </r>
    <r>
      <rPr>
        <b/>
        <vertAlign val="superscript"/>
        <sz val="12"/>
        <rFont val="Times New Roman"/>
        <family val="1"/>
      </rPr>
      <t>ap(m)</t>
    </r>
    <r>
      <rPr>
        <b/>
        <vertAlign val="subscript"/>
        <sz val="12"/>
        <rFont val="Times New Roman"/>
        <family val="1"/>
      </rPr>
      <t>x(s-x)</t>
    </r>
  </si>
  <si>
    <r>
      <t>D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</si>
  <si>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</si>
  <si>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x(s-x)</t>
    </r>
  </si>
  <si>
    <r>
      <t>a</t>
    </r>
    <r>
      <rPr>
        <b/>
        <vertAlign val="superscript"/>
        <sz val="12"/>
        <rFont val="Times New Roman"/>
        <family val="1"/>
      </rPr>
      <t>ap(m)</t>
    </r>
    <r>
      <rPr>
        <b/>
        <vertAlign val="subscript"/>
        <sz val="12"/>
        <rFont val="Times New Roman"/>
        <family val="1"/>
      </rPr>
      <t>y(s-y)</t>
    </r>
  </si>
  <si>
    <r>
      <t>D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</si>
  <si>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</si>
  <si>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az(m)</t>
    </r>
    <r>
      <rPr>
        <b/>
        <vertAlign val="subscript"/>
        <sz val="12"/>
        <rFont val="Times New Roman"/>
        <family val="1"/>
      </rPr>
      <t>y(s-y)</t>
    </r>
  </si>
  <si>
    <r>
      <t>D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</si>
  <si>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x</t>
    </r>
  </si>
  <si>
    <r>
      <t>S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</si>
  <si>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</si>
  <si>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</si>
  <si>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</si>
  <si>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</si>
  <si>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</si>
  <si>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</si>
  <si>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</si>
  <si>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</si>
  <si>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y</t>
    </r>
  </si>
  <si>
    <r>
      <t>S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</si>
  <si>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aw(m)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</si>
  <si>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</si>
  <si>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</si>
  <si>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iw(m)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</si>
  <si>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</si>
  <si>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</si>
  <si>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w(m)</t>
    </r>
    <r>
      <rPr>
        <b/>
        <vertAlign val="subscript"/>
        <sz val="12"/>
        <rFont val="Times New Roman"/>
        <family val="1"/>
      </rPr>
      <t>y</t>
    </r>
  </si>
  <si>
    <t>Anwartschaft eines Aktiven und eines</t>
  </si>
  <si>
    <t>Invalidenrentners auf Witwenrente</t>
  </si>
  <si>
    <t>Anwartschaft einer Aktiven und einer</t>
  </si>
  <si>
    <t>Invalidenrentnerin auf Witwerrente</t>
  </si>
  <si>
    <t>x-y=-15</t>
  </si>
  <si>
    <t>x-y=-14</t>
  </si>
  <si>
    <t>x-y=-13</t>
  </si>
  <si>
    <t>x-y=-12</t>
  </si>
  <si>
    <t>x-y=-11</t>
  </si>
  <si>
    <t>x-y=-10</t>
  </si>
  <si>
    <t>x-y=-8</t>
  </si>
  <si>
    <t>x-y=-7</t>
  </si>
  <si>
    <t>Invalidenrentners auf Waisenrente</t>
  </si>
  <si>
    <r>
      <t>D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</si>
  <si>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</si>
  <si>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</si>
  <si>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</si>
  <si>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x</t>
    </r>
  </si>
  <si>
    <r>
      <t>S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</si>
  <si>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</si>
  <si>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x</t>
    </r>
  </si>
  <si>
    <r>
      <t>N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x</t>
    </r>
  </si>
  <si>
    <r>
      <t>a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x</t>
    </r>
  </si>
  <si>
    <r>
      <t>D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</si>
  <si>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</si>
  <si>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k(m)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</si>
  <si>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</si>
  <si>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</si>
  <si>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ik(m)</t>
    </r>
    <r>
      <rPr>
        <b/>
        <vertAlign val="subscript"/>
        <sz val="12"/>
        <rFont val="Times New Roman"/>
        <family val="1"/>
      </rPr>
      <t>y</t>
    </r>
  </si>
  <si>
    <r>
      <t>D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y</t>
    </r>
  </si>
  <si>
    <r>
      <t>N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y</t>
    </r>
  </si>
  <si>
    <r>
      <t>S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y</t>
    </r>
  </si>
  <si>
    <r>
      <t>a</t>
    </r>
    <r>
      <rPr>
        <b/>
        <vertAlign val="superscript"/>
        <sz val="12"/>
        <rFont val="Times New Roman"/>
        <family val="1"/>
      </rPr>
      <t>ak(m)</t>
    </r>
    <r>
      <rPr>
        <b/>
        <vertAlign val="subscript"/>
        <sz val="12"/>
        <rFont val="Times New Roman"/>
        <family val="1"/>
      </rPr>
      <t>y</t>
    </r>
  </si>
  <si>
    <t>Invalidenrentnerin auf Waisenrente</t>
  </si>
  <si>
    <r>
      <t>D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x:s-x</t>
    </r>
  </si>
  <si>
    <r>
      <t>N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x:s-x</t>
    </r>
  </si>
  <si>
    <r>
      <t>S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x:s-x</t>
    </r>
  </si>
  <si>
    <r>
      <t>D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y:s-y</t>
    </r>
  </si>
  <si>
    <r>
      <t>N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y:s-y</t>
    </r>
  </si>
  <si>
    <r>
      <t>S</t>
    </r>
    <r>
      <rPr>
        <b/>
        <vertAlign val="superscript"/>
        <sz val="12"/>
        <rFont val="Times New Roman"/>
        <family val="1"/>
      </rPr>
      <t>ai(m)</t>
    </r>
    <r>
      <rPr>
        <b/>
        <vertAlign val="subscript"/>
        <sz val="12"/>
        <rFont val="Times New Roman"/>
        <family val="1"/>
      </rPr>
      <t>y:s-y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</si>
  <si>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x+0.5:z*-z_(x+0.5)</t>
    </r>
  </si>
  <si>
    <r>
      <t>ä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y+0.5:z*-z_(y+0.5)</t>
    </r>
  </si>
  <si>
    <t>D-iw-x/y=x-14</t>
  </si>
  <si>
    <t>D-iw-x/y=x-13</t>
  </si>
  <si>
    <t>D-iw-x/y=x-11</t>
  </si>
  <si>
    <t>D-iw-x/y=x-10</t>
  </si>
  <si>
    <t>D-iw-x/y=x-8</t>
  </si>
  <si>
    <t>Anwartschaft eines Invalidenrentners auf Witwenrente (Individualmethode)</t>
  </si>
  <si>
    <t>D-w-x/y=x-8</t>
  </si>
  <si>
    <t>D-w-x/y=x-10</t>
  </si>
  <si>
    <t>D-w-x/y=x-11</t>
  </si>
  <si>
    <t>D-w-x/y=x-13</t>
  </si>
  <si>
    <t>D-w-x/y=x-14</t>
  </si>
  <si>
    <t>D-iw-x/y=x+15</t>
  </si>
  <si>
    <t>D-iw-x/y=x-7</t>
  </si>
  <si>
    <t>D-iw-x/y=x-5</t>
  </si>
  <si>
    <t>D-iw-x/y=x-4</t>
  </si>
  <si>
    <t>D-iw-x/y=x-2</t>
  </si>
  <si>
    <t>D-iw-x/y=x-1</t>
  </si>
  <si>
    <t>D-iw-x/y=x+1</t>
  </si>
  <si>
    <t>D-iw-x/y=x+5</t>
  </si>
  <si>
    <t>D-iw-x/y=x+14</t>
  </si>
  <si>
    <t>D-iw-x/y=x+13</t>
  </si>
  <si>
    <t>D-iw-x/y=x+12</t>
  </si>
  <si>
    <t>D-iw-x/y=x+11</t>
  </si>
  <si>
    <t>D-iw-x/y=x+10</t>
  </si>
  <si>
    <t>D-iw-x/y=x+8</t>
  </si>
  <si>
    <t>D-iw-x/y=x+7</t>
  </si>
  <si>
    <t>D-iw-x/y=x+4</t>
  </si>
  <si>
    <t>D-iw-x/y=x+2</t>
  </si>
  <si>
    <t>x-y=-5</t>
  </si>
  <si>
    <t>x-y=-4</t>
  </si>
  <si>
    <t>x-y=-2</t>
  </si>
  <si>
    <t>x-y=-1</t>
  </si>
  <si>
    <t>x-y=+1</t>
  </si>
  <si>
    <t>x-y=+15</t>
  </si>
  <si>
    <t>x-y=+14</t>
  </si>
  <si>
    <t>x-y=+13</t>
  </si>
  <si>
    <t>x-y=+12</t>
  </si>
  <si>
    <t>x-y=+11</t>
  </si>
  <si>
    <t>x-y=+10</t>
  </si>
  <si>
    <t>x-y=+9</t>
  </si>
  <si>
    <t>x-y=+8</t>
  </si>
  <si>
    <t>x-y=+2</t>
  </si>
  <si>
    <t>x-y=+3</t>
  </si>
  <si>
    <t>x-y=+4</t>
  </si>
  <si>
    <t>x-y=+5</t>
  </si>
  <si>
    <t>x-y=+6</t>
  </si>
  <si>
    <t>x-y=+7</t>
  </si>
  <si>
    <t>D-w-x/y=x+15</t>
  </si>
  <si>
    <t>D-w-x/y=x-7</t>
  </si>
  <si>
    <t>D-w-x/y=x-5</t>
  </si>
  <si>
    <t>D-w-x/y=x-4</t>
  </si>
  <si>
    <t>D-w-x/y=x-2</t>
  </si>
  <si>
    <t>D-w-x/y=x-1</t>
  </si>
  <si>
    <t>D-w-x/y=x+1</t>
  </si>
  <si>
    <t>D-w-x/y=x+2</t>
  </si>
  <si>
    <t>D-w-x/y=x+4</t>
  </si>
  <si>
    <t>D-w-x/y=x+5</t>
  </si>
  <si>
    <t>D-w-x/y=x+7</t>
  </si>
  <si>
    <t>D-w-x/y=x+8</t>
  </si>
  <si>
    <t>D-w-x/y=x+10</t>
  </si>
  <si>
    <t>D-w-x/y=x+11</t>
  </si>
  <si>
    <t>D-w-x/y=x+12</t>
  </si>
  <si>
    <t>D-w-x/y=x+13</t>
  </si>
  <si>
    <t>D-w-x/y=x+14</t>
  </si>
  <si>
    <t>Anwartschaft eines Altersrentners auf Witwenrente (Individualmethode)</t>
  </si>
  <si>
    <t>D-iw-y/x=y+14</t>
  </si>
  <si>
    <t>D-iw-y/x=y+13</t>
  </si>
  <si>
    <t>D-iw-y/x=y+11</t>
  </si>
  <si>
    <t>D-iw-y/x=y+10</t>
  </si>
  <si>
    <t>D-iw-y/x=y+8</t>
  </si>
  <si>
    <t>D-iw-y/x=y+7</t>
  </si>
  <si>
    <t>D-iw-y/x=y+5</t>
  </si>
  <si>
    <t>D-iw-y/x=y+4</t>
  </si>
  <si>
    <t>D-iw-y/x=y+2</t>
  </si>
  <si>
    <t>D-iw-y/x=y+1</t>
  </si>
  <si>
    <t>D-iw-y/x=y-1</t>
  </si>
  <si>
    <t>D-iw-y/x=y-2</t>
  </si>
  <si>
    <t>D-iw-y/x=y-4</t>
  </si>
  <si>
    <t>D-iw-y/x=y-5</t>
  </si>
  <si>
    <t>D-iw-y/x=y-7</t>
  </si>
  <si>
    <t>D-iw-y/x=y-8</t>
  </si>
  <si>
    <t>D-iw-y/x=y-10</t>
  </si>
  <si>
    <t>D-iw-y/x=y-11</t>
  </si>
  <si>
    <t>D-iw-y/x=y-12</t>
  </si>
  <si>
    <t>D-iw-y/x=y-13</t>
  </si>
  <si>
    <t>D-iw-y/x=y-14</t>
  </si>
  <si>
    <t>D-iw-y/x=y-15</t>
  </si>
  <si>
    <t>y-x=-15</t>
  </si>
  <si>
    <t>y-x=-14</t>
  </si>
  <si>
    <t>y-x=-13</t>
  </si>
  <si>
    <t>y-x=-12</t>
  </si>
  <si>
    <t>y-x=-11</t>
  </si>
  <si>
    <t>y-x=-10</t>
  </si>
  <si>
    <t>y-x=-9</t>
  </si>
  <si>
    <t>y-x=-8</t>
  </si>
  <si>
    <t>y-x=-7</t>
  </si>
  <si>
    <t>y-x=-6</t>
  </si>
  <si>
    <t>y-x=-5</t>
  </si>
  <si>
    <t>y-x=-4</t>
  </si>
  <si>
    <t>y-x=-3</t>
  </si>
  <si>
    <t>y-x=-2</t>
  </si>
  <si>
    <t>y-x=-1</t>
  </si>
  <si>
    <t>y-x=0</t>
  </si>
  <si>
    <t>y-x=+1</t>
  </si>
  <si>
    <t>y-x=+2</t>
  </si>
  <si>
    <t>y-x=+3</t>
  </si>
  <si>
    <t>y-x=+4</t>
  </si>
  <si>
    <t>y-x=+5</t>
  </si>
  <si>
    <t>y-x=+6</t>
  </si>
  <si>
    <t>y-x=+7</t>
  </si>
  <si>
    <t>y-x=+8</t>
  </si>
  <si>
    <t>y-x=+9</t>
  </si>
  <si>
    <t>y-x=+10</t>
  </si>
  <si>
    <t>y-x=+11</t>
  </si>
  <si>
    <t>y-x=+12</t>
  </si>
  <si>
    <t>y-x=+13</t>
  </si>
  <si>
    <t>y-x=+14</t>
  </si>
  <si>
    <t>y-x=+15</t>
  </si>
  <si>
    <t>D-w-y/x=y+14</t>
  </si>
  <si>
    <t>D-w-y/x=y+13</t>
  </si>
  <si>
    <t>D-w-y/x=y+11</t>
  </si>
  <si>
    <t>D-w-y/x=y+10</t>
  </si>
  <si>
    <t>D-w-y/x=y+8</t>
  </si>
  <si>
    <t>D-w-y/x=y+7</t>
  </si>
  <si>
    <t>D-w-y/x=y+5</t>
  </si>
  <si>
    <t>D-w-y/x=y+4</t>
  </si>
  <si>
    <t>D-w-y/x=y+2</t>
  </si>
  <si>
    <t>D-w-y/x=y+1</t>
  </si>
  <si>
    <t>D-w-y/x=y-1</t>
  </si>
  <si>
    <t>D-w-y/x=y-2</t>
  </si>
  <si>
    <t>D-w-y/x=y-4</t>
  </si>
  <si>
    <t>D-w-y/x=y-5</t>
  </si>
  <si>
    <t>D-w-y/x=y-7</t>
  </si>
  <si>
    <t>D-w-y/x=y-8</t>
  </si>
  <si>
    <t>D-w-y/x=y-10</t>
  </si>
  <si>
    <t>D-w-y/x=y-11</t>
  </si>
  <si>
    <t>D-w-y/x=y-12</t>
  </si>
  <si>
    <t>D-w-y/x=y-13</t>
  </si>
  <si>
    <t>D-w-y/x=y-14</t>
  </si>
  <si>
    <t>D-w-y/x=y-15</t>
  </si>
  <si>
    <t>Anwartschaft einer Invalidenrentnerin auf Witwerrente (Individualmethode)</t>
  </si>
  <si>
    <t>Anwartschaft einer Altersrentnerin auf Witwerrente (Individualmethode)</t>
  </si>
  <si>
    <t>Tabelle 0</t>
  </si>
  <si>
    <t>Zinszahlen</t>
  </si>
  <si>
    <t>n</t>
  </si>
  <si>
    <r>
      <t>r</t>
    </r>
    <r>
      <rPr>
        <b/>
        <vertAlign val="superscript"/>
        <sz val="12"/>
        <rFont val="Times New Roman"/>
        <family val="1"/>
      </rPr>
      <t>n</t>
    </r>
  </si>
  <si>
    <r>
      <t>v</t>
    </r>
    <r>
      <rPr>
        <b/>
        <vertAlign val="superscript"/>
        <sz val="12"/>
        <rFont val="Times New Roman"/>
        <family val="1"/>
      </rPr>
      <t>n</t>
    </r>
  </si>
  <si>
    <r>
      <t>s</t>
    </r>
    <r>
      <rPr>
        <b/>
        <vertAlign val="subscript"/>
        <sz val="12"/>
        <rFont val="Times New Roman"/>
        <family val="1"/>
      </rPr>
      <t>n</t>
    </r>
  </si>
  <si>
    <r>
      <t>ä</t>
    </r>
    <r>
      <rPr>
        <b/>
        <vertAlign val="subscript"/>
        <sz val="12"/>
        <rFont val="Times New Roman"/>
        <family val="1"/>
      </rPr>
      <t>n</t>
    </r>
  </si>
  <si>
    <r>
      <t>ä</t>
    </r>
    <r>
      <rPr>
        <b/>
        <vertAlign val="subscript"/>
        <sz val="12"/>
        <rFont val="Times New Roman"/>
        <family val="1"/>
      </rPr>
      <t>n</t>
    </r>
    <r>
      <rPr>
        <b/>
        <vertAlign val="superscript"/>
        <sz val="12"/>
        <rFont val="Times New Roman"/>
        <family val="1"/>
      </rPr>
      <t>(m)</t>
    </r>
  </si>
  <si>
    <r>
      <t>a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x/y</t>
    </r>
  </si>
  <si>
    <r>
      <t>a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x/y</t>
    </r>
  </si>
  <si>
    <r>
      <t>a</t>
    </r>
    <r>
      <rPr>
        <b/>
        <vertAlign val="superscript"/>
        <sz val="12"/>
        <rFont val="Times New Roman"/>
        <family val="1"/>
      </rPr>
      <t>i(m)</t>
    </r>
    <r>
      <rPr>
        <b/>
        <vertAlign val="subscript"/>
        <sz val="12"/>
        <rFont val="Times New Roman"/>
        <family val="1"/>
      </rPr>
      <t>y/x</t>
    </r>
  </si>
  <si>
    <r>
      <t>a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y/x</t>
    </r>
  </si>
  <si>
    <t>TABELLENTEIL</t>
  </si>
  <si>
    <t>PARAMETER</t>
  </si>
  <si>
    <t>Berechnungsparameter</t>
  </si>
  <si>
    <t>Parametersbereich</t>
  </si>
  <si>
    <t>ganzzahlig!</t>
  </si>
  <si>
    <t>Zinsfuss (i)</t>
  </si>
  <si>
    <t>1, 2, 3, 4, 6, 12</t>
  </si>
  <si>
    <t>18 - 25</t>
  </si>
  <si>
    <t>EVK 2000</t>
  </si>
  <si>
    <r>
      <t>D</t>
    </r>
    <r>
      <rPr>
        <b/>
        <vertAlign val="subscript"/>
        <sz val="12"/>
        <rFont val="Times New Roman"/>
        <family val="1"/>
      </rPr>
      <t>x+z*-z_s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</si>
  <si>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x+z*-z_s</t>
    </r>
  </si>
  <si>
    <r>
      <t>D</t>
    </r>
    <r>
      <rPr>
        <b/>
        <vertAlign val="subscript"/>
        <sz val="12"/>
        <rFont val="Times New Roman"/>
        <family val="1"/>
      </rPr>
      <t>y+z*-z_s</t>
    </r>
  </si>
  <si>
    <r>
      <t>ä</t>
    </r>
    <r>
      <rPr>
        <b/>
        <vertAlign val="superscript"/>
        <sz val="12"/>
        <rFont val="Times New Roman"/>
        <family val="1"/>
      </rPr>
      <t>(m)</t>
    </r>
    <r>
      <rPr>
        <b/>
        <vertAlign val="subscript"/>
        <sz val="12"/>
        <rFont val="Times New Roman"/>
        <family val="1"/>
      </rPr>
      <t>y+z*-z_s</t>
    </r>
  </si>
  <si>
    <t>Achtung: es wird empfohlen diese Parameter nicht zu verändern!</t>
  </si>
  <si>
    <t>Version 2.0</t>
  </si>
  <si>
    <t>Compte d'épargne projeté à 64 ans</t>
  </si>
  <si>
    <t>age</t>
  </si>
  <si>
    <t>Annual insured salary</t>
  </si>
  <si>
    <t>Retirement pension</t>
  </si>
  <si>
    <t>Disability pension</t>
  </si>
  <si>
    <t>Surviving spouse pension</t>
  </si>
  <si>
    <t>n° d'assuré</t>
  </si>
  <si>
    <t>Pension for child of retired</t>
  </si>
  <si>
    <t>Pension for child of disabled</t>
  </si>
  <si>
    <t>Orphan pension</t>
  </si>
  <si>
    <t xml:space="preserve">PV of retirement pension </t>
  </si>
  <si>
    <t>PV of disability pension</t>
  </si>
  <si>
    <t>PV of survivng spouse pension</t>
  </si>
  <si>
    <t>PV of retired's child pension</t>
  </si>
  <si>
    <t>PV of disabled's child pension</t>
  </si>
  <si>
    <t>PV of orphan pension</t>
  </si>
  <si>
    <t>Contribution rate (risk part)</t>
  </si>
  <si>
    <t>Bonds</t>
  </si>
  <si>
    <t>Bonds foreign currency</t>
  </si>
  <si>
    <t>Equities Switzerland</t>
  </si>
  <si>
    <t>Equities Global</t>
  </si>
  <si>
    <t>Real estate Switzerland listed</t>
  </si>
  <si>
    <t>Real estate global listed</t>
  </si>
  <si>
    <t>Real estate Switzerland unlisted</t>
  </si>
  <si>
    <t>Real estate global unlisted</t>
  </si>
  <si>
    <t>Hedge funds</t>
  </si>
  <si>
    <t>Private equity</t>
  </si>
  <si>
    <t>Infrastructure</t>
  </si>
  <si>
    <t>Commodities</t>
  </si>
  <si>
    <t>yield</t>
  </si>
  <si>
    <t>risk</t>
  </si>
  <si>
    <t>Contribution rate</t>
  </si>
  <si>
    <t>Retirement Pension</t>
  </si>
  <si>
    <t>Disability Pension</t>
  </si>
  <si>
    <t>entry age in the pension fund</t>
  </si>
  <si>
    <r>
      <t>S</t>
    </r>
    <r>
      <rPr>
        <b/>
        <vertAlign val="subscript"/>
        <sz val="10"/>
        <rFont val="MS Sans Serif"/>
      </rPr>
      <t>x</t>
    </r>
    <r>
      <rPr>
        <b/>
        <vertAlign val="superscript"/>
        <sz val="10"/>
        <rFont val="MS Sans Serif"/>
      </rPr>
      <t>irm</t>
    </r>
  </si>
  <si>
    <t>PLP</t>
  </si>
  <si>
    <t>entryAge</t>
  </si>
  <si>
    <t>-</t>
  </si>
  <si>
    <t>InterestRate</t>
  </si>
  <si>
    <t>Variable name</t>
  </si>
  <si>
    <t>NumberCapitalisation</t>
  </si>
  <si>
    <t>RetirementAgeMen</t>
  </si>
  <si>
    <t>RetirementAgeWomen</t>
  </si>
  <si>
    <t>AgeChildrenMax</t>
  </si>
  <si>
    <t>Single</t>
  </si>
  <si>
    <t>Married</t>
  </si>
  <si>
    <t>Doit être à zero car utiliser comme multiplicateur</t>
  </si>
  <si>
    <t>t</t>
  </si>
  <si>
    <t>Reserves (average)</t>
  </si>
  <si>
    <t>Assets (average)</t>
  </si>
  <si>
    <t>DC  (average)</t>
  </si>
  <si>
    <t>Liabilities (average)</t>
  </si>
  <si>
    <t>Variance</t>
  </si>
  <si>
    <t>Men</t>
  </si>
  <si>
    <t>Women</t>
  </si>
  <si>
    <t>F</t>
  </si>
  <si>
    <t>M</t>
  </si>
  <si>
    <t>Gender</t>
  </si>
  <si>
    <t>Vested Benefits at time of disability</t>
  </si>
  <si>
    <t>age at which disability started</t>
  </si>
  <si>
    <t>average share allocation</t>
  </si>
  <si>
    <t>Asset min</t>
  </si>
  <si>
    <t>Asset 25%</t>
  </si>
  <si>
    <t>Asset 50%</t>
  </si>
  <si>
    <t>Asset 75%</t>
  </si>
  <si>
    <t>DC min</t>
  </si>
  <si>
    <t>DC 25%</t>
  </si>
  <si>
    <t>DC 50%</t>
  </si>
  <si>
    <t>DC 75%</t>
  </si>
  <si>
    <t>Asset 1%</t>
  </si>
  <si>
    <t>DC 1%</t>
  </si>
  <si>
    <t>current</t>
  </si>
  <si>
    <t>recommanded</t>
  </si>
  <si>
    <t>RECOMMANDED</t>
  </si>
  <si>
    <t>100% EQUITIES</t>
  </si>
  <si>
    <t>px(τ)</t>
  </si>
  <si>
    <t>qx'(d)</t>
  </si>
  <si>
    <t>qx'(i)</t>
  </si>
  <si>
    <t>qx(w)</t>
  </si>
  <si>
    <t>qx( r )</t>
  </si>
  <si>
    <t>qx'( r )</t>
  </si>
  <si>
    <t>qx'(w)</t>
  </si>
  <si>
    <t>qx(τ)</t>
  </si>
  <si>
    <t>qx(d)</t>
  </si>
  <si>
    <t>qx(i)</t>
  </si>
  <si>
    <t>px'(d)</t>
  </si>
  <si>
    <t>px'(i)</t>
  </si>
  <si>
    <t>px'®</t>
  </si>
  <si>
    <t>px'(w)</t>
  </si>
  <si>
    <t>px'( r )</t>
  </si>
  <si>
    <t>100% BONDS</t>
  </si>
  <si>
    <t>DC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</si>
</sst>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41" formatCode="_ * #,##0_ ;_ * \-#,##0_ ;_ * &quot;-&quot;_ ;_ @_ "/>
    <numFmt numFmtId="43" formatCode="_ * #,##0.00_ ;_ * \-#,##0.00_ ;_ * &quot;-&quot;??_ ;_ @_ "/>
    <numFmt numFmtId="164" formatCode="_ &quot;SFr.&quot;\ * #,##0_ ;_ &quot;SFr.&quot;\ * \-#,##0_ ;_ &quot;SFr.&quot;\ * &quot;-&quot;_ ;_ @_ "/>
    <numFmt numFmtId="165" formatCode="_ &quot;SFr.&quot;\ * #,##0.00_ ;_ &quot;SFr.&quot;\ * \-#,##0.00_ ;_ &quot;SFr.&quot;\ * &quot;-&quot;??_ ;_ @_ "/>
    <numFmt numFmtId="166" formatCode="#0.000000"/>
    <numFmt numFmtId="167" formatCode="0.000"/>
    <numFmt numFmtId="168" formatCode="0.00000"/>
    <numFmt numFmtId="169" formatCode="0.0"/>
    <numFmt numFmtId="170" formatCode="#0.00000"/>
    <numFmt numFmtId="171" formatCode="#,##0.000"/>
    <numFmt numFmtId="172" formatCode="0.000000"/>
    <numFmt numFmtId="173" formatCode="#,##0.00000"/>
    <numFmt numFmtId="174" formatCode="000"/>
    <numFmt numFmtId="175" formatCode="#,##0.00_ ;[Red]\-#,##0.00\ "/>
    <numFmt numFmtId="176" formatCode="0.00000000E+00"/>
    <numFmt numFmtId="177" formatCode="0.00000000"/>
    <numFmt numFmtId="178" formatCode="0.000000000"/>
    <numFmt numFmtId="179" formatCode="#,##0.000000000_ ;[Red]\-#,##0.000000000\ "/>
    <numFmt numFmtId="180" formatCode="#,##0.00_ ;\-#,##0.00\ "/>
    <numFmt numFmtId="181" formatCode="0.000%"/>
  </numFmts>
  <fonts count="30" x14ac:knownFonts="1">
    <font>
      <sz val="10"/>
      <name val="MS Sans Serif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0"/>
      <name val="MS Sans Serif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8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vertAlign val="super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0"/>
      <name val="Times New Roman"/>
      <family val="1"/>
    </font>
    <font>
      <sz val="18"/>
      <name val="Times New Roman"/>
      <family val="1"/>
    </font>
    <font>
      <sz val="24"/>
      <name val="Times New Roman"/>
      <family val="1"/>
    </font>
    <font>
      <sz val="26"/>
      <name val="Times New Roman"/>
      <family val="1"/>
    </font>
    <font>
      <sz val="26"/>
      <name val="MS Sans Serif"/>
      <family val="2"/>
    </font>
    <font>
      <b/>
      <sz val="12"/>
      <color indexed="10"/>
      <name val="Times New Roman"/>
      <family val="1"/>
    </font>
    <font>
      <sz val="30"/>
      <name val="Times New Roman"/>
      <family val="1"/>
    </font>
    <font>
      <sz val="30"/>
      <name val="MS Sans Serif"/>
      <family val="2"/>
    </font>
    <font>
      <sz val="14"/>
      <color indexed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name val="MS Sans Serif"/>
    </font>
    <font>
      <b/>
      <sz val="10"/>
      <name val="MS Sans Serif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MS Sans Serif"/>
    </font>
    <font>
      <b/>
      <vertAlign val="superscript"/>
      <sz val="10"/>
      <name val="MS Sans Serif"/>
    </font>
    <font>
      <b/>
      <sz val="10"/>
      <color rgb="FFFF0000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22" fillId="0" borderId="0"/>
    <xf numFmtId="0" fontId="2" fillId="0" borderId="0"/>
  </cellStyleXfs>
  <cellXfs count="228">
    <xf numFmtId="0" fontId="0" fillId="0" borderId="0" xfId="0"/>
    <xf numFmtId="0" fontId="5" fillId="0" borderId="0" xfId="0" applyFont="1" applyFill="1" applyBorder="1"/>
    <xf numFmtId="0" fontId="6" fillId="0" borderId="0" xfId="0" applyFont="1" applyFill="1" applyBorder="1" applyAlignment="1">
      <alignment horizontal="right"/>
    </xf>
    <xf numFmtId="10" fontId="5" fillId="0" borderId="0" xfId="0" applyNumberFormat="1" applyFont="1" applyFill="1" applyBorder="1"/>
    <xf numFmtId="0" fontId="6" fillId="0" borderId="0" xfId="0" applyFont="1" applyFill="1" applyBorder="1"/>
    <xf numFmtId="1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 applyAlignment="1">
      <alignment horizontal="center" vertical="center"/>
    </xf>
    <xf numFmtId="171" fontId="5" fillId="0" borderId="3" xfId="0" applyNumberFormat="1" applyFont="1" applyFill="1" applyBorder="1" applyAlignment="1">
      <alignment horizontal="center" vertical="center"/>
    </xf>
    <xf numFmtId="3" fontId="5" fillId="0" borderId="3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71" fontId="5" fillId="0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Fill="1" applyBorder="1" applyAlignment="1">
      <alignment horizontal="center" vertical="center"/>
    </xf>
    <xf numFmtId="170" fontId="5" fillId="0" borderId="3" xfId="0" applyNumberFormat="1" applyFont="1" applyFill="1" applyBorder="1" applyAlignment="1">
      <alignment horizontal="center" vertical="center"/>
    </xf>
    <xf numFmtId="170" fontId="5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71" fontId="5" fillId="0" borderId="3" xfId="0" applyNumberFormat="1" applyFont="1" applyFill="1" applyBorder="1" applyAlignment="1">
      <alignment horizontal="center"/>
    </xf>
    <xf numFmtId="3" fontId="5" fillId="0" borderId="3" xfId="0" applyNumberFormat="1" applyFont="1" applyFill="1" applyBorder="1" applyAlignment="1">
      <alignment horizontal="center"/>
    </xf>
    <xf numFmtId="171" fontId="5" fillId="0" borderId="2" xfId="0" applyNumberFormat="1" applyFont="1" applyFill="1" applyBorder="1" applyAlignment="1">
      <alignment horizontal="center"/>
    </xf>
    <xf numFmtId="3" fontId="5" fillId="0" borderId="2" xfId="0" applyNumberFormat="1" applyFont="1" applyFill="1" applyBorder="1" applyAlignment="1">
      <alignment horizontal="center"/>
    </xf>
    <xf numFmtId="170" fontId="5" fillId="0" borderId="3" xfId="0" applyNumberFormat="1" applyFont="1" applyFill="1" applyBorder="1" applyAlignment="1">
      <alignment horizontal="center"/>
    </xf>
    <xf numFmtId="170" fontId="5" fillId="0" borderId="2" xfId="0" applyNumberFormat="1" applyFont="1" applyFill="1" applyBorder="1" applyAlignment="1">
      <alignment horizontal="center"/>
    </xf>
    <xf numFmtId="4" fontId="5" fillId="0" borderId="3" xfId="0" applyNumberFormat="1" applyFont="1" applyFill="1" applyBorder="1" applyAlignment="1">
      <alignment horizontal="center"/>
    </xf>
    <xf numFmtId="4" fontId="5" fillId="0" borderId="2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10" fontId="6" fillId="0" borderId="0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167" fontId="5" fillId="0" borderId="2" xfId="0" applyNumberFormat="1" applyFont="1" applyFill="1" applyBorder="1" applyAlignment="1">
      <alignment horizontal="center"/>
    </xf>
    <xf numFmtId="4" fontId="5" fillId="0" borderId="3" xfId="0" applyNumberFormat="1" applyFon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6" fillId="0" borderId="0" xfId="0" applyNumberFormat="1" applyFont="1" applyFill="1" applyBorder="1" applyAlignment="1">
      <alignment horizontal="right" vertical="center"/>
    </xf>
    <xf numFmtId="167" fontId="5" fillId="0" borderId="1" xfId="0" applyNumberFormat="1" applyFont="1" applyFill="1" applyBorder="1"/>
    <xf numFmtId="167" fontId="5" fillId="0" borderId="2" xfId="0" applyNumberFormat="1" applyFont="1" applyFill="1" applyBorder="1"/>
    <xf numFmtId="167" fontId="5" fillId="0" borderId="3" xfId="0" applyNumberFormat="1" applyFont="1" applyFill="1" applyBorder="1" applyAlignment="1">
      <alignment horizontal="center"/>
    </xf>
    <xf numFmtId="167" fontId="5" fillId="0" borderId="0" xfId="0" applyNumberFormat="1" applyFont="1" applyFill="1" applyBorder="1"/>
    <xf numFmtId="167" fontId="6" fillId="0" borderId="0" xfId="0" applyNumberFormat="1" applyFont="1" applyFill="1" applyBorder="1" applyAlignment="1">
      <alignment horizontal="right"/>
    </xf>
    <xf numFmtId="167" fontId="6" fillId="0" borderId="0" xfId="0" applyNumberFormat="1" applyFont="1" applyFill="1" applyBorder="1" applyAlignment="1">
      <alignment horizontal="center"/>
    </xf>
    <xf numFmtId="0" fontId="5" fillId="0" borderId="0" xfId="5" applyFont="1" applyBorder="1" applyAlignment="1">
      <alignment horizontal="center" vertical="center"/>
    </xf>
    <xf numFmtId="0" fontId="6" fillId="0" borderId="0" xfId="5" applyFont="1" applyBorder="1" applyAlignment="1">
      <alignment horizontal="right" vertical="center"/>
    </xf>
    <xf numFmtId="0" fontId="12" fillId="0" borderId="0" xfId="5"/>
    <xf numFmtId="10" fontId="5" fillId="0" borderId="0" xfId="5" applyNumberFormat="1" applyFont="1" applyBorder="1" applyAlignment="1">
      <alignment horizontal="center" vertical="center"/>
    </xf>
    <xf numFmtId="0" fontId="6" fillId="0" borderId="0" xfId="5" applyFont="1" applyBorder="1" applyAlignment="1">
      <alignment vertical="center"/>
    </xf>
    <xf numFmtId="10" fontId="6" fillId="0" borderId="0" xfId="5" applyNumberFormat="1" applyFont="1" applyBorder="1" applyAlignment="1">
      <alignment horizontal="center" vertical="center"/>
    </xf>
    <xf numFmtId="0" fontId="5" fillId="0" borderId="5" xfId="5" applyFont="1" applyBorder="1" applyAlignment="1">
      <alignment horizontal="center" vertical="center"/>
    </xf>
    <xf numFmtId="0" fontId="6" fillId="0" borderId="0" xfId="5" applyFont="1" applyBorder="1" applyAlignment="1">
      <alignment horizontal="center" vertical="center"/>
    </xf>
    <xf numFmtId="0" fontId="5" fillId="0" borderId="1" xfId="5" applyFont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0" fontId="5" fillId="0" borderId="2" xfId="5" applyFont="1" applyBorder="1" applyAlignment="1">
      <alignment horizontal="center" vertical="center"/>
    </xf>
    <xf numFmtId="0" fontId="5" fillId="0" borderId="3" xfId="5" applyFont="1" applyBorder="1" applyAlignment="1">
      <alignment horizontal="center" vertical="center"/>
    </xf>
    <xf numFmtId="166" fontId="5" fillId="0" borderId="3" xfId="5" applyNumberFormat="1" applyFont="1" applyBorder="1" applyAlignment="1">
      <alignment horizontal="center" vertical="center"/>
    </xf>
    <xf numFmtId="167" fontId="5" fillId="0" borderId="3" xfId="5" applyNumberFormat="1" applyFont="1" applyBorder="1" applyAlignment="1">
      <alignment horizontal="center" vertical="center"/>
    </xf>
    <xf numFmtId="166" fontId="5" fillId="0" borderId="2" xfId="5" applyNumberFormat="1" applyFont="1" applyBorder="1" applyAlignment="1">
      <alignment horizontal="center" vertical="center"/>
    </xf>
    <xf numFmtId="167" fontId="5" fillId="0" borderId="2" xfId="5" applyNumberFormat="1" applyFont="1" applyBorder="1" applyAlignment="1">
      <alignment horizontal="center" vertical="center"/>
    </xf>
    <xf numFmtId="171" fontId="6" fillId="0" borderId="3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171" fontId="6" fillId="0" borderId="3" xfId="0" applyNumberFormat="1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73" fontId="5" fillId="0" borderId="1" xfId="0" applyNumberFormat="1" applyFont="1" applyFill="1" applyBorder="1"/>
    <xf numFmtId="173" fontId="5" fillId="0" borderId="2" xfId="0" applyNumberFormat="1" applyFont="1" applyFill="1" applyBorder="1"/>
    <xf numFmtId="173" fontId="5" fillId="0" borderId="0" xfId="0" applyNumberFormat="1" applyFont="1" applyFill="1" applyBorder="1"/>
    <xf numFmtId="173" fontId="6" fillId="0" borderId="0" xfId="0" applyNumberFormat="1" applyFont="1" applyFill="1" applyBorder="1" applyAlignment="1">
      <alignment horizontal="right"/>
    </xf>
    <xf numFmtId="0" fontId="8" fillId="0" borderId="0" xfId="0" applyFont="1"/>
    <xf numFmtId="173" fontId="6" fillId="0" borderId="0" xfId="0" applyNumberFormat="1" applyFont="1" applyFill="1" applyBorder="1"/>
    <xf numFmtId="173" fontId="5" fillId="0" borderId="3" xfId="0" applyNumberFormat="1" applyFont="1" applyFill="1" applyBorder="1" applyAlignment="1">
      <alignment horizontal="center"/>
    </xf>
    <xf numFmtId="169" fontId="5" fillId="0" borderId="3" xfId="0" applyNumberFormat="1" applyFont="1" applyFill="1" applyBorder="1" applyAlignment="1">
      <alignment horizontal="center"/>
    </xf>
    <xf numFmtId="173" fontId="5" fillId="0" borderId="2" xfId="0" applyNumberFormat="1" applyFont="1" applyFill="1" applyBorder="1" applyAlignment="1">
      <alignment horizontal="center"/>
    </xf>
    <xf numFmtId="169" fontId="5" fillId="0" borderId="2" xfId="0" applyNumberFormat="1" applyFont="1" applyFill="1" applyBorder="1" applyAlignment="1">
      <alignment horizontal="center"/>
    </xf>
    <xf numFmtId="166" fontId="5" fillId="0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/>
    <xf numFmtId="0" fontId="5" fillId="2" borderId="0" xfId="0" applyFont="1" applyFill="1" applyBorder="1"/>
    <xf numFmtId="0" fontId="5" fillId="2" borderId="1" xfId="0" applyFont="1" applyFill="1" applyBorder="1"/>
    <xf numFmtId="0" fontId="5" fillId="2" borderId="3" xfId="0" applyFont="1" applyFill="1" applyBorder="1"/>
    <xf numFmtId="0" fontId="5" fillId="2" borderId="2" xfId="0" applyFont="1" applyFill="1" applyBorder="1"/>
    <xf numFmtId="1" fontId="5" fillId="2" borderId="0" xfId="0" applyNumberFormat="1" applyFont="1" applyFill="1" applyBorder="1"/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0" fontId="5" fillId="0" borderId="0" xfId="0" applyNumberFormat="1" applyFont="1" applyFill="1" applyBorder="1" applyAlignment="1">
      <alignment horizontal="right"/>
    </xf>
    <xf numFmtId="168" fontId="5" fillId="0" borderId="3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69" fontId="5" fillId="0" borderId="3" xfId="0" applyNumberFormat="1" applyFont="1" applyFill="1" applyBorder="1" applyAlignment="1">
      <alignment horizontal="center" vertical="center"/>
    </xf>
    <xf numFmtId="168" fontId="5" fillId="0" borderId="2" xfId="0" applyNumberFormat="1" applyFont="1" applyFill="1" applyBorder="1" applyAlignment="1">
      <alignment horizontal="center" vertical="center"/>
    </xf>
    <xf numFmtId="169" fontId="5" fillId="0" borderId="2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 vertical="center"/>
    </xf>
    <xf numFmtId="10" fontId="5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9" fillId="0" borderId="4" xfId="0" applyFont="1" applyBorder="1" applyAlignment="1">
      <alignment horizontal="left" vertical="center"/>
    </xf>
    <xf numFmtId="10" fontId="9" fillId="0" borderId="4" xfId="4" applyNumberFormat="1" applyFont="1" applyBorder="1" applyAlignment="1">
      <alignment horizontal="center" vertical="center"/>
    </xf>
    <xf numFmtId="0" fontId="6" fillId="0" borderId="0" xfId="0" applyFont="1" applyProtection="1"/>
    <xf numFmtId="0" fontId="5" fillId="0" borderId="0" xfId="0" applyFont="1" applyProtection="1"/>
    <xf numFmtId="0" fontId="8" fillId="0" borderId="0" xfId="0" applyFont="1" applyProtection="1"/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Border="1" applyAlignment="1" applyProtection="1">
      <alignment horizontal="left" vertical="center"/>
    </xf>
    <xf numFmtId="172" fontId="5" fillId="0" borderId="0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9" fillId="0" borderId="4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left" vertical="center"/>
    </xf>
    <xf numFmtId="10" fontId="5" fillId="0" borderId="4" xfId="4" applyNumberFormat="1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center" vertical="center"/>
    </xf>
    <xf numFmtId="10" fontId="5" fillId="3" borderId="4" xfId="4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3" fontId="5" fillId="0" borderId="0" xfId="0" applyNumberFormat="1" applyFont="1" applyFill="1" applyBorder="1"/>
    <xf numFmtId="3" fontId="5" fillId="0" borderId="1" xfId="0" applyNumberFormat="1" applyFont="1" applyFill="1" applyBorder="1"/>
    <xf numFmtId="3" fontId="5" fillId="0" borderId="2" xfId="0" applyNumberFormat="1" applyFont="1" applyFill="1" applyBorder="1"/>
    <xf numFmtId="3" fontId="6" fillId="0" borderId="3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171" fontId="5" fillId="0" borderId="0" xfId="0" applyNumberFormat="1" applyFont="1" applyFill="1" applyBorder="1"/>
    <xf numFmtId="171" fontId="5" fillId="0" borderId="1" xfId="0" applyNumberFormat="1" applyFont="1" applyFill="1" applyBorder="1"/>
    <xf numFmtId="171" fontId="5" fillId="0" borderId="2" xfId="0" applyNumberFormat="1" applyFont="1" applyFill="1" applyBorder="1"/>
    <xf numFmtId="171" fontId="5" fillId="0" borderId="0" xfId="0" applyNumberFormat="1" applyFont="1" applyFill="1" applyBorder="1" applyAlignment="1">
      <alignment horizontal="center" vertical="center"/>
    </xf>
    <xf numFmtId="173" fontId="6" fillId="0" borderId="3" xfId="0" applyNumberFormat="1" applyFont="1" applyFill="1" applyBorder="1" applyAlignment="1">
      <alignment horizontal="center" vertical="center"/>
    </xf>
    <xf numFmtId="167" fontId="6" fillId="0" borderId="3" xfId="0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167" fontId="6" fillId="2" borderId="3" xfId="0" applyNumberFormat="1" applyFont="1" applyFill="1" applyBorder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174" fontId="0" fillId="0" borderId="0" xfId="0" applyNumberFormat="1"/>
    <xf numFmtId="0" fontId="3" fillId="0" borderId="0" xfId="0" applyFont="1" applyAlignment="1">
      <alignment horizontal="center" wrapText="1"/>
    </xf>
    <xf numFmtId="40" fontId="0" fillId="0" borderId="0" xfId="3" applyFont="1"/>
    <xf numFmtId="40" fontId="0" fillId="0" borderId="0" xfId="0" applyNumberFormat="1"/>
    <xf numFmtId="2" fontId="0" fillId="0" borderId="0" xfId="0" applyNumberFormat="1"/>
    <xf numFmtId="10" fontId="0" fillId="0" borderId="0" xfId="4" applyNumberFormat="1" applyFont="1"/>
    <xf numFmtId="175" fontId="0" fillId="0" borderId="0" xfId="0" applyNumberFormat="1"/>
    <xf numFmtId="1" fontId="0" fillId="0" borderId="0" xfId="0" applyNumberFormat="1"/>
    <xf numFmtId="0" fontId="0" fillId="0" borderId="0" xfId="4" applyNumberFormat="1" applyFont="1"/>
    <xf numFmtId="1" fontId="3" fillId="0" borderId="0" xfId="0" applyNumberFormat="1" applyFont="1"/>
    <xf numFmtId="0" fontId="3" fillId="0" borderId="0" xfId="0" applyFont="1"/>
    <xf numFmtId="1" fontId="24" fillId="0" borderId="0" xfId="0" applyNumberFormat="1" applyFont="1"/>
    <xf numFmtId="40" fontId="23" fillId="0" borderId="0" xfId="3" applyFont="1"/>
    <xf numFmtId="0" fontId="26" fillId="0" borderId="6" xfId="9" applyFont="1" applyBorder="1" applyAlignment="1">
      <alignment wrapText="1"/>
    </xf>
    <xf numFmtId="0" fontId="26" fillId="0" borderId="0" xfId="9" applyFont="1" applyAlignment="1">
      <alignment wrapText="1"/>
    </xf>
    <xf numFmtId="0" fontId="26" fillId="0" borderId="0" xfId="9" applyFont="1"/>
    <xf numFmtId="0" fontId="2" fillId="0" borderId="0" xfId="9"/>
    <xf numFmtId="10" fontId="25" fillId="0" borderId="0" xfId="9" applyNumberFormat="1" applyFont="1"/>
    <xf numFmtId="10" fontId="2" fillId="0" borderId="0" xfId="9" applyNumberFormat="1"/>
    <xf numFmtId="10" fontId="25" fillId="0" borderId="7" xfId="9" applyNumberFormat="1" applyFont="1" applyBorder="1"/>
    <xf numFmtId="10" fontId="2" fillId="0" borderId="0" xfId="9" applyNumberFormat="1" applyFont="1"/>
    <xf numFmtId="176" fontId="2" fillId="0" borderId="0" xfId="9" applyNumberFormat="1"/>
    <xf numFmtId="0" fontId="26" fillId="0" borderId="0" xfId="9" applyNumberFormat="1" applyFont="1"/>
    <xf numFmtId="177" fontId="26" fillId="0" borderId="0" xfId="9" applyNumberFormat="1" applyFont="1"/>
    <xf numFmtId="178" fontId="2" fillId="0" borderId="0" xfId="9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4" fillId="0" borderId="0" xfId="0" applyFont="1"/>
    <xf numFmtId="0" fontId="3" fillId="4" borderId="0" xfId="0" applyFont="1" applyFill="1" applyAlignment="1">
      <alignment horizontal="center" wrapText="1"/>
    </xf>
    <xf numFmtId="0" fontId="0" fillId="4" borderId="0" xfId="0" applyFill="1"/>
    <xf numFmtId="174" fontId="0" fillId="4" borderId="0" xfId="0" applyNumberFormat="1" applyFill="1"/>
    <xf numFmtId="0" fontId="0" fillId="0" borderId="0" xfId="0" applyAlignment="1">
      <alignment horizontal="center"/>
    </xf>
    <xf numFmtId="0" fontId="29" fillId="0" borderId="0" xfId="0" applyFont="1"/>
    <xf numFmtId="175" fontId="0" fillId="4" borderId="0" xfId="3" applyNumberFormat="1" applyFont="1" applyFill="1"/>
    <xf numFmtId="10" fontId="3" fillId="0" borderId="0" xfId="4" applyNumberFormat="1" applyFont="1" applyAlignment="1">
      <alignment horizontal="center" wrapText="1"/>
    </xf>
    <xf numFmtId="10" fontId="0" fillId="4" borderId="0" xfId="4" applyNumberFormat="1" applyFont="1" applyFill="1"/>
    <xf numFmtId="0" fontId="0" fillId="0" borderId="0" xfId="0" applyAlignment="1">
      <alignment horizontal="center"/>
    </xf>
    <xf numFmtId="179" fontId="0" fillId="0" borderId="0" xfId="0" applyNumberFormat="1"/>
    <xf numFmtId="0" fontId="0" fillId="0" borderId="0" xfId="0" applyFill="1"/>
    <xf numFmtId="0" fontId="5" fillId="0" borderId="0" xfId="0" quotePrefix="1" applyFont="1" applyAlignment="1">
      <alignment horizontal="left" vertical="center"/>
    </xf>
    <xf numFmtId="180" fontId="23" fillId="0" borderId="0" xfId="3" applyNumberFormat="1" applyFont="1"/>
    <xf numFmtId="40" fontId="24" fillId="0" borderId="0" xfId="3" applyFont="1"/>
    <xf numFmtId="0" fontId="5" fillId="0" borderId="0" xfId="0" applyFont="1" applyFill="1" applyBorder="1" applyAlignment="1">
      <alignment wrapText="1"/>
    </xf>
    <xf numFmtId="0" fontId="3" fillId="5" borderId="0" xfId="0" applyFont="1" applyFill="1" applyAlignment="1">
      <alignment horizontal="center" wrapText="1"/>
    </xf>
    <xf numFmtId="0" fontId="0" fillId="5" borderId="0" xfId="0" applyFill="1"/>
    <xf numFmtId="174" fontId="0" fillId="5" borderId="0" xfId="0" applyNumberFormat="1" applyFill="1"/>
    <xf numFmtId="49" fontId="0" fillId="5" borderId="0" xfId="3" applyNumberFormat="1" applyFont="1" applyFill="1"/>
    <xf numFmtId="9" fontId="0" fillId="0" borderId="0" xfId="4" applyFont="1"/>
    <xf numFmtId="10" fontId="26" fillId="0" borderId="0" xfId="9" applyNumberFormat="1" applyFont="1"/>
    <xf numFmtId="0" fontId="0" fillId="0" borderId="0" xfId="0" applyNumberFormat="1"/>
    <xf numFmtId="9" fontId="3" fillId="0" borderId="0" xfId="4" applyFont="1"/>
    <xf numFmtId="10" fontId="1" fillId="0" borderId="0" xfId="9" applyNumberFormat="1" applyFont="1"/>
    <xf numFmtId="181" fontId="2" fillId="0" borderId="0" xfId="4" applyNumberFormat="1" applyFont="1"/>
    <xf numFmtId="181" fontId="2" fillId="0" borderId="0" xfId="9" applyNumberFormat="1"/>
    <xf numFmtId="10" fontId="26" fillId="0" borderId="0" xfId="4" applyNumberFormat="1" applyFont="1"/>
    <xf numFmtId="10" fontId="24" fillId="0" borderId="0" xfId="4" applyNumberFormat="1" applyFont="1"/>
    <xf numFmtId="0" fontId="0" fillId="0" borderId="1" xfId="0" applyBorder="1"/>
    <xf numFmtId="0" fontId="0" fillId="0" borderId="2" xfId="0" applyBorder="1"/>
    <xf numFmtId="168" fontId="0" fillId="0" borderId="1" xfId="0" applyNumberFormat="1" applyBorder="1"/>
    <xf numFmtId="2" fontId="0" fillId="0" borderId="1" xfId="0" applyNumberFormat="1" applyFill="1" applyBorder="1"/>
    <xf numFmtId="0" fontId="0" fillId="0" borderId="1" xfId="0" applyFill="1" applyBorder="1"/>
    <xf numFmtId="168" fontId="0" fillId="0" borderId="3" xfId="0" applyNumberFormat="1" applyBorder="1"/>
    <xf numFmtId="2" fontId="0" fillId="0" borderId="3" xfId="0" applyNumberFormat="1" applyFill="1" applyBorder="1"/>
    <xf numFmtId="0" fontId="0" fillId="0" borderId="3" xfId="0" applyFill="1" applyBorder="1"/>
    <xf numFmtId="0" fontId="0" fillId="0" borderId="3" xfId="0" applyBorder="1"/>
    <xf numFmtId="168" fontId="0" fillId="0" borderId="2" xfId="0" applyNumberFormat="1" applyBorder="1"/>
    <xf numFmtId="2" fontId="0" fillId="0" borderId="2" xfId="0" applyNumberFormat="1" applyFill="1" applyBorder="1"/>
    <xf numFmtId="0" fontId="0" fillId="0" borderId="2" xfId="0" applyFill="1" applyBorder="1"/>
    <xf numFmtId="168" fontId="0" fillId="0" borderId="11" xfId="0" applyNumberFormat="1" applyBorder="1"/>
    <xf numFmtId="168" fontId="0" fillId="0" borderId="12" xfId="0" applyNumberFormat="1" applyBorder="1"/>
    <xf numFmtId="0" fontId="0" fillId="0" borderId="0" xfId="0" applyBorder="1"/>
    <xf numFmtId="0" fontId="0" fillId="0" borderId="13" xfId="0" applyBorder="1"/>
    <xf numFmtId="168" fontId="0" fillId="0" borderId="13" xfId="0" applyNumberFormat="1" applyBorder="1"/>
    <xf numFmtId="168" fontId="0" fillId="0" borderId="0" xfId="0" applyNumberFormat="1" applyBorder="1"/>
    <xf numFmtId="168" fontId="0" fillId="0" borderId="14" xfId="0" applyNumberFormat="1" applyBorder="1"/>
    <xf numFmtId="2" fontId="0" fillId="0" borderId="14" xfId="0" applyNumberFormat="1" applyFill="1" applyBorder="1"/>
    <xf numFmtId="0" fontId="0" fillId="0" borderId="14" xfId="0" applyFill="1" applyBorder="1"/>
    <xf numFmtId="0" fontId="0" fillId="0" borderId="14" xfId="0" applyBorder="1"/>
    <xf numFmtId="0" fontId="0" fillId="0" borderId="12" xfId="0" applyBorder="1"/>
    <xf numFmtId="0" fontId="15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9" fontId="24" fillId="0" borderId="0" xfId="4" applyFont="1"/>
  </cellXfs>
  <cellStyles count="10">
    <cellStyle name="Dezimal [0]_Zinszahlen" xfId="1"/>
    <cellStyle name="Dezimal_Zinszahlen" xfId="2"/>
    <cellStyle name="Milliers" xfId="3" builtinId="3"/>
    <cellStyle name="Normal" xfId="0" builtinId="0"/>
    <cellStyle name="Normal 2" xfId="8"/>
    <cellStyle name="Normal 3" xfId="9"/>
    <cellStyle name="Pourcentage" xfId="4" builtinId="5"/>
    <cellStyle name="Standard_Zinszahlen" xfId="5"/>
    <cellStyle name="Währung [0]_Zinszahlen" xfId="6"/>
    <cellStyle name="Währung_Zinszahlen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9C9FB"/>
      <color rgb="FFFBA7F5"/>
      <color rgb="FFFF7575"/>
      <color rgb="FFFF8B8B"/>
      <color rgb="FF28F8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Total of contributions  and prestations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of contribution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Result!$A$1:$A$6</c:f>
              <c:numCache>
                <c:formatCode>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Result!$B$1:$B$6</c:f>
              <c:numCache>
                <c:formatCode>#,##0.00_);[Red]\(#,##0.00\)</c:formatCode>
                <c:ptCount val="6"/>
                <c:pt idx="0">
                  <c:v>940840.98445197556</c:v>
                </c:pt>
                <c:pt idx="1">
                  <c:v>876882.60376849642</c:v>
                </c:pt>
                <c:pt idx="2">
                  <c:v>868339.84404816618</c:v>
                </c:pt>
                <c:pt idx="3">
                  <c:v>848755.2200917023</c:v>
                </c:pt>
                <c:pt idx="4">
                  <c:v>833888.52532810927</c:v>
                </c:pt>
                <c:pt idx="5">
                  <c:v>815203.71162186726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E-4E2B-8506-EDE778C907F1}"/>
            </c:ext>
          </c:extLst>
        </c:ser>
        <c:ser>
          <c:idx val="1"/>
          <c:order val="1"/>
          <c:tx>
            <c:v>Total of prestattions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Result!$A$1:$A$6</c:f>
              <c:numCache>
                <c:formatCode>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Result!$C$1:$C$6</c:f>
              <c:numCache>
                <c:formatCode>#,##0.00_);[Red]\(#,##0.00\)</c:formatCode>
                <c:ptCount val="6"/>
                <c:pt idx="0">
                  <c:v>562862.32653609465</c:v>
                </c:pt>
                <c:pt idx="1">
                  <c:v>291417.06799397815</c:v>
                </c:pt>
                <c:pt idx="2">
                  <c:v>368413.60132044466</c:v>
                </c:pt>
                <c:pt idx="3">
                  <c:v>455004.86709406553</c:v>
                </c:pt>
                <c:pt idx="4">
                  <c:v>526126.1845207864</c:v>
                </c:pt>
                <c:pt idx="5">
                  <c:v>538147.9614463941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0E-4E2B-8506-EDE778C9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991744"/>
        <c:axId val="40993536"/>
      </c:barChart>
      <c:catAx>
        <c:axId val="409917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3536"/>
        <c:crosses val="autoZero"/>
        <c:auto val="1"/>
        <c:lblAlgn val="ctr"/>
        <c:lblOffset val="100"/>
        <c:noMultiLvlLbl val="0"/>
      </c:catAx>
      <c:valAx>
        <c:axId val="409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45271843609519"/>
          <c:y val="6.0809050305016918E-2"/>
          <c:w val="0.75090512194143255"/>
          <c:h val="0.73279506536283201"/>
        </c:manualLayout>
      </c:layout>
      <c:barChart>
        <c:barDir val="col"/>
        <c:grouping val="clustered"/>
        <c:varyColors val="0"/>
        <c:ser>
          <c:idx val="0"/>
          <c:order val="0"/>
          <c:tx>
            <c:v>Liabilities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result2!$B$1:$V$1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result2!$B$4:$G$4</c:f>
              <c:numCache>
                <c:formatCode>#,##0.00_);[Red]\(#,##0.00\)</c:formatCode>
                <c:ptCount val="6"/>
                <c:pt idx="0">
                  <c:v>36085225.119268529</c:v>
                </c:pt>
                <c:pt idx="1">
                  <c:v>24187155.589851752</c:v>
                </c:pt>
                <c:pt idx="2">
                  <c:v>25001936.452253718</c:v>
                </c:pt>
                <c:pt idx="3">
                  <c:v>25942160.656362407</c:v>
                </c:pt>
                <c:pt idx="4">
                  <c:v>26844133.6259665</c:v>
                </c:pt>
                <c:pt idx="5">
                  <c:v>26247780.227177534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2-468B-8269-E60D58BAEB77}"/>
            </c:ext>
          </c:extLst>
        </c:ser>
        <c:ser>
          <c:idx val="1"/>
          <c:order val="1"/>
          <c:tx>
            <c:v>Assets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result2!$B$1:$V$1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result2!$B$3:$G$3</c:f>
              <c:numCache>
                <c:formatCode>#,##0.00_ ;\-#,##0.00\ </c:formatCode>
                <c:ptCount val="6"/>
                <c:pt idx="1">
                  <c:v>26605871.148836888</c:v>
                </c:pt>
                <c:pt idx="2">
                  <c:v>27249148.628280461</c:v>
                </c:pt>
                <c:pt idx="3">
                  <c:v>27825772.790714554</c:v>
                </c:pt>
                <c:pt idx="4">
                  <c:v>28317338.591025215</c:v>
                </c:pt>
                <c:pt idx="5">
                  <c:v>28675198.365918677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2-468B-8269-E60D58BAE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9451696"/>
        <c:axId val="599452024"/>
      </c:barChart>
      <c:lineChart>
        <c:grouping val="standard"/>
        <c:varyColors val="0"/>
        <c:ser>
          <c:idx val="2"/>
          <c:order val="2"/>
          <c:tx>
            <c:v>DC average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result2!$B$5:$G$5</c:f>
              <c:numCache>
                <c:formatCode>0.00%</c:formatCode>
                <c:ptCount val="6"/>
                <c:pt idx="1">
                  <c:v>1.0999999999999983</c:v>
                </c:pt>
                <c:pt idx="2">
                  <c:v>1.0898815249898044</c:v>
                </c:pt>
                <c:pt idx="3">
                  <c:v>1.0726081439130315</c:v>
                </c:pt>
                <c:pt idx="4">
                  <c:v>1.0548799594572751</c:v>
                </c:pt>
                <c:pt idx="5">
                  <c:v>1.0924808923928637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D-4C97-8395-E8E496178AEC}"/>
            </c:ext>
          </c:extLst>
        </c:ser>
        <c:ser>
          <c:idx val="3"/>
          <c:order val="3"/>
          <c:tx>
            <c:v>DC min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result2!$B$14:$G$14</c:f>
              <c:numCache>
                <c:formatCode>0%</c:formatCode>
                <c:ptCount val="6"/>
                <c:pt idx="1">
                  <c:v>0.818357305895275</c:v>
                </c:pt>
                <c:pt idx="2">
                  <c:v>0.7774887320805558</c:v>
                </c:pt>
                <c:pt idx="3">
                  <c:v>0.72320646255714682</c:v>
                </c:pt>
                <c:pt idx="4">
                  <c:v>0.69652997251056514</c:v>
                </c:pt>
                <c:pt idx="5">
                  <c:v>0.7257023463274781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3-47E1-BF29-E92D92859B76}"/>
            </c:ext>
          </c:extLst>
        </c:ser>
        <c:ser>
          <c:idx val="4"/>
          <c:order val="4"/>
          <c:tx>
            <c:v>DC 25%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result2!$B$15:$G$15</c:f>
              <c:numCache>
                <c:formatCode>0%</c:formatCode>
                <c:ptCount val="6"/>
                <c:pt idx="1">
                  <c:v>1.0363264558480052</c:v>
                </c:pt>
                <c:pt idx="2">
                  <c:v>1.02131809207613</c:v>
                </c:pt>
                <c:pt idx="3">
                  <c:v>0.99948662217629358</c:v>
                </c:pt>
                <c:pt idx="4">
                  <c:v>0.97836303686955162</c:v>
                </c:pt>
                <c:pt idx="5">
                  <c:v>1.0132318880885316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3-47E1-BF29-E92D92859B76}"/>
            </c:ext>
          </c:extLst>
        </c:ser>
        <c:ser>
          <c:idx val="5"/>
          <c:order val="5"/>
          <c:tx>
            <c:v>DC 50%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result2!$B$16:$G$16</c:f>
              <c:numCache>
                <c:formatCode>0%</c:formatCode>
                <c:ptCount val="6"/>
                <c:pt idx="1">
                  <c:v>1.0873451400415588</c:v>
                </c:pt>
                <c:pt idx="2">
                  <c:v>1.0784608825317448</c:v>
                </c:pt>
                <c:pt idx="3">
                  <c:v>1.0630575992352558</c:v>
                </c:pt>
                <c:pt idx="4">
                  <c:v>1.0443781430918695</c:v>
                </c:pt>
                <c:pt idx="5">
                  <c:v>1.0807994032419863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43-47E1-BF29-E92D92859B76}"/>
            </c:ext>
          </c:extLst>
        </c:ser>
        <c:ser>
          <c:idx val="6"/>
          <c:order val="6"/>
          <c:tx>
            <c:v>DC 75%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result2!$B$17:$G$17</c:f>
              <c:numCache>
                <c:formatCode>0%</c:formatCode>
                <c:ptCount val="6"/>
                <c:pt idx="1">
                  <c:v>1.149859160922291</c:v>
                </c:pt>
                <c:pt idx="2">
                  <c:v>1.1424584412395975</c:v>
                </c:pt>
                <c:pt idx="3">
                  <c:v>1.1265173753829685</c:v>
                </c:pt>
                <c:pt idx="4">
                  <c:v>1.1179990251227541</c:v>
                </c:pt>
                <c:pt idx="5">
                  <c:v>1.157253323067795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3-47E1-BF29-E92D92859B76}"/>
            </c:ext>
          </c:extLst>
        </c:ser>
        <c:ser>
          <c:idx val="7"/>
          <c:order val="7"/>
          <c:tx>
            <c:v>DC 100%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result2!$B$18:$G$18</c:f>
              <c:numCache>
                <c:formatCode>0%</c:formatCode>
                <c:ptCount val="6"/>
                <c:pt idx="1">
                  <c:v>0.90344582580831334</c:v>
                </c:pt>
                <c:pt idx="2">
                  <c:v>0.88740172359556546</c:v>
                </c:pt>
                <c:pt idx="3">
                  <c:v>0.84855670613103351</c:v>
                </c:pt>
                <c:pt idx="4">
                  <c:v>0.83110073917561944</c:v>
                </c:pt>
                <c:pt idx="5">
                  <c:v>0.86010484761547512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43-47E1-BF29-E92D92859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77248"/>
        <c:axId val="598377576"/>
      </c:lineChart>
      <c:catAx>
        <c:axId val="59945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9452024"/>
        <c:crosses val="autoZero"/>
        <c:auto val="1"/>
        <c:lblAlgn val="ctr"/>
        <c:lblOffset val="100"/>
        <c:noMultiLvlLbl val="0"/>
      </c:catAx>
      <c:valAx>
        <c:axId val="59945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9451696"/>
        <c:crosses val="autoZero"/>
        <c:crossBetween val="between"/>
      </c:valAx>
      <c:valAx>
        <c:axId val="598377576"/>
        <c:scaling>
          <c:orientation val="minMax"/>
          <c:max val="1.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8377248"/>
        <c:crosses val="max"/>
        <c:crossBetween val="between"/>
      </c:valAx>
      <c:catAx>
        <c:axId val="598377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8377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95295094037344"/>
          <c:y val="4.0681818341444367E-2"/>
          <c:w val="0.88337864913415121"/>
          <c:h val="0.73206048161762671"/>
        </c:manualLayout>
      </c:layout>
      <c:lineChart>
        <c:grouping val="standard"/>
        <c:varyColors val="0"/>
        <c:ser>
          <c:idx val="0"/>
          <c:order val="0"/>
          <c:tx>
            <c:v>RECOMMANDED : DC MIN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result2!$B$47:$G$47</c:f>
              <c:numCache>
                <c:formatCode>General</c:formatCode>
                <c:ptCount val="6"/>
                <c:pt idx="1">
                  <c:v>0.86474310247965258</c:v>
                </c:pt>
                <c:pt idx="2">
                  <c:v>0.80381553526303606</c:v>
                </c:pt>
                <c:pt idx="3">
                  <c:v>0.84559836014254575</c:v>
                </c:pt>
                <c:pt idx="4">
                  <c:v>0.83316649514978136</c:v>
                </c:pt>
                <c:pt idx="5">
                  <c:v>0.80578495047940546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D-4850-BA29-3E6F2F7D103E}"/>
            </c:ext>
          </c:extLst>
        </c:ser>
        <c:ser>
          <c:idx val="2"/>
          <c:order val="1"/>
          <c:tx>
            <c:v>RECOMMANDED: DC 1%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result2!$B$51:$G$51</c:f>
              <c:numCache>
                <c:formatCode>General</c:formatCode>
                <c:ptCount val="6"/>
                <c:pt idx="1">
                  <c:v>0.90780487757224448</c:v>
                </c:pt>
                <c:pt idx="2">
                  <c:v>0.92770743476419171</c:v>
                </c:pt>
                <c:pt idx="3">
                  <c:v>0.8887709469514935</c:v>
                </c:pt>
                <c:pt idx="4">
                  <c:v>0.8877332683920941</c:v>
                </c:pt>
                <c:pt idx="5">
                  <c:v>0.87127740760861139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9D-4850-BA29-3E6F2F7D103E}"/>
            </c:ext>
          </c:extLst>
        </c:ser>
        <c:ser>
          <c:idx val="4"/>
          <c:order val="2"/>
          <c:tx>
            <c:v>RECOMMANDED: DC 50%</c:v>
          </c:tx>
          <c:spPr>
            <a:ln w="28575" cap="rnd">
              <a:solidFill>
                <a:srgbClr val="28F84B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result2!$B$49:$G$49</c:f>
              <c:numCache>
                <c:formatCode>General</c:formatCode>
                <c:ptCount val="6"/>
                <c:pt idx="1">
                  <c:v>1.092611816426343</c:v>
                </c:pt>
                <c:pt idx="2">
                  <c:v>1.1314412801920064</c:v>
                </c:pt>
                <c:pt idx="3">
                  <c:v>1.1559897228800553</c:v>
                </c:pt>
                <c:pt idx="4">
                  <c:v>1.1821669256600562</c:v>
                </c:pt>
                <c:pt idx="5">
                  <c:v>1.2753287492486691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9D-4850-BA29-3E6F2F7D103E}"/>
            </c:ext>
          </c:extLst>
        </c:ser>
        <c:ser>
          <c:idx val="1"/>
          <c:order val="3"/>
          <c:tx>
            <c:v>100% EQUITIES: DC MIN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result2!$B$54:$G$54</c:f>
              <c:numCache>
                <c:formatCode>General</c:formatCode>
                <c:ptCount val="6"/>
                <c:pt idx="1">
                  <c:v>0.81227203132514825</c:v>
                </c:pt>
                <c:pt idx="2">
                  <c:v>0.66074242168973119</c:v>
                </c:pt>
                <c:pt idx="3">
                  <c:v>0.65725384586153102</c:v>
                </c:pt>
                <c:pt idx="4">
                  <c:v>0.61746701873043153</c:v>
                </c:pt>
                <c:pt idx="5">
                  <c:v>0.45641128481268789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9D-4850-BA29-3E6F2F7D103E}"/>
            </c:ext>
          </c:extLst>
        </c:ser>
        <c:ser>
          <c:idx val="3"/>
          <c:order val="4"/>
          <c:tx>
            <c:v>100% EQUITIES: DC1%</c:v>
          </c:tx>
          <c:spPr>
            <a:ln w="28575" cap="rnd">
              <a:solidFill>
                <a:srgbClr val="FF7575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result2!$B$58:$G$58</c:f>
              <c:numCache>
                <c:formatCode>General</c:formatCode>
                <c:ptCount val="6"/>
                <c:pt idx="1">
                  <c:v>0.88221073580170795</c:v>
                </c:pt>
                <c:pt idx="2">
                  <c:v>0.76344928481865315</c:v>
                </c:pt>
                <c:pt idx="3">
                  <c:v>0.75730764257513461</c:v>
                </c:pt>
                <c:pt idx="4">
                  <c:v>0.70204418705216654</c:v>
                </c:pt>
                <c:pt idx="5">
                  <c:v>0.613682101400161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9D-4850-BA29-3E6F2F7D103E}"/>
            </c:ext>
          </c:extLst>
        </c:ser>
        <c:ser>
          <c:idx val="5"/>
          <c:order val="5"/>
          <c:tx>
            <c:v>100% EQUITIES: DC 50%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result2!$B$1:$G$1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result2!$B$56:$G$56</c:f>
              <c:numCache>
                <c:formatCode>General</c:formatCode>
                <c:ptCount val="6"/>
                <c:pt idx="1">
                  <c:v>1.0945266278613246</c:v>
                </c:pt>
                <c:pt idx="2">
                  <c:v>1.1642971635391621</c:v>
                </c:pt>
                <c:pt idx="3">
                  <c:v>1.2125895525562884</c:v>
                </c:pt>
                <c:pt idx="4">
                  <c:v>1.2599517836759804</c:v>
                </c:pt>
                <c:pt idx="5">
                  <c:v>1.4073419777912934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9D-4850-BA29-3E6F2F7D103E}"/>
            </c:ext>
          </c:extLst>
        </c:ser>
        <c:ser>
          <c:idx val="6"/>
          <c:order val="6"/>
          <c:tx>
            <c:v>100% BONDS : DC MIN</c:v>
          </c:tx>
          <c:spPr>
            <a:ln w="28575" cap="rnd">
              <a:solidFill>
                <a:srgbClr val="C9C9FB"/>
              </a:solidFill>
              <a:round/>
            </a:ln>
            <a:effectLst/>
          </c:spPr>
          <c:marker>
            <c:symbol val="none"/>
          </c:marker>
          <c:val>
            <c:numRef>
              <c:f>result2!$B$61:$G$61</c:f>
              <c:numCache>
                <c:formatCode>General</c:formatCode>
                <c:ptCount val="6"/>
                <c:pt idx="1">
                  <c:v>0.81727351806587012</c:v>
                </c:pt>
                <c:pt idx="2">
                  <c:v>0.78985071087685832</c:v>
                </c:pt>
                <c:pt idx="3">
                  <c:v>0.77875906406644357</c:v>
                </c:pt>
                <c:pt idx="4">
                  <c:v>0.77880852163784997</c:v>
                </c:pt>
                <c:pt idx="5">
                  <c:v>0.76658335818042334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D-41A5-A6EF-FCD5A4D2135E}"/>
            </c:ext>
          </c:extLst>
        </c:ser>
        <c:ser>
          <c:idx val="7"/>
          <c:order val="7"/>
          <c:tx>
            <c:v>100% BONDS: DC 1%</c:v>
          </c:tx>
          <c:spPr>
            <a:ln w="28575" cap="rnd">
              <a:solidFill>
                <a:srgbClr val="FBA7F5"/>
              </a:solidFill>
              <a:round/>
            </a:ln>
            <a:effectLst/>
          </c:spPr>
          <c:marker>
            <c:symbol val="none"/>
          </c:marker>
          <c:val>
            <c:numRef>
              <c:f>result2!$B$65:$G$65</c:f>
              <c:numCache>
                <c:formatCode>General</c:formatCode>
                <c:ptCount val="6"/>
                <c:pt idx="1">
                  <c:v>0.87786432487052524</c:v>
                </c:pt>
                <c:pt idx="2">
                  <c:v>0.8816116486145068</c:v>
                </c:pt>
                <c:pt idx="3">
                  <c:v>0.86726273846574353</c:v>
                </c:pt>
                <c:pt idx="4">
                  <c:v>0.83694466817290591</c:v>
                </c:pt>
                <c:pt idx="5">
                  <c:v>0.85720178938765934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D-41A5-A6EF-FCD5A4D2135E}"/>
            </c:ext>
          </c:extLst>
        </c:ser>
        <c:ser>
          <c:idx val="8"/>
          <c:order val="8"/>
          <c:tx>
            <c:v>100% BONDS: DC 50%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result2!$B$63:$G$63</c:f>
              <c:numCache>
                <c:formatCode>General</c:formatCode>
                <c:ptCount val="6"/>
                <c:pt idx="1">
                  <c:v>1.090829938626888</c:v>
                </c:pt>
                <c:pt idx="2">
                  <c:v>1.084001007690367</c:v>
                </c:pt>
                <c:pt idx="3">
                  <c:v>1.0755762639141959</c:v>
                </c:pt>
                <c:pt idx="4">
                  <c:v>1.0575072012983284</c:v>
                </c:pt>
                <c:pt idx="5">
                  <c:v>1.0978053061035304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ED-41A5-A6EF-FCD5A4D21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591512"/>
        <c:axId val="583587904"/>
      </c:lineChart>
      <c:catAx>
        <c:axId val="583591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triangle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3587904"/>
        <c:crosses val="autoZero"/>
        <c:auto val="1"/>
        <c:lblAlgn val="ctr"/>
        <c:lblOffset val="100"/>
        <c:noMultiLvlLbl val="0"/>
      </c:catAx>
      <c:valAx>
        <c:axId val="583587904"/>
        <c:scaling>
          <c:orientation val="minMax"/>
          <c:max val="1.4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FUNDING</a:t>
                </a:r>
                <a:r>
                  <a:rPr lang="fr-CH" baseline="0"/>
                  <a:t> LEVEL</a:t>
                </a:r>
                <a:endParaRPr lang="fr-CH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solidFill>
              <a:srgbClr val="C9C9FB"/>
            </a:solidFill>
            <a:tailEnd type="triangle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359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619925478141786E-2"/>
          <c:y val="0.9103417086514205"/>
          <c:w val="0.87020150441069666"/>
          <c:h val="8.21502539854841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190500</xdr:rowOff>
        </xdr:from>
        <xdr:to>
          <xdr:col>0</xdr:col>
          <xdr:colOff>0</xdr:colOff>
          <xdr:row>6</xdr:row>
          <xdr:rowOff>38100</xdr:rowOff>
        </xdr:to>
        <xdr:sp macro="" textlink="">
          <xdr:nvSpPr>
            <xdr:cNvPr id="1049" name="Object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9525</xdr:rowOff>
        </xdr:from>
        <xdr:to>
          <xdr:col>0</xdr:col>
          <xdr:colOff>0</xdr:colOff>
          <xdr:row>6</xdr:row>
          <xdr:rowOff>19050</xdr:rowOff>
        </xdr:to>
        <xdr:sp macro="" textlink="">
          <xdr:nvSpPr>
            <xdr:cNvPr id="1052" name="Object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190500</xdr:rowOff>
        </xdr:from>
        <xdr:to>
          <xdr:col>0</xdr:col>
          <xdr:colOff>0</xdr:colOff>
          <xdr:row>6</xdr:row>
          <xdr:rowOff>19050</xdr:rowOff>
        </xdr:to>
        <xdr:sp macro="" textlink="">
          <xdr:nvSpPr>
            <xdr:cNvPr id="1053" name="Object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0</xdr:colOff>
          <xdr:row>6</xdr:row>
          <xdr:rowOff>28575</xdr:rowOff>
        </xdr:to>
        <xdr:sp macro="" textlink="">
          <xdr:nvSpPr>
            <xdr:cNvPr id="1055" name="Object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9525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56" name="Object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371762</xdr:colOff>
      <xdr:row>1</xdr:row>
      <xdr:rowOff>138382</xdr:rowOff>
    </xdr:from>
    <xdr:to>
      <xdr:col>13</xdr:col>
      <xdr:colOff>7646</xdr:colOff>
      <xdr:row>18</xdr:row>
      <xdr:rowOff>141313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41129</xdr:colOff>
      <xdr:row>21</xdr:row>
      <xdr:rowOff>16454</xdr:rowOff>
    </xdr:from>
    <xdr:to>
      <xdr:col>7</xdr:col>
      <xdr:colOff>641265</xdr:colOff>
      <xdr:row>42</xdr:row>
      <xdr:rowOff>89420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195943</xdr:colOff>
      <xdr:row>44</xdr:row>
      <xdr:rowOff>125127</xdr:rowOff>
    </xdr:from>
    <xdr:to>
      <xdr:col>15</xdr:col>
      <xdr:colOff>231321</xdr:colOff>
      <xdr:row>72</xdr:row>
      <xdr:rowOff>54429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9" Type="http://schemas.openxmlformats.org/officeDocument/2006/relationships/printerSettings" Target="../printerSettings/printerSettings39.bin"/><Relationship Id="rId21" Type="http://schemas.openxmlformats.org/officeDocument/2006/relationships/printerSettings" Target="../printerSettings/printerSettings21.bin"/><Relationship Id="rId34" Type="http://schemas.openxmlformats.org/officeDocument/2006/relationships/printerSettings" Target="../printerSettings/printerSettings34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29" Type="http://schemas.openxmlformats.org/officeDocument/2006/relationships/printerSettings" Target="../printerSettings/printerSettings29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61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74.bin"/><Relationship Id="rId18" Type="http://schemas.openxmlformats.org/officeDocument/2006/relationships/printerSettings" Target="../printerSettings/printerSettings79.bin"/><Relationship Id="rId26" Type="http://schemas.openxmlformats.org/officeDocument/2006/relationships/printerSettings" Target="../printerSettings/printerSettings87.bin"/><Relationship Id="rId39" Type="http://schemas.openxmlformats.org/officeDocument/2006/relationships/printerSettings" Target="../printerSettings/printerSettings100.bin"/><Relationship Id="rId21" Type="http://schemas.openxmlformats.org/officeDocument/2006/relationships/printerSettings" Target="../printerSettings/printerSettings82.bin"/><Relationship Id="rId34" Type="http://schemas.openxmlformats.org/officeDocument/2006/relationships/printerSettings" Target="../printerSettings/printerSettings95.bin"/><Relationship Id="rId42" Type="http://schemas.openxmlformats.org/officeDocument/2006/relationships/printerSettings" Target="../printerSettings/printerSettings103.bin"/><Relationship Id="rId47" Type="http://schemas.openxmlformats.org/officeDocument/2006/relationships/printerSettings" Target="../printerSettings/printerSettings108.bin"/><Relationship Id="rId50" Type="http://schemas.openxmlformats.org/officeDocument/2006/relationships/printerSettings" Target="../printerSettings/printerSettings111.bin"/><Relationship Id="rId55" Type="http://schemas.openxmlformats.org/officeDocument/2006/relationships/printerSettings" Target="../printerSettings/printerSettings116.bin"/><Relationship Id="rId7" Type="http://schemas.openxmlformats.org/officeDocument/2006/relationships/printerSettings" Target="../printerSettings/printerSettings68.bin"/><Relationship Id="rId12" Type="http://schemas.openxmlformats.org/officeDocument/2006/relationships/printerSettings" Target="../printerSettings/printerSettings73.bin"/><Relationship Id="rId17" Type="http://schemas.openxmlformats.org/officeDocument/2006/relationships/printerSettings" Target="../printerSettings/printerSettings78.bin"/><Relationship Id="rId25" Type="http://schemas.openxmlformats.org/officeDocument/2006/relationships/printerSettings" Target="../printerSettings/printerSettings86.bin"/><Relationship Id="rId33" Type="http://schemas.openxmlformats.org/officeDocument/2006/relationships/printerSettings" Target="../printerSettings/printerSettings94.bin"/><Relationship Id="rId38" Type="http://schemas.openxmlformats.org/officeDocument/2006/relationships/printerSettings" Target="../printerSettings/printerSettings99.bin"/><Relationship Id="rId46" Type="http://schemas.openxmlformats.org/officeDocument/2006/relationships/printerSettings" Target="../printerSettings/printerSettings107.bin"/><Relationship Id="rId59" Type="http://schemas.openxmlformats.org/officeDocument/2006/relationships/printerSettings" Target="../printerSettings/printerSettings120.bin"/><Relationship Id="rId2" Type="http://schemas.openxmlformats.org/officeDocument/2006/relationships/printerSettings" Target="../printerSettings/printerSettings63.bin"/><Relationship Id="rId16" Type="http://schemas.openxmlformats.org/officeDocument/2006/relationships/printerSettings" Target="../printerSettings/printerSettings77.bin"/><Relationship Id="rId20" Type="http://schemas.openxmlformats.org/officeDocument/2006/relationships/printerSettings" Target="../printerSettings/printerSettings81.bin"/><Relationship Id="rId29" Type="http://schemas.openxmlformats.org/officeDocument/2006/relationships/printerSettings" Target="../printerSettings/printerSettings90.bin"/><Relationship Id="rId41" Type="http://schemas.openxmlformats.org/officeDocument/2006/relationships/printerSettings" Target="../printerSettings/printerSettings102.bin"/><Relationship Id="rId54" Type="http://schemas.openxmlformats.org/officeDocument/2006/relationships/printerSettings" Target="../printerSettings/printerSettings115.bin"/><Relationship Id="rId1" Type="http://schemas.openxmlformats.org/officeDocument/2006/relationships/printerSettings" Target="../printerSettings/printerSettings62.bin"/><Relationship Id="rId6" Type="http://schemas.openxmlformats.org/officeDocument/2006/relationships/printerSettings" Target="../printerSettings/printerSettings67.bin"/><Relationship Id="rId11" Type="http://schemas.openxmlformats.org/officeDocument/2006/relationships/printerSettings" Target="../printerSettings/printerSettings72.bin"/><Relationship Id="rId24" Type="http://schemas.openxmlformats.org/officeDocument/2006/relationships/printerSettings" Target="../printerSettings/printerSettings85.bin"/><Relationship Id="rId32" Type="http://schemas.openxmlformats.org/officeDocument/2006/relationships/printerSettings" Target="../printerSettings/printerSettings93.bin"/><Relationship Id="rId37" Type="http://schemas.openxmlformats.org/officeDocument/2006/relationships/printerSettings" Target="../printerSettings/printerSettings98.bin"/><Relationship Id="rId40" Type="http://schemas.openxmlformats.org/officeDocument/2006/relationships/printerSettings" Target="../printerSettings/printerSettings101.bin"/><Relationship Id="rId45" Type="http://schemas.openxmlformats.org/officeDocument/2006/relationships/printerSettings" Target="../printerSettings/printerSettings106.bin"/><Relationship Id="rId53" Type="http://schemas.openxmlformats.org/officeDocument/2006/relationships/printerSettings" Target="../printerSettings/printerSettings114.bin"/><Relationship Id="rId58" Type="http://schemas.openxmlformats.org/officeDocument/2006/relationships/printerSettings" Target="../printerSettings/printerSettings119.bin"/><Relationship Id="rId5" Type="http://schemas.openxmlformats.org/officeDocument/2006/relationships/printerSettings" Target="../printerSettings/printerSettings66.bin"/><Relationship Id="rId15" Type="http://schemas.openxmlformats.org/officeDocument/2006/relationships/printerSettings" Target="../printerSettings/printerSettings76.bin"/><Relationship Id="rId23" Type="http://schemas.openxmlformats.org/officeDocument/2006/relationships/printerSettings" Target="../printerSettings/printerSettings84.bin"/><Relationship Id="rId28" Type="http://schemas.openxmlformats.org/officeDocument/2006/relationships/printerSettings" Target="../printerSettings/printerSettings89.bin"/><Relationship Id="rId36" Type="http://schemas.openxmlformats.org/officeDocument/2006/relationships/printerSettings" Target="../printerSettings/printerSettings97.bin"/><Relationship Id="rId49" Type="http://schemas.openxmlformats.org/officeDocument/2006/relationships/printerSettings" Target="../printerSettings/printerSettings110.bin"/><Relationship Id="rId57" Type="http://schemas.openxmlformats.org/officeDocument/2006/relationships/printerSettings" Target="../printerSettings/printerSettings118.bin"/><Relationship Id="rId10" Type="http://schemas.openxmlformats.org/officeDocument/2006/relationships/printerSettings" Target="../printerSettings/printerSettings71.bin"/><Relationship Id="rId19" Type="http://schemas.openxmlformats.org/officeDocument/2006/relationships/printerSettings" Target="../printerSettings/printerSettings80.bin"/><Relationship Id="rId31" Type="http://schemas.openxmlformats.org/officeDocument/2006/relationships/printerSettings" Target="../printerSettings/printerSettings92.bin"/><Relationship Id="rId44" Type="http://schemas.openxmlformats.org/officeDocument/2006/relationships/printerSettings" Target="../printerSettings/printerSettings105.bin"/><Relationship Id="rId52" Type="http://schemas.openxmlformats.org/officeDocument/2006/relationships/printerSettings" Target="../printerSettings/printerSettings113.bin"/><Relationship Id="rId4" Type="http://schemas.openxmlformats.org/officeDocument/2006/relationships/printerSettings" Target="../printerSettings/printerSettings65.bin"/><Relationship Id="rId9" Type="http://schemas.openxmlformats.org/officeDocument/2006/relationships/printerSettings" Target="../printerSettings/printerSettings70.bin"/><Relationship Id="rId14" Type="http://schemas.openxmlformats.org/officeDocument/2006/relationships/printerSettings" Target="../printerSettings/printerSettings75.bin"/><Relationship Id="rId22" Type="http://schemas.openxmlformats.org/officeDocument/2006/relationships/printerSettings" Target="../printerSettings/printerSettings83.bin"/><Relationship Id="rId27" Type="http://schemas.openxmlformats.org/officeDocument/2006/relationships/printerSettings" Target="../printerSettings/printerSettings88.bin"/><Relationship Id="rId30" Type="http://schemas.openxmlformats.org/officeDocument/2006/relationships/printerSettings" Target="../printerSettings/printerSettings91.bin"/><Relationship Id="rId35" Type="http://schemas.openxmlformats.org/officeDocument/2006/relationships/printerSettings" Target="../printerSettings/printerSettings96.bin"/><Relationship Id="rId43" Type="http://schemas.openxmlformats.org/officeDocument/2006/relationships/printerSettings" Target="../printerSettings/printerSettings104.bin"/><Relationship Id="rId48" Type="http://schemas.openxmlformats.org/officeDocument/2006/relationships/printerSettings" Target="../printerSettings/printerSettings109.bin"/><Relationship Id="rId56" Type="http://schemas.openxmlformats.org/officeDocument/2006/relationships/printerSettings" Target="../printerSettings/printerSettings117.bin"/><Relationship Id="rId8" Type="http://schemas.openxmlformats.org/officeDocument/2006/relationships/printerSettings" Target="../printerSettings/printerSettings69.bin"/><Relationship Id="rId51" Type="http://schemas.openxmlformats.org/officeDocument/2006/relationships/printerSettings" Target="../printerSettings/printerSettings112.bin"/><Relationship Id="rId3" Type="http://schemas.openxmlformats.org/officeDocument/2006/relationships/printerSettings" Target="../printerSettings/printerSettings64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33.bin"/><Relationship Id="rId18" Type="http://schemas.openxmlformats.org/officeDocument/2006/relationships/printerSettings" Target="../printerSettings/printerSettings138.bin"/><Relationship Id="rId26" Type="http://schemas.openxmlformats.org/officeDocument/2006/relationships/printerSettings" Target="../printerSettings/printerSettings146.bin"/><Relationship Id="rId39" Type="http://schemas.openxmlformats.org/officeDocument/2006/relationships/printerSettings" Target="../printerSettings/printerSettings159.bin"/><Relationship Id="rId21" Type="http://schemas.openxmlformats.org/officeDocument/2006/relationships/printerSettings" Target="../printerSettings/printerSettings141.bin"/><Relationship Id="rId34" Type="http://schemas.openxmlformats.org/officeDocument/2006/relationships/printerSettings" Target="../printerSettings/printerSettings154.bin"/><Relationship Id="rId42" Type="http://schemas.openxmlformats.org/officeDocument/2006/relationships/printerSettings" Target="../printerSettings/printerSettings162.bin"/><Relationship Id="rId47" Type="http://schemas.openxmlformats.org/officeDocument/2006/relationships/printerSettings" Target="../printerSettings/printerSettings167.bin"/><Relationship Id="rId50" Type="http://schemas.openxmlformats.org/officeDocument/2006/relationships/printerSettings" Target="../printerSettings/printerSettings170.bin"/><Relationship Id="rId55" Type="http://schemas.openxmlformats.org/officeDocument/2006/relationships/printerSettings" Target="../printerSettings/printerSettings175.bin"/><Relationship Id="rId7" Type="http://schemas.openxmlformats.org/officeDocument/2006/relationships/printerSettings" Target="../printerSettings/printerSettings127.bin"/><Relationship Id="rId2" Type="http://schemas.openxmlformats.org/officeDocument/2006/relationships/printerSettings" Target="../printerSettings/printerSettings122.bin"/><Relationship Id="rId16" Type="http://schemas.openxmlformats.org/officeDocument/2006/relationships/printerSettings" Target="../printerSettings/printerSettings136.bin"/><Relationship Id="rId20" Type="http://schemas.openxmlformats.org/officeDocument/2006/relationships/printerSettings" Target="../printerSettings/printerSettings140.bin"/><Relationship Id="rId29" Type="http://schemas.openxmlformats.org/officeDocument/2006/relationships/printerSettings" Target="../printerSettings/printerSettings149.bin"/><Relationship Id="rId41" Type="http://schemas.openxmlformats.org/officeDocument/2006/relationships/printerSettings" Target="../printerSettings/printerSettings161.bin"/><Relationship Id="rId54" Type="http://schemas.openxmlformats.org/officeDocument/2006/relationships/printerSettings" Target="../printerSettings/printerSettings174.bin"/><Relationship Id="rId1" Type="http://schemas.openxmlformats.org/officeDocument/2006/relationships/printerSettings" Target="../printerSettings/printerSettings121.bin"/><Relationship Id="rId6" Type="http://schemas.openxmlformats.org/officeDocument/2006/relationships/printerSettings" Target="../printerSettings/printerSettings126.bin"/><Relationship Id="rId11" Type="http://schemas.openxmlformats.org/officeDocument/2006/relationships/printerSettings" Target="../printerSettings/printerSettings131.bin"/><Relationship Id="rId24" Type="http://schemas.openxmlformats.org/officeDocument/2006/relationships/printerSettings" Target="../printerSettings/printerSettings144.bin"/><Relationship Id="rId32" Type="http://schemas.openxmlformats.org/officeDocument/2006/relationships/printerSettings" Target="../printerSettings/printerSettings152.bin"/><Relationship Id="rId37" Type="http://schemas.openxmlformats.org/officeDocument/2006/relationships/printerSettings" Target="../printerSettings/printerSettings157.bin"/><Relationship Id="rId40" Type="http://schemas.openxmlformats.org/officeDocument/2006/relationships/printerSettings" Target="../printerSettings/printerSettings160.bin"/><Relationship Id="rId45" Type="http://schemas.openxmlformats.org/officeDocument/2006/relationships/printerSettings" Target="../printerSettings/printerSettings165.bin"/><Relationship Id="rId53" Type="http://schemas.openxmlformats.org/officeDocument/2006/relationships/printerSettings" Target="../printerSettings/printerSettings173.bin"/><Relationship Id="rId58" Type="http://schemas.openxmlformats.org/officeDocument/2006/relationships/printerSettings" Target="../printerSettings/printerSettings178.bin"/><Relationship Id="rId5" Type="http://schemas.openxmlformats.org/officeDocument/2006/relationships/printerSettings" Target="../printerSettings/printerSettings125.bin"/><Relationship Id="rId15" Type="http://schemas.openxmlformats.org/officeDocument/2006/relationships/printerSettings" Target="../printerSettings/printerSettings135.bin"/><Relationship Id="rId23" Type="http://schemas.openxmlformats.org/officeDocument/2006/relationships/printerSettings" Target="../printerSettings/printerSettings143.bin"/><Relationship Id="rId28" Type="http://schemas.openxmlformats.org/officeDocument/2006/relationships/printerSettings" Target="../printerSettings/printerSettings148.bin"/><Relationship Id="rId36" Type="http://schemas.openxmlformats.org/officeDocument/2006/relationships/printerSettings" Target="../printerSettings/printerSettings156.bin"/><Relationship Id="rId49" Type="http://schemas.openxmlformats.org/officeDocument/2006/relationships/printerSettings" Target="../printerSettings/printerSettings169.bin"/><Relationship Id="rId57" Type="http://schemas.openxmlformats.org/officeDocument/2006/relationships/printerSettings" Target="../printerSettings/printerSettings177.bin"/><Relationship Id="rId61" Type="http://schemas.openxmlformats.org/officeDocument/2006/relationships/printerSettings" Target="../printerSettings/printerSettings181.bin"/><Relationship Id="rId10" Type="http://schemas.openxmlformats.org/officeDocument/2006/relationships/printerSettings" Target="../printerSettings/printerSettings130.bin"/><Relationship Id="rId19" Type="http://schemas.openxmlformats.org/officeDocument/2006/relationships/printerSettings" Target="../printerSettings/printerSettings139.bin"/><Relationship Id="rId31" Type="http://schemas.openxmlformats.org/officeDocument/2006/relationships/printerSettings" Target="../printerSettings/printerSettings151.bin"/><Relationship Id="rId44" Type="http://schemas.openxmlformats.org/officeDocument/2006/relationships/printerSettings" Target="../printerSettings/printerSettings164.bin"/><Relationship Id="rId52" Type="http://schemas.openxmlformats.org/officeDocument/2006/relationships/printerSettings" Target="../printerSettings/printerSettings172.bin"/><Relationship Id="rId60" Type="http://schemas.openxmlformats.org/officeDocument/2006/relationships/printerSettings" Target="../printerSettings/printerSettings180.bin"/><Relationship Id="rId4" Type="http://schemas.openxmlformats.org/officeDocument/2006/relationships/printerSettings" Target="../printerSettings/printerSettings124.bin"/><Relationship Id="rId9" Type="http://schemas.openxmlformats.org/officeDocument/2006/relationships/printerSettings" Target="../printerSettings/printerSettings129.bin"/><Relationship Id="rId14" Type="http://schemas.openxmlformats.org/officeDocument/2006/relationships/printerSettings" Target="../printerSettings/printerSettings134.bin"/><Relationship Id="rId22" Type="http://schemas.openxmlformats.org/officeDocument/2006/relationships/printerSettings" Target="../printerSettings/printerSettings142.bin"/><Relationship Id="rId27" Type="http://schemas.openxmlformats.org/officeDocument/2006/relationships/printerSettings" Target="../printerSettings/printerSettings147.bin"/><Relationship Id="rId30" Type="http://schemas.openxmlformats.org/officeDocument/2006/relationships/printerSettings" Target="../printerSettings/printerSettings150.bin"/><Relationship Id="rId35" Type="http://schemas.openxmlformats.org/officeDocument/2006/relationships/printerSettings" Target="../printerSettings/printerSettings155.bin"/><Relationship Id="rId43" Type="http://schemas.openxmlformats.org/officeDocument/2006/relationships/printerSettings" Target="../printerSettings/printerSettings163.bin"/><Relationship Id="rId48" Type="http://schemas.openxmlformats.org/officeDocument/2006/relationships/printerSettings" Target="../printerSettings/printerSettings168.bin"/><Relationship Id="rId56" Type="http://schemas.openxmlformats.org/officeDocument/2006/relationships/printerSettings" Target="../printerSettings/printerSettings176.bin"/><Relationship Id="rId8" Type="http://schemas.openxmlformats.org/officeDocument/2006/relationships/printerSettings" Target="../printerSettings/printerSettings128.bin"/><Relationship Id="rId51" Type="http://schemas.openxmlformats.org/officeDocument/2006/relationships/printerSettings" Target="../printerSettings/printerSettings171.bin"/><Relationship Id="rId3" Type="http://schemas.openxmlformats.org/officeDocument/2006/relationships/printerSettings" Target="../printerSettings/printerSettings123.bin"/><Relationship Id="rId12" Type="http://schemas.openxmlformats.org/officeDocument/2006/relationships/printerSettings" Target="../printerSettings/printerSettings132.bin"/><Relationship Id="rId17" Type="http://schemas.openxmlformats.org/officeDocument/2006/relationships/printerSettings" Target="../printerSettings/printerSettings137.bin"/><Relationship Id="rId25" Type="http://schemas.openxmlformats.org/officeDocument/2006/relationships/printerSettings" Target="../printerSettings/printerSettings145.bin"/><Relationship Id="rId33" Type="http://schemas.openxmlformats.org/officeDocument/2006/relationships/printerSettings" Target="../printerSettings/printerSettings153.bin"/><Relationship Id="rId38" Type="http://schemas.openxmlformats.org/officeDocument/2006/relationships/printerSettings" Target="../printerSettings/printerSettings158.bin"/><Relationship Id="rId46" Type="http://schemas.openxmlformats.org/officeDocument/2006/relationships/printerSettings" Target="../printerSettings/printerSettings166.bin"/><Relationship Id="rId59" Type="http://schemas.openxmlformats.org/officeDocument/2006/relationships/printerSettings" Target="../printerSettings/printerSettings179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94.bin"/><Relationship Id="rId18" Type="http://schemas.openxmlformats.org/officeDocument/2006/relationships/printerSettings" Target="../printerSettings/printerSettings199.bin"/><Relationship Id="rId26" Type="http://schemas.openxmlformats.org/officeDocument/2006/relationships/printerSettings" Target="../printerSettings/printerSettings207.bin"/><Relationship Id="rId39" Type="http://schemas.openxmlformats.org/officeDocument/2006/relationships/printerSettings" Target="../printerSettings/printerSettings220.bin"/><Relationship Id="rId21" Type="http://schemas.openxmlformats.org/officeDocument/2006/relationships/printerSettings" Target="../printerSettings/printerSettings202.bin"/><Relationship Id="rId34" Type="http://schemas.openxmlformats.org/officeDocument/2006/relationships/printerSettings" Target="../printerSettings/printerSettings215.bin"/><Relationship Id="rId42" Type="http://schemas.openxmlformats.org/officeDocument/2006/relationships/printerSettings" Target="../printerSettings/printerSettings223.bin"/><Relationship Id="rId47" Type="http://schemas.openxmlformats.org/officeDocument/2006/relationships/printerSettings" Target="../printerSettings/printerSettings228.bin"/><Relationship Id="rId50" Type="http://schemas.openxmlformats.org/officeDocument/2006/relationships/printerSettings" Target="../printerSettings/printerSettings231.bin"/><Relationship Id="rId55" Type="http://schemas.openxmlformats.org/officeDocument/2006/relationships/printerSettings" Target="../printerSettings/printerSettings236.bin"/><Relationship Id="rId7" Type="http://schemas.openxmlformats.org/officeDocument/2006/relationships/printerSettings" Target="../printerSettings/printerSettings188.bin"/><Relationship Id="rId2" Type="http://schemas.openxmlformats.org/officeDocument/2006/relationships/printerSettings" Target="../printerSettings/printerSettings183.bin"/><Relationship Id="rId16" Type="http://schemas.openxmlformats.org/officeDocument/2006/relationships/printerSettings" Target="../printerSettings/printerSettings197.bin"/><Relationship Id="rId20" Type="http://schemas.openxmlformats.org/officeDocument/2006/relationships/printerSettings" Target="../printerSettings/printerSettings201.bin"/><Relationship Id="rId29" Type="http://schemas.openxmlformats.org/officeDocument/2006/relationships/printerSettings" Target="../printerSettings/printerSettings210.bin"/><Relationship Id="rId41" Type="http://schemas.openxmlformats.org/officeDocument/2006/relationships/printerSettings" Target="../printerSettings/printerSettings222.bin"/><Relationship Id="rId54" Type="http://schemas.openxmlformats.org/officeDocument/2006/relationships/printerSettings" Target="../printerSettings/printerSettings235.bin"/><Relationship Id="rId1" Type="http://schemas.openxmlformats.org/officeDocument/2006/relationships/printerSettings" Target="../printerSettings/printerSettings182.bin"/><Relationship Id="rId6" Type="http://schemas.openxmlformats.org/officeDocument/2006/relationships/printerSettings" Target="../printerSettings/printerSettings187.bin"/><Relationship Id="rId11" Type="http://schemas.openxmlformats.org/officeDocument/2006/relationships/printerSettings" Target="../printerSettings/printerSettings192.bin"/><Relationship Id="rId24" Type="http://schemas.openxmlformats.org/officeDocument/2006/relationships/printerSettings" Target="../printerSettings/printerSettings205.bin"/><Relationship Id="rId32" Type="http://schemas.openxmlformats.org/officeDocument/2006/relationships/printerSettings" Target="../printerSettings/printerSettings213.bin"/><Relationship Id="rId37" Type="http://schemas.openxmlformats.org/officeDocument/2006/relationships/printerSettings" Target="../printerSettings/printerSettings218.bin"/><Relationship Id="rId40" Type="http://schemas.openxmlformats.org/officeDocument/2006/relationships/printerSettings" Target="../printerSettings/printerSettings221.bin"/><Relationship Id="rId45" Type="http://schemas.openxmlformats.org/officeDocument/2006/relationships/printerSettings" Target="../printerSettings/printerSettings226.bin"/><Relationship Id="rId53" Type="http://schemas.openxmlformats.org/officeDocument/2006/relationships/printerSettings" Target="../printerSettings/printerSettings234.bin"/><Relationship Id="rId58" Type="http://schemas.openxmlformats.org/officeDocument/2006/relationships/printerSettings" Target="../printerSettings/printerSettings239.bin"/><Relationship Id="rId5" Type="http://schemas.openxmlformats.org/officeDocument/2006/relationships/printerSettings" Target="../printerSettings/printerSettings186.bin"/><Relationship Id="rId15" Type="http://schemas.openxmlformats.org/officeDocument/2006/relationships/printerSettings" Target="../printerSettings/printerSettings196.bin"/><Relationship Id="rId23" Type="http://schemas.openxmlformats.org/officeDocument/2006/relationships/printerSettings" Target="../printerSettings/printerSettings204.bin"/><Relationship Id="rId28" Type="http://schemas.openxmlformats.org/officeDocument/2006/relationships/printerSettings" Target="../printerSettings/printerSettings209.bin"/><Relationship Id="rId36" Type="http://schemas.openxmlformats.org/officeDocument/2006/relationships/printerSettings" Target="../printerSettings/printerSettings217.bin"/><Relationship Id="rId49" Type="http://schemas.openxmlformats.org/officeDocument/2006/relationships/printerSettings" Target="../printerSettings/printerSettings230.bin"/><Relationship Id="rId57" Type="http://schemas.openxmlformats.org/officeDocument/2006/relationships/printerSettings" Target="../printerSettings/printerSettings238.bin"/><Relationship Id="rId61" Type="http://schemas.openxmlformats.org/officeDocument/2006/relationships/printerSettings" Target="../printerSettings/printerSettings242.bin"/><Relationship Id="rId10" Type="http://schemas.openxmlformats.org/officeDocument/2006/relationships/printerSettings" Target="../printerSettings/printerSettings191.bin"/><Relationship Id="rId19" Type="http://schemas.openxmlformats.org/officeDocument/2006/relationships/printerSettings" Target="../printerSettings/printerSettings200.bin"/><Relationship Id="rId31" Type="http://schemas.openxmlformats.org/officeDocument/2006/relationships/printerSettings" Target="../printerSettings/printerSettings212.bin"/><Relationship Id="rId44" Type="http://schemas.openxmlformats.org/officeDocument/2006/relationships/printerSettings" Target="../printerSettings/printerSettings225.bin"/><Relationship Id="rId52" Type="http://schemas.openxmlformats.org/officeDocument/2006/relationships/printerSettings" Target="../printerSettings/printerSettings233.bin"/><Relationship Id="rId60" Type="http://schemas.openxmlformats.org/officeDocument/2006/relationships/printerSettings" Target="../printerSettings/printerSettings241.bin"/><Relationship Id="rId4" Type="http://schemas.openxmlformats.org/officeDocument/2006/relationships/printerSettings" Target="../printerSettings/printerSettings185.bin"/><Relationship Id="rId9" Type="http://schemas.openxmlformats.org/officeDocument/2006/relationships/printerSettings" Target="../printerSettings/printerSettings190.bin"/><Relationship Id="rId14" Type="http://schemas.openxmlformats.org/officeDocument/2006/relationships/printerSettings" Target="../printerSettings/printerSettings195.bin"/><Relationship Id="rId22" Type="http://schemas.openxmlformats.org/officeDocument/2006/relationships/printerSettings" Target="../printerSettings/printerSettings203.bin"/><Relationship Id="rId27" Type="http://schemas.openxmlformats.org/officeDocument/2006/relationships/printerSettings" Target="../printerSettings/printerSettings208.bin"/><Relationship Id="rId30" Type="http://schemas.openxmlformats.org/officeDocument/2006/relationships/printerSettings" Target="../printerSettings/printerSettings211.bin"/><Relationship Id="rId35" Type="http://schemas.openxmlformats.org/officeDocument/2006/relationships/printerSettings" Target="../printerSettings/printerSettings216.bin"/><Relationship Id="rId43" Type="http://schemas.openxmlformats.org/officeDocument/2006/relationships/printerSettings" Target="../printerSettings/printerSettings224.bin"/><Relationship Id="rId48" Type="http://schemas.openxmlformats.org/officeDocument/2006/relationships/printerSettings" Target="../printerSettings/printerSettings229.bin"/><Relationship Id="rId56" Type="http://schemas.openxmlformats.org/officeDocument/2006/relationships/printerSettings" Target="../printerSettings/printerSettings237.bin"/><Relationship Id="rId8" Type="http://schemas.openxmlformats.org/officeDocument/2006/relationships/printerSettings" Target="../printerSettings/printerSettings189.bin"/><Relationship Id="rId51" Type="http://schemas.openxmlformats.org/officeDocument/2006/relationships/printerSettings" Target="../printerSettings/printerSettings232.bin"/><Relationship Id="rId3" Type="http://schemas.openxmlformats.org/officeDocument/2006/relationships/printerSettings" Target="../printerSettings/printerSettings184.bin"/><Relationship Id="rId12" Type="http://schemas.openxmlformats.org/officeDocument/2006/relationships/printerSettings" Target="../printerSettings/printerSettings193.bin"/><Relationship Id="rId17" Type="http://schemas.openxmlformats.org/officeDocument/2006/relationships/printerSettings" Target="../printerSettings/printerSettings198.bin"/><Relationship Id="rId25" Type="http://schemas.openxmlformats.org/officeDocument/2006/relationships/printerSettings" Target="../printerSettings/printerSettings206.bin"/><Relationship Id="rId33" Type="http://schemas.openxmlformats.org/officeDocument/2006/relationships/printerSettings" Target="../printerSettings/printerSettings214.bin"/><Relationship Id="rId38" Type="http://schemas.openxmlformats.org/officeDocument/2006/relationships/printerSettings" Target="../printerSettings/printerSettings219.bin"/><Relationship Id="rId46" Type="http://schemas.openxmlformats.org/officeDocument/2006/relationships/printerSettings" Target="../printerSettings/printerSettings227.bin"/><Relationship Id="rId59" Type="http://schemas.openxmlformats.org/officeDocument/2006/relationships/printerSettings" Target="../printerSettings/printerSettings240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55.bin"/><Relationship Id="rId18" Type="http://schemas.openxmlformats.org/officeDocument/2006/relationships/printerSettings" Target="../printerSettings/printerSettings260.bin"/><Relationship Id="rId26" Type="http://schemas.openxmlformats.org/officeDocument/2006/relationships/printerSettings" Target="../printerSettings/printerSettings268.bin"/><Relationship Id="rId39" Type="http://schemas.openxmlformats.org/officeDocument/2006/relationships/printerSettings" Target="../printerSettings/printerSettings281.bin"/><Relationship Id="rId21" Type="http://schemas.openxmlformats.org/officeDocument/2006/relationships/printerSettings" Target="../printerSettings/printerSettings263.bin"/><Relationship Id="rId34" Type="http://schemas.openxmlformats.org/officeDocument/2006/relationships/printerSettings" Target="../printerSettings/printerSettings276.bin"/><Relationship Id="rId42" Type="http://schemas.openxmlformats.org/officeDocument/2006/relationships/printerSettings" Target="../printerSettings/printerSettings284.bin"/><Relationship Id="rId47" Type="http://schemas.openxmlformats.org/officeDocument/2006/relationships/printerSettings" Target="../printerSettings/printerSettings289.bin"/><Relationship Id="rId50" Type="http://schemas.openxmlformats.org/officeDocument/2006/relationships/printerSettings" Target="../printerSettings/printerSettings292.bin"/><Relationship Id="rId55" Type="http://schemas.openxmlformats.org/officeDocument/2006/relationships/printerSettings" Target="../printerSettings/printerSettings297.bin"/><Relationship Id="rId63" Type="http://schemas.openxmlformats.org/officeDocument/2006/relationships/vmlDrawing" Target="../drawings/vmlDrawing1.vml"/><Relationship Id="rId68" Type="http://schemas.openxmlformats.org/officeDocument/2006/relationships/oleObject" Target="../embeddings/oleObject3.bin"/><Relationship Id="rId7" Type="http://schemas.openxmlformats.org/officeDocument/2006/relationships/printerSettings" Target="../printerSettings/printerSettings249.bin"/><Relationship Id="rId71" Type="http://schemas.openxmlformats.org/officeDocument/2006/relationships/image" Target="../media/image4.emf"/><Relationship Id="rId2" Type="http://schemas.openxmlformats.org/officeDocument/2006/relationships/printerSettings" Target="../printerSettings/printerSettings244.bin"/><Relationship Id="rId16" Type="http://schemas.openxmlformats.org/officeDocument/2006/relationships/printerSettings" Target="../printerSettings/printerSettings258.bin"/><Relationship Id="rId29" Type="http://schemas.openxmlformats.org/officeDocument/2006/relationships/printerSettings" Target="../printerSettings/printerSettings271.bin"/><Relationship Id="rId11" Type="http://schemas.openxmlformats.org/officeDocument/2006/relationships/printerSettings" Target="../printerSettings/printerSettings253.bin"/><Relationship Id="rId24" Type="http://schemas.openxmlformats.org/officeDocument/2006/relationships/printerSettings" Target="../printerSettings/printerSettings266.bin"/><Relationship Id="rId32" Type="http://schemas.openxmlformats.org/officeDocument/2006/relationships/printerSettings" Target="../printerSettings/printerSettings274.bin"/><Relationship Id="rId37" Type="http://schemas.openxmlformats.org/officeDocument/2006/relationships/printerSettings" Target="../printerSettings/printerSettings279.bin"/><Relationship Id="rId40" Type="http://schemas.openxmlformats.org/officeDocument/2006/relationships/printerSettings" Target="../printerSettings/printerSettings282.bin"/><Relationship Id="rId45" Type="http://schemas.openxmlformats.org/officeDocument/2006/relationships/printerSettings" Target="../printerSettings/printerSettings287.bin"/><Relationship Id="rId53" Type="http://schemas.openxmlformats.org/officeDocument/2006/relationships/printerSettings" Target="../printerSettings/printerSettings295.bin"/><Relationship Id="rId58" Type="http://schemas.openxmlformats.org/officeDocument/2006/relationships/printerSettings" Target="../printerSettings/printerSettings300.bin"/><Relationship Id="rId66" Type="http://schemas.openxmlformats.org/officeDocument/2006/relationships/oleObject" Target="../embeddings/oleObject2.bin"/><Relationship Id="rId5" Type="http://schemas.openxmlformats.org/officeDocument/2006/relationships/printerSettings" Target="../printerSettings/printerSettings247.bin"/><Relationship Id="rId15" Type="http://schemas.openxmlformats.org/officeDocument/2006/relationships/printerSettings" Target="../printerSettings/printerSettings257.bin"/><Relationship Id="rId23" Type="http://schemas.openxmlformats.org/officeDocument/2006/relationships/printerSettings" Target="../printerSettings/printerSettings265.bin"/><Relationship Id="rId28" Type="http://schemas.openxmlformats.org/officeDocument/2006/relationships/printerSettings" Target="../printerSettings/printerSettings270.bin"/><Relationship Id="rId36" Type="http://schemas.openxmlformats.org/officeDocument/2006/relationships/printerSettings" Target="../printerSettings/printerSettings278.bin"/><Relationship Id="rId49" Type="http://schemas.openxmlformats.org/officeDocument/2006/relationships/printerSettings" Target="../printerSettings/printerSettings291.bin"/><Relationship Id="rId57" Type="http://schemas.openxmlformats.org/officeDocument/2006/relationships/printerSettings" Target="../printerSettings/printerSettings299.bin"/><Relationship Id="rId61" Type="http://schemas.openxmlformats.org/officeDocument/2006/relationships/printerSettings" Target="../printerSettings/printerSettings303.bin"/><Relationship Id="rId10" Type="http://schemas.openxmlformats.org/officeDocument/2006/relationships/printerSettings" Target="../printerSettings/printerSettings252.bin"/><Relationship Id="rId19" Type="http://schemas.openxmlformats.org/officeDocument/2006/relationships/printerSettings" Target="../printerSettings/printerSettings261.bin"/><Relationship Id="rId31" Type="http://schemas.openxmlformats.org/officeDocument/2006/relationships/printerSettings" Target="../printerSettings/printerSettings273.bin"/><Relationship Id="rId44" Type="http://schemas.openxmlformats.org/officeDocument/2006/relationships/printerSettings" Target="../printerSettings/printerSettings286.bin"/><Relationship Id="rId52" Type="http://schemas.openxmlformats.org/officeDocument/2006/relationships/printerSettings" Target="../printerSettings/printerSettings294.bin"/><Relationship Id="rId60" Type="http://schemas.openxmlformats.org/officeDocument/2006/relationships/printerSettings" Target="../printerSettings/printerSettings302.bin"/><Relationship Id="rId65" Type="http://schemas.openxmlformats.org/officeDocument/2006/relationships/image" Target="../media/image1.emf"/><Relationship Id="rId73" Type="http://schemas.openxmlformats.org/officeDocument/2006/relationships/image" Target="../media/image5.emf"/><Relationship Id="rId4" Type="http://schemas.openxmlformats.org/officeDocument/2006/relationships/printerSettings" Target="../printerSettings/printerSettings246.bin"/><Relationship Id="rId9" Type="http://schemas.openxmlformats.org/officeDocument/2006/relationships/printerSettings" Target="../printerSettings/printerSettings251.bin"/><Relationship Id="rId14" Type="http://schemas.openxmlformats.org/officeDocument/2006/relationships/printerSettings" Target="../printerSettings/printerSettings256.bin"/><Relationship Id="rId22" Type="http://schemas.openxmlformats.org/officeDocument/2006/relationships/printerSettings" Target="../printerSettings/printerSettings264.bin"/><Relationship Id="rId27" Type="http://schemas.openxmlformats.org/officeDocument/2006/relationships/printerSettings" Target="../printerSettings/printerSettings269.bin"/><Relationship Id="rId30" Type="http://schemas.openxmlformats.org/officeDocument/2006/relationships/printerSettings" Target="../printerSettings/printerSettings272.bin"/><Relationship Id="rId35" Type="http://schemas.openxmlformats.org/officeDocument/2006/relationships/printerSettings" Target="../printerSettings/printerSettings277.bin"/><Relationship Id="rId43" Type="http://schemas.openxmlformats.org/officeDocument/2006/relationships/printerSettings" Target="../printerSettings/printerSettings285.bin"/><Relationship Id="rId48" Type="http://schemas.openxmlformats.org/officeDocument/2006/relationships/printerSettings" Target="../printerSettings/printerSettings290.bin"/><Relationship Id="rId56" Type="http://schemas.openxmlformats.org/officeDocument/2006/relationships/printerSettings" Target="../printerSettings/printerSettings298.bin"/><Relationship Id="rId64" Type="http://schemas.openxmlformats.org/officeDocument/2006/relationships/oleObject" Target="../embeddings/oleObject1.bin"/><Relationship Id="rId69" Type="http://schemas.openxmlformats.org/officeDocument/2006/relationships/image" Target="../media/image3.emf"/><Relationship Id="rId8" Type="http://schemas.openxmlformats.org/officeDocument/2006/relationships/printerSettings" Target="../printerSettings/printerSettings250.bin"/><Relationship Id="rId51" Type="http://schemas.openxmlformats.org/officeDocument/2006/relationships/printerSettings" Target="../printerSettings/printerSettings293.bin"/><Relationship Id="rId72" Type="http://schemas.openxmlformats.org/officeDocument/2006/relationships/oleObject" Target="../embeddings/oleObject5.bin"/><Relationship Id="rId3" Type="http://schemas.openxmlformats.org/officeDocument/2006/relationships/printerSettings" Target="../printerSettings/printerSettings245.bin"/><Relationship Id="rId12" Type="http://schemas.openxmlformats.org/officeDocument/2006/relationships/printerSettings" Target="../printerSettings/printerSettings254.bin"/><Relationship Id="rId17" Type="http://schemas.openxmlformats.org/officeDocument/2006/relationships/printerSettings" Target="../printerSettings/printerSettings259.bin"/><Relationship Id="rId25" Type="http://schemas.openxmlformats.org/officeDocument/2006/relationships/printerSettings" Target="../printerSettings/printerSettings267.bin"/><Relationship Id="rId33" Type="http://schemas.openxmlformats.org/officeDocument/2006/relationships/printerSettings" Target="../printerSettings/printerSettings275.bin"/><Relationship Id="rId38" Type="http://schemas.openxmlformats.org/officeDocument/2006/relationships/printerSettings" Target="../printerSettings/printerSettings280.bin"/><Relationship Id="rId46" Type="http://schemas.openxmlformats.org/officeDocument/2006/relationships/printerSettings" Target="../printerSettings/printerSettings288.bin"/><Relationship Id="rId59" Type="http://schemas.openxmlformats.org/officeDocument/2006/relationships/printerSettings" Target="../printerSettings/printerSettings301.bin"/><Relationship Id="rId67" Type="http://schemas.openxmlformats.org/officeDocument/2006/relationships/image" Target="../media/image2.emf"/><Relationship Id="rId20" Type="http://schemas.openxmlformats.org/officeDocument/2006/relationships/printerSettings" Target="../printerSettings/printerSettings262.bin"/><Relationship Id="rId41" Type="http://schemas.openxmlformats.org/officeDocument/2006/relationships/printerSettings" Target="../printerSettings/printerSettings283.bin"/><Relationship Id="rId54" Type="http://schemas.openxmlformats.org/officeDocument/2006/relationships/printerSettings" Target="../printerSettings/printerSettings296.bin"/><Relationship Id="rId62" Type="http://schemas.openxmlformats.org/officeDocument/2006/relationships/drawing" Target="../drawings/drawing1.xml"/><Relationship Id="rId70" Type="http://schemas.openxmlformats.org/officeDocument/2006/relationships/oleObject" Target="../embeddings/oleObject4.bin"/><Relationship Id="rId1" Type="http://schemas.openxmlformats.org/officeDocument/2006/relationships/printerSettings" Target="../printerSettings/printerSettings243.bin"/><Relationship Id="rId6" Type="http://schemas.openxmlformats.org/officeDocument/2006/relationships/printerSettings" Target="../printerSettings/printerSettings24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4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17.bin"/><Relationship Id="rId18" Type="http://schemas.openxmlformats.org/officeDocument/2006/relationships/printerSettings" Target="../printerSettings/printerSettings322.bin"/><Relationship Id="rId26" Type="http://schemas.openxmlformats.org/officeDocument/2006/relationships/printerSettings" Target="../printerSettings/printerSettings330.bin"/><Relationship Id="rId39" Type="http://schemas.openxmlformats.org/officeDocument/2006/relationships/printerSettings" Target="../printerSettings/printerSettings343.bin"/><Relationship Id="rId21" Type="http://schemas.openxmlformats.org/officeDocument/2006/relationships/printerSettings" Target="../printerSettings/printerSettings325.bin"/><Relationship Id="rId34" Type="http://schemas.openxmlformats.org/officeDocument/2006/relationships/printerSettings" Target="../printerSettings/printerSettings338.bin"/><Relationship Id="rId42" Type="http://schemas.openxmlformats.org/officeDocument/2006/relationships/printerSettings" Target="../printerSettings/printerSettings346.bin"/><Relationship Id="rId47" Type="http://schemas.openxmlformats.org/officeDocument/2006/relationships/printerSettings" Target="../printerSettings/printerSettings351.bin"/><Relationship Id="rId50" Type="http://schemas.openxmlformats.org/officeDocument/2006/relationships/printerSettings" Target="../printerSettings/printerSettings354.bin"/><Relationship Id="rId55" Type="http://schemas.openxmlformats.org/officeDocument/2006/relationships/printerSettings" Target="../printerSettings/printerSettings359.bin"/><Relationship Id="rId7" Type="http://schemas.openxmlformats.org/officeDocument/2006/relationships/printerSettings" Target="../printerSettings/printerSettings311.bin"/><Relationship Id="rId2" Type="http://schemas.openxmlformats.org/officeDocument/2006/relationships/printerSettings" Target="../printerSettings/printerSettings306.bin"/><Relationship Id="rId16" Type="http://schemas.openxmlformats.org/officeDocument/2006/relationships/printerSettings" Target="../printerSettings/printerSettings320.bin"/><Relationship Id="rId20" Type="http://schemas.openxmlformats.org/officeDocument/2006/relationships/printerSettings" Target="../printerSettings/printerSettings324.bin"/><Relationship Id="rId29" Type="http://schemas.openxmlformats.org/officeDocument/2006/relationships/printerSettings" Target="../printerSettings/printerSettings333.bin"/><Relationship Id="rId41" Type="http://schemas.openxmlformats.org/officeDocument/2006/relationships/printerSettings" Target="../printerSettings/printerSettings345.bin"/><Relationship Id="rId54" Type="http://schemas.openxmlformats.org/officeDocument/2006/relationships/printerSettings" Target="../printerSettings/printerSettings358.bin"/><Relationship Id="rId1" Type="http://schemas.openxmlformats.org/officeDocument/2006/relationships/printerSettings" Target="../printerSettings/printerSettings305.bin"/><Relationship Id="rId6" Type="http://schemas.openxmlformats.org/officeDocument/2006/relationships/printerSettings" Target="../printerSettings/printerSettings310.bin"/><Relationship Id="rId11" Type="http://schemas.openxmlformats.org/officeDocument/2006/relationships/printerSettings" Target="../printerSettings/printerSettings315.bin"/><Relationship Id="rId24" Type="http://schemas.openxmlformats.org/officeDocument/2006/relationships/printerSettings" Target="../printerSettings/printerSettings328.bin"/><Relationship Id="rId32" Type="http://schemas.openxmlformats.org/officeDocument/2006/relationships/printerSettings" Target="../printerSettings/printerSettings336.bin"/><Relationship Id="rId37" Type="http://schemas.openxmlformats.org/officeDocument/2006/relationships/printerSettings" Target="../printerSettings/printerSettings341.bin"/><Relationship Id="rId40" Type="http://schemas.openxmlformats.org/officeDocument/2006/relationships/printerSettings" Target="../printerSettings/printerSettings344.bin"/><Relationship Id="rId45" Type="http://schemas.openxmlformats.org/officeDocument/2006/relationships/printerSettings" Target="../printerSettings/printerSettings349.bin"/><Relationship Id="rId53" Type="http://schemas.openxmlformats.org/officeDocument/2006/relationships/printerSettings" Target="../printerSettings/printerSettings357.bin"/><Relationship Id="rId58" Type="http://schemas.openxmlformats.org/officeDocument/2006/relationships/printerSettings" Target="../printerSettings/printerSettings362.bin"/><Relationship Id="rId5" Type="http://schemas.openxmlformats.org/officeDocument/2006/relationships/printerSettings" Target="../printerSettings/printerSettings309.bin"/><Relationship Id="rId15" Type="http://schemas.openxmlformats.org/officeDocument/2006/relationships/printerSettings" Target="../printerSettings/printerSettings319.bin"/><Relationship Id="rId23" Type="http://schemas.openxmlformats.org/officeDocument/2006/relationships/printerSettings" Target="../printerSettings/printerSettings327.bin"/><Relationship Id="rId28" Type="http://schemas.openxmlformats.org/officeDocument/2006/relationships/printerSettings" Target="../printerSettings/printerSettings332.bin"/><Relationship Id="rId36" Type="http://schemas.openxmlformats.org/officeDocument/2006/relationships/printerSettings" Target="../printerSettings/printerSettings340.bin"/><Relationship Id="rId49" Type="http://schemas.openxmlformats.org/officeDocument/2006/relationships/printerSettings" Target="../printerSettings/printerSettings353.bin"/><Relationship Id="rId57" Type="http://schemas.openxmlformats.org/officeDocument/2006/relationships/printerSettings" Target="../printerSettings/printerSettings361.bin"/><Relationship Id="rId61" Type="http://schemas.openxmlformats.org/officeDocument/2006/relationships/printerSettings" Target="../printerSettings/printerSettings365.bin"/><Relationship Id="rId10" Type="http://schemas.openxmlformats.org/officeDocument/2006/relationships/printerSettings" Target="../printerSettings/printerSettings314.bin"/><Relationship Id="rId19" Type="http://schemas.openxmlformats.org/officeDocument/2006/relationships/printerSettings" Target="../printerSettings/printerSettings323.bin"/><Relationship Id="rId31" Type="http://schemas.openxmlformats.org/officeDocument/2006/relationships/printerSettings" Target="../printerSettings/printerSettings335.bin"/><Relationship Id="rId44" Type="http://schemas.openxmlformats.org/officeDocument/2006/relationships/printerSettings" Target="../printerSettings/printerSettings348.bin"/><Relationship Id="rId52" Type="http://schemas.openxmlformats.org/officeDocument/2006/relationships/printerSettings" Target="../printerSettings/printerSettings356.bin"/><Relationship Id="rId60" Type="http://schemas.openxmlformats.org/officeDocument/2006/relationships/printerSettings" Target="../printerSettings/printerSettings364.bin"/><Relationship Id="rId4" Type="http://schemas.openxmlformats.org/officeDocument/2006/relationships/printerSettings" Target="../printerSettings/printerSettings308.bin"/><Relationship Id="rId9" Type="http://schemas.openxmlformats.org/officeDocument/2006/relationships/printerSettings" Target="../printerSettings/printerSettings313.bin"/><Relationship Id="rId14" Type="http://schemas.openxmlformats.org/officeDocument/2006/relationships/printerSettings" Target="../printerSettings/printerSettings318.bin"/><Relationship Id="rId22" Type="http://schemas.openxmlformats.org/officeDocument/2006/relationships/printerSettings" Target="../printerSettings/printerSettings326.bin"/><Relationship Id="rId27" Type="http://schemas.openxmlformats.org/officeDocument/2006/relationships/printerSettings" Target="../printerSettings/printerSettings331.bin"/><Relationship Id="rId30" Type="http://schemas.openxmlformats.org/officeDocument/2006/relationships/printerSettings" Target="../printerSettings/printerSettings334.bin"/><Relationship Id="rId35" Type="http://schemas.openxmlformats.org/officeDocument/2006/relationships/printerSettings" Target="../printerSettings/printerSettings339.bin"/><Relationship Id="rId43" Type="http://schemas.openxmlformats.org/officeDocument/2006/relationships/printerSettings" Target="../printerSettings/printerSettings347.bin"/><Relationship Id="rId48" Type="http://schemas.openxmlformats.org/officeDocument/2006/relationships/printerSettings" Target="../printerSettings/printerSettings352.bin"/><Relationship Id="rId56" Type="http://schemas.openxmlformats.org/officeDocument/2006/relationships/printerSettings" Target="../printerSettings/printerSettings360.bin"/><Relationship Id="rId8" Type="http://schemas.openxmlformats.org/officeDocument/2006/relationships/printerSettings" Target="../printerSettings/printerSettings312.bin"/><Relationship Id="rId51" Type="http://schemas.openxmlformats.org/officeDocument/2006/relationships/printerSettings" Target="../printerSettings/printerSettings355.bin"/><Relationship Id="rId3" Type="http://schemas.openxmlformats.org/officeDocument/2006/relationships/printerSettings" Target="../printerSettings/printerSettings307.bin"/><Relationship Id="rId12" Type="http://schemas.openxmlformats.org/officeDocument/2006/relationships/printerSettings" Target="../printerSettings/printerSettings316.bin"/><Relationship Id="rId17" Type="http://schemas.openxmlformats.org/officeDocument/2006/relationships/printerSettings" Target="../printerSettings/printerSettings321.bin"/><Relationship Id="rId25" Type="http://schemas.openxmlformats.org/officeDocument/2006/relationships/printerSettings" Target="../printerSettings/printerSettings329.bin"/><Relationship Id="rId33" Type="http://schemas.openxmlformats.org/officeDocument/2006/relationships/printerSettings" Target="../printerSettings/printerSettings337.bin"/><Relationship Id="rId38" Type="http://schemas.openxmlformats.org/officeDocument/2006/relationships/printerSettings" Target="../printerSettings/printerSettings342.bin"/><Relationship Id="rId46" Type="http://schemas.openxmlformats.org/officeDocument/2006/relationships/printerSettings" Target="../printerSettings/printerSettings350.bin"/><Relationship Id="rId59" Type="http://schemas.openxmlformats.org/officeDocument/2006/relationships/printerSettings" Target="../printerSettings/printerSettings36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autoPageBreaks="0"/>
  </sheetPr>
  <dimension ref="A1:G21"/>
  <sheetViews>
    <sheetView workbookViewId="0">
      <selection activeCell="B5" sqref="B5"/>
    </sheetView>
  </sheetViews>
  <sheetFormatPr baseColWidth="10" defaultColWidth="11.42578125" defaultRowHeight="12.75" customHeight="1" x14ac:dyDescent="0.2"/>
  <cols>
    <col min="1" max="1" width="26.7109375" style="20" customWidth="1"/>
    <col min="2" max="2" width="30.7109375" style="19" customWidth="1"/>
    <col min="3" max="3" width="26.7109375" style="19" customWidth="1"/>
    <col min="4" max="4" width="11.42578125" style="20"/>
    <col min="5" max="5" width="20.85546875" style="20" bestFit="1" customWidth="1"/>
    <col min="6" max="6" width="11.42578125" style="20"/>
    <col min="7" max="7" width="43.28515625" style="20" bestFit="1" customWidth="1"/>
    <col min="8" max="16384" width="11.42578125" style="20"/>
  </cols>
  <sheetData>
    <row r="1" spans="1:7" ht="27.75" customHeight="1" x14ac:dyDescent="0.2">
      <c r="A1" s="113"/>
      <c r="B1" s="114" t="s">
        <v>66</v>
      </c>
      <c r="C1" s="115"/>
      <c r="D1" s="113"/>
    </row>
    <row r="2" spans="1:7" ht="36" customHeight="1" thickBot="1" x14ac:dyDescent="0.25">
      <c r="A2" s="116"/>
      <c r="B2" s="115"/>
      <c r="C2" s="115"/>
      <c r="D2" s="113"/>
    </row>
    <row r="3" spans="1:7" s="21" customFormat="1" ht="23.25" customHeight="1" thickBot="1" x14ac:dyDescent="0.25">
      <c r="A3" s="109"/>
      <c r="B3" s="117" t="s">
        <v>411</v>
      </c>
      <c r="C3" s="117" t="s">
        <v>412</v>
      </c>
      <c r="D3" s="109"/>
      <c r="E3" s="21" t="s">
        <v>464</v>
      </c>
    </row>
    <row r="4" spans="1:7" s="21" customFormat="1" ht="15.75" customHeight="1" thickBot="1" x14ac:dyDescent="0.25">
      <c r="A4" s="118" t="s">
        <v>414</v>
      </c>
      <c r="B4" s="122">
        <v>2.2499999999999999E-2</v>
      </c>
      <c r="C4" s="119" t="s">
        <v>70</v>
      </c>
      <c r="D4" s="109"/>
      <c r="E4" s="21" t="s">
        <v>463</v>
      </c>
    </row>
    <row r="5" spans="1:7" s="21" customFormat="1" ht="15.75" customHeight="1" thickBot="1" x14ac:dyDescent="0.25">
      <c r="A5" s="118" t="s">
        <v>73</v>
      </c>
      <c r="B5" s="123">
        <v>12</v>
      </c>
      <c r="C5" s="120" t="s">
        <v>415</v>
      </c>
      <c r="D5" s="121" t="s">
        <v>413</v>
      </c>
      <c r="E5" s="21" t="s">
        <v>465</v>
      </c>
    </row>
    <row r="6" spans="1:7" s="21" customFormat="1" ht="15.75" customHeight="1" thickBot="1" x14ac:dyDescent="0.25">
      <c r="A6" s="118" t="s">
        <v>72</v>
      </c>
      <c r="B6" s="123">
        <v>65</v>
      </c>
      <c r="C6" s="120" t="s">
        <v>69</v>
      </c>
      <c r="D6" s="121" t="s">
        <v>413</v>
      </c>
      <c r="E6" s="21" t="s">
        <v>466</v>
      </c>
    </row>
    <row r="7" spans="1:7" s="21" customFormat="1" ht="15.75" customHeight="1" thickBot="1" x14ac:dyDescent="0.25">
      <c r="A7" s="118" t="s">
        <v>71</v>
      </c>
      <c r="B7" s="123">
        <v>64</v>
      </c>
      <c r="C7" s="120" t="s">
        <v>69</v>
      </c>
      <c r="D7" s="121" t="s">
        <v>413</v>
      </c>
      <c r="E7" s="21" t="s">
        <v>467</v>
      </c>
    </row>
    <row r="8" spans="1:7" s="21" customFormat="1" ht="15.75" customHeight="1" thickBot="1" x14ac:dyDescent="0.25">
      <c r="A8" s="118" t="s">
        <v>74</v>
      </c>
      <c r="B8" s="123">
        <v>25</v>
      </c>
      <c r="C8" s="120" t="s">
        <v>416</v>
      </c>
      <c r="D8" s="121" t="s">
        <v>413</v>
      </c>
      <c r="E8" s="21" t="s">
        <v>468</v>
      </c>
    </row>
    <row r="9" spans="1:7" s="21" customFormat="1" ht="12.75" customHeight="1" x14ac:dyDescent="0.2">
      <c r="B9" s="22">
        <v>0</v>
      </c>
      <c r="C9" s="22"/>
      <c r="E9" s="21" t="s">
        <v>469</v>
      </c>
      <c r="G9" s="179" t="s">
        <v>471</v>
      </c>
    </row>
    <row r="10" spans="1:7" s="21" customFormat="1" ht="12.75" customHeight="1" x14ac:dyDescent="0.2">
      <c r="A10" s="138" t="s">
        <v>423</v>
      </c>
      <c r="B10" s="22">
        <v>1</v>
      </c>
      <c r="C10" s="22"/>
      <c r="E10" s="21" t="s">
        <v>470</v>
      </c>
    </row>
    <row r="11" spans="1:7" s="21" customFormat="1" ht="12.75" customHeight="1" x14ac:dyDescent="0.2">
      <c r="B11" s="22">
        <v>1</v>
      </c>
      <c r="C11" s="22"/>
      <c r="E11" s="21" t="s">
        <v>478</v>
      </c>
    </row>
    <row r="12" spans="1:7" s="21" customFormat="1" ht="12.75" customHeight="1" x14ac:dyDescent="0.2">
      <c r="B12" s="22">
        <v>2</v>
      </c>
      <c r="C12" s="22"/>
      <c r="E12" s="21" t="s">
        <v>479</v>
      </c>
    </row>
    <row r="13" spans="1:7" s="21" customFormat="1" ht="12.75" customHeight="1" x14ac:dyDescent="0.2">
      <c r="B13" s="22"/>
      <c r="C13" s="22"/>
    </row>
    <row r="14" spans="1:7" s="21" customFormat="1" ht="12.75" customHeight="1" x14ac:dyDescent="0.2">
      <c r="B14" s="22"/>
      <c r="C14" s="22"/>
    </row>
    <row r="15" spans="1:7" s="21" customFormat="1" ht="12.75" customHeight="1" x14ac:dyDescent="0.2">
      <c r="B15" s="22"/>
      <c r="C15" s="22"/>
    </row>
    <row r="16" spans="1:7" s="21" customFormat="1" ht="12.75" customHeight="1" x14ac:dyDescent="0.2">
      <c r="B16" s="22"/>
      <c r="C16" s="22"/>
    </row>
    <row r="17" spans="2:3" s="21" customFormat="1" ht="12.75" customHeight="1" x14ac:dyDescent="0.2">
      <c r="B17" s="22"/>
      <c r="C17" s="22"/>
    </row>
    <row r="18" spans="2:3" s="21" customFormat="1" ht="12.75" customHeight="1" x14ac:dyDescent="0.2">
      <c r="B18" s="22"/>
      <c r="C18" s="22"/>
    </row>
    <row r="19" spans="2:3" s="21" customFormat="1" ht="12.75" customHeight="1" x14ac:dyDescent="0.2">
      <c r="B19" s="22"/>
      <c r="C19" s="22"/>
    </row>
    <row r="20" spans="2:3" s="21" customFormat="1" ht="12.75" customHeight="1" x14ac:dyDescent="0.2">
      <c r="B20" s="22"/>
      <c r="C20" s="22"/>
    </row>
    <row r="21" spans="2:3" s="21" customFormat="1" ht="12.75" customHeight="1" x14ac:dyDescent="0.2">
      <c r="B21" s="22"/>
      <c r="C21" s="22"/>
    </row>
  </sheetData>
  <customSheetViews>
    <customSheetView guid="{30BFA3C6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"/>
      <headerFooter alignWithMargins="0"/>
    </customSheetView>
    <customSheetView guid="{30BFA3C5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"/>
      <headerFooter alignWithMargins="0"/>
    </customSheetView>
    <customSheetView guid="{30BFA3C4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"/>
      <headerFooter alignWithMargins="0"/>
    </customSheetView>
    <customSheetView guid="{30BFA3C3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"/>
      <headerFooter alignWithMargins="0"/>
    </customSheetView>
    <customSheetView guid="{30BFA3C2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"/>
      <headerFooter alignWithMargins="0"/>
    </customSheetView>
    <customSheetView guid="{30BFA3C1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6"/>
      <headerFooter alignWithMargins="0"/>
    </customSheetView>
    <customSheetView guid="{30BFA3C0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7"/>
      <headerFooter alignWithMargins="0"/>
    </customSheetView>
    <customSheetView guid="{30BFA3BF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8"/>
      <headerFooter alignWithMargins="0"/>
    </customSheetView>
    <customSheetView guid="{30BFA3BE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9"/>
      <headerFooter alignWithMargins="0"/>
    </customSheetView>
    <customSheetView guid="{30BFA3BD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0"/>
      <headerFooter alignWithMargins="0"/>
    </customSheetView>
    <customSheetView guid="{30BFA3BC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1"/>
      <headerFooter alignWithMargins="0"/>
    </customSheetView>
    <customSheetView guid="{30BFA3BB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2"/>
      <headerFooter alignWithMargins="0"/>
    </customSheetView>
    <customSheetView guid="{30BFA3BA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3"/>
      <headerFooter alignWithMargins="0"/>
    </customSheetView>
    <customSheetView guid="{30BFA3B9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4"/>
      <headerFooter alignWithMargins="0"/>
    </customSheetView>
    <customSheetView guid="{30BFA3B8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5"/>
      <headerFooter alignWithMargins="0"/>
    </customSheetView>
    <customSheetView guid="{30BFA3B6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6"/>
      <headerFooter alignWithMargins="0"/>
    </customSheetView>
    <customSheetView guid="{30BFA3B5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7"/>
      <headerFooter alignWithMargins="0"/>
    </customSheetView>
    <customSheetView guid="{30BFA3B4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8"/>
      <headerFooter alignWithMargins="0"/>
    </customSheetView>
    <customSheetView guid="{30BFA3B3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19"/>
      <headerFooter alignWithMargins="0"/>
    </customSheetView>
    <customSheetView guid="{30BFA3B2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0"/>
      <headerFooter alignWithMargins="0"/>
    </customSheetView>
    <customSheetView guid="{30BFA3B1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1"/>
      <headerFooter alignWithMargins="0"/>
    </customSheetView>
    <customSheetView guid="{30BFA3AF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2"/>
      <headerFooter alignWithMargins="0"/>
    </customSheetView>
    <customSheetView guid="{30BFA3AE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3"/>
      <headerFooter alignWithMargins="0"/>
    </customSheetView>
    <customSheetView guid="{30BFA3AD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4"/>
      <headerFooter alignWithMargins="0"/>
    </customSheetView>
    <customSheetView guid="{30BFA3AC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5"/>
      <headerFooter alignWithMargins="0"/>
    </customSheetView>
    <customSheetView guid="{30BFA3AB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6"/>
      <headerFooter alignWithMargins="0"/>
    </customSheetView>
    <customSheetView guid="{30BFA3AA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7"/>
      <headerFooter alignWithMargins="0"/>
    </customSheetView>
    <customSheetView guid="{30BFA3A9-776B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8"/>
      <headerFooter alignWithMargins="0"/>
    </customSheetView>
    <customSheetView guid="{4C29A34C-6ED4-11D4-A42C-0050044063A3}" printArea="1" showRuler="0">
      <selection activeCell="B9" sqref="B9"/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29"/>
      <headerFooter alignWithMargins="0"/>
    </customSheetView>
    <customSheetView guid="{4C29A34D-6ED4-11D4-A42C-0050044063A3}" printArea="1" showRuler="0">
      <selection activeCell="B9" sqref="B9"/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0"/>
      <headerFooter alignWithMargins="0"/>
    </customSheetView>
    <customSheetView guid="{6EC1D8DB-7337-11D4-A432-0050044063A3}" showRuler="0">
      <selection activeCell="A4" sqref="A4:B8"/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1"/>
      <headerFooter alignWithMargins="0"/>
    </customSheetView>
    <customSheetView guid="{67B6F32A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2"/>
      <headerFooter alignWithMargins="0"/>
    </customSheetView>
    <customSheetView guid="{67B6F32B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3"/>
      <headerFooter alignWithMargins="0"/>
    </customSheetView>
    <customSheetView guid="{67B6F32C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4"/>
      <headerFooter alignWithMargins="0"/>
    </customSheetView>
    <customSheetView guid="{67B6F32D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5"/>
      <headerFooter alignWithMargins="0"/>
    </customSheetView>
    <customSheetView guid="{67B6F32E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6"/>
      <headerFooter alignWithMargins="0"/>
    </customSheetView>
    <customSheetView guid="{67B6F32F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7"/>
      <headerFooter alignWithMargins="0"/>
    </customSheetView>
    <customSheetView guid="{67B6F330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8"/>
      <headerFooter alignWithMargins="0"/>
    </customSheetView>
    <customSheetView guid="{67B6F332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39"/>
      <headerFooter alignWithMargins="0"/>
    </customSheetView>
    <customSheetView guid="{67B6F333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0"/>
      <headerFooter alignWithMargins="0"/>
    </customSheetView>
    <customSheetView guid="{67B6F334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1"/>
      <headerFooter alignWithMargins="0"/>
    </customSheetView>
    <customSheetView guid="{67B6F335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2"/>
      <headerFooter alignWithMargins="0"/>
    </customSheetView>
    <customSheetView guid="{67B6F336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3"/>
      <headerFooter alignWithMargins="0"/>
    </customSheetView>
    <customSheetView guid="{67B6F337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4"/>
      <headerFooter alignWithMargins="0"/>
    </customSheetView>
    <customSheetView guid="{67B6F338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5"/>
      <headerFooter alignWithMargins="0"/>
    </customSheetView>
    <customSheetView guid="{67B6F339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6"/>
      <headerFooter alignWithMargins="0"/>
    </customSheetView>
    <customSheetView guid="{67B6F33A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7"/>
      <headerFooter alignWithMargins="0"/>
    </customSheetView>
    <customSheetView guid="{67B6F33B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8"/>
      <headerFooter alignWithMargins="0"/>
    </customSheetView>
    <customSheetView guid="{67B6F33C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49"/>
      <headerFooter alignWithMargins="0"/>
    </customSheetView>
    <customSheetView guid="{67B6F33D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0"/>
      <headerFooter alignWithMargins="0"/>
    </customSheetView>
    <customSheetView guid="{67B6F33E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1"/>
      <headerFooter alignWithMargins="0"/>
    </customSheetView>
    <customSheetView guid="{67B6F33F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2"/>
      <headerFooter alignWithMargins="0"/>
    </customSheetView>
    <customSheetView guid="{67B6F340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3"/>
      <headerFooter alignWithMargins="0"/>
    </customSheetView>
    <customSheetView guid="{67B6F341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4"/>
      <headerFooter alignWithMargins="0"/>
    </customSheetView>
    <customSheetView guid="{67B6F342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5"/>
      <headerFooter alignWithMargins="0"/>
    </customSheetView>
    <customSheetView guid="{67B6F343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6"/>
      <headerFooter alignWithMargins="0"/>
    </customSheetView>
    <customSheetView guid="{67B6F344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7"/>
      <headerFooter alignWithMargins="0"/>
    </customSheetView>
    <customSheetView guid="{67B6F345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8"/>
      <headerFooter alignWithMargins="0"/>
    </customSheetView>
    <customSheetView guid="{67B6F346-7771-11D4-A436-0050044063A3}" printArea="1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59"/>
      <headerFooter alignWithMargins="0"/>
    </customSheetView>
    <customSheetView guid="{E26AA399-7CC0-11D4-A43C-0050044063A3}" showRuler="0">
      <pageMargins left="0.78740157480314965" right="0.78740157480314965" top="1.1811023622047245" bottom="1.1811023622047245" header="0.51181102362204722" footer="0.51181102362204722"/>
      <printOptions horizontalCentered="1"/>
      <pageSetup paperSize="9" orientation="portrait" verticalDpi="300" r:id="rId60"/>
      <headerFooter alignWithMargins="0"/>
    </customSheetView>
  </customSheetViews>
  <printOptions horizontalCentered="1"/>
  <pageMargins left="0.78740157480314965" right="0.78740157480314965" top="1.1811023622047245" bottom="1.1811023622047245" header="0.51181102362204722" footer="0.51181102362204722"/>
  <pageSetup paperSize="9" orientation="portrait" verticalDpi="300" r:id="rId6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autoPageBreaks="0"/>
  </sheetPr>
  <dimension ref="A2:B29"/>
  <sheetViews>
    <sheetView topLeftCell="A11" workbookViewId="0">
      <selection activeCell="B15" sqref="B15"/>
    </sheetView>
  </sheetViews>
  <sheetFormatPr baseColWidth="10" defaultColWidth="11.42578125" defaultRowHeight="23.25" x14ac:dyDescent="0.35"/>
  <cols>
    <col min="1" max="1" width="40.7109375" style="66" customWidth="1"/>
    <col min="2" max="2" width="20.7109375" style="66" customWidth="1"/>
    <col min="3" max="5" width="11.42578125" style="66"/>
    <col min="6" max="6" width="26.42578125" style="66" bestFit="1" customWidth="1"/>
    <col min="7" max="16384" width="11.42578125" style="66"/>
  </cols>
  <sheetData>
    <row r="2" spans="1:2" ht="30.75" x14ac:dyDescent="0.45">
      <c r="A2" s="223"/>
      <c r="B2" s="224"/>
    </row>
    <row r="3" spans="1:2" ht="30.75" x14ac:dyDescent="0.45">
      <c r="A3" s="223"/>
      <c r="B3" s="224"/>
    </row>
    <row r="4" spans="1:2" ht="30.75" x14ac:dyDescent="0.45">
      <c r="A4" s="223"/>
      <c r="B4" s="224"/>
    </row>
    <row r="5" spans="1:2" ht="30.75" x14ac:dyDescent="0.45">
      <c r="A5" s="68"/>
    </row>
    <row r="6" spans="1:2" ht="30.75" x14ac:dyDescent="0.45">
      <c r="A6" s="68"/>
    </row>
    <row r="8" spans="1:2" ht="38.25" x14ac:dyDescent="0.55000000000000004">
      <c r="A8" s="225" t="s">
        <v>417</v>
      </c>
      <c r="B8" s="226"/>
    </row>
    <row r="9" spans="1:2" ht="12" customHeight="1" x14ac:dyDescent="0.35"/>
    <row r="10" spans="1:2" s="103" customFormat="1" ht="33" x14ac:dyDescent="0.45">
      <c r="A10" s="221" t="s">
        <v>409</v>
      </c>
      <c r="B10" s="222"/>
    </row>
    <row r="11" spans="1:2" s="103" customFormat="1" ht="51" customHeight="1" x14ac:dyDescent="0.45">
      <c r="A11" s="102"/>
    </row>
    <row r="12" spans="1:2" s="103" customFormat="1" ht="33" x14ac:dyDescent="0.45">
      <c r="A12" s="219" t="s">
        <v>410</v>
      </c>
      <c r="B12" s="220"/>
    </row>
    <row r="13" spans="1:2" ht="19.5" customHeight="1" thickBot="1" x14ac:dyDescent="0.5">
      <c r="A13" s="69"/>
      <c r="B13" s="70"/>
    </row>
    <row r="14" spans="1:2" ht="24" thickBot="1" x14ac:dyDescent="0.4">
      <c r="A14" s="104" t="s">
        <v>414</v>
      </c>
      <c r="B14" s="105">
        <f>Zins</f>
        <v>2.2499999999999999E-2</v>
      </c>
    </row>
    <row r="15" spans="1:2" ht="24" thickBot="1" x14ac:dyDescent="0.4">
      <c r="A15" s="104" t="s">
        <v>73</v>
      </c>
      <c r="B15" s="23">
        <f>m</f>
        <v>12</v>
      </c>
    </row>
    <row r="16" spans="1:2" ht="24" thickBot="1" x14ac:dyDescent="0.4">
      <c r="A16" s="104" t="s">
        <v>72</v>
      </c>
      <c r="B16" s="23">
        <f>RAM</f>
        <v>65</v>
      </c>
    </row>
    <row r="17" spans="1:2" ht="24" thickBot="1" x14ac:dyDescent="0.4">
      <c r="A17" s="104" t="s">
        <v>71</v>
      </c>
      <c r="B17" s="23">
        <f>RAF</f>
        <v>64</v>
      </c>
    </row>
    <row r="18" spans="1:2" ht="24" thickBot="1" x14ac:dyDescent="0.4">
      <c r="A18" s="104" t="s">
        <v>74</v>
      </c>
      <c r="B18" s="23">
        <f>RAK</f>
        <v>25</v>
      </c>
    </row>
    <row r="29" spans="1:2" x14ac:dyDescent="0.35">
      <c r="A29" s="67"/>
    </row>
  </sheetData>
  <customSheetViews>
    <customSheetView guid="{30BFA3C6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"/>
      <headerFooter alignWithMargins="0"/>
    </customSheetView>
    <customSheetView guid="{30BFA3C5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"/>
      <headerFooter alignWithMargins="0"/>
    </customSheetView>
    <customSheetView guid="{30BFA3C4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"/>
      <headerFooter alignWithMargins="0"/>
    </customSheetView>
    <customSheetView guid="{30BFA3C3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"/>
      <headerFooter alignWithMargins="0"/>
    </customSheetView>
    <customSheetView guid="{30BFA3C2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"/>
      <headerFooter alignWithMargins="0"/>
    </customSheetView>
    <customSheetView guid="{30BFA3C1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6"/>
      <headerFooter alignWithMargins="0"/>
    </customSheetView>
    <customSheetView guid="{30BFA3C0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7"/>
      <headerFooter alignWithMargins="0"/>
    </customSheetView>
    <customSheetView guid="{30BFA3BF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8"/>
      <headerFooter alignWithMargins="0"/>
    </customSheetView>
    <customSheetView guid="{30BFA3BE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9"/>
      <headerFooter alignWithMargins="0"/>
    </customSheetView>
    <customSheetView guid="{30BFA3BD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0"/>
      <headerFooter alignWithMargins="0"/>
    </customSheetView>
    <customSheetView guid="{30BFA3BC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1"/>
      <headerFooter alignWithMargins="0"/>
    </customSheetView>
    <customSheetView guid="{30BFA3BB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2"/>
      <headerFooter alignWithMargins="0"/>
    </customSheetView>
    <customSheetView guid="{30BFA3BA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3"/>
      <headerFooter alignWithMargins="0"/>
    </customSheetView>
    <customSheetView guid="{30BFA3B9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4"/>
      <headerFooter alignWithMargins="0"/>
    </customSheetView>
    <customSheetView guid="{30BFA3B8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5"/>
      <headerFooter alignWithMargins="0"/>
    </customSheetView>
    <customSheetView guid="{30BFA3B6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6"/>
      <headerFooter alignWithMargins="0"/>
    </customSheetView>
    <customSheetView guid="{30BFA3B5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7"/>
      <headerFooter alignWithMargins="0"/>
    </customSheetView>
    <customSheetView guid="{30BFA3B4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8"/>
      <headerFooter alignWithMargins="0"/>
    </customSheetView>
    <customSheetView guid="{30BFA3B3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19"/>
      <headerFooter alignWithMargins="0"/>
    </customSheetView>
    <customSheetView guid="{30BFA3B2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0"/>
      <headerFooter alignWithMargins="0"/>
    </customSheetView>
    <customSheetView guid="{30BFA3B1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1"/>
      <headerFooter alignWithMargins="0"/>
    </customSheetView>
    <customSheetView guid="{30BFA3AF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2"/>
      <headerFooter alignWithMargins="0"/>
    </customSheetView>
    <customSheetView guid="{30BFA3AE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3"/>
      <headerFooter alignWithMargins="0"/>
    </customSheetView>
    <customSheetView guid="{30BFA3AD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4"/>
      <headerFooter alignWithMargins="0"/>
    </customSheetView>
    <customSheetView guid="{30BFA3AC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5"/>
      <headerFooter alignWithMargins="0"/>
    </customSheetView>
    <customSheetView guid="{30BFA3AB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6"/>
      <headerFooter alignWithMargins="0"/>
    </customSheetView>
    <customSheetView guid="{30BFA3AA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7"/>
      <headerFooter alignWithMargins="0"/>
    </customSheetView>
    <customSheetView guid="{30BFA3A9-776B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8"/>
      <headerFooter alignWithMargins="0"/>
    </customSheetView>
    <customSheetView guid="{6EC1D8DB-7337-11D4-A432-0050044063A3}" showPageBreaks="1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29"/>
      <headerFooter alignWithMargins="0"/>
    </customSheetView>
    <customSheetView guid="{67B6F32A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0"/>
      <headerFooter alignWithMargins="0"/>
    </customSheetView>
    <customSheetView guid="{67B6F32B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1"/>
      <headerFooter alignWithMargins="0"/>
    </customSheetView>
    <customSheetView guid="{67B6F32C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2"/>
      <headerFooter alignWithMargins="0"/>
    </customSheetView>
    <customSheetView guid="{67B6F32D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3"/>
      <headerFooter alignWithMargins="0"/>
    </customSheetView>
    <customSheetView guid="{67B6F32E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4"/>
      <headerFooter alignWithMargins="0"/>
    </customSheetView>
    <customSheetView guid="{67B6F32F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5"/>
      <headerFooter alignWithMargins="0"/>
    </customSheetView>
    <customSheetView guid="{67B6F330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6"/>
      <headerFooter alignWithMargins="0"/>
    </customSheetView>
    <customSheetView guid="{67B6F332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7"/>
      <headerFooter alignWithMargins="0"/>
    </customSheetView>
    <customSheetView guid="{67B6F333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8"/>
      <headerFooter alignWithMargins="0"/>
    </customSheetView>
    <customSheetView guid="{67B6F334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39"/>
      <headerFooter alignWithMargins="0"/>
    </customSheetView>
    <customSheetView guid="{67B6F335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0"/>
      <headerFooter alignWithMargins="0"/>
    </customSheetView>
    <customSheetView guid="{67B6F336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1"/>
      <headerFooter alignWithMargins="0"/>
    </customSheetView>
    <customSheetView guid="{67B6F337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2"/>
      <headerFooter alignWithMargins="0"/>
    </customSheetView>
    <customSheetView guid="{67B6F338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3"/>
      <headerFooter alignWithMargins="0"/>
    </customSheetView>
    <customSheetView guid="{67B6F339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4"/>
      <headerFooter alignWithMargins="0"/>
    </customSheetView>
    <customSheetView guid="{67B6F33A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5"/>
      <headerFooter alignWithMargins="0"/>
    </customSheetView>
    <customSheetView guid="{67B6F33B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6"/>
      <headerFooter alignWithMargins="0"/>
    </customSheetView>
    <customSheetView guid="{67B6F33C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7"/>
      <headerFooter alignWithMargins="0"/>
    </customSheetView>
    <customSheetView guid="{67B6F33D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8"/>
      <headerFooter alignWithMargins="0"/>
    </customSheetView>
    <customSheetView guid="{67B6F33E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49"/>
      <headerFooter alignWithMargins="0"/>
    </customSheetView>
    <customSheetView guid="{67B6F33F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0"/>
      <headerFooter alignWithMargins="0"/>
    </customSheetView>
    <customSheetView guid="{67B6F340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1"/>
      <headerFooter alignWithMargins="0"/>
    </customSheetView>
    <customSheetView guid="{67B6F341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2"/>
      <headerFooter alignWithMargins="0"/>
    </customSheetView>
    <customSheetView guid="{67B6F342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3"/>
      <headerFooter alignWithMargins="0"/>
    </customSheetView>
    <customSheetView guid="{67B6F343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4"/>
      <headerFooter alignWithMargins="0"/>
    </customSheetView>
    <customSheetView guid="{67B6F344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5"/>
      <headerFooter alignWithMargins="0"/>
    </customSheetView>
    <customSheetView guid="{67B6F345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6"/>
      <headerFooter alignWithMargins="0"/>
    </customSheetView>
    <customSheetView guid="{67B6F346-7771-11D4-A436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7"/>
      <headerFooter alignWithMargins="0"/>
    </customSheetView>
    <customSheetView guid="{E26AA399-7CC0-11D4-A43C-0050044063A3}" showRuler="0">
      <pageMargins left="0.78740157480314965" right="0.78740157480314965" top="0.98425196850393704" bottom="0.98425196850393704" header="0.51181102362204722" footer="0.31496062992125984"/>
      <printOptions horizontalCentered="1"/>
      <pageSetup paperSize="9" orientation="portrait" blackAndWhite="1" r:id="rId58"/>
      <headerFooter alignWithMargins="0"/>
    </customSheetView>
  </customSheetViews>
  <mergeCells count="6">
    <mergeCell ref="A12:B12"/>
    <mergeCell ref="A10:B10"/>
    <mergeCell ref="A2:B2"/>
    <mergeCell ref="A3:B3"/>
    <mergeCell ref="A4:B4"/>
    <mergeCell ref="A8:B8"/>
  </mergeCells>
  <printOptions horizontalCentered="1"/>
  <pageMargins left="0.78740157480314965" right="0.78740157480314965" top="0.98425196850393704" bottom="0.98425196850393704" header="0.51181102362204722" footer="0.31496062992125984"/>
  <pageSetup paperSize="9" orientation="portrait" blackAndWhite="1" r:id="rId5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129"/>
  <sheetViews>
    <sheetView zoomScaleNormal="100" workbookViewId="0"/>
  </sheetViews>
  <sheetFormatPr baseColWidth="10" defaultColWidth="10.28515625" defaultRowHeight="12.75" x14ac:dyDescent="0.2"/>
  <cols>
    <col min="1" max="1" width="6.7109375" style="49" customWidth="1"/>
    <col min="2" max="3" width="14.42578125" style="49" customWidth="1"/>
    <col min="4" max="6" width="12.7109375" style="49" customWidth="1"/>
    <col min="7" max="16384" width="10.28515625" style="49"/>
  </cols>
  <sheetData>
    <row r="1" spans="1:6" ht="15.75" x14ac:dyDescent="0.2">
      <c r="A1" s="47"/>
      <c r="B1" s="47"/>
      <c r="C1" s="47"/>
      <c r="D1" s="47"/>
      <c r="E1" s="47"/>
      <c r="F1" s="48" t="str">
        <f>"EVK 2000, "&amp;TEXT(Zins,"0.00%")</f>
        <v>EVK 2000, 2.25%</v>
      </c>
    </row>
    <row r="2" spans="1:6" ht="15.75" x14ac:dyDescent="0.2">
      <c r="A2" s="47"/>
      <c r="B2" s="47"/>
      <c r="C2" s="50"/>
      <c r="D2" s="47"/>
      <c r="E2" s="47"/>
      <c r="F2" s="48" t="s">
        <v>397</v>
      </c>
    </row>
    <row r="3" spans="1:6" ht="15.75" x14ac:dyDescent="0.2">
      <c r="A3" s="51" t="s">
        <v>398</v>
      </c>
      <c r="B3" s="47"/>
      <c r="C3" s="47"/>
      <c r="D3" s="47"/>
      <c r="E3" s="47"/>
      <c r="F3" s="52"/>
    </row>
    <row r="4" spans="1:6" ht="15.75" x14ac:dyDescent="0.2">
      <c r="A4" s="47"/>
      <c r="B4" s="47"/>
      <c r="C4" s="47"/>
      <c r="D4" s="47"/>
      <c r="E4" s="47"/>
      <c r="F4" s="48" t="str">
        <f>"Unterjährigkeit m = " &amp;m</f>
        <v>Unterjährigkeit m = 12</v>
      </c>
    </row>
    <row r="5" spans="1:6" ht="16.5" thickBot="1" x14ac:dyDescent="0.25">
      <c r="A5" s="53"/>
      <c r="B5" s="47"/>
      <c r="C5" s="47"/>
      <c r="D5" s="47"/>
      <c r="E5" s="47"/>
      <c r="F5" s="54"/>
    </row>
    <row r="6" spans="1:6" ht="15.75" x14ac:dyDescent="0.2">
      <c r="A6" s="55"/>
      <c r="B6" s="55"/>
      <c r="C6" s="55"/>
      <c r="D6" s="55"/>
      <c r="E6" s="55"/>
      <c r="F6" s="55"/>
    </row>
    <row r="7" spans="1:6" ht="18.75" x14ac:dyDescent="0.2">
      <c r="A7" s="56" t="s">
        <v>399</v>
      </c>
      <c r="B7" s="56" t="s">
        <v>400</v>
      </c>
      <c r="C7" s="56" t="s">
        <v>401</v>
      </c>
      <c r="D7" s="56" t="s">
        <v>402</v>
      </c>
      <c r="E7" s="56" t="s">
        <v>403</v>
      </c>
      <c r="F7" s="56" t="s">
        <v>404</v>
      </c>
    </row>
    <row r="8" spans="1:6" ht="16.5" thickBot="1" x14ac:dyDescent="0.25">
      <c r="A8" s="57"/>
      <c r="B8" s="57"/>
      <c r="C8" s="57"/>
      <c r="D8" s="57"/>
      <c r="E8" s="57"/>
      <c r="F8" s="57"/>
    </row>
    <row r="9" spans="1:6" ht="15.75" x14ac:dyDescent="0.2">
      <c r="A9" s="58">
        <v>0</v>
      </c>
      <c r="B9" s="59">
        <f t="shared" ref="B9:B40" si="0">(1+Zins)^$A9</f>
        <v>1</v>
      </c>
      <c r="C9" s="59">
        <f t="shared" ref="C9:C40" si="1">v^$A9</f>
        <v>1</v>
      </c>
      <c r="D9" s="60">
        <f t="shared" ref="D9:D40" si="2">IF(Zins&lt;&gt;0,(B9-1)/(1-v),$A9)</f>
        <v>0</v>
      </c>
      <c r="E9" s="60">
        <f t="shared" ref="E9:E40" si="3">IF(Zins&lt;&gt;0,(1-v^$A9)/(1-v),$A9)</f>
        <v>0</v>
      </c>
      <c r="F9" s="60">
        <f t="shared" ref="F9:F40" si="4">E9-(m-1)/(2*m)*(1-v^$A9)</f>
        <v>0</v>
      </c>
    </row>
    <row r="10" spans="1:6" ht="15.75" x14ac:dyDescent="0.2">
      <c r="A10" s="58">
        <f t="shared" ref="A10:A41" si="5">1+A9</f>
        <v>1</v>
      </c>
      <c r="B10" s="59">
        <f t="shared" si="0"/>
        <v>1.0225</v>
      </c>
      <c r="C10" s="59">
        <f t="shared" si="1"/>
        <v>0.97799511002444994</v>
      </c>
      <c r="D10" s="60">
        <f t="shared" si="2"/>
        <v>1.0225000000000015</v>
      </c>
      <c r="E10" s="60">
        <f t="shared" si="3"/>
        <v>1</v>
      </c>
      <c r="F10" s="60">
        <f t="shared" si="4"/>
        <v>0.98991442542787289</v>
      </c>
    </row>
    <row r="11" spans="1:6" ht="15.75" x14ac:dyDescent="0.2">
      <c r="A11" s="58">
        <f t="shared" si="5"/>
        <v>2</v>
      </c>
      <c r="B11" s="59">
        <f t="shared" si="0"/>
        <v>1.0455062499999999</v>
      </c>
      <c r="C11" s="59">
        <f t="shared" si="1"/>
        <v>0.95647443523173592</v>
      </c>
      <c r="D11" s="60">
        <f t="shared" si="2"/>
        <v>2.0680062499999998</v>
      </c>
      <c r="E11" s="60">
        <f t="shared" si="3"/>
        <v>1.9779951100244513</v>
      </c>
      <c r="F11" s="60">
        <f t="shared" si="4"/>
        <v>1.958045892838997</v>
      </c>
    </row>
    <row r="12" spans="1:6" ht="15.75" x14ac:dyDescent="0.2">
      <c r="A12" s="58">
        <f t="shared" si="5"/>
        <v>3</v>
      </c>
      <c r="B12" s="59">
        <f t="shared" si="0"/>
        <v>1.0690301406249998</v>
      </c>
      <c r="C12" s="59">
        <f t="shared" si="1"/>
        <v>0.93542732052003519</v>
      </c>
      <c r="D12" s="60">
        <f t="shared" si="2"/>
        <v>3.1370363906249996</v>
      </c>
      <c r="E12" s="60">
        <f t="shared" si="3"/>
        <v>2.9344695452561873</v>
      </c>
      <c r="F12" s="60">
        <f t="shared" si="4"/>
        <v>2.9048737338278703</v>
      </c>
    </row>
    <row r="13" spans="1:6" ht="15.75" x14ac:dyDescent="0.2">
      <c r="A13" s="58">
        <f t="shared" si="5"/>
        <v>4</v>
      </c>
      <c r="B13" s="59">
        <f t="shared" si="0"/>
        <v>1.0930833187890623</v>
      </c>
      <c r="C13" s="59">
        <f t="shared" si="1"/>
        <v>0.91484334525186817</v>
      </c>
      <c r="D13" s="60">
        <f t="shared" si="2"/>
        <v>4.2301197094140655</v>
      </c>
      <c r="E13" s="60">
        <f t="shared" si="3"/>
        <v>3.8698968657762247</v>
      </c>
      <c r="F13" s="60">
        <f t="shared" si="4"/>
        <v>3.8308667323499974</v>
      </c>
    </row>
    <row r="14" spans="1:6" ht="15.75" x14ac:dyDescent="0.2">
      <c r="A14" s="58">
        <f t="shared" si="5"/>
        <v>5</v>
      </c>
      <c r="B14" s="59">
        <f t="shared" si="0"/>
        <v>1.1176776934618162</v>
      </c>
      <c r="C14" s="59">
        <f t="shared" si="1"/>
        <v>0.89471231809473661</v>
      </c>
      <c r="D14" s="60">
        <f t="shared" si="2"/>
        <v>5.3477974028758863</v>
      </c>
      <c r="E14" s="60">
        <f t="shared" si="3"/>
        <v>4.7847402110280948</v>
      </c>
      <c r="F14" s="60">
        <f t="shared" si="4"/>
        <v>4.7364833568215161</v>
      </c>
    </row>
    <row r="15" spans="1:6" ht="15.75" x14ac:dyDescent="0.2">
      <c r="A15" s="58">
        <f t="shared" si="5"/>
        <v>6</v>
      </c>
      <c r="B15" s="59">
        <f t="shared" si="0"/>
        <v>1.142825441564707</v>
      </c>
      <c r="C15" s="59">
        <f t="shared" si="1"/>
        <v>0.87502427197529264</v>
      </c>
      <c r="D15" s="60">
        <f t="shared" si="2"/>
        <v>6.4906228444405931</v>
      </c>
      <c r="E15" s="60">
        <f t="shared" si="3"/>
        <v>5.6794525291228286</v>
      </c>
      <c r="F15" s="60">
        <f t="shared" si="4"/>
        <v>5.6221719871115043</v>
      </c>
    </row>
    <row r="16" spans="1:6" ht="15.75" x14ac:dyDescent="0.2">
      <c r="A16" s="58">
        <f t="shared" si="5"/>
        <v>7</v>
      </c>
      <c r="B16" s="59">
        <f t="shared" si="0"/>
        <v>1.1685390139999128</v>
      </c>
      <c r="C16" s="59">
        <f t="shared" si="1"/>
        <v>0.8557694591445405</v>
      </c>
      <c r="D16" s="60">
        <f t="shared" si="2"/>
        <v>7.6591618584405037</v>
      </c>
      <c r="E16" s="60">
        <f t="shared" si="3"/>
        <v>6.5544768010981231</v>
      </c>
      <c r="F16" s="60">
        <f t="shared" si="4"/>
        <v>6.4883711365393708</v>
      </c>
    </row>
    <row r="17" spans="1:6" ht="15.75" x14ac:dyDescent="0.2">
      <c r="A17" s="58">
        <f t="shared" si="5"/>
        <v>8</v>
      </c>
      <c r="B17" s="59">
        <f t="shared" si="0"/>
        <v>1.1948311418149107</v>
      </c>
      <c r="C17" s="59">
        <f t="shared" si="1"/>
        <v>0.83693834635162889</v>
      </c>
      <c r="D17" s="60">
        <f t="shared" si="2"/>
        <v>8.8539930002554108</v>
      </c>
      <c r="E17" s="60">
        <f t="shared" si="3"/>
        <v>7.4102462602426646</v>
      </c>
      <c r="F17" s="60">
        <f t="shared" si="4"/>
        <v>7.3355096689871608</v>
      </c>
    </row>
    <row r="18" spans="1:6" ht="15.75" x14ac:dyDescent="0.2">
      <c r="A18" s="58">
        <f t="shared" si="5"/>
        <v>9</v>
      </c>
      <c r="B18" s="59">
        <f t="shared" si="0"/>
        <v>1.221714842505746</v>
      </c>
      <c r="C18" s="59">
        <f t="shared" si="1"/>
        <v>0.8185216101238425</v>
      </c>
      <c r="D18" s="60">
        <f t="shared" si="2"/>
        <v>10.075707842761155</v>
      </c>
      <c r="E18" s="60">
        <f t="shared" si="3"/>
        <v>8.2471846065942938</v>
      </c>
      <c r="F18" s="60">
        <f t="shared" si="4"/>
        <v>8.1640070112343874</v>
      </c>
    </row>
    <row r="19" spans="1:6" ht="15.75" x14ac:dyDescent="0.2">
      <c r="A19" s="58">
        <f t="shared" si="5"/>
        <v>10</v>
      </c>
      <c r="B19" s="59">
        <f t="shared" si="0"/>
        <v>1.2492034264621252</v>
      </c>
      <c r="C19" s="59">
        <f t="shared" si="1"/>
        <v>0.80051013215045719</v>
      </c>
      <c r="D19" s="60">
        <f t="shared" si="2"/>
        <v>11.32491126922328</v>
      </c>
      <c r="E19" s="60">
        <f t="shared" si="3"/>
        <v>9.065706216718139</v>
      </c>
      <c r="F19" s="60">
        <f t="shared" si="4"/>
        <v>8.9742733606204315</v>
      </c>
    </row>
    <row r="20" spans="1:6" ht="15.75" x14ac:dyDescent="0.2">
      <c r="A20" s="58">
        <f t="shared" si="5"/>
        <v>11</v>
      </c>
      <c r="B20" s="59">
        <f t="shared" si="0"/>
        <v>1.277310503557523</v>
      </c>
      <c r="C20" s="59">
        <f t="shared" si="1"/>
        <v>0.78289499476817337</v>
      </c>
      <c r="D20" s="60">
        <f t="shared" si="2"/>
        <v>12.602221772780803</v>
      </c>
      <c r="E20" s="60">
        <f t="shared" si="3"/>
        <v>9.8662163488685941</v>
      </c>
      <c r="F20" s="60">
        <f t="shared" si="4"/>
        <v>9.7667098881373402</v>
      </c>
    </row>
    <row r="21" spans="1:6" ht="15.75" x14ac:dyDescent="0.2">
      <c r="A21" s="58">
        <f t="shared" si="5"/>
        <v>12</v>
      </c>
      <c r="B21" s="59">
        <f t="shared" si="0"/>
        <v>1.3060499898875673</v>
      </c>
      <c r="C21" s="59">
        <f t="shared" si="1"/>
        <v>0.76566747654589085</v>
      </c>
      <c r="D21" s="60">
        <f t="shared" si="2"/>
        <v>13.908271762668376</v>
      </c>
      <c r="E21" s="60">
        <f t="shared" si="3"/>
        <v>10.64911134363677</v>
      </c>
      <c r="F21" s="60">
        <f t="shared" si="4"/>
        <v>10.541708937053636</v>
      </c>
    </row>
    <row r="22" spans="1:6" ht="15.75" x14ac:dyDescent="0.2">
      <c r="A22" s="58">
        <f t="shared" si="5"/>
        <v>13</v>
      </c>
      <c r="B22" s="59">
        <f t="shared" si="0"/>
        <v>1.3354361146600375</v>
      </c>
      <c r="C22" s="59">
        <f t="shared" si="1"/>
        <v>0.74881904796664145</v>
      </c>
      <c r="D22" s="60">
        <f t="shared" si="2"/>
        <v>15.243707877328417</v>
      </c>
      <c r="E22" s="60">
        <f t="shared" si="3"/>
        <v>11.414778820182661</v>
      </c>
      <c r="F22" s="60">
        <f t="shared" si="4"/>
        <v>11.299654217167372</v>
      </c>
    </row>
    <row r="23" spans="1:6" ht="15.75" x14ac:dyDescent="0.2">
      <c r="A23" s="58">
        <f t="shared" si="5"/>
        <v>14</v>
      </c>
      <c r="B23" s="59">
        <f t="shared" si="0"/>
        <v>1.3654834272398884</v>
      </c>
      <c r="C23" s="59">
        <f t="shared" si="1"/>
        <v>0.73234136720453935</v>
      </c>
      <c r="D23" s="60">
        <f t="shared" si="2"/>
        <v>16.609191304568309</v>
      </c>
      <c r="E23" s="60">
        <f t="shared" si="3"/>
        <v>12.163597868149303</v>
      </c>
      <c r="F23" s="60">
        <f t="shared" si="4"/>
        <v>12.040920994784717</v>
      </c>
    </row>
    <row r="24" spans="1:6" ht="15.75" x14ac:dyDescent="0.2">
      <c r="A24" s="58">
        <f t="shared" si="5"/>
        <v>15</v>
      </c>
      <c r="B24" s="59">
        <f t="shared" si="0"/>
        <v>1.3962068043527858</v>
      </c>
      <c r="C24" s="59">
        <f t="shared" si="1"/>
        <v>0.7162262759946596</v>
      </c>
      <c r="D24" s="60">
        <f t="shared" si="2"/>
        <v>18.005398108921096</v>
      </c>
      <c r="E24" s="60">
        <f t="shared" si="3"/>
        <v>12.895939235353842</v>
      </c>
      <c r="F24" s="60">
        <f t="shared" si="4"/>
        <v>12.765876278518061</v>
      </c>
    </row>
    <row r="25" spans="1:6" ht="15.75" x14ac:dyDescent="0.2">
      <c r="A25" s="58">
        <f t="shared" si="5"/>
        <v>16</v>
      </c>
      <c r="B25" s="59">
        <f t="shared" si="0"/>
        <v>1.4276214574507231</v>
      </c>
      <c r="C25" s="59">
        <f t="shared" si="1"/>
        <v>0.70046579559379918</v>
      </c>
      <c r="D25" s="60">
        <f t="shared" si="2"/>
        <v>19.433019566371808</v>
      </c>
      <c r="E25" s="60">
        <f t="shared" si="3"/>
        <v>13.612165511348501</v>
      </c>
      <c r="F25" s="60">
        <f t="shared" si="4"/>
        <v>13.474879000995658</v>
      </c>
    </row>
    <row r="26" spans="1:6" ht="15.75" x14ac:dyDescent="0.2">
      <c r="A26" s="58">
        <f t="shared" si="5"/>
        <v>17</v>
      </c>
      <c r="B26" s="59">
        <f t="shared" si="0"/>
        <v>1.4597429402433644</v>
      </c>
      <c r="C26" s="59">
        <f t="shared" si="1"/>
        <v>0.68505212283012151</v>
      </c>
      <c r="D26" s="60">
        <f t="shared" si="2"/>
        <v>20.892762506615178</v>
      </c>
      <c r="E26" s="60">
        <f t="shared" si="3"/>
        <v>14.312631306942299</v>
      </c>
      <c r="F26" s="60">
        <f t="shared" si="4"/>
        <v>14.168280196572772</v>
      </c>
    </row>
    <row r="27" spans="1:6" ht="15.75" x14ac:dyDescent="0.2">
      <c r="A27" s="58">
        <f t="shared" si="5"/>
        <v>18</v>
      </c>
      <c r="B27" s="59">
        <f t="shared" si="0"/>
        <v>1.4925871563988398</v>
      </c>
      <c r="C27" s="59">
        <f t="shared" si="1"/>
        <v>0.66997762623972767</v>
      </c>
      <c r="D27" s="60">
        <f t="shared" si="2"/>
        <v>22.385349663014008</v>
      </c>
      <c r="E27" s="60">
        <f t="shared" si="3"/>
        <v>14.997683429772421</v>
      </c>
      <c r="F27" s="60">
        <f t="shared" si="4"/>
        <v>14.846423175132296</v>
      </c>
    </row>
    <row r="28" spans="1:6" ht="15.75" x14ac:dyDescent="0.2">
      <c r="A28" s="58">
        <f t="shared" si="5"/>
        <v>19</v>
      </c>
      <c r="B28" s="59">
        <f t="shared" si="0"/>
        <v>1.5261703674178138</v>
      </c>
      <c r="C28" s="59">
        <f t="shared" si="1"/>
        <v>0.65523484228824225</v>
      </c>
      <c r="D28" s="60">
        <f t="shared" si="2"/>
        <v>23.911520030431831</v>
      </c>
      <c r="E28" s="60">
        <f t="shared" si="3"/>
        <v>15.667661056012149</v>
      </c>
      <c r="F28" s="60">
        <f t="shared" si="4"/>
        <v>15.509643692060926</v>
      </c>
    </row>
    <row r="29" spans="1:6" ht="15.75" x14ac:dyDescent="0.2">
      <c r="A29" s="58">
        <f t="shared" si="5"/>
        <v>20</v>
      </c>
      <c r="B29" s="59">
        <f t="shared" si="0"/>
        <v>1.5605092006847145</v>
      </c>
      <c r="C29" s="59">
        <f t="shared" si="1"/>
        <v>0.64081647167554256</v>
      </c>
      <c r="D29" s="60">
        <f t="shared" si="2"/>
        <v>25.472029231116547</v>
      </c>
      <c r="E29" s="60">
        <f t="shared" si="3"/>
        <v>16.322895898300391</v>
      </c>
      <c r="F29" s="60">
        <f t="shared" si="4"/>
        <v>16.158270114485013</v>
      </c>
    </row>
    <row r="30" spans="1:6" ht="15.75" x14ac:dyDescent="0.2">
      <c r="A30" s="58">
        <f t="shared" si="5"/>
        <v>21</v>
      </c>
      <c r="B30" s="59">
        <f t="shared" si="0"/>
        <v>1.5956206577001206</v>
      </c>
      <c r="C30" s="59">
        <f t="shared" si="1"/>
        <v>0.62671537572180203</v>
      </c>
      <c r="D30" s="60">
        <f t="shared" si="2"/>
        <v>27.067649888816675</v>
      </c>
      <c r="E30" s="60">
        <f t="shared" si="3"/>
        <v>16.963712369975937</v>
      </c>
      <c r="F30" s="60">
        <f t="shared" si="4"/>
        <v>16.792623583848428</v>
      </c>
    </row>
    <row r="31" spans="1:6" ht="15.75" x14ac:dyDescent="0.2">
      <c r="A31" s="58">
        <f t="shared" si="5"/>
        <v>22</v>
      </c>
      <c r="B31" s="59">
        <f t="shared" si="0"/>
        <v>1.6315221224983731</v>
      </c>
      <c r="C31" s="59">
        <f t="shared" si="1"/>
        <v>0.61292457283305823</v>
      </c>
      <c r="D31" s="60">
        <f t="shared" si="2"/>
        <v>28.699172011315042</v>
      </c>
      <c r="E31" s="60">
        <f t="shared" si="3"/>
        <v>17.590427745697738</v>
      </c>
      <c r="F31" s="60">
        <f t="shared" si="4"/>
        <v>17.413018174912889</v>
      </c>
    </row>
    <row r="32" spans="1:6" ht="15.75" x14ac:dyDescent="0.2">
      <c r="A32" s="58">
        <f t="shared" si="5"/>
        <v>23</v>
      </c>
      <c r="B32" s="59">
        <f t="shared" si="0"/>
        <v>1.6682313702545863</v>
      </c>
      <c r="C32" s="59">
        <f t="shared" si="1"/>
        <v>0.59943723504455582</v>
      </c>
      <c r="D32" s="60">
        <f t="shared" si="2"/>
        <v>30.367403381569623</v>
      </c>
      <c r="E32" s="60">
        <f t="shared" si="3"/>
        <v>18.203352318530793</v>
      </c>
      <c r="F32" s="60">
        <f t="shared" si="4"/>
        <v>18.019761051259547</v>
      </c>
    </row>
    <row r="33" spans="1:6" ht="15.75" x14ac:dyDescent="0.2">
      <c r="A33" s="58">
        <f t="shared" si="5"/>
        <v>24</v>
      </c>
      <c r="B33" s="59">
        <f t="shared" si="0"/>
        <v>1.7057665760853145</v>
      </c>
      <c r="C33" s="59">
        <f t="shared" si="1"/>
        <v>0.58624668464015239</v>
      </c>
      <c r="D33" s="60">
        <f t="shared" si="2"/>
        <v>32.07316995765494</v>
      </c>
      <c r="E33" s="60">
        <f t="shared" si="3"/>
        <v>18.802789553575352</v>
      </c>
      <c r="F33" s="60">
        <f t="shared" si="4"/>
        <v>18.613152617368755</v>
      </c>
    </row>
    <row r="34" spans="1:6" ht="15.75" x14ac:dyDescent="0.2">
      <c r="A34" s="58">
        <f t="shared" si="5"/>
        <v>25</v>
      </c>
      <c r="B34" s="59">
        <f t="shared" si="0"/>
        <v>1.7441463240472337</v>
      </c>
      <c r="C34" s="59">
        <f t="shared" si="1"/>
        <v>0.57334639084611483</v>
      </c>
      <c r="D34" s="60">
        <f t="shared" si="2"/>
        <v>33.817316281702162</v>
      </c>
      <c r="E34" s="60">
        <f t="shared" si="3"/>
        <v>19.389036238215507</v>
      </c>
      <c r="F34" s="60">
        <f t="shared" si="4"/>
        <v>19.193486667353309</v>
      </c>
    </row>
    <row r="35" spans="1:6" ht="15.75" x14ac:dyDescent="0.2">
      <c r="A35" s="58">
        <f t="shared" si="5"/>
        <v>26</v>
      </c>
      <c r="B35" s="59">
        <f t="shared" si="0"/>
        <v>1.7833896163382965</v>
      </c>
      <c r="C35" s="59">
        <f t="shared" si="1"/>
        <v>0.56072996659766727</v>
      </c>
      <c r="D35" s="60">
        <f t="shared" si="2"/>
        <v>35.600705898040466</v>
      </c>
      <c r="E35" s="60">
        <f t="shared" si="3"/>
        <v>19.962382629061626</v>
      </c>
      <c r="F35" s="60">
        <f t="shared" si="4"/>
        <v>19.761050530418888</v>
      </c>
    </row>
    <row r="36" spans="1:6" ht="15.75" x14ac:dyDescent="0.2">
      <c r="A36" s="58">
        <f t="shared" si="5"/>
        <v>27</v>
      </c>
      <c r="B36" s="59">
        <f t="shared" si="0"/>
        <v>1.8235158827059079</v>
      </c>
      <c r="C36" s="59">
        <f t="shared" si="1"/>
        <v>0.54839116537669186</v>
      </c>
      <c r="D36" s="60">
        <f t="shared" si="2"/>
        <v>37.424221780746372</v>
      </c>
      <c r="E36" s="60">
        <f t="shared" si="3"/>
        <v>20.523112595659285</v>
      </c>
      <c r="F36" s="60">
        <f t="shared" si="4"/>
        <v>20.316125213123602</v>
      </c>
    </row>
    <row r="37" spans="1:6" ht="15.75" x14ac:dyDescent="0.2">
      <c r="A37" s="58">
        <f t="shared" si="5"/>
        <v>28</v>
      </c>
      <c r="B37" s="59">
        <f t="shared" si="0"/>
        <v>1.864544990066791</v>
      </c>
      <c r="C37" s="59">
        <f t="shared" si="1"/>
        <v>0.53632387811901405</v>
      </c>
      <c r="D37" s="60">
        <f t="shared" si="2"/>
        <v>39.288766770813176</v>
      </c>
      <c r="E37" s="60">
        <f t="shared" si="3"/>
        <v>21.071503761035981</v>
      </c>
      <c r="F37" s="60">
        <f t="shared" si="4"/>
        <v>20.858985538507195</v>
      </c>
    </row>
    <row r="38" spans="1:6" ht="15.75" x14ac:dyDescent="0.2">
      <c r="A38" s="58">
        <f t="shared" si="5"/>
        <v>29</v>
      </c>
      <c r="B38" s="59">
        <f t="shared" si="0"/>
        <v>1.9064972523432937</v>
      </c>
      <c r="C38" s="59">
        <f t="shared" si="1"/>
        <v>0.52452213018974481</v>
      </c>
      <c r="D38" s="60">
        <f t="shared" si="2"/>
        <v>41.195264023156469</v>
      </c>
      <c r="E38" s="60">
        <f t="shared" si="3"/>
        <v>21.607827639154994</v>
      </c>
      <c r="F38" s="60">
        <f t="shared" si="4"/>
        <v>21.389900282158628</v>
      </c>
    </row>
    <row r="39" spans="1:6" ht="15.75" x14ac:dyDescent="0.2">
      <c r="A39" s="58">
        <f t="shared" si="5"/>
        <v>30</v>
      </c>
      <c r="B39" s="59">
        <f t="shared" si="0"/>
        <v>1.9493934405210178</v>
      </c>
      <c r="C39" s="59">
        <f t="shared" si="1"/>
        <v>0.51298007842517823</v>
      </c>
      <c r="D39" s="60">
        <f t="shared" si="2"/>
        <v>43.14465746367749</v>
      </c>
      <c r="E39" s="60">
        <f t="shared" si="3"/>
        <v>22.132349769344742</v>
      </c>
      <c r="F39" s="60">
        <f t="shared" si="4"/>
        <v>21.909132305289617</v>
      </c>
    </row>
    <row r="40" spans="1:6" ht="15.75" x14ac:dyDescent="0.2">
      <c r="A40" s="58">
        <f t="shared" si="5"/>
        <v>31</v>
      </c>
      <c r="B40" s="59">
        <f t="shared" si="0"/>
        <v>1.9932547929327407</v>
      </c>
      <c r="C40" s="59">
        <f t="shared" si="1"/>
        <v>0.50169200823978322</v>
      </c>
      <c r="D40" s="60">
        <f t="shared" si="2"/>
        <v>45.137912256610235</v>
      </c>
      <c r="E40" s="60">
        <f t="shared" si="3"/>
        <v>22.645329847769919</v>
      </c>
      <c r="F40" s="60">
        <f t="shared" si="4"/>
        <v>22.41693868487982</v>
      </c>
    </row>
    <row r="41" spans="1:6" ht="15.75" x14ac:dyDescent="0.2">
      <c r="A41" s="58">
        <f t="shared" si="5"/>
        <v>32</v>
      </c>
      <c r="B41" s="59">
        <f t="shared" ref="B41:B72" si="6">(1+Zins)^$A41</f>
        <v>2.0381030257737267</v>
      </c>
      <c r="C41" s="59">
        <f t="shared" ref="C41:C72" si="7">v^$A41</f>
        <v>0.49065233079685405</v>
      </c>
      <c r="D41" s="60">
        <f t="shared" ref="D41:D72" si="8">IF(Zins&lt;&gt;0,(B41-1)/(1-v),$A41)</f>
        <v>47.176015282383943</v>
      </c>
      <c r="E41" s="60">
        <f t="shared" ref="E41:E72" si="9">IF(Zins&lt;&gt;0,(1-v^$A41)/(1-v),$A41)</f>
        <v>23.147021856009705</v>
      </c>
      <c r="F41" s="60">
        <f t="shared" ref="F41:F72" si="10">E41-(m-1)/(2*m)*(1-v^$A41)</f>
        <v>22.913570840958261</v>
      </c>
    </row>
    <row r="42" spans="1:6" ht="15.75" x14ac:dyDescent="0.2">
      <c r="A42" s="58">
        <f t="shared" ref="A42:A73" si="11">1+A41</f>
        <v>33</v>
      </c>
      <c r="B42" s="59">
        <f t="shared" si="6"/>
        <v>2.0839603438536356</v>
      </c>
      <c r="C42" s="59">
        <f t="shared" si="7"/>
        <v>0.47985558024142211</v>
      </c>
      <c r="D42" s="60">
        <f t="shared" si="8"/>
        <v>49.259975626237583</v>
      </c>
      <c r="E42" s="60">
        <f t="shared" si="9"/>
        <v>23.637674186806553</v>
      </c>
      <c r="F42" s="60">
        <f t="shared" si="10"/>
        <v>23.399274661083872</v>
      </c>
    </row>
    <row r="43" spans="1:6" ht="15.75" x14ac:dyDescent="0.2">
      <c r="A43" s="58">
        <f t="shared" si="11"/>
        <v>34</v>
      </c>
      <c r="B43" s="59">
        <f t="shared" si="6"/>
        <v>2.130849451590342</v>
      </c>
      <c r="C43" s="59">
        <f t="shared" si="7"/>
        <v>0.46929641099405583</v>
      </c>
      <c r="D43" s="60">
        <f t="shared" si="8"/>
        <v>51.39082507782792</v>
      </c>
      <c r="E43" s="60">
        <f t="shared" si="9"/>
        <v>24.11752976704798</v>
      </c>
      <c r="F43" s="60">
        <f t="shared" si="10"/>
        <v>23.874290622086921</v>
      </c>
    </row>
    <row r="44" spans="1:6" ht="15.75" x14ac:dyDescent="0.2">
      <c r="A44" s="58">
        <f t="shared" si="11"/>
        <v>35</v>
      </c>
      <c r="B44" s="59">
        <f t="shared" si="6"/>
        <v>2.1787935642511247</v>
      </c>
      <c r="C44" s="59">
        <f t="shared" si="7"/>
        <v>0.45896959510421115</v>
      </c>
      <c r="D44" s="60">
        <f t="shared" si="8"/>
        <v>53.56961864207905</v>
      </c>
      <c r="E44" s="60">
        <f t="shared" si="9"/>
        <v>24.586826178042031</v>
      </c>
      <c r="F44" s="60">
        <f t="shared" si="10"/>
        <v>24.338853909131462</v>
      </c>
    </row>
    <row r="45" spans="1:6" ht="15.75" x14ac:dyDescent="0.2">
      <c r="A45" s="58">
        <f t="shared" si="11"/>
        <v>36</v>
      </c>
      <c r="B45" s="59">
        <f t="shared" si="6"/>
        <v>2.2278164194467749</v>
      </c>
      <c r="C45" s="59">
        <f t="shared" si="7"/>
        <v>0.44887001966182016</v>
      </c>
      <c r="D45" s="60">
        <f t="shared" si="8"/>
        <v>55.797435061525825</v>
      </c>
      <c r="E45" s="60">
        <f t="shared" si="9"/>
        <v>25.045795773146246</v>
      </c>
      <c r="F45" s="60">
        <f t="shared" si="10"/>
        <v>24.793194532157912</v>
      </c>
    </row>
    <row r="46" spans="1:6" ht="15.75" x14ac:dyDescent="0.2">
      <c r="A46" s="58">
        <f t="shared" si="11"/>
        <v>37</v>
      </c>
      <c r="B46" s="59">
        <f t="shared" si="6"/>
        <v>2.2779422888843275</v>
      </c>
      <c r="C46" s="59">
        <f t="shared" si="7"/>
        <v>0.43899268426583882</v>
      </c>
      <c r="D46" s="60">
        <f t="shared" si="8"/>
        <v>58.075377350410164</v>
      </c>
      <c r="E46" s="60">
        <f t="shared" si="9"/>
        <v>25.494665792808068</v>
      </c>
      <c r="F46" s="60">
        <f t="shared" si="10"/>
        <v>25.237537439763244</v>
      </c>
    </row>
    <row r="47" spans="1:6" ht="15.75" x14ac:dyDescent="0.2">
      <c r="A47" s="58">
        <f t="shared" si="11"/>
        <v>38</v>
      </c>
      <c r="B47" s="59">
        <f t="shared" si="6"/>
        <v>2.3291959903842248</v>
      </c>
      <c r="C47" s="59">
        <f t="shared" si="7"/>
        <v>0.42933269854849765</v>
      </c>
      <c r="D47" s="60">
        <f t="shared" si="8"/>
        <v>60.404573340794393</v>
      </c>
      <c r="E47" s="60">
        <f t="shared" si="9"/>
        <v>25.933658477073905</v>
      </c>
      <c r="F47" s="60">
        <f t="shared" si="10"/>
        <v>25.672102630575299</v>
      </c>
    </row>
    <row r="48" spans="1:6" ht="15.75" x14ac:dyDescent="0.2">
      <c r="A48" s="58">
        <f t="shared" si="11"/>
        <v>39</v>
      </c>
      <c r="B48" s="59">
        <f t="shared" si="6"/>
        <v>2.3816029001678696</v>
      </c>
      <c r="C48" s="59">
        <f t="shared" si="7"/>
        <v>0.41988527975403195</v>
      </c>
      <c r="D48" s="60">
        <f t="shared" si="8"/>
        <v>62.786176240962256</v>
      </c>
      <c r="E48" s="60">
        <f t="shared" si="9"/>
        <v>26.362991175622401</v>
      </c>
      <c r="F48" s="60">
        <f t="shared" si="10"/>
        <v>26.097105262176331</v>
      </c>
    </row>
    <row r="49" spans="1:6" ht="16.5" thickBot="1" x14ac:dyDescent="0.25">
      <c r="A49" s="57">
        <f t="shared" si="11"/>
        <v>40</v>
      </c>
      <c r="B49" s="61">
        <f t="shared" si="6"/>
        <v>2.4351889654216463</v>
      </c>
      <c r="C49" s="61">
        <f t="shared" si="7"/>
        <v>0.41064575037069145</v>
      </c>
      <c r="D49" s="62">
        <f t="shared" si="8"/>
        <v>65.221365206383894</v>
      </c>
      <c r="E49" s="62">
        <f t="shared" si="9"/>
        <v>26.782876455376432</v>
      </c>
      <c r="F49" s="62">
        <f t="shared" si="10"/>
        <v>26.512755757629666</v>
      </c>
    </row>
    <row r="50" spans="1:6" ht="15.75" x14ac:dyDescent="0.2">
      <c r="A50" s="58">
        <f t="shared" si="11"/>
        <v>41</v>
      </c>
      <c r="B50" s="59">
        <f t="shared" si="6"/>
        <v>2.489980717143633</v>
      </c>
      <c r="C50" s="59">
        <f t="shared" si="7"/>
        <v>0.4016095358148572</v>
      </c>
      <c r="D50" s="60">
        <f t="shared" si="8"/>
        <v>67.711345923527517</v>
      </c>
      <c r="E50" s="60">
        <f t="shared" si="9"/>
        <v>27.193522205747122</v>
      </c>
      <c r="F50" s="60">
        <f t="shared" si="10"/>
        <v>26.919259909662266</v>
      </c>
    </row>
    <row r="51" spans="1:6" ht="15.75" x14ac:dyDescent="0.2">
      <c r="A51" s="58">
        <f t="shared" si="11"/>
        <v>42</v>
      </c>
      <c r="B51" s="59">
        <f t="shared" si="6"/>
        <v>2.5460052832793645</v>
      </c>
      <c r="C51" s="59">
        <f t="shared" si="7"/>
        <v>0.39277216216611949</v>
      </c>
      <c r="D51" s="60">
        <f t="shared" si="8"/>
        <v>70.257351206806888</v>
      </c>
      <c r="E51" s="60">
        <f t="shared" si="9"/>
        <v>27.595131741561982</v>
      </c>
      <c r="F51" s="60">
        <f t="shared" si="10"/>
        <v>27.316818982554786</v>
      </c>
    </row>
    <row r="52" spans="1:6" ht="15.75" x14ac:dyDescent="0.2">
      <c r="A52" s="58">
        <f t="shared" si="11"/>
        <v>43</v>
      </c>
      <c r="B52" s="59">
        <f t="shared" si="6"/>
        <v>2.6032904021531502</v>
      </c>
      <c r="C52" s="59">
        <f t="shared" si="7"/>
        <v>0.3841292539521951</v>
      </c>
      <c r="D52" s="60">
        <f t="shared" si="8"/>
        <v>72.860641608960037</v>
      </c>
      <c r="E52" s="60">
        <f t="shared" si="9"/>
        <v>27.987903903728107</v>
      </c>
      <c r="F52" s="60">
        <f t="shared" si="10"/>
        <v>27.705629811789528</v>
      </c>
    </row>
    <row r="53" spans="1:6" ht="15.75" x14ac:dyDescent="0.2">
      <c r="A53" s="58">
        <f t="shared" si="11"/>
        <v>44</v>
      </c>
      <c r="B53" s="59">
        <f t="shared" si="6"/>
        <v>2.6618644362015962</v>
      </c>
      <c r="C53" s="59">
        <f t="shared" si="7"/>
        <v>0.37567653198258694</v>
      </c>
      <c r="D53" s="60">
        <f t="shared" si="8"/>
        <v>75.522506045161649</v>
      </c>
      <c r="E53" s="60">
        <f t="shared" si="9"/>
        <v>28.372033157680299</v>
      </c>
      <c r="F53" s="60">
        <f t="shared" si="10"/>
        <v>28.085884901505651</v>
      </c>
    </row>
    <row r="54" spans="1:6" ht="15.75" x14ac:dyDescent="0.2">
      <c r="A54" s="58">
        <f t="shared" si="11"/>
        <v>45</v>
      </c>
      <c r="B54" s="59">
        <f t="shared" si="6"/>
        <v>2.721756386016132</v>
      </c>
      <c r="C54" s="59">
        <f t="shared" si="7"/>
        <v>0.3674098112299139</v>
      </c>
      <c r="D54" s="60">
        <f t="shared" si="8"/>
        <v>78.244262431177788</v>
      </c>
      <c r="E54" s="60">
        <f t="shared" si="9"/>
        <v>28.747709689662887</v>
      </c>
      <c r="F54" s="60">
        <f t="shared" si="10"/>
        <v>28.457772519809932</v>
      </c>
    </row>
    <row r="55" spans="1:6" ht="15.75" x14ac:dyDescent="0.2">
      <c r="A55" s="58">
        <f t="shared" si="11"/>
        <v>46</v>
      </c>
      <c r="B55" s="59">
        <f t="shared" si="6"/>
        <v>2.7829959047014947</v>
      </c>
      <c r="C55" s="59">
        <f t="shared" si="7"/>
        <v>0.359324998757862</v>
      </c>
      <c r="D55" s="60">
        <f t="shared" si="8"/>
        <v>81.027258335879282</v>
      </c>
      <c r="E55" s="60">
        <f t="shared" si="9"/>
        <v>29.115119500892803</v>
      </c>
      <c r="F55" s="60">
        <f t="shared" si="10"/>
        <v>28.821476791990158</v>
      </c>
    </row>
    <row r="56" spans="1:6" ht="15.75" x14ac:dyDescent="0.2">
      <c r="A56" s="58">
        <f t="shared" si="11"/>
        <v>47</v>
      </c>
      <c r="B56" s="59">
        <f t="shared" si="6"/>
        <v>2.8456133125572785</v>
      </c>
      <c r="C56" s="59">
        <f t="shared" si="7"/>
        <v>0.35141809169473059</v>
      </c>
      <c r="D56" s="60">
        <f t="shared" si="8"/>
        <v>83.872871648436572</v>
      </c>
      <c r="E56" s="60">
        <f t="shared" si="9"/>
        <v>29.474444499650662</v>
      </c>
      <c r="F56" s="60">
        <f t="shared" si="10"/>
        <v>29.177177791677416</v>
      </c>
    </row>
    <row r="57" spans="1:6" ht="15.75" x14ac:dyDescent="0.2">
      <c r="A57" s="58">
        <f t="shared" si="11"/>
        <v>48</v>
      </c>
      <c r="B57" s="59">
        <f t="shared" si="6"/>
        <v>2.9096396120898165</v>
      </c>
      <c r="C57" s="59">
        <f t="shared" si="7"/>
        <v>0.34368517525157033</v>
      </c>
      <c r="D57" s="60">
        <f t="shared" si="8"/>
        <v>86.782511260526363</v>
      </c>
      <c r="E57" s="60">
        <f t="shared" si="9"/>
        <v>29.825862591345391</v>
      </c>
      <c r="F57" s="60">
        <f t="shared" si="10"/>
        <v>29.525051630002363</v>
      </c>
    </row>
    <row r="58" spans="1:6" ht="15.75" x14ac:dyDescent="0.2">
      <c r="A58" s="58">
        <f t="shared" si="11"/>
        <v>49</v>
      </c>
      <c r="B58" s="59">
        <f t="shared" si="6"/>
        <v>2.9751065033618374</v>
      </c>
      <c r="C58" s="59">
        <f t="shared" si="7"/>
        <v>0.3361224207839319</v>
      </c>
      <c r="D58" s="60">
        <f t="shared" si="8"/>
        <v>89.757617763888206</v>
      </c>
      <c r="E58" s="60">
        <f t="shared" si="9"/>
        <v>30.16954776659696</v>
      </c>
      <c r="F58" s="60">
        <f t="shared" si="10"/>
        <v>29.865270542789595</v>
      </c>
    </row>
    <row r="59" spans="1:6" ht="15.75" x14ac:dyDescent="0.2">
      <c r="A59" s="58">
        <f t="shared" si="11"/>
        <v>50</v>
      </c>
      <c r="B59" s="59">
        <f t="shared" si="6"/>
        <v>3.0420463996874778</v>
      </c>
      <c r="C59" s="59">
        <f t="shared" si="7"/>
        <v>0.3287260838962659</v>
      </c>
      <c r="D59" s="60">
        <f t="shared" si="8"/>
        <v>92.799664163575656</v>
      </c>
      <c r="E59" s="60">
        <f t="shared" si="9"/>
        <v>30.505670187380897</v>
      </c>
      <c r="F59" s="60">
        <f t="shared" si="10"/>
        <v>30.198002975833351</v>
      </c>
    </row>
    <row r="60" spans="1:6" ht="15.75" x14ac:dyDescent="0.2">
      <c r="A60" s="58">
        <f t="shared" si="11"/>
        <v>51</v>
      </c>
      <c r="B60" s="59">
        <f t="shared" si="6"/>
        <v>3.1104924436804464</v>
      </c>
      <c r="C60" s="59">
        <f t="shared" si="7"/>
        <v>0.32149250258803513</v>
      </c>
      <c r="D60" s="60">
        <f t="shared" si="8"/>
        <v>95.910156607256127</v>
      </c>
      <c r="E60" s="60">
        <f t="shared" si="9"/>
        <v>30.834396271277164</v>
      </c>
      <c r="F60" s="60">
        <f t="shared" si="10"/>
        <v>30.52341366829668</v>
      </c>
    </row>
    <row r="61" spans="1:6" ht="15.75" x14ac:dyDescent="0.2">
      <c r="A61" s="58">
        <f t="shared" si="11"/>
        <v>52</v>
      </c>
      <c r="B61" s="59">
        <f t="shared" si="6"/>
        <v>3.1804785236632562</v>
      </c>
      <c r="C61" s="59">
        <f t="shared" si="7"/>
        <v>0.31441809544062116</v>
      </c>
      <c r="D61" s="60">
        <f t="shared" si="8"/>
        <v>99.090635130919381</v>
      </c>
      <c r="E61" s="60">
        <f t="shared" si="9"/>
        <v>31.155888773865197</v>
      </c>
      <c r="F61" s="60">
        <f t="shared" si="10"/>
        <v>30.841663734275482</v>
      </c>
    </row>
    <row r="62" spans="1:6" ht="15.75" x14ac:dyDescent="0.2">
      <c r="A62" s="58">
        <f t="shared" si="11"/>
        <v>53</v>
      </c>
      <c r="B62" s="59">
        <f t="shared" si="6"/>
        <v>3.2520392904456799</v>
      </c>
      <c r="C62" s="59">
        <f t="shared" si="7"/>
        <v>0.30749935984412829</v>
      </c>
      <c r="D62" s="60">
        <f t="shared" si="8"/>
        <v>102.34267442136509</v>
      </c>
      <c r="E62" s="60">
        <f t="shared" si="9"/>
        <v>31.470306869305819</v>
      </c>
      <c r="F62" s="60">
        <f t="shared" si="10"/>
        <v>31.152910742567713</v>
      </c>
    </row>
    <row r="63" spans="1:6" ht="15.75" x14ac:dyDescent="0.2">
      <c r="A63" s="58">
        <f t="shared" si="11"/>
        <v>54</v>
      </c>
      <c r="B63" s="59">
        <f t="shared" si="6"/>
        <v>3.325210174480707</v>
      </c>
      <c r="C63" s="59">
        <f t="shared" si="7"/>
        <v>0.30073287026320616</v>
      </c>
      <c r="D63" s="60">
        <f t="shared" si="8"/>
        <v>105.66788459584578</v>
      </c>
      <c r="E63" s="60">
        <f t="shared" si="9"/>
        <v>31.777806229149949</v>
      </c>
      <c r="F63" s="60">
        <f t="shared" si="10"/>
        <v>31.45730879468725</v>
      </c>
    </row>
    <row r="64" spans="1:6" ht="15.75" x14ac:dyDescent="0.2">
      <c r="A64" s="58">
        <f t="shared" si="11"/>
        <v>55</v>
      </c>
      <c r="B64" s="59">
        <f t="shared" si="6"/>
        <v>3.4000274034065225</v>
      </c>
      <c r="C64" s="59">
        <f t="shared" si="7"/>
        <v>0.29411527654103298</v>
      </c>
      <c r="D64" s="60">
        <f t="shared" si="8"/>
        <v>109.06791199925229</v>
      </c>
      <c r="E64" s="60">
        <f t="shared" si="9"/>
        <v>32.078539099413149</v>
      </c>
      <c r="F64" s="60">
        <f t="shared" si="10"/>
        <v>31.755008601161123</v>
      </c>
    </row>
    <row r="65" spans="1:6" ht="15.75" x14ac:dyDescent="0.2">
      <c r="A65" s="58">
        <f t="shared" si="11"/>
        <v>56</v>
      </c>
      <c r="B65" s="59">
        <f t="shared" si="6"/>
        <v>3.4765280199831694</v>
      </c>
      <c r="C65" s="59">
        <f t="shared" si="7"/>
        <v>0.28764330224061901</v>
      </c>
      <c r="D65" s="60">
        <f t="shared" si="8"/>
        <v>112.54444001923548</v>
      </c>
      <c r="E65" s="60">
        <f t="shared" si="9"/>
        <v>32.372654375954184</v>
      </c>
      <c r="F65" s="60">
        <f t="shared" si="10"/>
        <v>32.046157556147804</v>
      </c>
    </row>
    <row r="66" spans="1:6" ht="15.75" x14ac:dyDescent="0.2">
      <c r="A66" s="58">
        <f t="shared" si="11"/>
        <v>57</v>
      </c>
      <c r="B66" s="59">
        <f t="shared" si="6"/>
        <v>3.5547499004327898</v>
      </c>
      <c r="C66" s="59">
        <f t="shared" si="7"/>
        <v>0.28131374302261031</v>
      </c>
      <c r="D66" s="60">
        <f t="shared" si="8"/>
        <v>116.09918991966823</v>
      </c>
      <c r="E66" s="60">
        <f t="shared" si="9"/>
        <v>32.660297678194809</v>
      </c>
      <c r="F66" s="60">
        <f t="shared" si="10"/>
        <v>32.330899810413506</v>
      </c>
    </row>
    <row r="67" spans="1:6" ht="15.75" x14ac:dyDescent="0.2">
      <c r="A67" s="58">
        <f t="shared" si="11"/>
        <v>58</v>
      </c>
      <c r="B67" s="59">
        <f t="shared" si="6"/>
        <v>3.6347317731925277</v>
      </c>
      <c r="C67" s="59">
        <f t="shared" si="7"/>
        <v>0.27512346505878754</v>
      </c>
      <c r="D67" s="60">
        <f t="shared" si="8"/>
        <v>119.73392169286078</v>
      </c>
      <c r="E67" s="60">
        <f t="shared" si="9"/>
        <v>32.941611421217424</v>
      </c>
      <c r="F67" s="60">
        <f t="shared" si="10"/>
        <v>32.609376342702703</v>
      </c>
    </row>
    <row r="68" spans="1:6" ht="15.75" x14ac:dyDescent="0.2">
      <c r="A68" s="58">
        <f t="shared" si="11"/>
        <v>59</v>
      </c>
      <c r="B68" s="59">
        <f t="shared" si="6"/>
        <v>3.7165132380893589</v>
      </c>
      <c r="C68" s="59">
        <f t="shared" si="7"/>
        <v>0.26906940348047692</v>
      </c>
      <c r="D68" s="60">
        <f t="shared" si="8"/>
        <v>123.45043493095012</v>
      </c>
      <c r="E68" s="60">
        <f t="shared" si="9"/>
        <v>33.2167348862762</v>
      </c>
      <c r="F68" s="60">
        <f t="shared" si="10"/>
        <v>32.881725029538082</v>
      </c>
    </row>
    <row r="69" spans="1:6" ht="15.75" x14ac:dyDescent="0.2">
      <c r="A69" s="58">
        <f t="shared" si="11"/>
        <v>60</v>
      </c>
      <c r="B69" s="59">
        <f t="shared" si="6"/>
        <v>3.8001347859463701</v>
      </c>
      <c r="C69" s="59">
        <f t="shared" si="7"/>
        <v>0.26314856086110211</v>
      </c>
      <c r="D69" s="60">
        <f t="shared" si="8"/>
        <v>127.25056971689654</v>
      </c>
      <c r="E69" s="60">
        <f t="shared" si="9"/>
        <v>33.485804289756679</v>
      </c>
      <c r="F69" s="60">
        <f t="shared" si="10"/>
        <v>33.148080713484681</v>
      </c>
    </row>
    <row r="70" spans="1:6" ht="15.75" x14ac:dyDescent="0.2">
      <c r="A70" s="58">
        <f t="shared" si="11"/>
        <v>61</v>
      </c>
      <c r="B70" s="59">
        <f t="shared" si="6"/>
        <v>3.8856378186301632</v>
      </c>
      <c r="C70" s="59">
        <f t="shared" si="7"/>
        <v>0.25735800573212919</v>
      </c>
      <c r="D70" s="60">
        <f t="shared" si="8"/>
        <v>131.13620753552669</v>
      </c>
      <c r="E70" s="60">
        <f t="shared" si="9"/>
        <v>33.748952850617783</v>
      </c>
      <c r="F70" s="60">
        <f t="shared" si="10"/>
        <v>33.408575269911672</v>
      </c>
    </row>
    <row r="71" spans="1:6" ht="15.75" x14ac:dyDescent="0.2">
      <c r="A71" s="58">
        <f t="shared" si="11"/>
        <v>62</v>
      </c>
      <c r="B71" s="59">
        <f t="shared" si="6"/>
        <v>3.9730646695493417</v>
      </c>
      <c r="C71" s="59">
        <f t="shared" si="7"/>
        <v>0.25169487113166666</v>
      </c>
      <c r="D71" s="60">
        <f t="shared" si="8"/>
        <v>135.10927220507602</v>
      </c>
      <c r="E71" s="60">
        <f t="shared" si="9"/>
        <v>34.006310856349913</v>
      </c>
      <c r="F71" s="60">
        <f t="shared" si="10"/>
        <v>33.663337672285259</v>
      </c>
    </row>
    <row r="72" spans="1:6" ht="15.75" x14ac:dyDescent="0.2">
      <c r="A72" s="58">
        <f t="shared" si="11"/>
        <v>63</v>
      </c>
      <c r="B72" s="59">
        <f t="shared" si="6"/>
        <v>4.0624586246142016</v>
      </c>
      <c r="C72" s="59">
        <f t="shared" si="7"/>
        <v>0.24615635318500415</v>
      </c>
      <c r="D72" s="60">
        <f t="shared" si="8"/>
        <v>139.17173082969023</v>
      </c>
      <c r="E72" s="60">
        <f t="shared" si="9"/>
        <v>34.258005727481581</v>
      </c>
      <c r="F72" s="60">
        <f t="shared" si="10"/>
        <v>33.912494056024705</v>
      </c>
    </row>
    <row r="73" spans="1:6" ht="15.75" x14ac:dyDescent="0.2">
      <c r="A73" s="58">
        <f t="shared" si="11"/>
        <v>64</v>
      </c>
      <c r="B73" s="59">
        <f t="shared" ref="B73:B104" si="12">(1+Zins)^$A73</f>
        <v>4.1538639436680205</v>
      </c>
      <c r="C73" s="59">
        <f t="shared" ref="C73:C104" si="13">v^$A73</f>
        <v>0.2407397097163855</v>
      </c>
      <c r="D73" s="60">
        <f t="shared" ref="D73:D104" si="14">IF(Zins&lt;&gt;0,(B73-1)/(1-v),$A73)</f>
        <v>143.32559477335823</v>
      </c>
      <c r="E73" s="60">
        <f t="shared" ref="E73:E104" si="15">IF(Zins&lt;&gt;0,(1-v^$A73)/(1-v),$A73)</f>
        <v>34.504162080666582</v>
      </c>
      <c r="F73" s="60">
        <f t="shared" ref="F73:F104" si="16">E73-(m-1)/(2*m)*(1-v^$A73)</f>
        <v>34.156167780953261</v>
      </c>
    </row>
    <row r="74" spans="1:6" ht="15.75" x14ac:dyDescent="0.2">
      <c r="A74" s="58">
        <f t="shared" ref="A74:A105" si="17">1+A73</f>
        <v>65</v>
      </c>
      <c r="B74" s="59">
        <f t="shared" si="12"/>
        <v>4.2473258824005509</v>
      </c>
      <c r="C74" s="59">
        <f t="shared" si="13"/>
        <v>0.23544225889133058</v>
      </c>
      <c r="D74" s="60">
        <f t="shared" si="14"/>
        <v>147.57292065575879</v>
      </c>
      <c r="E74" s="60">
        <f t="shared" si="15"/>
        <v>34.744901790382968</v>
      </c>
      <c r="F74" s="60">
        <f t="shared" si="16"/>
        <v>34.394479492374828</v>
      </c>
    </row>
    <row r="75" spans="1:6" ht="15.75" x14ac:dyDescent="0.2">
      <c r="A75" s="58">
        <f t="shared" si="17"/>
        <v>66</v>
      </c>
      <c r="B75" s="59">
        <f t="shared" si="12"/>
        <v>4.3428907147545628</v>
      </c>
      <c r="C75" s="59">
        <f t="shared" si="13"/>
        <v>0.23026137788883186</v>
      </c>
      <c r="D75" s="60">
        <f t="shared" si="14"/>
        <v>151.91581137051335</v>
      </c>
      <c r="E75" s="60">
        <f t="shared" si="15"/>
        <v>34.980344049274301</v>
      </c>
      <c r="F75" s="60">
        <f t="shared" si="16"/>
        <v>34.62754718080668</v>
      </c>
    </row>
    <row r="76" spans="1:6" ht="15.75" x14ac:dyDescent="0.2">
      <c r="A76" s="58">
        <f t="shared" si="17"/>
        <v>67</v>
      </c>
      <c r="B76" s="59">
        <f t="shared" si="12"/>
        <v>4.4406057558365397</v>
      </c>
      <c r="C76" s="59">
        <f t="shared" si="13"/>
        <v>0.22519450160276958</v>
      </c>
      <c r="D76" s="60">
        <f t="shared" si="14"/>
        <v>156.35641712634987</v>
      </c>
      <c r="E76" s="60">
        <f t="shared" si="15"/>
        <v>35.210605427163131</v>
      </c>
      <c r="F76" s="60">
        <f t="shared" si="16"/>
        <v>34.855486240397731</v>
      </c>
    </row>
    <row r="77" spans="1:6" ht="15.75" x14ac:dyDescent="0.2">
      <c r="A77" s="58">
        <f t="shared" si="17"/>
        <v>68</v>
      </c>
      <c r="B77" s="59">
        <f t="shared" si="12"/>
        <v>4.5405193853428623</v>
      </c>
      <c r="C77" s="59">
        <f t="shared" si="13"/>
        <v>0.2202391213719018</v>
      </c>
      <c r="D77" s="60">
        <f t="shared" si="14"/>
        <v>160.89693651169279</v>
      </c>
      <c r="E77" s="60">
        <f t="shared" si="15"/>
        <v>35.435799928765903</v>
      </c>
      <c r="F77" s="60">
        <f t="shared" si="16"/>
        <v>35.078409526061357</v>
      </c>
    </row>
    <row r="78" spans="1:6" ht="15.75" x14ac:dyDescent="0.2">
      <c r="A78" s="58">
        <f t="shared" si="17"/>
        <v>69</v>
      </c>
      <c r="B78" s="59">
        <f t="shared" si="12"/>
        <v>4.6426810715130769</v>
      </c>
      <c r="C78" s="59">
        <f t="shared" si="13"/>
        <v>0.21539278373780127</v>
      </c>
      <c r="D78" s="60">
        <f t="shared" si="14"/>
        <v>165.53961758320588</v>
      </c>
      <c r="E78" s="60">
        <f t="shared" si="15"/>
        <v>35.656039050137807</v>
      </c>
      <c r="F78" s="60">
        <f t="shared" si="16"/>
        <v>35.296427409350969</v>
      </c>
    </row>
    <row r="79" spans="1:6" ht="15.75" x14ac:dyDescent="0.2">
      <c r="A79" s="58">
        <f t="shared" si="17"/>
        <v>70</v>
      </c>
      <c r="B79" s="59">
        <f t="shared" si="12"/>
        <v>4.7471413956221209</v>
      </c>
      <c r="C79" s="59">
        <f t="shared" si="13"/>
        <v>0.21065308923012352</v>
      </c>
      <c r="D79" s="60">
        <f t="shared" si="14"/>
        <v>170.286758978828</v>
      </c>
      <c r="E79" s="60">
        <f t="shared" si="15"/>
        <v>35.871431833875604</v>
      </c>
      <c r="F79" s="60">
        <f t="shared" si="16"/>
        <v>35.509647833106079</v>
      </c>
    </row>
    <row r="80" spans="1:6" ht="15.75" x14ac:dyDescent="0.2">
      <c r="A80" s="58">
        <f t="shared" si="17"/>
        <v>71</v>
      </c>
      <c r="B80" s="59">
        <f t="shared" si="12"/>
        <v>4.8539520770236182</v>
      </c>
      <c r="C80" s="59">
        <f t="shared" si="13"/>
        <v>0.20601769117860491</v>
      </c>
      <c r="D80" s="60">
        <f t="shared" si="14"/>
        <v>175.14071105585163</v>
      </c>
      <c r="E80" s="60">
        <f t="shared" si="15"/>
        <v>36.082084923105725</v>
      </c>
      <c r="F80" s="60">
        <f t="shared" si="16"/>
        <v>35.718176364895918</v>
      </c>
    </row>
    <row r="81" spans="1:6" ht="15.75" x14ac:dyDescent="0.2">
      <c r="A81" s="58">
        <f t="shared" si="17"/>
        <v>72</v>
      </c>
      <c r="B81" s="59">
        <f t="shared" si="12"/>
        <v>4.963165998756649</v>
      </c>
      <c r="C81" s="59">
        <f t="shared" si="13"/>
        <v>0.20148429455120284</v>
      </c>
      <c r="D81" s="60">
        <f t="shared" si="14"/>
        <v>180.10387705460826</v>
      </c>
      <c r="E81" s="60">
        <f t="shared" si="15"/>
        <v>36.288102614284334</v>
      </c>
      <c r="F81" s="60">
        <f t="shared" si="16"/>
        <v>35.922116249286965</v>
      </c>
    </row>
    <row r="82" spans="1:6" ht="15.75" x14ac:dyDescent="0.2">
      <c r="A82" s="58">
        <f t="shared" si="17"/>
        <v>73</v>
      </c>
      <c r="B82" s="59">
        <f t="shared" si="12"/>
        <v>5.0748372337286725</v>
      </c>
      <c r="C82" s="59">
        <f t="shared" si="13"/>
        <v>0.19705065481780232</v>
      </c>
      <c r="D82" s="60">
        <f t="shared" si="14"/>
        <v>185.17871428833689</v>
      </c>
      <c r="E82" s="60">
        <f t="shared" si="15"/>
        <v>36.489586908835534</v>
      </c>
      <c r="F82" s="60">
        <f t="shared" si="16"/>
        <v>36.121568458960361</v>
      </c>
    </row>
    <row r="83" spans="1:6" ht="15.75" x14ac:dyDescent="0.2">
      <c r="A83" s="58">
        <f t="shared" si="17"/>
        <v>74</v>
      </c>
      <c r="B83" s="59">
        <f t="shared" si="12"/>
        <v>5.1890210714875673</v>
      </c>
      <c r="C83" s="59">
        <f t="shared" si="13"/>
        <v>0.19271457683892645</v>
      </c>
      <c r="D83" s="60">
        <f t="shared" si="14"/>
        <v>190.36773535982445</v>
      </c>
      <c r="E83" s="60">
        <f t="shared" si="15"/>
        <v>36.686637563653342</v>
      </c>
      <c r="F83" s="60">
        <f t="shared" si="16"/>
        <v>36.316631744704516</v>
      </c>
    </row>
    <row r="84" spans="1:6" ht="15.75" x14ac:dyDescent="0.2">
      <c r="A84" s="58">
        <f t="shared" si="17"/>
        <v>75</v>
      </c>
      <c r="B84" s="59">
        <f t="shared" si="12"/>
        <v>5.3057740455960376</v>
      </c>
      <c r="C84" s="59">
        <f t="shared" si="13"/>
        <v>0.18847391377890121</v>
      </c>
      <c r="D84" s="60">
        <f t="shared" si="14"/>
        <v>195.6735094054205</v>
      </c>
      <c r="E84" s="60">
        <f t="shared" si="15"/>
        <v>36.879352140492266</v>
      </c>
      <c r="F84" s="60">
        <f t="shared" si="16"/>
        <v>36.507402684307593</v>
      </c>
    </row>
    <row r="85" spans="1:6" ht="15.75" x14ac:dyDescent="0.2">
      <c r="A85" s="58">
        <f t="shared" si="17"/>
        <v>76</v>
      </c>
      <c r="B85" s="59">
        <f t="shared" si="12"/>
        <v>5.4251539616219482</v>
      </c>
      <c r="C85" s="59">
        <f t="shared" si="13"/>
        <v>0.18432656604293518</v>
      </c>
      <c r="D85" s="60">
        <f t="shared" si="14"/>
        <v>201.09866336704246</v>
      </c>
      <c r="E85" s="60">
        <f t="shared" si="15"/>
        <v>37.067826054271166</v>
      </c>
      <c r="F85" s="60">
        <f t="shared" si="16"/>
        <v>36.693975730374177</v>
      </c>
    </row>
    <row r="86" spans="1:6" ht="15.75" x14ac:dyDescent="0.2">
      <c r="A86" s="58">
        <f t="shared" si="17"/>
        <v>77</v>
      </c>
      <c r="B86" s="59">
        <f t="shared" si="12"/>
        <v>5.5472199257584425</v>
      </c>
      <c r="C86" s="59">
        <f t="shared" si="13"/>
        <v>0.1802704802375894</v>
      </c>
      <c r="D86" s="60">
        <f t="shared" si="14"/>
        <v>206.64588329280093</v>
      </c>
      <c r="E86" s="60">
        <f t="shared" si="15"/>
        <v>37.252152620314106</v>
      </c>
      <c r="F86" s="60">
        <f t="shared" si="16"/>
        <v>36.876443257089669</v>
      </c>
    </row>
    <row r="87" spans="1:6" ht="15.75" x14ac:dyDescent="0.2">
      <c r="A87" s="58">
        <f t="shared" si="17"/>
        <v>78</v>
      </c>
      <c r="B87" s="59">
        <f t="shared" si="12"/>
        <v>5.6720323740880074</v>
      </c>
      <c r="C87" s="59">
        <f t="shared" si="13"/>
        <v>0.17630364815412169</v>
      </c>
      <c r="D87" s="60">
        <f t="shared" si="14"/>
        <v>212.31791566688898</v>
      </c>
      <c r="E87" s="60">
        <f t="shared" si="15"/>
        <v>37.432423100551695</v>
      </c>
      <c r="F87" s="60">
        <f t="shared" si="16"/>
        <v>37.054895605955664</v>
      </c>
    </row>
    <row r="88" spans="1:6" ht="15.75" x14ac:dyDescent="0.2">
      <c r="A88" s="58">
        <f t="shared" si="17"/>
        <v>79</v>
      </c>
      <c r="B88" s="59">
        <f t="shared" si="12"/>
        <v>5.7996531025049869</v>
      </c>
      <c r="C88" s="59">
        <f t="shared" si="13"/>
        <v>0.17242410577420217</v>
      </c>
      <c r="D88" s="60">
        <f t="shared" si="14"/>
        <v>218.11756876939393</v>
      </c>
      <c r="E88" s="60">
        <f t="shared" si="15"/>
        <v>37.608726748705813</v>
      </c>
      <c r="F88" s="60">
        <f t="shared" si="16"/>
        <v>37.229421130518986</v>
      </c>
    </row>
    <row r="89" spans="1:6" ht="16.5" thickBot="1" x14ac:dyDescent="0.25">
      <c r="A89" s="57">
        <f t="shared" si="17"/>
        <v>80</v>
      </c>
      <c r="B89" s="61">
        <f t="shared" si="12"/>
        <v>5.9301452973113475</v>
      </c>
      <c r="C89" s="61">
        <f t="shared" si="13"/>
        <v>0.16862993229750825</v>
      </c>
      <c r="D89" s="62">
        <f t="shared" si="14"/>
        <v>224.04771406670523</v>
      </c>
      <c r="E89" s="62">
        <f t="shared" si="15"/>
        <v>37.781150854480018</v>
      </c>
      <c r="F89" s="62">
        <f t="shared" si="16"/>
        <v>37.400106240116372</v>
      </c>
    </row>
    <row r="90" spans="1:6" ht="15.75" x14ac:dyDescent="0.2">
      <c r="A90" s="58">
        <f t="shared" si="17"/>
        <v>81</v>
      </c>
      <c r="B90" s="59">
        <f t="shared" si="12"/>
        <v>6.0635735665008532</v>
      </c>
      <c r="C90" s="59">
        <f t="shared" si="13"/>
        <v>0.16491924919071713</v>
      </c>
      <c r="D90" s="60">
        <f t="shared" si="14"/>
        <v>230.11128763320613</v>
      </c>
      <c r="E90" s="60">
        <f t="shared" si="15"/>
        <v>37.949780786777524</v>
      </c>
      <c r="F90" s="60">
        <f t="shared" si="16"/>
        <v>37.567035442656604</v>
      </c>
    </row>
    <row r="91" spans="1:6" ht="15.75" x14ac:dyDescent="0.2">
      <c r="A91" s="58">
        <f t="shared" si="17"/>
        <v>82</v>
      </c>
      <c r="B91" s="59">
        <f t="shared" si="12"/>
        <v>6.2000039717471207</v>
      </c>
      <c r="C91" s="59">
        <f t="shared" si="13"/>
        <v>0.16129021925742507</v>
      </c>
      <c r="D91" s="60">
        <f t="shared" si="14"/>
        <v>236.3112916049532</v>
      </c>
      <c r="E91" s="60">
        <f t="shared" si="15"/>
        <v>38.114700035968241</v>
      </c>
      <c r="F91" s="60">
        <f t="shared" si="16"/>
        <v>37.730291386461225</v>
      </c>
    </row>
    <row r="92" spans="1:6" ht="15.75" x14ac:dyDescent="0.2">
      <c r="A92" s="58">
        <f t="shared" si="17"/>
        <v>83</v>
      </c>
      <c r="B92" s="59">
        <f t="shared" si="12"/>
        <v>6.3395040611114313</v>
      </c>
      <c r="C92" s="59">
        <f t="shared" si="13"/>
        <v>0.15774104572853306</v>
      </c>
      <c r="D92" s="60">
        <f t="shared" si="14"/>
        <v>242.65079566606465</v>
      </c>
      <c r="E92" s="60">
        <f t="shared" si="15"/>
        <v>38.275990255225665</v>
      </c>
      <c r="F92" s="60">
        <f t="shared" si="16"/>
        <v>37.889954901184574</v>
      </c>
    </row>
    <row r="93" spans="1:6" ht="15.75" x14ac:dyDescent="0.2">
      <c r="A93" s="58">
        <f t="shared" si="17"/>
        <v>84</v>
      </c>
      <c r="B93" s="59">
        <f t="shared" si="12"/>
        <v>6.482142902486439</v>
      </c>
      <c r="C93" s="59">
        <f t="shared" si="13"/>
        <v>0.1542699713726485</v>
      </c>
      <c r="D93" s="60">
        <f t="shared" si="14"/>
        <v>249.13293856855114</v>
      </c>
      <c r="E93" s="60">
        <f t="shared" si="15"/>
        <v>38.4337313009542</v>
      </c>
      <c r="F93" s="60">
        <f t="shared" si="16"/>
        <v>38.046105037833328</v>
      </c>
    </row>
    <row r="94" spans="1:6" ht="15.75" x14ac:dyDescent="0.2">
      <c r="A94" s="58">
        <f t="shared" si="17"/>
        <v>85</v>
      </c>
      <c r="B94" s="59">
        <f t="shared" si="12"/>
        <v>6.6279911177923836</v>
      </c>
      <c r="C94" s="59">
        <f t="shared" si="13"/>
        <v>0.15087527762606209</v>
      </c>
      <c r="D94" s="60">
        <f t="shared" si="14"/>
        <v>255.76092968634353</v>
      </c>
      <c r="E94" s="60">
        <f t="shared" si="15"/>
        <v>38.588001272326849</v>
      </c>
      <c r="F94" s="60">
        <f t="shared" si="16"/>
        <v>38.198819107905464</v>
      </c>
    </row>
    <row r="95" spans="1:6" ht="15.75" x14ac:dyDescent="0.2">
      <c r="A95" s="58">
        <f t="shared" si="17"/>
        <v>86</v>
      </c>
      <c r="B95" s="59">
        <f t="shared" si="12"/>
        <v>6.7771209179427112</v>
      </c>
      <c r="C95" s="59">
        <f t="shared" si="13"/>
        <v>0.14755528374187002</v>
      </c>
      <c r="D95" s="60">
        <f t="shared" si="14"/>
        <v>262.53805060428618</v>
      </c>
      <c r="E95" s="60">
        <f t="shared" si="15"/>
        <v>38.738876549952913</v>
      </c>
      <c r="F95" s="60">
        <f t="shared" si="16"/>
        <v>38.348172721667936</v>
      </c>
    </row>
    <row r="96" spans="1:6" ht="15.75" x14ac:dyDescent="0.2">
      <c r="A96" s="58">
        <f t="shared" si="17"/>
        <v>87</v>
      </c>
      <c r="B96" s="59">
        <f t="shared" si="12"/>
        <v>6.929606138596422</v>
      </c>
      <c r="C96" s="59">
        <f t="shared" si="13"/>
        <v>0.14430834595781911</v>
      </c>
      <c r="D96" s="60">
        <f t="shared" si="14"/>
        <v>269.46765674288264</v>
      </c>
      <c r="E96" s="60">
        <f t="shared" si="15"/>
        <v>38.886431833694779</v>
      </c>
      <c r="F96" s="60">
        <f t="shared" si="16"/>
        <v>38.494239825592111</v>
      </c>
    </row>
    <row r="97" spans="1:6" ht="15.75" x14ac:dyDescent="0.2">
      <c r="A97" s="58">
        <f t="shared" si="17"/>
        <v>88</v>
      </c>
      <c r="B97" s="59">
        <f t="shared" si="12"/>
        <v>7.0855222767148405</v>
      </c>
      <c r="C97" s="59">
        <f t="shared" si="13"/>
        <v>0.14113285668246367</v>
      </c>
      <c r="D97" s="60">
        <f t="shared" si="14"/>
        <v>276.55317901959745</v>
      </c>
      <c r="E97" s="60">
        <f t="shared" si="15"/>
        <v>39.030740179652597</v>
      </c>
      <c r="F97" s="60">
        <f t="shared" si="16"/>
        <v>38.637092738965393</v>
      </c>
    </row>
    <row r="98" spans="1:6" ht="15.75" x14ac:dyDescent="0.2">
      <c r="A98" s="58">
        <f t="shared" si="17"/>
        <v>89</v>
      </c>
      <c r="B98" s="59">
        <f t="shared" si="12"/>
        <v>7.2449465279409235</v>
      </c>
      <c r="C98" s="59">
        <f t="shared" si="13"/>
        <v>0.138027243699231</v>
      </c>
      <c r="D98" s="60">
        <f t="shared" si="14"/>
        <v>283.79812554753835</v>
      </c>
      <c r="E98" s="60">
        <f t="shared" si="15"/>
        <v>39.171873036335064</v>
      </c>
      <c r="F98" s="60">
        <f t="shared" si="16"/>
        <v>38.776802189697214</v>
      </c>
    </row>
    <row r="99" spans="1:6" ht="15.75" x14ac:dyDescent="0.2">
      <c r="A99" s="58">
        <f t="shared" si="17"/>
        <v>90</v>
      </c>
      <c r="B99" s="59">
        <f t="shared" si="12"/>
        <v>7.4079578248195945</v>
      </c>
      <c r="C99" s="59">
        <f t="shared" si="13"/>
        <v>0.13498996938800095</v>
      </c>
      <c r="D99" s="60">
        <f t="shared" si="14"/>
        <v>291.20608337235797</v>
      </c>
      <c r="E99" s="60">
        <f t="shared" si="15"/>
        <v>39.309900280034292</v>
      </c>
      <c r="F99" s="60">
        <f t="shared" si="16"/>
        <v>38.913437349337123</v>
      </c>
    </row>
    <row r="100" spans="1:6" ht="15.75" x14ac:dyDescent="0.2">
      <c r="A100" s="58">
        <f t="shared" si="17"/>
        <v>91</v>
      </c>
      <c r="B100" s="59">
        <f t="shared" si="12"/>
        <v>7.574636875878034</v>
      </c>
      <c r="C100" s="59">
        <f t="shared" si="13"/>
        <v>0.13201952996381516</v>
      </c>
      <c r="D100" s="60">
        <f t="shared" si="14"/>
        <v>298.78072024823598</v>
      </c>
      <c r="E100" s="60">
        <f t="shared" si="15"/>
        <v>39.444890249422293</v>
      </c>
      <c r="F100" s="60">
        <f t="shared" si="16"/>
        <v>39.047065867322374</v>
      </c>
    </row>
    <row r="101" spans="1:6" ht="15.75" x14ac:dyDescent="0.2">
      <c r="A101" s="58">
        <f t="shared" si="17"/>
        <v>92</v>
      </c>
      <c r="B101" s="59">
        <f t="shared" si="12"/>
        <v>7.7450662055852906</v>
      </c>
      <c r="C101" s="59">
        <f t="shared" si="13"/>
        <v>0.12911445473233757</v>
      </c>
      <c r="D101" s="60">
        <f t="shared" si="14"/>
        <v>306.52578645382135</v>
      </c>
      <c r="E101" s="60">
        <f t="shared" si="15"/>
        <v>39.576909779386114</v>
      </c>
      <c r="F101" s="60">
        <f t="shared" si="16"/>
        <v>39.177753904471771</v>
      </c>
    </row>
    <row r="102" spans="1:6" ht="15.75" x14ac:dyDescent="0.2">
      <c r="A102" s="58">
        <f t="shared" si="17"/>
        <v>93</v>
      </c>
      <c r="B102" s="59">
        <f t="shared" si="12"/>
        <v>7.9193301952109589</v>
      </c>
      <c r="C102" s="59">
        <f t="shared" si="13"/>
        <v>0.12627330536169934</v>
      </c>
      <c r="D102" s="60">
        <f t="shared" si="14"/>
        <v>314.44511664903229</v>
      </c>
      <c r="E102" s="60">
        <f t="shared" si="15"/>
        <v>39.706024234118445</v>
      </c>
      <c r="F102" s="60">
        <f t="shared" si="16"/>
        <v>39.305566165742555</v>
      </c>
    </row>
    <row r="103" spans="1:6" ht="15.75" x14ac:dyDescent="0.2">
      <c r="A103" s="58">
        <f t="shared" si="17"/>
        <v>94</v>
      </c>
      <c r="B103" s="59">
        <f t="shared" si="12"/>
        <v>8.0975151246032055</v>
      </c>
      <c r="C103" s="59">
        <f t="shared" si="13"/>
        <v>0.12349467517036608</v>
      </c>
      <c r="D103" s="60">
        <f t="shared" si="14"/>
        <v>322.54263177363549</v>
      </c>
      <c r="E103" s="60">
        <f t="shared" si="15"/>
        <v>39.832297539480152</v>
      </c>
      <c r="F103" s="60">
        <f t="shared" si="16"/>
        <v>39.430565932266568</v>
      </c>
    </row>
    <row r="104" spans="1:6" ht="15.75" x14ac:dyDescent="0.2">
      <c r="A104" s="58">
        <f t="shared" si="17"/>
        <v>95</v>
      </c>
      <c r="B104" s="59">
        <f t="shared" si="12"/>
        <v>8.2797092149067772</v>
      </c>
      <c r="C104" s="59">
        <f t="shared" si="13"/>
        <v>0.12077718843067589</v>
      </c>
      <c r="D104" s="60">
        <f t="shared" si="14"/>
        <v>330.82234098854229</v>
      </c>
      <c r="E104" s="60">
        <f t="shared" si="15"/>
        <v>39.955792214650515</v>
      </c>
      <c r="F104" s="60">
        <f t="shared" si="16"/>
        <v>39.552815092681243</v>
      </c>
    </row>
    <row r="105" spans="1:6" ht="15.75" x14ac:dyDescent="0.2">
      <c r="A105" s="58">
        <f t="shared" si="17"/>
        <v>96</v>
      </c>
      <c r="B105" s="59">
        <f t="shared" ref="B105:B129" si="18">(1+Zins)^$A105</f>
        <v>8.466002672242178</v>
      </c>
      <c r="C105" s="59">
        <f t="shared" ref="C105:C129" si="19">v^$A105</f>
        <v>0.11811949968770261</v>
      </c>
      <c r="D105" s="60">
        <f t="shared" ref="D105:D129" si="20">IF(Zins&lt;&gt;0,(B105-1)/(1-v),$A105)</f>
        <v>339.28834366078445</v>
      </c>
      <c r="E105" s="60">
        <f t="shared" ref="E105:E129" si="21">IF(Zins&lt;&gt;0,(1-v^$A105)/(1-v),$A105)</f>
        <v>40.076569403081187</v>
      </c>
      <c r="F105" s="60">
        <f t="shared" ref="F105:F129" si="22">E105-(m-1)/(2*m)*(1-v^$A105)</f>
        <v>39.672374173771381</v>
      </c>
    </row>
    <row r="106" spans="1:6" ht="15.75" x14ac:dyDescent="0.2">
      <c r="A106" s="58">
        <f t="shared" ref="A106:A129" si="23">1+A105</f>
        <v>97</v>
      </c>
      <c r="B106" s="59">
        <f t="shared" si="18"/>
        <v>8.6564877323676264</v>
      </c>
      <c r="C106" s="59">
        <f t="shared" si="19"/>
        <v>0.11552029309310768</v>
      </c>
      <c r="D106" s="60">
        <f t="shared" si="20"/>
        <v>347.94483139315207</v>
      </c>
      <c r="E106" s="60">
        <f t="shared" si="21"/>
        <v>40.194688902768895</v>
      </c>
      <c r="F106" s="60">
        <f t="shared" si="22"/>
        <v>39.789302370436573</v>
      </c>
    </row>
    <row r="107" spans="1:6" ht="15.75" x14ac:dyDescent="0.2">
      <c r="A107" s="58">
        <f t="shared" si="23"/>
        <v>98</v>
      </c>
      <c r="B107" s="59">
        <f t="shared" si="18"/>
        <v>8.851258706345897</v>
      </c>
      <c r="C107" s="59">
        <f t="shared" si="19"/>
        <v>0.11297828175365054</v>
      </c>
      <c r="D107" s="60">
        <f t="shared" si="20"/>
        <v>356.79609009949792</v>
      </c>
      <c r="E107" s="60">
        <f t="shared" si="21"/>
        <v>40.310209195862001</v>
      </c>
      <c r="F107" s="60">
        <f t="shared" si="22"/>
        <v>39.903657574999087</v>
      </c>
    </row>
    <row r="108" spans="1:6" ht="15.75" x14ac:dyDescent="0.2">
      <c r="A108" s="58">
        <f t="shared" si="23"/>
        <v>99</v>
      </c>
      <c r="B108" s="59">
        <f t="shared" si="18"/>
        <v>9.0504120272386785</v>
      </c>
      <c r="C108" s="59">
        <f t="shared" si="19"/>
        <v>0.11049220709403478</v>
      </c>
      <c r="D108" s="60">
        <f t="shared" si="20"/>
        <v>365.8465021267366</v>
      </c>
      <c r="E108" s="60">
        <f t="shared" si="21"/>
        <v>40.423187477615656</v>
      </c>
      <c r="F108" s="60">
        <f t="shared" si="22"/>
        <v>40.01549640586709</v>
      </c>
    </row>
    <row r="109" spans="1:6" ht="15.75" x14ac:dyDescent="0.2">
      <c r="A109" s="58">
        <f t="shared" si="23"/>
        <v>100</v>
      </c>
      <c r="B109" s="59">
        <f t="shared" si="18"/>
        <v>9.2540462978515485</v>
      </c>
      <c r="C109" s="59">
        <f t="shared" si="19"/>
        <v>0.10806083823377484</v>
      </c>
      <c r="D109" s="60">
        <f t="shared" si="20"/>
        <v>375.10054842458817</v>
      </c>
      <c r="E109" s="60">
        <f t="shared" si="21"/>
        <v>40.533679684709682</v>
      </c>
      <c r="F109" s="60">
        <f t="shared" si="22"/>
        <v>40.124874235566828</v>
      </c>
    </row>
    <row r="110" spans="1:6" ht="15.75" x14ac:dyDescent="0.2">
      <c r="A110" s="58">
        <f t="shared" si="23"/>
        <v>101</v>
      </c>
      <c r="B110" s="59">
        <f t="shared" si="18"/>
        <v>9.4622623395532095</v>
      </c>
      <c r="C110" s="59">
        <f t="shared" si="19"/>
        <v>0.10568297137777491</v>
      </c>
      <c r="D110" s="60">
        <f t="shared" si="20"/>
        <v>384.56281076414143</v>
      </c>
      <c r="E110" s="60">
        <f t="shared" si="21"/>
        <v>40.641740522943458</v>
      </c>
      <c r="F110" s="60">
        <f t="shared" si="22"/>
        <v>40.23184521815827</v>
      </c>
    </row>
    <row r="111" spans="1:6" ht="15.75" x14ac:dyDescent="0.2">
      <c r="A111" s="58">
        <f t="shared" si="23"/>
        <v>102</v>
      </c>
      <c r="B111" s="59">
        <f t="shared" si="18"/>
        <v>9.6751632421931557</v>
      </c>
      <c r="C111" s="59">
        <f t="shared" si="19"/>
        <v>0.10335742922031776</v>
      </c>
      <c r="D111" s="60">
        <f t="shared" si="20"/>
        <v>394.23797400633458</v>
      </c>
      <c r="E111" s="60">
        <f t="shared" si="21"/>
        <v>40.747423494321232</v>
      </c>
      <c r="F111" s="60">
        <f t="shared" si="22"/>
        <v>40.336462316047211</v>
      </c>
    </row>
    <row r="112" spans="1:6" ht="15.75" x14ac:dyDescent="0.2">
      <c r="A112" s="58">
        <f t="shared" si="23"/>
        <v>103</v>
      </c>
      <c r="B112" s="59">
        <f t="shared" si="18"/>
        <v>9.8928544151425015</v>
      </c>
      <c r="C112" s="59">
        <f t="shared" si="19"/>
        <v>0.10108306036216896</v>
      </c>
      <c r="D112" s="60">
        <f t="shared" si="20"/>
        <v>404.13082842147708</v>
      </c>
      <c r="E112" s="60">
        <f t="shared" si="21"/>
        <v>40.850780923541556</v>
      </c>
      <c r="F112" s="60">
        <f t="shared" si="22"/>
        <v>40.43877732620755</v>
      </c>
    </row>
    <row r="113" spans="1:6" ht="15.75" x14ac:dyDescent="0.2">
      <c r="A113" s="58">
        <f t="shared" si="23"/>
        <v>104</v>
      </c>
      <c r="B113" s="59">
        <f t="shared" si="18"/>
        <v>10.115443639483207</v>
      </c>
      <c r="C113" s="59">
        <f t="shared" si="19"/>
        <v>9.885873874050756E-2</v>
      </c>
      <c r="D113" s="60">
        <f t="shared" si="20"/>
        <v>414.24627206096028</v>
      </c>
      <c r="E113" s="60">
        <f t="shared" si="21"/>
        <v>40.951863983903721</v>
      </c>
      <c r="F113" s="60">
        <f t="shared" si="22"/>
        <v>40.538840905826454</v>
      </c>
    </row>
    <row r="114" spans="1:6" ht="15.75" x14ac:dyDescent="0.2">
      <c r="A114" s="58">
        <f t="shared" si="23"/>
        <v>105</v>
      </c>
      <c r="B114" s="59">
        <f t="shared" si="18"/>
        <v>10.343041121371577</v>
      </c>
      <c r="C114" s="59">
        <f t="shared" si="19"/>
        <v>9.6683363071401046E-2</v>
      </c>
      <c r="D114" s="60">
        <f t="shared" si="20"/>
        <v>424.58931318233181</v>
      </c>
      <c r="E114" s="60">
        <f t="shared" si="21"/>
        <v>41.050722722644231</v>
      </c>
      <c r="F114" s="60">
        <f t="shared" si="22"/>
        <v>40.636702597385288</v>
      </c>
    </row>
    <row r="115" spans="1:6" ht="15.75" x14ac:dyDescent="0.2">
      <c r="A115" s="58">
        <f t="shared" si="23"/>
        <v>106</v>
      </c>
      <c r="B115" s="59">
        <f t="shared" si="18"/>
        <v>10.575759546602436</v>
      </c>
      <c r="C115" s="59">
        <f t="shared" si="19"/>
        <v>9.4555856304548699E-2</v>
      </c>
      <c r="D115" s="60">
        <f t="shared" si="20"/>
        <v>435.16507272893421</v>
      </c>
      <c r="E115" s="60">
        <f t="shared" si="21"/>
        <v>41.14740608571563</v>
      </c>
      <c r="F115" s="60">
        <f t="shared" si="22"/>
        <v>40.732410853188547</v>
      </c>
    </row>
    <row r="116" spans="1:6" ht="15.75" x14ac:dyDescent="0.2">
      <c r="A116" s="58">
        <f t="shared" si="23"/>
        <v>107</v>
      </c>
      <c r="B116" s="59">
        <f t="shared" si="18"/>
        <v>10.813714136400991</v>
      </c>
      <c r="C116" s="59">
        <f t="shared" si="19"/>
        <v>9.2475165090023181E-2</v>
      </c>
      <c r="D116" s="60">
        <f t="shared" si="20"/>
        <v>445.97878686533522</v>
      </c>
      <c r="E116" s="60">
        <f t="shared" si="21"/>
        <v>41.241961942020183</v>
      </c>
      <c r="F116" s="60">
        <f t="shared" si="22"/>
        <v>40.826013059353109</v>
      </c>
    </row>
    <row r="117" spans="1:6" ht="15.75" x14ac:dyDescent="0.2">
      <c r="A117" s="58">
        <f t="shared" si="23"/>
        <v>108</v>
      </c>
      <c r="B117" s="59">
        <f t="shared" si="18"/>
        <v>11.057022704470015</v>
      </c>
      <c r="C117" s="59">
        <f t="shared" si="19"/>
        <v>9.0440259256746397E-2</v>
      </c>
      <c r="D117" s="60">
        <f t="shared" si="20"/>
        <v>457.03580956980534</v>
      </c>
      <c r="E117" s="60">
        <f t="shared" si="21"/>
        <v>41.334437107110205</v>
      </c>
      <c r="F117" s="60">
        <f t="shared" si="22"/>
        <v>40.917555559269545</v>
      </c>
    </row>
    <row r="118" spans="1:6" ht="15.75" x14ac:dyDescent="0.2">
      <c r="A118" s="58">
        <f t="shared" si="23"/>
        <v>109</v>
      </c>
      <c r="B118" s="59">
        <f t="shared" si="18"/>
        <v>11.30580571532059</v>
      </c>
      <c r="C118" s="59">
        <f t="shared" si="19"/>
        <v>8.8450131302441462E-2</v>
      </c>
      <c r="D118" s="60">
        <f t="shared" si="20"/>
        <v>468.34161528512595</v>
      </c>
      <c r="E118" s="60">
        <f t="shared" si="21"/>
        <v>41.42487736636695</v>
      </c>
      <c r="F118" s="60">
        <f t="shared" si="22"/>
        <v>41.007083676547232</v>
      </c>
    </row>
    <row r="119" spans="1:6" ht="15.75" x14ac:dyDescent="0.2">
      <c r="A119" s="58">
        <f t="shared" si="23"/>
        <v>110</v>
      </c>
      <c r="B119" s="59">
        <f t="shared" si="18"/>
        <v>11.560186343915301</v>
      </c>
      <c r="C119" s="59">
        <f t="shared" si="19"/>
        <v>8.6503795894808277E-2</v>
      </c>
      <c r="D119" s="60">
        <f t="shared" si="20"/>
        <v>479.90180162904124</v>
      </c>
      <c r="E119" s="60">
        <f t="shared" si="21"/>
        <v>41.513327497669394</v>
      </c>
      <c r="F119" s="60">
        <f t="shared" si="22"/>
        <v>41.094641737454516</v>
      </c>
    </row>
    <row r="120" spans="1:6" ht="15.75" x14ac:dyDescent="0.2">
      <c r="A120" s="58">
        <f t="shared" si="23"/>
        <v>111</v>
      </c>
      <c r="B120" s="59">
        <f t="shared" si="18"/>
        <v>11.820290536653395</v>
      </c>
      <c r="C120" s="59">
        <f t="shared" si="19"/>
        <v>8.4600289383675586E-2</v>
      </c>
      <c r="D120" s="60">
        <f t="shared" si="20"/>
        <v>491.72209216569468</v>
      </c>
      <c r="E120" s="60">
        <f t="shared" si="21"/>
        <v>41.599831293564201</v>
      </c>
      <c r="F120" s="60">
        <f t="shared" si="22"/>
        <v>41.18027309286505</v>
      </c>
    </row>
    <row r="121" spans="1:6" ht="15.75" x14ac:dyDescent="0.2">
      <c r="A121" s="58">
        <f t="shared" si="23"/>
        <v>112</v>
      </c>
      <c r="B121" s="59">
        <f t="shared" si="18"/>
        <v>12.086247073728094</v>
      </c>
      <c r="C121" s="59">
        <f t="shared" si="19"/>
        <v>8.2738669323888125E-2</v>
      </c>
      <c r="D121" s="60">
        <f t="shared" si="20"/>
        <v>503.80833923942265</v>
      </c>
      <c r="E121" s="60">
        <f t="shared" si="21"/>
        <v>41.68443158294788</v>
      </c>
      <c r="F121" s="60">
        <f t="shared" si="22"/>
        <v>41.264020139721332</v>
      </c>
    </row>
    <row r="122" spans="1:6" ht="15.75" x14ac:dyDescent="0.2">
      <c r="A122" s="58">
        <f t="shared" si="23"/>
        <v>113</v>
      </c>
      <c r="B122" s="59">
        <f t="shared" si="18"/>
        <v>12.358187632886976</v>
      </c>
      <c r="C122" s="59">
        <f t="shared" si="19"/>
        <v>8.0918014008692543E-2</v>
      </c>
      <c r="D122" s="60">
        <f t="shared" si="20"/>
        <v>516.16652687230965</v>
      </c>
      <c r="E122" s="60">
        <f t="shared" si="21"/>
        <v>41.767170252271761</v>
      </c>
      <c r="F122" s="60">
        <f t="shared" si="22"/>
        <v>41.345924342025747</v>
      </c>
    </row>
    <row r="123" spans="1:6" ht="15.75" x14ac:dyDescent="0.2">
      <c r="A123" s="58">
        <f t="shared" si="23"/>
        <v>114</v>
      </c>
      <c r="B123" s="59">
        <f t="shared" si="18"/>
        <v>12.636246854626929</v>
      </c>
      <c r="C123" s="59">
        <f t="shared" si="19"/>
        <v>7.9137422013391245E-2</v>
      </c>
      <c r="D123" s="60">
        <f t="shared" si="20"/>
        <v>528.80277372693649</v>
      </c>
      <c r="E123" s="60">
        <f t="shared" si="21"/>
        <v>41.848088266280456</v>
      </c>
      <c r="F123" s="60">
        <f t="shared" si="22"/>
        <v>41.426026251369926</v>
      </c>
    </row>
    <row r="124" spans="1:6" ht="15.75" x14ac:dyDescent="0.2">
      <c r="A124" s="58">
        <f t="shared" si="23"/>
        <v>115</v>
      </c>
      <c r="B124" s="59">
        <f t="shared" si="18"/>
        <v>12.920562408856037</v>
      </c>
      <c r="C124" s="59">
        <f t="shared" si="19"/>
        <v>7.7396011749037888E-2</v>
      </c>
      <c r="D124" s="60">
        <f t="shared" si="20"/>
        <v>541.72333613579258</v>
      </c>
      <c r="E124" s="60">
        <f t="shared" si="21"/>
        <v>41.927225688293845</v>
      </c>
      <c r="F124" s="60">
        <f t="shared" si="22"/>
        <v>41.504365527012155</v>
      </c>
    </row>
    <row r="125" spans="1:6" ht="15.75" x14ac:dyDescent="0.2">
      <c r="A125" s="58">
        <f t="shared" si="23"/>
        <v>116</v>
      </c>
      <c r="B125" s="59">
        <f t="shared" si="18"/>
        <v>13.211275063055297</v>
      </c>
      <c r="C125" s="59">
        <f t="shared" si="19"/>
        <v>7.569292102595393E-2</v>
      </c>
      <c r="D125" s="60">
        <f t="shared" si="20"/>
        <v>554.93461119884785</v>
      </c>
      <c r="E125" s="60">
        <f t="shared" si="21"/>
        <v>42.004621700042883</v>
      </c>
      <c r="F125" s="60">
        <f t="shared" si="22"/>
        <v>41.580980955513112</v>
      </c>
    </row>
    <row r="126" spans="1:6" ht="15.75" x14ac:dyDescent="0.2">
      <c r="A126" s="58">
        <f t="shared" si="23"/>
        <v>117</v>
      </c>
      <c r="B126" s="59">
        <f t="shared" si="18"/>
        <v>13.508528751974042</v>
      </c>
      <c r="C126" s="59">
        <f t="shared" si="19"/>
        <v>7.4027306626849809E-2</v>
      </c>
      <c r="D126" s="60">
        <f t="shared" si="20"/>
        <v>568.443139950822</v>
      </c>
      <c r="E126" s="60">
        <f t="shared" si="21"/>
        <v>42.080314621068844</v>
      </c>
      <c r="F126" s="60">
        <f t="shared" si="22"/>
        <v>41.655910469939485</v>
      </c>
    </row>
    <row r="127" spans="1:6" ht="15.75" x14ac:dyDescent="0.2">
      <c r="A127" s="58">
        <f t="shared" si="23"/>
        <v>118</v>
      </c>
      <c r="B127" s="59">
        <f t="shared" si="18"/>
        <v>13.812470648893456</v>
      </c>
      <c r="C127" s="59">
        <f t="shared" si="19"/>
        <v>7.2398343889339675E-2</v>
      </c>
      <c r="D127" s="60">
        <f t="shared" si="20"/>
        <v>582.2556105997154</v>
      </c>
      <c r="E127" s="60">
        <f t="shared" si="21"/>
        <v>42.15434192769569</v>
      </c>
      <c r="F127" s="60">
        <f t="shared" si="22"/>
        <v>41.729191168644974</v>
      </c>
    </row>
    <row r="128" spans="1:6" ht="15.75" x14ac:dyDescent="0.2">
      <c r="A128" s="58">
        <f t="shared" si="23"/>
        <v>119</v>
      </c>
      <c r="B128" s="59">
        <f t="shared" si="18"/>
        <v>14.123251238493557</v>
      </c>
      <c r="C128" s="59">
        <f t="shared" si="19"/>
        <v>7.0805226297642729E-2</v>
      </c>
      <c r="D128" s="60">
        <f t="shared" si="20"/>
        <v>596.37886183820899</v>
      </c>
      <c r="E128" s="60">
        <f t="shared" si="21"/>
        <v>42.22674027158503</v>
      </c>
      <c r="F128" s="60">
        <f t="shared" si="22"/>
        <v>41.800859333638115</v>
      </c>
    </row>
    <row r="129" spans="1:6" ht="16.5" thickBot="1" x14ac:dyDescent="0.25">
      <c r="A129" s="57">
        <f t="shared" si="23"/>
        <v>120</v>
      </c>
      <c r="B129" s="61">
        <f t="shared" si="18"/>
        <v>14.441024391359663</v>
      </c>
      <c r="C129" s="61">
        <f t="shared" si="19"/>
        <v>6.9247165083269155E-2</v>
      </c>
      <c r="D129" s="62">
        <f t="shared" si="20"/>
        <v>610.81988622956874</v>
      </c>
      <c r="E129" s="62">
        <f t="shared" si="21"/>
        <v>42.297545497882673</v>
      </c>
      <c r="F129" s="62">
        <f t="shared" si="22"/>
        <v>41.870950448545841</v>
      </c>
    </row>
  </sheetData>
  <customSheetViews>
    <customSheetView guid="{30BFA3C6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"/>
      <headerFooter alignWithMargins="0"/>
    </customSheetView>
    <customSheetView guid="{30BFA3C5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"/>
      <headerFooter alignWithMargins="0"/>
    </customSheetView>
    <customSheetView guid="{30BFA3C4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"/>
      <headerFooter alignWithMargins="0"/>
    </customSheetView>
    <customSheetView guid="{30BFA3C3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"/>
      <headerFooter alignWithMargins="0"/>
    </customSheetView>
    <customSheetView guid="{30BFA3C2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"/>
      <headerFooter alignWithMargins="0"/>
    </customSheetView>
    <customSheetView guid="{30BFA3C1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6"/>
      <headerFooter alignWithMargins="0"/>
    </customSheetView>
    <customSheetView guid="{30BFA3C0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7"/>
      <headerFooter alignWithMargins="0"/>
    </customSheetView>
    <customSheetView guid="{30BFA3BF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8"/>
      <headerFooter alignWithMargins="0"/>
    </customSheetView>
    <customSheetView guid="{30BFA3BE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9"/>
      <headerFooter alignWithMargins="0"/>
    </customSheetView>
    <customSheetView guid="{30BFA3BD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0"/>
      <headerFooter alignWithMargins="0"/>
    </customSheetView>
    <customSheetView guid="{30BFA3BC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1"/>
      <headerFooter alignWithMargins="0"/>
    </customSheetView>
    <customSheetView guid="{30BFA3BB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2"/>
      <headerFooter alignWithMargins="0"/>
    </customSheetView>
    <customSheetView guid="{30BFA3BA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3"/>
      <headerFooter alignWithMargins="0"/>
    </customSheetView>
    <customSheetView guid="{30BFA3B9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4"/>
      <headerFooter alignWithMargins="0"/>
    </customSheetView>
    <customSheetView guid="{30BFA3B8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5"/>
      <headerFooter alignWithMargins="0"/>
    </customSheetView>
    <customSheetView guid="{30BFA3B6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6"/>
      <headerFooter alignWithMargins="0"/>
    </customSheetView>
    <customSheetView guid="{30BFA3B5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7"/>
      <headerFooter alignWithMargins="0"/>
    </customSheetView>
    <customSheetView guid="{30BFA3B4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8"/>
      <headerFooter alignWithMargins="0"/>
    </customSheetView>
    <customSheetView guid="{30BFA3B3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19"/>
      <headerFooter alignWithMargins="0"/>
    </customSheetView>
    <customSheetView guid="{30BFA3B2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0"/>
      <headerFooter alignWithMargins="0"/>
    </customSheetView>
    <customSheetView guid="{30BFA3B1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1"/>
      <headerFooter alignWithMargins="0"/>
    </customSheetView>
    <customSheetView guid="{30BFA3AF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2"/>
      <headerFooter alignWithMargins="0"/>
    </customSheetView>
    <customSheetView guid="{30BFA3AE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3"/>
      <headerFooter alignWithMargins="0"/>
    </customSheetView>
    <customSheetView guid="{30BFA3AD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4"/>
      <headerFooter alignWithMargins="0"/>
    </customSheetView>
    <customSheetView guid="{30BFA3AC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5"/>
      <headerFooter alignWithMargins="0"/>
    </customSheetView>
    <customSheetView guid="{30BFA3AB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6"/>
      <headerFooter alignWithMargins="0"/>
    </customSheetView>
    <customSheetView guid="{30BFA3AA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7"/>
      <headerFooter alignWithMargins="0"/>
    </customSheetView>
    <customSheetView guid="{30BFA3A9-776B-11D4-A436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28"/>
      <headerFooter alignWithMargins="0"/>
    </customSheetView>
    <customSheetView guid="{4C29A34C-6ED4-11D4-A42C-0050044063A3}" showPageBreaks="1" printArea="1" showRuler="0" topLeftCell="A38">
      <selection activeCell="A50" sqref="A50:F89"/>
      <rowBreaks count="1" manualBreakCount="1">
        <brk id="89" max="5" man="1"/>
      </rowBreaks>
      <pageMargins left="0.78740157480314965" right="0.78740157480314965" top="0.39370078740157483" bottom="0.39370078740157483" header="0.51181102362204722" footer="0.31496062992125984"/>
      <printOptions horizontalCentered="1"/>
      <pageSetup paperSize="9" orientation="portrait" blackAndWhite="1" r:id="rId29"/>
      <headerFooter alignWithMargins="0">
        <oddFooter>Seite &amp;P</oddFooter>
      </headerFooter>
    </customSheetView>
    <customSheetView guid="{4C29A34D-6ED4-11D4-A42C-0050044063A3}" showPageBreaks="1" printArea="1" showRuler="0" topLeftCell="A78">
      <selection activeCell="A90" sqref="A90:F129"/>
      <rowBreaks count="1" manualBreakCount="1">
        <brk id="89" max="5" man="1"/>
      </rowBreaks>
      <pageMargins left="0.78740157480314965" right="0.78740157480314965" top="0.39370078740157483" bottom="0.39370078740157483" header="0.51181102362204722" footer="0.31496062992125984"/>
      <printOptions horizontalCentered="1"/>
      <pageSetup paperSize="9" orientation="portrait" blackAndWhite="1" r:id="rId30"/>
      <headerFooter alignWithMargins="0">
        <oddFooter>Seite &amp;P</oddFooter>
      </headerFooter>
    </customSheetView>
    <customSheetView guid="{6EC1D8DB-7337-11D4-A432-0050044063A3}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1"/>
      <headerFooter alignWithMargins="0"/>
    </customSheetView>
    <customSheetView guid="{67B6F32A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2"/>
      <headerFooter alignWithMargins="0"/>
    </customSheetView>
    <customSheetView guid="{67B6F32B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3"/>
      <headerFooter alignWithMargins="0"/>
    </customSheetView>
    <customSheetView guid="{67B6F32C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4"/>
      <headerFooter alignWithMargins="0"/>
    </customSheetView>
    <customSheetView guid="{67B6F32D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5"/>
      <headerFooter alignWithMargins="0"/>
    </customSheetView>
    <customSheetView guid="{67B6F32E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6"/>
      <headerFooter alignWithMargins="0"/>
    </customSheetView>
    <customSheetView guid="{67B6F32F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7"/>
      <headerFooter alignWithMargins="0"/>
    </customSheetView>
    <customSheetView guid="{67B6F330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8"/>
      <headerFooter alignWithMargins="0"/>
    </customSheetView>
    <customSheetView guid="{67B6F332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39"/>
      <headerFooter alignWithMargins="0"/>
    </customSheetView>
    <customSheetView guid="{67B6F333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0"/>
      <headerFooter alignWithMargins="0"/>
    </customSheetView>
    <customSheetView guid="{67B6F334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1"/>
      <headerFooter alignWithMargins="0"/>
    </customSheetView>
    <customSheetView guid="{67B6F335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2"/>
      <headerFooter alignWithMargins="0"/>
    </customSheetView>
    <customSheetView guid="{67B6F336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3"/>
      <headerFooter alignWithMargins="0"/>
    </customSheetView>
    <customSheetView guid="{67B6F337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4"/>
      <headerFooter alignWithMargins="0"/>
    </customSheetView>
    <customSheetView guid="{67B6F338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5"/>
      <headerFooter alignWithMargins="0"/>
    </customSheetView>
    <customSheetView guid="{67B6F339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6"/>
      <headerFooter alignWithMargins="0"/>
    </customSheetView>
    <customSheetView guid="{67B6F33A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7"/>
      <headerFooter alignWithMargins="0"/>
    </customSheetView>
    <customSheetView guid="{67B6F33B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8"/>
      <headerFooter alignWithMargins="0"/>
    </customSheetView>
    <customSheetView guid="{67B6F33C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49"/>
      <headerFooter alignWithMargins="0"/>
    </customSheetView>
    <customSheetView guid="{67B6F33D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0"/>
      <headerFooter alignWithMargins="0"/>
    </customSheetView>
    <customSheetView guid="{67B6F33E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1"/>
      <headerFooter alignWithMargins="0"/>
    </customSheetView>
    <customSheetView guid="{67B6F33F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2"/>
      <headerFooter alignWithMargins="0"/>
    </customSheetView>
    <customSheetView guid="{67B6F340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3"/>
      <headerFooter alignWithMargins="0"/>
    </customSheetView>
    <customSheetView guid="{67B6F341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4"/>
      <headerFooter alignWithMargins="0"/>
    </customSheetView>
    <customSheetView guid="{67B6F342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5"/>
      <headerFooter alignWithMargins="0"/>
    </customSheetView>
    <customSheetView guid="{67B6F343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6"/>
      <headerFooter alignWithMargins="0"/>
    </customSheetView>
    <customSheetView guid="{67B6F344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7"/>
      <headerFooter alignWithMargins="0"/>
    </customSheetView>
    <customSheetView guid="{67B6F345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8"/>
      <headerFooter alignWithMargins="0"/>
    </customSheetView>
    <customSheetView guid="{67B6F346-7771-11D4-A436-0050044063A3}" showPageBreaks="1" printArea="1" showRuler="0">
      <selection activeCell="D14" sqref="D14"/>
      <rowBreaks count="1" manualBreakCount="1">
        <brk id="89" max="5" man="1"/>
      </rowBreaks>
      <pageMargins left="0.78740157480314965" right="0.78740157480314965" top="0.39370078740157483" bottom="0.39370078740157483" header="0.51181102362204722" footer="0.51181102362204722"/>
      <printOptions horizontalCentered="1"/>
      <pageSetup paperSize="9" orientation="portrait" r:id="rId59"/>
      <headerFooter alignWithMargins="0"/>
    </customSheetView>
    <customSheetView guid="{E26AA399-7CC0-11D4-A43C-0050044063A3}" showPageBreaks="1" printArea="1" showRuler="0">
      <rowBreaks count="1" manualBreakCount="1">
        <brk id="89" max="5" man="1"/>
      </rowBreaks>
      <pageMargins left="0.78740157480314965" right="0.78740157480314965" top="0.39370078740157483" bottom="0.39370078740157483" header="0.51181102362204722" footer="0.31496062992125984"/>
      <printOptions horizontalCentered="1"/>
      <pageSetup paperSize="9" firstPageNumber="35" orientation="portrait" blackAndWhite="1" useFirstPageNumber="1" r:id="rId60"/>
      <headerFooter alignWithMargins="0">
        <oddFooter>Seite &amp;P</oddFooter>
      </headerFooter>
    </customSheetView>
  </customSheetViews>
  <printOptions horizontalCentered="1"/>
  <pageMargins left="0.78740157480314965" right="0.78740157480314965" top="0.39370078740157483" bottom="0.39370078740157483" header="0.51181102362204722" footer="0.31496062992125984"/>
  <pageSetup paperSize="9" firstPageNumber="35" orientation="portrait" blackAndWhite="1" useFirstPageNumber="1" r:id="rId61"/>
  <headerFooter alignWithMargins="0">
    <oddFooter>Seite &amp;P</oddFooter>
  </headerFooter>
  <rowBreaks count="1" manualBreakCount="1">
    <brk id="89" max="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autoPageBreaks="0"/>
  </sheetPr>
  <dimension ref="A1:IR118"/>
  <sheetViews>
    <sheetView topLeftCell="CM1" zoomScaleNormal="100" workbookViewId="0">
      <pane ySplit="2910" topLeftCell="A72" activePane="bottomLeft"/>
      <selection activeCell="IL8" sqref="IL8"/>
      <selection pane="bottomLeft" activeCell="CS52" sqref="CS52"/>
    </sheetView>
  </sheetViews>
  <sheetFormatPr baseColWidth="10" defaultColWidth="11.42578125" defaultRowHeight="15.75" customHeight="1" x14ac:dyDescent="0.25"/>
  <cols>
    <col min="1" max="1" width="4.140625" style="1" customWidth="1"/>
    <col min="2" max="5" width="11.42578125" style="73"/>
    <col min="6" max="6" width="2" style="84" customWidth="1"/>
    <col min="7" max="7" width="4.140625" style="1" customWidth="1"/>
    <col min="8" max="13" width="11.42578125" style="1"/>
    <col min="14" max="14" width="2" style="84" customWidth="1"/>
    <col min="15" max="15" width="4.140625" style="1" customWidth="1"/>
    <col min="16" max="16" width="11.42578125" style="44"/>
    <col min="17" max="22" width="11.42578125" style="1"/>
    <col min="23" max="23" width="2" style="84" customWidth="1"/>
    <col min="24" max="24" width="4.140625" style="1" customWidth="1"/>
    <col min="25" max="26" width="12.7109375" style="1" customWidth="1"/>
    <col min="27" max="30" width="10.7109375" style="1" customWidth="1"/>
    <col min="31" max="32" width="14.7109375" style="1" customWidth="1"/>
    <col min="33" max="33" width="2" style="84" customWidth="1"/>
    <col min="34" max="34" width="4.140625" style="1" customWidth="1"/>
    <col min="35" max="41" width="14.7109375" style="1" customWidth="1"/>
    <col min="42" max="42" width="2" style="84" customWidth="1"/>
    <col min="43" max="43" width="4.140625" style="1" customWidth="1"/>
    <col min="44" max="50" width="14.5703125" style="1" customWidth="1"/>
    <col min="51" max="51" width="2" style="84" customWidth="1"/>
    <col min="52" max="52" width="4.140625" style="1" customWidth="1"/>
    <col min="53" max="56" width="13.7109375" style="1" customWidth="1"/>
    <col min="57" max="57" width="2" style="84" customWidth="1"/>
    <col min="58" max="58" width="9.140625" style="1" customWidth="1"/>
    <col min="59" max="60" width="13.7109375" style="1" customWidth="1"/>
    <col min="61" max="61" width="2" style="84" customWidth="1"/>
    <col min="62" max="62" width="4.140625" style="1" customWidth="1"/>
    <col min="63" max="66" width="11.42578125" style="1"/>
    <col min="67" max="67" width="13" style="1" customWidth="1"/>
    <col min="68" max="68" width="2" style="84" customWidth="1"/>
    <col min="69" max="69" width="4.140625" style="1" customWidth="1"/>
    <col min="70" max="71" width="11.42578125" style="1"/>
    <col min="72" max="73" width="12.140625" style="1" customWidth="1"/>
    <col min="74" max="74" width="13" style="1" customWidth="1"/>
    <col min="75" max="75" width="2" style="84" customWidth="1"/>
    <col min="76" max="76" width="4.140625" style="1" customWidth="1"/>
    <col min="77" max="77" width="18.42578125" style="1" customWidth="1"/>
    <col min="78" max="80" width="12.7109375" style="1" customWidth="1"/>
    <col min="81" max="81" width="14.7109375" style="124" hidden="1" customWidth="1"/>
    <col min="82" max="82" width="14.7109375" style="1" hidden="1" customWidth="1"/>
    <col min="83" max="83" width="12.7109375" style="1" customWidth="1"/>
    <col min="84" max="84" width="2" style="84" customWidth="1"/>
    <col min="85" max="85" width="4.140625" style="1" customWidth="1"/>
    <col min="86" max="88" width="11.42578125" style="1"/>
    <col min="89" max="89" width="13" style="1" customWidth="1"/>
    <col min="90" max="91" width="11.42578125" style="1"/>
    <col min="92" max="92" width="13" style="1" customWidth="1"/>
    <col min="93" max="93" width="2" style="84" customWidth="1"/>
    <col min="94" max="94" width="4.140625" style="1" customWidth="1"/>
    <col min="95" max="97" width="17.7109375" style="1" customWidth="1"/>
    <col min="98" max="98" width="2" style="84" customWidth="1"/>
    <col min="99" max="99" width="4.140625" style="1" customWidth="1"/>
    <col min="100" max="130" width="15.42578125" style="1" hidden="1" customWidth="1"/>
    <col min="131" max="134" width="11.42578125" style="44"/>
    <col min="135" max="135" width="12.28515625" style="44" customWidth="1"/>
    <col min="136" max="138" width="11.42578125" style="44"/>
    <col min="139" max="139" width="2" style="84" customWidth="1"/>
    <col min="140" max="140" width="4.140625" style="1" customWidth="1"/>
    <col min="141" max="144" width="11.42578125" style="44"/>
    <col min="145" max="145" width="12.28515625" style="44" customWidth="1"/>
    <col min="146" max="148" width="11.42578125" style="44"/>
    <col min="149" max="149" width="2" style="84" customWidth="1"/>
    <col min="150" max="150" width="4.140625" style="1" customWidth="1"/>
    <col min="151" max="154" width="11.42578125" style="44"/>
    <col min="155" max="155" width="12.28515625" style="44" customWidth="1"/>
    <col min="156" max="158" width="11.42578125" style="44"/>
    <col min="159" max="159" width="2" style="84" customWidth="1"/>
    <col min="160" max="160" width="4.140625" style="1" customWidth="1"/>
    <col min="161" max="167" width="13.140625" style="44" customWidth="1"/>
    <col min="168" max="168" width="2" style="84" customWidth="1"/>
    <col min="169" max="169" width="4.140625" style="1" customWidth="1"/>
    <col min="170" max="200" width="15.42578125" style="1" hidden="1" customWidth="1"/>
    <col min="201" max="204" width="11.42578125" style="1"/>
    <col min="205" max="205" width="12.28515625" style="1" customWidth="1"/>
    <col min="206" max="208" width="11.42578125" style="1"/>
    <col min="209" max="209" width="2" style="84" customWidth="1"/>
    <col min="210" max="210" width="4.140625" style="1" customWidth="1"/>
    <col min="211" max="214" width="11.42578125" style="1"/>
    <col min="215" max="215" width="12.28515625" style="1" customWidth="1"/>
    <col min="216" max="218" width="11.42578125" style="1"/>
    <col min="219" max="219" width="2" style="84" customWidth="1"/>
    <col min="220" max="220" width="4.140625" style="1" customWidth="1"/>
    <col min="221" max="224" width="11.42578125" style="1"/>
    <col min="225" max="225" width="12.28515625" style="1" customWidth="1"/>
    <col min="226" max="228" width="11.42578125" style="1"/>
    <col min="229" max="229" width="2" style="84" customWidth="1"/>
    <col min="230" max="230" width="4.140625" style="1" customWidth="1"/>
    <col min="231" max="237" width="13.140625" style="1" customWidth="1"/>
    <col min="238" max="238" width="2" style="84" customWidth="1"/>
    <col min="239" max="239" width="4.140625" style="1" customWidth="1"/>
    <col min="240" max="242" width="11.42578125" style="1"/>
    <col min="243" max="243" width="13" style="1" customWidth="1"/>
    <col min="244" max="245" width="11.42578125" style="1"/>
    <col min="246" max="246" width="13" style="1" customWidth="1"/>
    <col min="247" max="247" width="2" style="84" customWidth="1"/>
    <col min="248" max="248" width="4.140625" style="1" customWidth="1"/>
    <col min="249" max="251" width="18.7109375" style="1" customWidth="1"/>
    <col min="252" max="252" width="2" style="84" customWidth="1"/>
    <col min="253" max="16384" width="11.42578125" style="1"/>
  </cols>
  <sheetData>
    <row r="1" spans="1:252" x14ac:dyDescent="0.25">
      <c r="E1" s="74" t="str">
        <f>Grundlagen</f>
        <v>EVK 2000, 2.25%</v>
      </c>
      <c r="M1" s="2" t="str">
        <f>Grundlagen</f>
        <v>EVK 2000, 2.25%</v>
      </c>
      <c r="S1" s="2"/>
      <c r="T1" s="2"/>
      <c r="V1" s="2" t="str">
        <f>Grundlagen</f>
        <v>EVK 2000, 2.25%</v>
      </c>
      <c r="AF1" s="2" t="str">
        <f>Grundlagen</f>
        <v>EVK 2000, 2.25%</v>
      </c>
      <c r="AO1" s="2" t="str">
        <f>Grundlagen</f>
        <v>EVK 2000, 2.25%</v>
      </c>
      <c r="AX1" s="2" t="str">
        <f>Grundlagen</f>
        <v>EVK 2000, 2.25%</v>
      </c>
      <c r="BD1" s="2" t="str">
        <f>Grundlagen</f>
        <v>EVK 2000, 2.25%</v>
      </c>
      <c r="BH1" s="2" t="str">
        <f>Grundlagen</f>
        <v>EVK 2000, 2.25%</v>
      </c>
      <c r="BO1" s="2" t="str">
        <f>Grundlagen</f>
        <v>EVK 2000, 2.25%</v>
      </c>
      <c r="BV1" s="2" t="str">
        <f>Grundlagen</f>
        <v>EVK 2000, 2.25%</v>
      </c>
      <c r="CE1" s="2" t="str">
        <f>Grundlagen</f>
        <v>EVK 2000, 2.25%</v>
      </c>
      <c r="CK1" s="2"/>
      <c r="CN1" s="2" t="str">
        <f>Grundlagen</f>
        <v>EVK 2000, 2.25%</v>
      </c>
      <c r="CS1" s="2" t="str">
        <f>Grundlagen</f>
        <v>EVK 2000, 2.25%</v>
      </c>
      <c r="EH1" s="45" t="str">
        <f>Grundlagen</f>
        <v>EVK 2000, 2.25%</v>
      </c>
      <c r="ER1" s="45" t="str">
        <f>Grundlagen</f>
        <v>EVK 2000, 2.25%</v>
      </c>
      <c r="FB1" s="45" t="str">
        <f>Grundlagen</f>
        <v>EVK 2000, 2.25%</v>
      </c>
      <c r="FK1" s="45" t="str">
        <f>Grundlagen</f>
        <v>EVK 2000, 2.25%</v>
      </c>
      <c r="GZ1" s="2" t="str">
        <f>Grundlagen</f>
        <v>EVK 2000, 2.25%</v>
      </c>
      <c r="HJ1" s="2" t="str">
        <f>Grundlagen</f>
        <v>EVK 2000, 2.25%</v>
      </c>
      <c r="HT1" s="2" t="str">
        <f>Grundlagen</f>
        <v>EVK 2000, 2.25%</v>
      </c>
      <c r="IC1" s="2" t="str">
        <f>Grundlagen</f>
        <v>EVK 2000, 2.25%</v>
      </c>
      <c r="II1" s="2"/>
      <c r="IL1" s="2" t="str">
        <f>Grundlagen</f>
        <v>EVK 2000, 2.25%</v>
      </c>
      <c r="IQ1" s="2" t="str">
        <f>Grundlagen</f>
        <v>EVK 2000, 2.25%</v>
      </c>
    </row>
    <row r="2" spans="1:252" x14ac:dyDescent="0.25">
      <c r="E2" s="74" t="str">
        <f>MT &amp;1</f>
        <v>Männer Tabelle 1</v>
      </c>
      <c r="I2" s="3"/>
      <c r="M2" s="2" t="str">
        <f>MT &amp;2</f>
        <v>Männer Tabelle 2</v>
      </c>
      <c r="Q2" s="3"/>
      <c r="S2" s="2"/>
      <c r="T2" s="2"/>
      <c r="V2" s="2" t="str">
        <f>MT &amp;3</f>
        <v>Männer Tabelle 3</v>
      </c>
      <c r="AE2" s="3"/>
      <c r="AF2" s="2" t="str">
        <f>MT &amp;4</f>
        <v>Männer Tabelle 4</v>
      </c>
      <c r="AN2" s="3"/>
      <c r="AO2" s="2" t="str">
        <f>MT &amp;5</f>
        <v>Männer Tabelle 5</v>
      </c>
      <c r="AW2" s="3"/>
      <c r="AX2" s="2" t="str">
        <f>MT &amp;6</f>
        <v>Männer Tabelle 6</v>
      </c>
      <c r="BC2" s="3"/>
      <c r="BD2" s="2" t="str">
        <f>MT &amp;7</f>
        <v>Männer Tabelle 7</v>
      </c>
      <c r="BH2" s="2" t="str">
        <f>MT &amp;8</f>
        <v>Männer Tabelle 8</v>
      </c>
      <c r="BM2" s="3"/>
      <c r="BN2" s="3"/>
      <c r="BO2" s="2" t="str">
        <f>MT &amp;9</f>
        <v>Männer Tabelle 9</v>
      </c>
      <c r="BT2" s="3"/>
      <c r="BU2" s="3"/>
      <c r="BV2" s="2" t="str">
        <f>MT &amp;10</f>
        <v>Männer Tabelle 10</v>
      </c>
      <c r="CE2" s="2" t="str">
        <f>MT &amp;11</f>
        <v>Männer Tabelle 11</v>
      </c>
      <c r="CJ2" s="3"/>
      <c r="CK2" s="2"/>
      <c r="CN2" s="2" t="str">
        <f>MT &amp;12</f>
        <v>Männer Tabelle 12</v>
      </c>
      <c r="CS2" s="2" t="str">
        <f>MT &amp;13</f>
        <v>Männer Tabelle 13</v>
      </c>
      <c r="EH2" s="45" t="str">
        <f>MT &amp;14</f>
        <v>Männer Tabelle 14</v>
      </c>
      <c r="ER2" s="45" t="str">
        <f>MT &amp;15</f>
        <v>Männer Tabelle 15</v>
      </c>
      <c r="FB2" s="45" t="str">
        <f>MT &amp;16</f>
        <v>Männer Tabelle 16</v>
      </c>
      <c r="FK2" s="45" t="str">
        <f>MT &amp;17</f>
        <v>Männer Tabelle 17</v>
      </c>
      <c r="GX2" s="3"/>
      <c r="GY2" s="3"/>
      <c r="GZ2" s="2" t="str">
        <f>MT &amp;18</f>
        <v>Männer Tabelle 18</v>
      </c>
      <c r="HH2" s="3"/>
      <c r="HI2" s="3"/>
      <c r="HJ2" s="2" t="str">
        <f>MT &amp;19</f>
        <v>Männer Tabelle 19</v>
      </c>
      <c r="HR2" s="3"/>
      <c r="HS2" s="3"/>
      <c r="HT2" s="2" t="str">
        <f>MT &amp;20</f>
        <v>Männer Tabelle 20</v>
      </c>
      <c r="IB2" s="3"/>
      <c r="IC2" s="2" t="str">
        <f>MT &amp;21</f>
        <v>Männer Tabelle 21</v>
      </c>
      <c r="IH2" s="3"/>
      <c r="II2" s="2"/>
      <c r="IL2" s="2" t="str">
        <f>MT &amp;22</f>
        <v>Männer Tabelle 22</v>
      </c>
      <c r="IQ2" s="2" t="str">
        <f>MT &amp;23</f>
        <v>Männer Tabelle 23</v>
      </c>
    </row>
    <row r="3" spans="1:252" x14ac:dyDescent="0.25">
      <c r="A3" s="4" t="s">
        <v>10</v>
      </c>
      <c r="G3" s="4" t="s">
        <v>11</v>
      </c>
      <c r="O3" s="4" t="s">
        <v>86</v>
      </c>
      <c r="S3" s="5"/>
      <c r="T3" s="5"/>
      <c r="X3" s="4" t="s">
        <v>12</v>
      </c>
      <c r="AF3" s="32" t="str">
        <f>"Unterjährigkeit m = " &amp;m</f>
        <v>Unterjährigkeit m = 12</v>
      </c>
      <c r="AH3" s="4" t="s">
        <v>183</v>
      </c>
      <c r="AO3" s="32" t="str">
        <f>"Unterjährigkeit m = " &amp;m</f>
        <v>Unterjährigkeit m = 12</v>
      </c>
      <c r="AQ3" s="4" t="s">
        <v>182</v>
      </c>
      <c r="AX3" s="32" t="str">
        <f>"Unterjährigkeit m = " &amp;m</f>
        <v>Unterjährigkeit m = 12</v>
      </c>
      <c r="AZ3" s="4" t="s">
        <v>23</v>
      </c>
      <c r="BD3" s="32" t="str">
        <f>"Unterjährigkeit m = " &amp;m</f>
        <v>Unterjährigkeit m = 12</v>
      </c>
      <c r="BF3" s="4" t="s">
        <v>165</v>
      </c>
      <c r="BG3" s="4"/>
      <c r="BH3" s="32" t="str">
        <f>"Unterjährigkeit m = " &amp;m</f>
        <v>Unterjährigkeit m = 12</v>
      </c>
      <c r="BJ3" s="4" t="s">
        <v>13</v>
      </c>
      <c r="BO3" s="32" t="str">
        <f>"Unterjährigkeit m = " &amp;m</f>
        <v>Unterjährigkeit m = 12</v>
      </c>
      <c r="BQ3" s="4" t="s">
        <v>14</v>
      </c>
      <c r="BV3" s="32" t="str">
        <f>"Unterjährigkeit m = " &amp;m</f>
        <v>Unterjährigkeit m = 12</v>
      </c>
      <c r="BX3" s="4" t="s">
        <v>184</v>
      </c>
      <c r="BY3" s="4"/>
      <c r="CA3" s="4"/>
      <c r="CE3" s="32" t="str">
        <f>"Unterjährigkeit m = " &amp;m</f>
        <v>Unterjährigkeit m = 12</v>
      </c>
      <c r="CG3" s="4" t="s">
        <v>213</v>
      </c>
      <c r="CK3" s="32"/>
      <c r="CN3" s="32" t="str">
        <f>"Unterjährigkeit m = " &amp;m</f>
        <v>Unterjährigkeit m = 12</v>
      </c>
      <c r="CP3" s="4" t="s">
        <v>56</v>
      </c>
      <c r="CS3" s="32" t="str">
        <f>"Unterjährigkeit m = " &amp;m</f>
        <v>Unterjährigkeit m = 12</v>
      </c>
      <c r="CU3" s="4" t="s">
        <v>260</v>
      </c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H3" s="40" t="str">
        <f>"Unterjährigkeit m = " &amp;m</f>
        <v>Unterjährigkeit m = 12</v>
      </c>
      <c r="EJ3" s="4" t="s">
        <v>260</v>
      </c>
      <c r="ER3" s="40" t="str">
        <f>"Unterjährigkeit m = " &amp;m</f>
        <v>Unterjährigkeit m = 12</v>
      </c>
      <c r="ET3" s="4" t="s">
        <v>260</v>
      </c>
      <c r="FB3" s="40" t="str">
        <f>"Unterjährigkeit m = " &amp;m</f>
        <v>Unterjährigkeit m = 12</v>
      </c>
      <c r="FD3" s="4" t="s">
        <v>260</v>
      </c>
      <c r="FK3" s="40" t="str">
        <f>"Unterjährigkeit m = " &amp;m</f>
        <v>Unterjährigkeit m = 12</v>
      </c>
      <c r="FM3" s="4" t="s">
        <v>319</v>
      </c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Z3" s="32" t="str">
        <f>"Unterjährigkeit m = " &amp;m</f>
        <v>Unterjährigkeit m = 12</v>
      </c>
      <c r="HB3" s="4" t="s">
        <v>319</v>
      </c>
      <c r="HJ3" s="32" t="str">
        <f>"Unterjährigkeit m = " &amp;m</f>
        <v>Unterjährigkeit m = 12</v>
      </c>
      <c r="HL3" s="4" t="s">
        <v>319</v>
      </c>
      <c r="HT3" s="32" t="str">
        <f>"Unterjährigkeit m = " &amp;m</f>
        <v>Unterjährigkeit m = 12</v>
      </c>
      <c r="HV3" s="4" t="s">
        <v>319</v>
      </c>
      <c r="IC3" s="32" t="str">
        <f>"Unterjährigkeit m = " &amp;m</f>
        <v>Unterjährigkeit m = 12</v>
      </c>
      <c r="IE3" s="4" t="s">
        <v>213</v>
      </c>
      <c r="II3" s="32"/>
      <c r="IL3" s="32" t="str">
        <f>"Unterjährigkeit m = " &amp;m</f>
        <v>Unterjährigkeit m = 12</v>
      </c>
      <c r="IN3" s="4" t="s">
        <v>56</v>
      </c>
      <c r="IQ3" s="32" t="str">
        <f>"Unterjährigkeit m = " &amp;m</f>
        <v>Unterjährigkeit m = 12</v>
      </c>
    </row>
    <row r="4" spans="1:252" ht="19.5" x14ac:dyDescent="0.3">
      <c r="E4" s="74" t="str">
        <f>"Rücktrittsalter s = " &amp;RAM</f>
        <v>Rücktrittsalter s = 65</v>
      </c>
      <c r="M4" s="2" t="str">
        <f>"Rücktrittsalter s = " &amp;RAM</f>
        <v>Rücktrittsalter s = 65</v>
      </c>
      <c r="O4" s="4"/>
      <c r="S4" s="2"/>
      <c r="T4" s="2"/>
      <c r="V4" s="2" t="str">
        <f>"Rücktrittsalter s = " &amp;RAM</f>
        <v>Rücktrittsalter s = 65</v>
      </c>
      <c r="X4" s="4"/>
      <c r="AF4" s="2" t="str">
        <f>"Rücktrittsalter s = " &amp;RAM</f>
        <v>Rücktrittsalter s = 65</v>
      </c>
      <c r="AH4" s="4"/>
      <c r="AO4" s="2" t="str">
        <f>"Rücktrittsalter s = " &amp;RAM</f>
        <v>Rücktrittsalter s = 65</v>
      </c>
      <c r="AQ4" s="4"/>
      <c r="AX4" s="2" t="str">
        <f>"Rücktrittsalter s = " &amp;RAM</f>
        <v>Rücktrittsalter s = 65</v>
      </c>
      <c r="AZ4" s="4"/>
      <c r="BD4" s="2" t="str">
        <f>"Rücktrittsalter s = " &amp;RAM</f>
        <v>Rücktrittsalter s = 65</v>
      </c>
      <c r="BF4" s="4"/>
      <c r="BG4" s="4"/>
      <c r="BH4" s="2"/>
      <c r="BJ4" s="4" t="s">
        <v>166</v>
      </c>
      <c r="BO4" s="2" t="str">
        <f>"Rücktrittsalter s = " &amp;RAM</f>
        <v>Rücktrittsalter s = 65</v>
      </c>
      <c r="BQ4" s="4" t="s">
        <v>24</v>
      </c>
      <c r="BV4" s="2" t="str">
        <f>"Rücktrittsalter s = " &amp;RAM</f>
        <v>Rücktrittsalter s = 65</v>
      </c>
      <c r="BX4" s="4" t="s">
        <v>181</v>
      </c>
      <c r="BY4" s="4"/>
      <c r="CE4" s="2" t="str">
        <f>"Rücktrittsalter s = " &amp;RAM</f>
        <v>Rücktrittsalter s = 65</v>
      </c>
      <c r="CG4" s="4" t="s">
        <v>214</v>
      </c>
      <c r="CK4" s="2"/>
      <c r="CN4" s="2" t="str">
        <f>"Rücktrittsalter s = " &amp;RAM</f>
        <v>Rücktrittsalter s = 65</v>
      </c>
      <c r="CP4" s="4" t="s">
        <v>46</v>
      </c>
      <c r="CS4" s="2" t="str">
        <f>"Rücktrittsalter s = " &amp;RAM</f>
        <v>Rücktrittsalter s = 65</v>
      </c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E4" s="6" t="s">
        <v>405</v>
      </c>
      <c r="EH4" s="45" t="str">
        <f>"Rücktrittsalter s = " &amp;RAM</f>
        <v>Rücktrittsalter s = 65</v>
      </c>
      <c r="EJ4" s="4"/>
      <c r="EO4" s="6" t="s">
        <v>405</v>
      </c>
      <c r="ER4" s="45" t="str">
        <f>"Rücktrittsalter s = " &amp;RAM</f>
        <v>Rücktrittsalter s = 65</v>
      </c>
      <c r="ET4" s="4"/>
      <c r="EY4" s="6" t="s">
        <v>405</v>
      </c>
      <c r="FB4" s="45" t="str">
        <f>"Rücktrittsalter s = " &amp;RAM</f>
        <v>Rücktrittsalter s = 65</v>
      </c>
      <c r="FD4" s="4"/>
      <c r="FH4" s="6" t="s">
        <v>405</v>
      </c>
      <c r="FI4" s="46"/>
      <c r="FK4" s="45" t="str">
        <f>"Rücktrittsalter s = " &amp;RAM</f>
        <v>Rücktrittsalter s = 65</v>
      </c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W4" s="6" t="s">
        <v>406</v>
      </c>
      <c r="GZ4" s="2" t="str">
        <f>"Rücktrittsalter s = " &amp;RAM</f>
        <v>Rücktrittsalter s = 65</v>
      </c>
      <c r="HB4" s="4"/>
      <c r="HG4" s="6" t="s">
        <v>406</v>
      </c>
      <c r="HJ4" s="2" t="str">
        <f>"Rücktrittsalter s = " &amp;RAM</f>
        <v>Rücktrittsalter s = 65</v>
      </c>
      <c r="HL4" s="4"/>
      <c r="HQ4" s="6" t="s">
        <v>406</v>
      </c>
      <c r="HT4" s="2" t="str">
        <f>"Rücktrittsalter s = " &amp;RAM</f>
        <v>Rücktrittsalter s = 65</v>
      </c>
      <c r="HV4" s="4"/>
      <c r="HZ4" s="6" t="s">
        <v>406</v>
      </c>
      <c r="IA4" s="6"/>
      <c r="IC4" s="2" t="str">
        <f>"Rücktrittsalter s = " &amp;RAM</f>
        <v>Rücktrittsalter s = 65</v>
      </c>
      <c r="IE4" s="4" t="s">
        <v>225</v>
      </c>
      <c r="II4" s="2"/>
      <c r="IL4" s="2" t="str">
        <f>"Rücktrittsalter s = " &amp;RAM</f>
        <v>Rücktrittsalter s = 65</v>
      </c>
      <c r="IN4" s="4" t="s">
        <v>15</v>
      </c>
      <c r="IQ4" s="2" t="str">
        <f>"Rücktrittsalter s = " &amp;RAM</f>
        <v>Rücktrittsalter s = 65</v>
      </c>
    </row>
    <row r="5" spans="1:252" ht="15.75" customHeight="1" thickBot="1" x14ac:dyDescent="0.3">
      <c r="E5" s="76"/>
      <c r="M5" s="4"/>
      <c r="S5" s="4"/>
      <c r="T5" s="4"/>
      <c r="AF5" s="4"/>
      <c r="AO5" s="4"/>
      <c r="AX5" s="4"/>
      <c r="BD5" s="4"/>
      <c r="BH5" s="2" t="str">
        <f>"Schlussalter z* = " &amp;RAK</f>
        <v>Schlussalter z* = 25</v>
      </c>
      <c r="BO5" s="4"/>
      <c r="BV5" s="4"/>
      <c r="CE5" s="2" t="str">
        <f>"Schlussalter z* = " &amp;RAK</f>
        <v>Schlussalter z* = 25</v>
      </c>
      <c r="CK5" s="4"/>
      <c r="CN5" s="4"/>
      <c r="CS5" s="4"/>
      <c r="II5" s="4"/>
      <c r="IL5" s="2" t="str">
        <f>"Schlussalter z* = " &amp;RAK</f>
        <v>Schlussalter z* = 25</v>
      </c>
      <c r="IQ5" s="2" t="str">
        <f>"Schlussalter z* = " &amp;RAK</f>
        <v>Schlussalter z* = 25</v>
      </c>
    </row>
    <row r="6" spans="1:252" ht="15.75" customHeight="1" x14ac:dyDescent="0.25">
      <c r="A6" s="7"/>
      <c r="B6" s="71"/>
      <c r="C6" s="71"/>
      <c r="D6" s="71"/>
      <c r="E6" s="71"/>
      <c r="F6" s="85"/>
      <c r="G6" s="7"/>
      <c r="H6" s="7"/>
      <c r="I6" s="7"/>
      <c r="J6" s="7"/>
      <c r="K6" s="7"/>
      <c r="L6" s="7"/>
      <c r="M6" s="7"/>
      <c r="N6" s="85"/>
      <c r="O6" s="7"/>
      <c r="P6" s="41"/>
      <c r="Q6" s="7"/>
      <c r="R6" s="7"/>
      <c r="S6" s="7"/>
      <c r="T6" s="7"/>
      <c r="U6" s="7"/>
      <c r="V6" s="7"/>
      <c r="W6" s="85"/>
      <c r="X6" s="7"/>
      <c r="Y6" s="7"/>
      <c r="Z6" s="7"/>
      <c r="AA6" s="7"/>
      <c r="AB6" s="7"/>
      <c r="AC6" s="7"/>
      <c r="AD6" s="7"/>
      <c r="AE6" s="7"/>
      <c r="AF6" s="7"/>
      <c r="AG6" s="85"/>
      <c r="AH6" s="7"/>
      <c r="AI6" s="7"/>
      <c r="AJ6" s="7"/>
      <c r="AK6" s="7"/>
      <c r="AL6" s="7"/>
      <c r="AM6" s="7"/>
      <c r="AN6" s="7"/>
      <c r="AO6" s="7"/>
      <c r="AP6" s="85"/>
      <c r="AQ6" s="7"/>
      <c r="AR6" s="7"/>
      <c r="AS6" s="7"/>
      <c r="AT6" s="7"/>
      <c r="AU6" s="7"/>
      <c r="AV6" s="7"/>
      <c r="AW6" s="7"/>
      <c r="AX6" s="7"/>
      <c r="AY6" s="85"/>
      <c r="AZ6" s="7"/>
      <c r="BA6" s="7"/>
      <c r="BB6" s="7"/>
      <c r="BC6" s="7"/>
      <c r="BD6" s="7"/>
      <c r="BE6" s="85"/>
      <c r="BF6" s="7"/>
      <c r="BG6" s="7"/>
      <c r="BH6" s="7"/>
      <c r="BI6" s="85"/>
      <c r="BJ6" s="7"/>
      <c r="BK6" s="7"/>
      <c r="BL6" s="7"/>
      <c r="BM6" s="7"/>
      <c r="BN6" s="7"/>
      <c r="BO6" s="7"/>
      <c r="BP6" s="85"/>
      <c r="BQ6" s="7"/>
      <c r="BR6" s="7"/>
      <c r="BS6" s="7"/>
      <c r="BT6" s="7"/>
      <c r="BU6" s="7"/>
      <c r="BV6" s="7"/>
      <c r="BW6" s="85"/>
      <c r="BX6" s="7"/>
      <c r="BY6" s="7"/>
      <c r="BZ6" s="7"/>
      <c r="CA6" s="7"/>
      <c r="CB6" s="7"/>
      <c r="CC6" s="125"/>
      <c r="CD6" s="7"/>
      <c r="CE6" s="7"/>
      <c r="CF6" s="85"/>
      <c r="CG6" s="7"/>
      <c r="CH6" s="7"/>
      <c r="CI6" s="7"/>
      <c r="CJ6" s="7"/>
      <c r="CK6" s="7"/>
      <c r="CL6" s="7"/>
      <c r="CM6" s="7"/>
      <c r="CN6" s="7"/>
      <c r="CO6" s="85"/>
      <c r="CP6" s="7"/>
      <c r="CQ6" s="7"/>
      <c r="CR6" s="7"/>
      <c r="CS6" s="7"/>
      <c r="CT6" s="85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41"/>
      <c r="EB6" s="41"/>
      <c r="EC6" s="41"/>
      <c r="ED6" s="41"/>
      <c r="EE6" s="41"/>
      <c r="EF6" s="41"/>
      <c r="EG6" s="41"/>
      <c r="EH6" s="41"/>
      <c r="EI6" s="85"/>
      <c r="EJ6" s="7"/>
      <c r="EK6" s="41"/>
      <c r="EL6" s="41"/>
      <c r="EM6" s="41"/>
      <c r="EN6" s="41"/>
      <c r="EO6" s="41"/>
      <c r="EP6" s="41"/>
      <c r="EQ6" s="41"/>
      <c r="ER6" s="41"/>
      <c r="ES6" s="85"/>
      <c r="ET6" s="7"/>
      <c r="EU6" s="41"/>
      <c r="EV6" s="41"/>
      <c r="EW6" s="41"/>
      <c r="EX6" s="41"/>
      <c r="EY6" s="41"/>
      <c r="EZ6" s="41"/>
      <c r="FA6" s="41"/>
      <c r="FB6" s="41"/>
      <c r="FC6" s="85"/>
      <c r="FD6" s="7"/>
      <c r="FE6" s="41"/>
      <c r="FF6" s="41"/>
      <c r="FG6" s="41"/>
      <c r="FH6" s="41"/>
      <c r="FI6" s="41"/>
      <c r="FJ6" s="41"/>
      <c r="FK6" s="41"/>
      <c r="FL6" s="85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85"/>
      <c r="HB6" s="7"/>
      <c r="HC6" s="7"/>
      <c r="HD6" s="7"/>
      <c r="HE6" s="7"/>
      <c r="HF6" s="7"/>
      <c r="HG6" s="7"/>
      <c r="HH6" s="7"/>
      <c r="HI6" s="7"/>
      <c r="HJ6" s="7"/>
      <c r="HK6" s="85"/>
      <c r="HL6" s="7"/>
      <c r="HM6" s="7"/>
      <c r="HN6" s="7"/>
      <c r="HO6" s="7"/>
      <c r="HP6" s="7"/>
      <c r="HQ6" s="7"/>
      <c r="HR6" s="7"/>
      <c r="HS6" s="7"/>
      <c r="HT6" s="7"/>
      <c r="HU6" s="85"/>
      <c r="HV6" s="7"/>
      <c r="HW6" s="7"/>
      <c r="HX6" s="7"/>
      <c r="HY6" s="7"/>
      <c r="HZ6" s="7"/>
      <c r="IA6" s="7"/>
      <c r="IB6" s="7"/>
      <c r="IC6" s="7"/>
      <c r="ID6" s="85"/>
      <c r="IE6" s="7"/>
      <c r="IF6" s="7"/>
      <c r="IG6" s="7"/>
      <c r="IH6" s="7"/>
      <c r="II6" s="7"/>
      <c r="IJ6" s="7"/>
      <c r="IK6" s="7"/>
      <c r="IL6" s="7"/>
      <c r="IM6" s="85"/>
      <c r="IN6" s="7"/>
      <c r="IO6" s="7"/>
      <c r="IP6" s="7"/>
      <c r="IQ6" s="7"/>
      <c r="IR6" s="85"/>
    </row>
    <row r="7" spans="1:252" s="17" customFormat="1" ht="18.75" x14ac:dyDescent="0.2">
      <c r="A7" s="18" t="s">
        <v>16</v>
      </c>
      <c r="B7" s="133" t="s">
        <v>78</v>
      </c>
      <c r="C7" s="133" t="s">
        <v>75</v>
      </c>
      <c r="D7" s="133" t="s">
        <v>76</v>
      </c>
      <c r="E7" s="133" t="s">
        <v>77</v>
      </c>
      <c r="F7" s="89"/>
      <c r="G7" s="18" t="s">
        <v>16</v>
      </c>
      <c r="H7" s="18" t="s">
        <v>79</v>
      </c>
      <c r="I7" s="18" t="s">
        <v>80</v>
      </c>
      <c r="J7" s="18" t="s">
        <v>81</v>
      </c>
      <c r="K7" s="18" t="s">
        <v>83</v>
      </c>
      <c r="L7" s="18" t="s">
        <v>82</v>
      </c>
      <c r="M7" s="18" t="s">
        <v>84</v>
      </c>
      <c r="N7" s="89"/>
      <c r="O7" s="18" t="s">
        <v>16</v>
      </c>
      <c r="P7" s="134" t="s">
        <v>87</v>
      </c>
      <c r="Q7" s="18" t="s">
        <v>88</v>
      </c>
      <c r="R7" s="18" t="s">
        <v>89</v>
      </c>
      <c r="S7" s="18" t="s">
        <v>90</v>
      </c>
      <c r="T7" s="18" t="s">
        <v>91</v>
      </c>
      <c r="U7" s="18" t="s">
        <v>92</v>
      </c>
      <c r="V7" s="18" t="s">
        <v>93</v>
      </c>
      <c r="W7" s="89"/>
      <c r="X7" s="18" t="s">
        <v>16</v>
      </c>
      <c r="Y7" s="18" t="s">
        <v>111</v>
      </c>
      <c r="Z7" s="18" t="s">
        <v>112</v>
      </c>
      <c r="AA7" s="18" t="s">
        <v>115</v>
      </c>
      <c r="AB7" s="18" t="s">
        <v>116</v>
      </c>
      <c r="AC7" s="18" t="s">
        <v>117</v>
      </c>
      <c r="AD7" s="18" t="s">
        <v>118</v>
      </c>
      <c r="AE7" s="18" t="s">
        <v>113</v>
      </c>
      <c r="AF7" s="18" t="s">
        <v>114</v>
      </c>
      <c r="AG7" s="89"/>
      <c r="AH7" s="18" t="s">
        <v>16</v>
      </c>
      <c r="AI7" s="18" t="s">
        <v>127</v>
      </c>
      <c r="AJ7" s="18" t="s">
        <v>128</v>
      </c>
      <c r="AK7" s="18" t="s">
        <v>131</v>
      </c>
      <c r="AL7" s="18" t="s">
        <v>129</v>
      </c>
      <c r="AM7" s="18" t="s">
        <v>130</v>
      </c>
      <c r="AN7" s="18" t="s">
        <v>132</v>
      </c>
      <c r="AO7" s="18" t="s">
        <v>133</v>
      </c>
      <c r="AP7" s="89"/>
      <c r="AQ7" s="18" t="s">
        <v>16</v>
      </c>
      <c r="AR7" s="18" t="s">
        <v>137</v>
      </c>
      <c r="AS7" s="18" t="s">
        <v>138</v>
      </c>
      <c r="AT7" s="18" t="s">
        <v>134</v>
      </c>
      <c r="AU7" s="18" t="s">
        <v>139</v>
      </c>
      <c r="AV7" s="18" t="s">
        <v>140</v>
      </c>
      <c r="AW7" s="18" t="s">
        <v>135</v>
      </c>
      <c r="AX7" s="18" t="s">
        <v>136</v>
      </c>
      <c r="AY7" s="89"/>
      <c r="AZ7" s="18" t="s">
        <v>16</v>
      </c>
      <c r="BA7" s="18" t="s">
        <v>161</v>
      </c>
      <c r="BB7" s="18" t="s">
        <v>162</v>
      </c>
      <c r="BC7" s="18" t="s">
        <v>163</v>
      </c>
      <c r="BD7" s="18" t="s">
        <v>164</v>
      </c>
      <c r="BE7" s="89"/>
      <c r="BF7" s="18" t="s">
        <v>18</v>
      </c>
      <c r="BG7" s="18" t="s">
        <v>159</v>
      </c>
      <c r="BH7" s="18" t="s">
        <v>160</v>
      </c>
      <c r="BI7" s="89"/>
      <c r="BJ7" s="18" t="s">
        <v>16</v>
      </c>
      <c r="BK7" s="18" t="s">
        <v>172</v>
      </c>
      <c r="BL7" s="18" t="s">
        <v>173</v>
      </c>
      <c r="BM7" s="18" t="s">
        <v>174</v>
      </c>
      <c r="BN7" s="135" t="s">
        <v>175</v>
      </c>
      <c r="BO7" s="18" t="s">
        <v>176</v>
      </c>
      <c r="BP7" s="89"/>
      <c r="BQ7" s="18" t="s">
        <v>16</v>
      </c>
      <c r="BR7" s="18" t="s">
        <v>247</v>
      </c>
      <c r="BS7" s="18" t="s">
        <v>248</v>
      </c>
      <c r="BT7" s="18" t="s">
        <v>249</v>
      </c>
      <c r="BU7" s="135" t="s">
        <v>177</v>
      </c>
      <c r="BV7" s="18" t="s">
        <v>178</v>
      </c>
      <c r="BW7" s="89"/>
      <c r="BX7" s="18" t="s">
        <v>16</v>
      </c>
      <c r="BY7" s="18" t="s">
        <v>253</v>
      </c>
      <c r="BZ7" s="18" t="s">
        <v>186</v>
      </c>
      <c r="CA7" s="18" t="s">
        <v>187</v>
      </c>
      <c r="CB7" s="18" t="s">
        <v>188</v>
      </c>
      <c r="CC7" s="127" t="s">
        <v>418</v>
      </c>
      <c r="CD7" s="18" t="s">
        <v>419</v>
      </c>
      <c r="CE7" s="18" t="s">
        <v>185</v>
      </c>
      <c r="CF7" s="89"/>
      <c r="CG7" s="18" t="s">
        <v>16</v>
      </c>
      <c r="CH7" s="18" t="s">
        <v>193</v>
      </c>
      <c r="CI7" s="18" t="s">
        <v>194</v>
      </c>
      <c r="CJ7" s="18" t="s">
        <v>195</v>
      </c>
      <c r="CK7" s="18" t="s">
        <v>196</v>
      </c>
      <c r="CL7" s="18" t="s">
        <v>197</v>
      </c>
      <c r="CM7" s="18" t="s">
        <v>198</v>
      </c>
      <c r="CN7" s="18" t="s">
        <v>199</v>
      </c>
      <c r="CO7" s="89"/>
      <c r="CP7" s="18" t="s">
        <v>16</v>
      </c>
      <c r="CQ7" s="18" t="s">
        <v>200</v>
      </c>
      <c r="CR7" s="18" t="s">
        <v>201</v>
      </c>
      <c r="CS7" s="18" t="s">
        <v>202</v>
      </c>
      <c r="CT7" s="89"/>
      <c r="CU7" s="18" t="s">
        <v>16</v>
      </c>
      <c r="CV7" s="18" t="s">
        <v>266</v>
      </c>
      <c r="CW7" s="18" t="s">
        <v>274</v>
      </c>
      <c r="CX7" s="18" t="s">
        <v>275</v>
      </c>
      <c r="CY7" s="18" t="s">
        <v>276</v>
      </c>
      <c r="CZ7" s="18" t="s">
        <v>277</v>
      </c>
      <c r="DA7" s="18" t="s">
        <v>278</v>
      </c>
      <c r="DB7" s="18" t="s">
        <v>65</v>
      </c>
      <c r="DC7" s="18" t="s">
        <v>279</v>
      </c>
      <c r="DD7" s="18" t="s">
        <v>280</v>
      </c>
      <c r="DE7" s="18" t="s">
        <v>64</v>
      </c>
      <c r="DF7" s="18" t="s">
        <v>273</v>
      </c>
      <c r="DG7" s="18" t="s">
        <v>281</v>
      </c>
      <c r="DH7" s="18" t="s">
        <v>63</v>
      </c>
      <c r="DI7" s="18" t="s">
        <v>282</v>
      </c>
      <c r="DJ7" s="18" t="s">
        <v>272</v>
      </c>
      <c r="DK7" s="18" t="s">
        <v>62</v>
      </c>
      <c r="DL7" s="18" t="s">
        <v>271</v>
      </c>
      <c r="DM7" s="18" t="s">
        <v>270</v>
      </c>
      <c r="DN7" s="18" t="s">
        <v>61</v>
      </c>
      <c r="DO7" s="18" t="s">
        <v>269</v>
      </c>
      <c r="DP7" s="18" t="s">
        <v>268</v>
      </c>
      <c r="DQ7" s="18" t="s">
        <v>60</v>
      </c>
      <c r="DR7" s="18" t="s">
        <v>267</v>
      </c>
      <c r="DS7" s="18" t="s">
        <v>259</v>
      </c>
      <c r="DT7" s="18" t="s">
        <v>59</v>
      </c>
      <c r="DU7" s="18" t="s">
        <v>258</v>
      </c>
      <c r="DV7" s="18" t="s">
        <v>257</v>
      </c>
      <c r="DW7" s="18" t="s">
        <v>58</v>
      </c>
      <c r="DX7" s="18" t="s">
        <v>256</v>
      </c>
      <c r="DY7" s="18" t="s">
        <v>255</v>
      </c>
      <c r="DZ7" s="18" t="s">
        <v>57</v>
      </c>
      <c r="EA7" s="134" t="s">
        <v>217</v>
      </c>
      <c r="EB7" s="134" t="s">
        <v>218</v>
      </c>
      <c r="EC7" s="134" t="s">
        <v>219</v>
      </c>
      <c r="ED7" s="134" t="s">
        <v>220</v>
      </c>
      <c r="EE7" s="134" t="s">
        <v>221</v>
      </c>
      <c r="EF7" s="134" t="s">
        <v>222</v>
      </c>
      <c r="EG7" s="134" t="s">
        <v>22</v>
      </c>
      <c r="EH7" s="134" t="s">
        <v>223</v>
      </c>
      <c r="EI7" s="89"/>
      <c r="EJ7" s="18" t="s">
        <v>16</v>
      </c>
      <c r="EK7" s="134" t="s">
        <v>224</v>
      </c>
      <c r="EL7" s="134" t="s">
        <v>21</v>
      </c>
      <c r="EM7" s="134" t="s">
        <v>283</v>
      </c>
      <c r="EN7" s="134" t="s">
        <v>284</v>
      </c>
      <c r="EO7" s="134" t="s">
        <v>20</v>
      </c>
      <c r="EP7" s="134" t="s">
        <v>285</v>
      </c>
      <c r="EQ7" s="134" t="s">
        <v>286</v>
      </c>
      <c r="ER7" s="134" t="s">
        <v>19</v>
      </c>
      <c r="ES7" s="89"/>
      <c r="ET7" s="18" t="s">
        <v>16</v>
      </c>
      <c r="EU7" s="134" t="s">
        <v>287</v>
      </c>
      <c r="EV7" s="134" t="s">
        <v>296</v>
      </c>
      <c r="EW7" s="134" t="s">
        <v>297</v>
      </c>
      <c r="EX7" s="134" t="s">
        <v>298</v>
      </c>
      <c r="EY7" s="134" t="s">
        <v>299</v>
      </c>
      <c r="EZ7" s="134" t="s">
        <v>300</v>
      </c>
      <c r="FA7" s="134" t="s">
        <v>301</v>
      </c>
      <c r="FB7" s="134" t="s">
        <v>295</v>
      </c>
      <c r="FC7" s="89"/>
      <c r="FD7" s="18" t="s">
        <v>16</v>
      </c>
      <c r="FE7" s="134" t="s">
        <v>294</v>
      </c>
      <c r="FF7" s="134" t="s">
        <v>293</v>
      </c>
      <c r="FG7" s="134" t="s">
        <v>292</v>
      </c>
      <c r="FH7" s="134" t="s">
        <v>291</v>
      </c>
      <c r="FI7" s="134" t="s">
        <v>290</v>
      </c>
      <c r="FJ7" s="134" t="s">
        <v>289</v>
      </c>
      <c r="FK7" s="134" t="s">
        <v>288</v>
      </c>
      <c r="FL7" s="89"/>
      <c r="FM7" s="18" t="s">
        <v>16</v>
      </c>
      <c r="FN7" s="18" t="s">
        <v>302</v>
      </c>
      <c r="FO7" s="18" t="s">
        <v>318</v>
      </c>
      <c r="FP7" s="18" t="s">
        <v>317</v>
      </c>
      <c r="FQ7" s="18" t="s">
        <v>316</v>
      </c>
      <c r="FR7" s="18" t="s">
        <v>315</v>
      </c>
      <c r="FS7" s="18" t="s">
        <v>314</v>
      </c>
      <c r="FT7" s="18" t="s">
        <v>55</v>
      </c>
      <c r="FU7" s="18" t="s">
        <v>313</v>
      </c>
      <c r="FV7" s="18" t="s">
        <v>312</v>
      </c>
      <c r="FW7" s="18" t="s">
        <v>54</v>
      </c>
      <c r="FX7" s="18" t="s">
        <v>311</v>
      </c>
      <c r="FY7" s="18" t="s">
        <v>310</v>
      </c>
      <c r="FZ7" s="18" t="s">
        <v>53</v>
      </c>
      <c r="GA7" s="18" t="s">
        <v>309</v>
      </c>
      <c r="GB7" s="18" t="s">
        <v>308</v>
      </c>
      <c r="GC7" s="18" t="s">
        <v>52</v>
      </c>
      <c r="GD7" s="18" t="s">
        <v>307</v>
      </c>
      <c r="GE7" s="18" t="s">
        <v>306</v>
      </c>
      <c r="GF7" s="18" t="s">
        <v>51</v>
      </c>
      <c r="GG7" s="18" t="s">
        <v>305</v>
      </c>
      <c r="GH7" s="18" t="s">
        <v>304</v>
      </c>
      <c r="GI7" s="18" t="s">
        <v>50</v>
      </c>
      <c r="GJ7" s="18" t="s">
        <v>303</v>
      </c>
      <c r="GK7" s="18" t="s">
        <v>261</v>
      </c>
      <c r="GL7" s="18" t="s">
        <v>49</v>
      </c>
      <c r="GM7" s="18" t="s">
        <v>262</v>
      </c>
      <c r="GN7" s="18" t="s">
        <v>263</v>
      </c>
      <c r="GO7" s="18" t="s">
        <v>48</v>
      </c>
      <c r="GP7" s="18" t="s">
        <v>264</v>
      </c>
      <c r="GQ7" s="18" t="s">
        <v>265</v>
      </c>
      <c r="GR7" s="18" t="s">
        <v>47</v>
      </c>
      <c r="GS7" s="18" t="s">
        <v>217</v>
      </c>
      <c r="GT7" s="18" t="s">
        <v>218</v>
      </c>
      <c r="GU7" s="18" t="s">
        <v>219</v>
      </c>
      <c r="GV7" s="18" t="s">
        <v>220</v>
      </c>
      <c r="GW7" s="18" t="s">
        <v>221</v>
      </c>
      <c r="GX7" s="18" t="s">
        <v>222</v>
      </c>
      <c r="GY7" s="18" t="s">
        <v>22</v>
      </c>
      <c r="GZ7" s="18" t="s">
        <v>223</v>
      </c>
      <c r="HA7" s="89"/>
      <c r="HB7" s="18" t="s">
        <v>16</v>
      </c>
      <c r="HC7" s="18" t="s">
        <v>224</v>
      </c>
      <c r="HD7" s="18" t="s">
        <v>21</v>
      </c>
      <c r="HE7" s="18" t="s">
        <v>283</v>
      </c>
      <c r="HF7" s="18" t="s">
        <v>284</v>
      </c>
      <c r="HG7" s="18" t="s">
        <v>20</v>
      </c>
      <c r="HH7" s="18" t="s">
        <v>285</v>
      </c>
      <c r="HI7" s="18" t="s">
        <v>286</v>
      </c>
      <c r="HJ7" s="18" t="s">
        <v>19</v>
      </c>
      <c r="HK7" s="89"/>
      <c r="HL7" s="18" t="s">
        <v>16</v>
      </c>
      <c r="HM7" s="18" t="s">
        <v>287</v>
      </c>
      <c r="HN7" s="18" t="s">
        <v>296</v>
      </c>
      <c r="HO7" s="18" t="s">
        <v>297</v>
      </c>
      <c r="HP7" s="18" t="s">
        <v>298</v>
      </c>
      <c r="HQ7" s="18" t="s">
        <v>299</v>
      </c>
      <c r="HR7" s="18" t="s">
        <v>300</v>
      </c>
      <c r="HS7" s="18" t="s">
        <v>301</v>
      </c>
      <c r="HT7" s="18" t="s">
        <v>295</v>
      </c>
      <c r="HU7" s="89"/>
      <c r="HV7" s="18" t="s">
        <v>16</v>
      </c>
      <c r="HW7" s="18" t="s">
        <v>294</v>
      </c>
      <c r="HX7" s="18" t="s">
        <v>293</v>
      </c>
      <c r="HY7" s="18" t="s">
        <v>292</v>
      </c>
      <c r="HZ7" s="18" t="s">
        <v>291</v>
      </c>
      <c r="IA7" s="18" t="s">
        <v>290</v>
      </c>
      <c r="IB7" s="18" t="s">
        <v>289</v>
      </c>
      <c r="IC7" s="18" t="s">
        <v>288</v>
      </c>
      <c r="ID7" s="89"/>
      <c r="IE7" s="18" t="s">
        <v>16</v>
      </c>
      <c r="IF7" s="18" t="s">
        <v>229</v>
      </c>
      <c r="IG7" s="18" t="s">
        <v>230</v>
      </c>
      <c r="IH7" s="18" t="s">
        <v>231</v>
      </c>
      <c r="II7" s="18" t="s">
        <v>232</v>
      </c>
      <c r="IJ7" s="18" t="s">
        <v>233</v>
      </c>
      <c r="IK7" s="18" t="s">
        <v>234</v>
      </c>
      <c r="IL7" s="18" t="s">
        <v>235</v>
      </c>
      <c r="IM7" s="89"/>
      <c r="IN7" s="18" t="s">
        <v>16</v>
      </c>
      <c r="IO7" s="18" t="s">
        <v>226</v>
      </c>
      <c r="IP7" s="18" t="s">
        <v>227</v>
      </c>
      <c r="IQ7" s="18" t="s">
        <v>228</v>
      </c>
      <c r="IR7" s="89"/>
    </row>
    <row r="8" spans="1:252" ht="15.75" customHeight="1" thickBot="1" x14ac:dyDescent="0.3">
      <c r="A8" s="8"/>
      <c r="B8" s="72"/>
      <c r="C8" s="72"/>
      <c r="D8" s="72"/>
      <c r="E8" s="72"/>
      <c r="F8" s="87"/>
      <c r="G8" s="8"/>
      <c r="H8" s="8"/>
      <c r="I8" s="8"/>
      <c r="J8" s="8"/>
      <c r="K8" s="8"/>
      <c r="L8" s="8"/>
      <c r="M8" s="8"/>
      <c r="N8" s="87"/>
      <c r="O8" s="8"/>
      <c r="P8" s="42"/>
      <c r="Q8" s="8"/>
      <c r="R8" s="8"/>
      <c r="S8" s="8"/>
      <c r="T8" s="8"/>
      <c r="U8" s="8"/>
      <c r="V8" s="8"/>
      <c r="W8" s="87"/>
      <c r="X8" s="8"/>
      <c r="Y8" s="8"/>
      <c r="Z8" s="8"/>
      <c r="AA8" s="8"/>
      <c r="AB8" s="8"/>
      <c r="AC8" s="8"/>
      <c r="AD8" s="8"/>
      <c r="AE8" s="8"/>
      <c r="AF8" s="8"/>
      <c r="AG8" s="87"/>
      <c r="AH8" s="8"/>
      <c r="AI8" s="8"/>
      <c r="AJ8" s="8"/>
      <c r="AK8" s="8"/>
      <c r="AL8" s="8"/>
      <c r="AM8" s="8"/>
      <c r="AN8" s="8"/>
      <c r="AO8" s="8"/>
      <c r="AP8" s="87"/>
      <c r="AQ8" s="8"/>
      <c r="AR8" s="8"/>
      <c r="AS8" s="8"/>
      <c r="AT8" s="8"/>
      <c r="AU8" s="8"/>
      <c r="AV8" s="8"/>
      <c r="AW8" s="8"/>
      <c r="AX8" s="8"/>
      <c r="AY8" s="87"/>
      <c r="AZ8" s="8"/>
      <c r="BA8" s="8"/>
      <c r="BB8" s="8"/>
      <c r="BC8" s="8"/>
      <c r="BD8" s="8"/>
      <c r="BE8" s="87"/>
      <c r="BF8" s="8"/>
      <c r="BG8" s="8"/>
      <c r="BH8" s="8"/>
      <c r="BI8" s="87"/>
      <c r="BJ8" s="8"/>
      <c r="BK8" s="8"/>
      <c r="BL8" s="8"/>
      <c r="BM8" s="8"/>
      <c r="BN8" s="8"/>
      <c r="BO8" s="8"/>
      <c r="BP8" s="87"/>
      <c r="BQ8" s="8"/>
      <c r="BR8" s="8"/>
      <c r="BS8" s="8"/>
      <c r="BT8" s="8"/>
      <c r="BU8" s="8"/>
      <c r="BV8" s="8"/>
      <c r="BW8" s="87"/>
      <c r="BX8" s="8"/>
      <c r="BY8" s="8"/>
      <c r="BZ8" s="8"/>
      <c r="CA8" s="8"/>
      <c r="CB8" s="8"/>
      <c r="CC8" s="126"/>
      <c r="CD8" s="8"/>
      <c r="CE8" s="8"/>
      <c r="CF8" s="87"/>
      <c r="CG8" s="8"/>
      <c r="CH8" s="8"/>
      <c r="CI8" s="8"/>
      <c r="CJ8" s="8"/>
      <c r="CK8" s="8"/>
      <c r="CL8" s="8"/>
      <c r="CM8" s="8"/>
      <c r="CN8" s="8"/>
      <c r="CO8" s="87"/>
      <c r="CP8" s="8"/>
      <c r="CQ8" s="8"/>
      <c r="CR8" s="8"/>
      <c r="CS8" s="8"/>
      <c r="CT8" s="87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42"/>
      <c r="EB8" s="42"/>
      <c r="EC8" s="42"/>
      <c r="ED8" s="42"/>
      <c r="EE8" s="42"/>
      <c r="EF8" s="42"/>
      <c r="EG8" s="42"/>
      <c r="EH8" s="42"/>
      <c r="EI8" s="87"/>
      <c r="EJ8" s="8"/>
      <c r="EK8" s="42"/>
      <c r="EL8" s="42"/>
      <c r="EM8" s="42"/>
      <c r="EN8" s="42"/>
      <c r="EO8" s="42"/>
      <c r="EP8" s="42"/>
      <c r="EQ8" s="42"/>
      <c r="ER8" s="42"/>
      <c r="ES8" s="87"/>
      <c r="ET8" s="8"/>
      <c r="EU8" s="42"/>
      <c r="EV8" s="42"/>
      <c r="EW8" s="42"/>
      <c r="EX8" s="42"/>
      <c r="EY8" s="42"/>
      <c r="EZ8" s="42"/>
      <c r="FA8" s="42"/>
      <c r="FB8" s="42"/>
      <c r="FC8" s="87"/>
      <c r="FD8" s="8"/>
      <c r="FE8" s="42"/>
      <c r="FF8" s="42"/>
      <c r="FG8" s="42"/>
      <c r="FH8" s="42"/>
      <c r="FI8" s="42"/>
      <c r="FJ8" s="42"/>
      <c r="FK8" s="42"/>
      <c r="FL8" s="87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7"/>
      <c r="HB8" s="8"/>
      <c r="HC8" s="8"/>
      <c r="HD8" s="8"/>
      <c r="HE8" s="8"/>
      <c r="HF8" s="8"/>
      <c r="HG8" s="8"/>
      <c r="HH8" s="8"/>
      <c r="HI8" s="8"/>
      <c r="HJ8" s="8"/>
      <c r="HK8" s="87"/>
      <c r="HL8" s="8"/>
      <c r="HM8" s="8"/>
      <c r="HN8" s="8"/>
      <c r="HO8" s="8"/>
      <c r="HP8" s="8"/>
      <c r="HQ8" s="8"/>
      <c r="HR8" s="8"/>
      <c r="HS8" s="8"/>
      <c r="HT8" s="8"/>
      <c r="HU8" s="87"/>
      <c r="HV8" s="8"/>
      <c r="HW8" s="8"/>
      <c r="HX8" s="8"/>
      <c r="HY8" s="8"/>
      <c r="HZ8" s="8"/>
      <c r="IA8" s="8"/>
      <c r="IB8" s="8"/>
      <c r="IC8" s="8"/>
      <c r="ID8" s="87"/>
      <c r="IE8" s="8"/>
      <c r="IF8" s="8"/>
      <c r="IG8" s="8"/>
      <c r="IH8" s="8"/>
      <c r="II8" s="8"/>
      <c r="IJ8" s="8"/>
      <c r="IK8" s="8"/>
      <c r="IL8" s="8"/>
      <c r="IM8" s="87"/>
      <c r="IN8" s="8"/>
      <c r="IO8" s="8"/>
      <c r="IP8" s="8"/>
      <c r="IQ8" s="8"/>
      <c r="IR8" s="87"/>
    </row>
    <row r="9" spans="1:252" ht="15.75" customHeight="1" x14ac:dyDescent="0.25">
      <c r="A9" s="35">
        <f>BeginnAlter</f>
        <v>17</v>
      </c>
      <c r="B9" s="77">
        <v>1.9996200000000001E-4</v>
      </c>
      <c r="C9" s="77">
        <v>3.7996200000000002E-4</v>
      </c>
      <c r="D9" s="77">
        <v>3.8162957629195299E-4</v>
      </c>
      <c r="E9" s="77">
        <v>1.9999999999997797E-4</v>
      </c>
      <c r="F9" s="86"/>
      <c r="G9" s="35">
        <f>BeginnAlter</f>
        <v>17</v>
      </c>
      <c r="H9" s="25">
        <v>100000</v>
      </c>
      <c r="I9" s="25">
        <v>0</v>
      </c>
      <c r="J9" s="25">
        <f>IF(G9&lt;=RAM,H9+I9,ROUND(J8*(1-E8),Rundlx))</f>
        <v>100000</v>
      </c>
      <c r="K9" s="30">
        <f>IF(J9&gt;0,ROUND(SUM(J9:J$102)/J9-0.5,Rundex),"")</f>
        <v>61.81</v>
      </c>
      <c r="L9" s="25">
        <f>IF(G9&gt;=RAM,J9,ROUND(L10/(1-D9),Rundlx))</f>
        <v>199133</v>
      </c>
      <c r="M9" s="30">
        <f>IF(L9&gt;0,ROUND(SUM(L9:L$102)/L9-0.5,Rundex),"")</f>
        <v>42.93</v>
      </c>
      <c r="N9" s="86"/>
      <c r="O9" s="35">
        <f>BeginnAlter</f>
        <v>17</v>
      </c>
      <c r="P9" s="43">
        <v>4.0000000000000001E-3</v>
      </c>
      <c r="Q9" s="78">
        <v>18.23583054908536</v>
      </c>
      <c r="R9" s="43">
        <v>0.01</v>
      </c>
      <c r="S9" s="78">
        <v>0.01</v>
      </c>
      <c r="T9" s="15">
        <v>2.000345162057604E-4</v>
      </c>
      <c r="U9" s="11">
        <v>100000</v>
      </c>
      <c r="V9" s="30">
        <f>IF(U9&gt;0,ROUND(SUM(U9:U$102)/U9-0.5,Rundex),"")</f>
        <v>59.46</v>
      </c>
      <c r="W9" s="86"/>
      <c r="X9" s="35">
        <f>BeginnAlter</f>
        <v>17</v>
      </c>
      <c r="Y9" s="25">
        <f>IF($X9&lt;=RAM,ROUND(v^X9*H9,RundDx)," ")</f>
        <v>68505</v>
      </c>
      <c r="Z9" s="25">
        <f>IF($X9&lt;RAM,SUM(Y9:INDEX(Dax,RAM-BeginnAlter))," ")</f>
        <v>1946504</v>
      </c>
      <c r="AA9" s="25">
        <f>IF($X9&lt;RAM,ROUND(v^($X9+FaktorAlter)*$H9*$B9,RundCx)," ")</f>
        <v>14</v>
      </c>
      <c r="AB9" s="25">
        <f>IF($X9&lt;RAM,SUM(AA9:INDEX(Cax,RAM-BeginnAlter))," ")</f>
        <v>2855</v>
      </c>
      <c r="AC9" s="25">
        <f>IF($X9&lt;RAM,ROUND(v^(X9+FaktorAlter)*$H9*$C9,RundCx)," ")</f>
        <v>26</v>
      </c>
      <c r="AD9" s="25">
        <f>IF($X9&lt;RAM,SUM(AC9:INDEX(Caix,RAM-BeginnAlter))," ")</f>
        <v>8155</v>
      </c>
      <c r="AE9" s="24">
        <f>IF($X9&lt;RAM,ROUND(Z9/Y9,Rundäx)," ")</f>
        <v>28.414000000000001</v>
      </c>
      <c r="AF9" s="24">
        <f>IF($X9&lt;RAM,ROUND(AE9-(m-1)/(2*m)*((Y9-INDEX(Dax,RAM-BeginnAlter+1))/Y9),Rundäx)," ")</f>
        <v>28.055</v>
      </c>
      <c r="AG9" s="86"/>
      <c r="AH9" s="35">
        <f>BeginnAlter</f>
        <v>17</v>
      </c>
      <c r="AI9" s="25">
        <f>IF($AH9&lt;=RAM,ROUND(v^AH9*L9,RundDx)," ")</f>
        <v>136416</v>
      </c>
      <c r="AJ9" s="25">
        <f>IF($AH9&gt;RAM," ",IF($AH9&lt;RAM,SUM(AI9:INDEX(Dix,RAM-BeginnAlter))+INDEX(Nx,RAM-BeginnAlter+1),INDEX(Nx,RAM-BeginnAlter+1)))</f>
        <v>3528774</v>
      </c>
      <c r="AK9" s="25">
        <f>IF($AH9&lt;RAM,SUM(AI9:INDEX(Dix,RAM-BeginnAlter))," ")</f>
        <v>3231527</v>
      </c>
      <c r="AL9" s="24">
        <f>IF($AH9&gt;RAM," ",ROUND(AJ9/AI9,Rundäx))</f>
        <v>25.867999999999999</v>
      </c>
      <c r="AM9" s="24">
        <f>IF($AH9&gt;RAM," ",ROUND(AJ9/AI9-(m-1)/(2*m),Rundäx))</f>
        <v>25.408999999999999</v>
      </c>
      <c r="AN9" s="24">
        <f>IF($AH9&lt;RAM,ROUND(AK9/AI9,Rundäx)," ")</f>
        <v>23.689</v>
      </c>
      <c r="AO9" s="24">
        <f>IF($AH9&lt;RAM,ROUND(AK9/AI9-(m-1)/(2*m)*(AI9-INDEX(Dix,RAM-BeginnAlter+1))/AI9,Rundäx)," ")</f>
        <v>23.298999999999999</v>
      </c>
      <c r="AP9" s="86"/>
      <c r="AQ9" s="35">
        <f>BeginnAlter</f>
        <v>17</v>
      </c>
      <c r="AR9" s="25">
        <f>ROUND(v^AQ9*J9,RundDx)</f>
        <v>68505</v>
      </c>
      <c r="AS9" s="25">
        <f>SUM(AR9:AR$94)</f>
        <v>2296917</v>
      </c>
      <c r="AT9" s="25">
        <f>IF($AQ9&lt;RAM,SUM(AR9:INDEX(Dx,RAM-BeginnAlter))," ")</f>
        <v>1999670</v>
      </c>
      <c r="AU9" s="24">
        <f>IF(AR9&gt;0,ROUND(AS9/AR9,Rundäx)," ")</f>
        <v>33.529000000000003</v>
      </c>
      <c r="AV9" s="24">
        <f>IF(AR9&gt;0,ROUND(AS9/AR9-(m-1)/(2*m),Rundäx)," ")</f>
        <v>33.070999999999998</v>
      </c>
      <c r="AW9" s="24">
        <f>IF($AQ9&lt;RAM,ROUND(AT9/AR9,Rundäx)," ")</f>
        <v>29.19</v>
      </c>
      <c r="AX9" s="24">
        <f>IF($AQ9&lt;RAM,ROUND(AT9/AR9-(m-1)/(2*m)*(AR9-INDEX(Dx,RAM-BeginnAlter+1))/AR9,Rundäx)," ")</f>
        <v>28.869</v>
      </c>
      <c r="AY9" s="86"/>
      <c r="AZ9" s="35">
        <f>BeginnAlter</f>
        <v>17</v>
      </c>
      <c r="BA9" s="25">
        <f>ROUND(v^AZ9*U9,0)</f>
        <v>68505</v>
      </c>
      <c r="BB9" s="25">
        <f>SUM(BA9:BA$94)</f>
        <v>2254855</v>
      </c>
      <c r="BC9" s="24">
        <f>IF(BA9&gt;0,ROUND(BB9/BA9,Rundäx)," ")</f>
        <v>32.914999999999999</v>
      </c>
      <c r="BD9" s="24">
        <f>IF(BA9&gt;0,ROUND(BB9/BA9-(m-1)/(2*m),Rundäx),0)</f>
        <v>32.457000000000001</v>
      </c>
      <c r="BE9" s="86"/>
      <c r="BF9" s="35">
        <v>0</v>
      </c>
      <c r="BG9" s="24">
        <f>IF($BF9&lt;RAK,IF(Zins&lt;&gt;0,ROUND((1-v^(RAK-$BF9))/(1-v),Rundäx),RAK-$BF9),IF($BF9&gt;RAK,"",0))</f>
        <v>19.388999999999999</v>
      </c>
      <c r="BH9" s="24">
        <f>IF($BF9&lt;RAK,IF(Zins&lt;&gt;0,ROUND((1-v^(RAK-$BF9))/(1-v)-(m-1)/(2*m)*(1-v^(RAK-$BF9)),Rundäx),RAK-$BF9),IF($BF9&gt;RAK,"",0))</f>
        <v>19.193000000000001</v>
      </c>
      <c r="BI9" s="86"/>
      <c r="BJ9" s="35">
        <f>BeginnAlter</f>
        <v>17</v>
      </c>
      <c r="BK9" s="25">
        <f>IF(BJ9&lt;RAM,ROUND(v^(BJ9+FaktorAlter)*$H9*$C9*0.5*(AM9+AM10),RundDx)," ")</f>
        <v>649</v>
      </c>
      <c r="BL9" s="25">
        <f>IF(BJ9&lt;RAM,SUM(BK9:INDEX(Daix,RAM-BeginnAlter))," ")</f>
        <v>136244</v>
      </c>
      <c r="BM9" s="25">
        <f>IF(BJ9&lt;RAM,SUM(BL9:INDEX(Naix,RAM-BeginnAlter))," ")</f>
        <v>5069669</v>
      </c>
      <c r="BN9" s="24">
        <f>IF(BJ9&lt;RAM,ROUND(INDEX(Dax,RAM-BeginnAlter+1)/Y9*INDEX(ämx,RAM-BeginnAlter+1),Rundäx)," ")</f>
        <v>3.0329999999999999</v>
      </c>
      <c r="BO9" s="24">
        <f>IF(BJ9&lt;RAM,ROUND(BL9/Y9,Rundäx)," ")</f>
        <v>1.9890000000000001</v>
      </c>
      <c r="BP9" s="86"/>
      <c r="BQ9" s="35">
        <f>BeginnAlter</f>
        <v>17</v>
      </c>
      <c r="BR9" s="25">
        <f>IF(BQ9&lt;RAM,ROUND(v^(BQ9+FaktorAlter)*C9*H9*(0.5*(AM9+AM10)-v^FaktorAlter*(1-D9)/(1-0.5*D9)*INDEX(Dix,RAM-BeginnAlter+1)/AI10*INDEX(äimx,RAM-BeginnAlter+1)),RundDx)," ")</f>
        <v>594</v>
      </c>
      <c r="BS9" s="25">
        <f>IF(BQ9&lt;RAM,SUM(BR9:INDEX(Daixs,RAM-BeginnAlter))," ")</f>
        <v>56140</v>
      </c>
      <c r="BT9" s="25">
        <f>IF(BQ9&lt;RAM,SUM(BS9:INDEX(Naixs,RAM-BeginnAlter))," ")</f>
        <v>1719636</v>
      </c>
      <c r="BU9" s="24">
        <f>IF(BQ9&lt;RAM,ROUND((1-I9/L9)*INDEX(ämx,RAM-BeginnAlter+1)/Y9*INDEX(Dx,RAM-BeginnAlter+1),Rundäx)," ")</f>
        <v>4.202</v>
      </c>
      <c r="BV9" s="24">
        <f>IF(BQ9&lt;RAM,ROUND(BS9/Y9,Rundäx)," ")</f>
        <v>0.82</v>
      </c>
      <c r="BW9" s="86"/>
      <c r="BX9" s="35">
        <f>BeginnAlter</f>
        <v>17</v>
      </c>
      <c r="BY9" s="10">
        <f>IF(S10&lt;=RAK,IF(ROUND($BX9+FaktorAlter+RAK-0.5*($S9+$S10),0)&lt;$BX9+1,"",IF(ROUND($BX9+FaktorAlter+RAK-0.5*($S9+$S10),0)&lt;RAM,0.5*($AM9+$AM10)-v^FaktorAlter*(1-$D9)/(1-0.5*$D9)/$AI10*VLOOKUP(ROUND($BX9+FaktorAlter+RAK-0.5*($S9+$S10),0),$AH$9:$AM$102,2)*VLOOKUP(ROUND($BX9+FaktorAlter+RAK-0.5*($S9+$S10),0),$AH$9:$AM$102,6),IF($BX9&lt;RAM,(0.5*($AM9+$AM10)-v^FaktorAlter*(1-$D9)/(1-0.5*$D9)/$AI10*VLOOKUP(ROUND($BX9+FaktorAlter+RAK-0.5*($S9+$S10),0),$AQ$9:$AX$102,2)*VLOOKUP(ROUND($BX9+FaktorAlter+RAK-0.5*($S9+$S10),0),$AQ$9:$AX$102,6)),""))),"")</f>
        <v>16.979275728066909</v>
      </c>
      <c r="BZ9" s="11">
        <f>IF(S10&lt;=RAK,IF($BX9&lt;RAM,ROUND(v^($BX9+FaktorAlter)*$H9*$C9*0.5*($R9+$R10)*BY9,RundDx),""),"")</f>
        <v>7</v>
      </c>
      <c r="CA9" s="25">
        <f>IF(S10&lt;=RAK,IF($BX9&lt;RAM,SUM(BZ9:INDEX(Dazx,RAM-BeginnAlter)),""),"")</f>
        <v>22276</v>
      </c>
      <c r="CB9" s="24">
        <f>IF(S10&lt;=RAK,IF($BX9&lt;RAM,ROUND($CA9/$Y9,Rundäx),""),"")</f>
        <v>0.32500000000000001</v>
      </c>
      <c r="CC9" s="25">
        <f>IF(AND(S9&lt;=RAK,S9&lt;&gt;""),ROUND((1-MOD($BX9+RAK-S9,1))*INDEX(Dx,INT($BX9+RAK-S9-BeginnAlter+1))+MOD($BX9+RAK-S9,1)*INDEX(Dx,INT($BX9+RAK-S9-BeginnAlter+1)+1),RundDx),0)</f>
        <v>38521</v>
      </c>
      <c r="CD9" s="24">
        <f>IF(AND(S9&lt;=RAK,S9&lt;&gt;""),ROUND((1-MOD($BX9+RAK-MIN(S9,RAK),1))*INDEX(ämx,INT($BX9+RAK-MIN(S9,RAK)-BeginnAlter+1))+MOD($BX9+RAK-MIN(S9,RAK),1)*INDEX(ämx,INT($BX9+RAK-MIN(S9,RAK)-BeginnAlter+1)+1),Rundäx),0)</f>
        <v>24.922999999999998</v>
      </c>
      <c r="CE9" s="24">
        <f>IF(S10&lt;=RAK,IF($BX9&lt;=RAM,ROUND((INDEX(ämx,RAM-BeginnAlter+1)-INDEX(Ds25zs,RAM-BeginnAlter+1)/INDEX(Dx,RAM-BeginnAlter+1)*INDEX(äms25zs,RAM-BeginnAlter+1))*INDEX(kx,RAM-BeginnAlter+1)*INDEX(Dax,RAM-BeginnAlter+1)/$Y9,Rundäx),""),"")</f>
        <v>1.4999999999999999E-2</v>
      </c>
      <c r="CF9" s="86"/>
      <c r="CG9" s="35">
        <f>BeginnAlter</f>
        <v>17</v>
      </c>
      <c r="CH9" s="25">
        <f>IF(CG9&lt;RAM,ROUND(v^($CG9+FaktorAlter)*$H9*($B9*0.5*($P9+$P10)*(VLOOKUP(TRUNC(0.5*($Q9+$Q10),0),Frauen!$AZ$9:$BD$95,5)+(0.5*($Q9+$Q10)-TRUNC(0.5*($Q9+$Q10),0))*(VLOOKUP(TRUNC(0.5*($Q9+$Q10)+1,0),Frauen!$AZ$9:$BD$95,5)-VLOOKUP(TRUNC(0.5*($Q9+$Q10),0),Frauen!$AZ$9:$BD$95,5)))+$C9*0.5*($CN9+$CN10)),RundDx),"")</f>
        <v>138</v>
      </c>
      <c r="CI9" s="25">
        <f>IF(CG9&lt;RAM,ROUND(SUM(CH9:INDEX(Dawx,RAM-BeginnAlter))+INDEX(Dax,RAM-BeginnAlter+1)*INDEX(äwx,1),RundDx),"")</f>
        <v>169693</v>
      </c>
      <c r="CJ9" s="25">
        <f>IF(CG9&lt;RAM,ROUND(SUM(CI9:INDEX(Nawx,RAM-BeginnAlter))+INDEX(Dax,RAM-BeginnAlter+1)*INDEX(äwx,1),RundDx),"")</f>
        <v>7172773</v>
      </c>
      <c r="CK9" s="24">
        <f>IF(CG9&lt;RAM,ROUND(CI9/$Y9,Rundäx),"")</f>
        <v>2.4769999999999999</v>
      </c>
      <c r="CL9" s="25">
        <f>IF(CG9&lt;RAM,ROUND(v^($CG9+FaktorAlter)*$L9*$D9*0.5*($P9+$P10)*(VLOOKUP(TRUNC(0.5*($Q9+$Q10),0),Frauen!$AZ$9:$BD$95,5)+(0.5*($Q9+$Q10)-TRUNC(0.5*($Q9+$Q10),0))*(VLOOKUP(TRUNC(0.5*($Q9+$Q10)+1,0),Frauen!$AZ$9:$BD$95,5)-VLOOKUP(TRUNC(0.5*($Q9+$Q10),0),Frauen!$AZ$9:$BD$95,5))),RundDx),"")</f>
        <v>10</v>
      </c>
      <c r="CM9" s="25">
        <f>IF(CG9&lt;RAM,SUM(CL9:INDEX(Diwx,RAM-BeginnAlter))+INDEX(Dix,RAM-BeginnAlter+1)*INDEX(äwx,1),"")</f>
        <v>707927.41399999999</v>
      </c>
      <c r="CN9" s="24">
        <f>IF(CG9&lt;RAM,ROUND(CM9/$AI9,Rundäx),IF(CG9&gt;RAM,"",INDEX(äwx,1)))</f>
        <v>5.1890000000000001</v>
      </c>
      <c r="CO9" s="86"/>
      <c r="CP9" s="35">
        <f>RAM</f>
        <v>65</v>
      </c>
      <c r="CQ9" s="11">
        <f>ROUND(v^($CP9+FaktorAlter)*VLOOKUP(CP9,G$9:J$102,4)*VLOOKUP(CP9,A$9:E$102,5)*0.5*(VLOOKUP(CP9,O$9:P$102,2)+VLOOKUP(CP9+1,O$9:P$102,2))*(VLOOKUP(TRUNC(0.5*(VLOOKUP(CP9,O$9:Q$102,3)+VLOOKUP(CP9+1,O$9:Q$102,3)),0),Frauen!$AZ$9:$BD$95,5)+(0.5*(VLOOKUP(CP9,O$9:Q$102,3)+VLOOKUP(CP9+1,O$9:Q$102,3))-TRUNC(0.5*(VLOOKUP(CP9,O$9:Q$102,3)+VLOOKUP(CP9+1,O$9:Q$102,3)),0))*(VLOOKUP(TRUNC(0.5*(VLOOKUP(CP9,O$9:Q$102,3)+VLOOKUP(CP9+1,O$9:Q$102,3))+1,0),Frauen!$AZ$9:$BD$95,5)-VLOOKUP(TRUNC(0.5*(VLOOKUP(CP9,O$9:Q$102,3)+VLOOKUP(CP9+1,O$9:Q$102,3)),0),Frauen!$AZ$9:$BD$95,5))),RundDx)</f>
        <v>4224</v>
      </c>
      <c r="CR9" s="25">
        <f>SUM(CQ9:CQ$56)</f>
        <v>107846</v>
      </c>
      <c r="CS9" s="24">
        <f>IF(VLOOKUP(CP9,AQ$9:AR$102,2)&gt;0,ROUND(CR9/VLOOKUP(CP9,AQ$9:AR$102,2),Rundäx),0)</f>
        <v>5.266</v>
      </c>
      <c r="CT9" s="86"/>
      <c r="CU9" s="35">
        <f>BeginnAlter</f>
        <v>17</v>
      </c>
      <c r="CV9" s="25">
        <f>IF($CU9&gt;=RAM,"",IF($CU9-CV$103&lt;BeginnAlter,"",ROUND(v^($CU9+FaktorAlter)*$L9*$D9*0.5*(VLOOKUP($CU9-CV$103,Frauen!$G$9:$J$102,4)+VLOOKUP($CU9-CV$103+1,Frauen!$G$9:$J$102,4))*0.5*(VLOOKUP($CU9-CV$103,Frauen!$AZ$9:$BD$102,5)+VLOOKUP($CU9-CV$103+1,Frauen!$AZ$9:$BD$102,5)),RundDx)))</f>
        <v>153747863</v>
      </c>
      <c r="CW9" s="25">
        <f>IF($CU9&gt;=RAM,"",IF($CU9-CW$103&lt;BeginnAlter,"",ROUND(v^($CU9+FaktorAlter)*$L9*$D9*0.5*(VLOOKUP($CU9-CW$103,Frauen!$G$9:$J$102,4)+VLOOKUP($CU9-CW$103+1,Frauen!$G$9:$J$102,4))*0.5*(VLOOKUP($CU9-CW$103,Frauen!$AZ$9:$BD$102,5)+VLOOKUP($CU9-CW$103+1,Frauen!$AZ$9:$BD$102,5)),RundDx)))</f>
        <v>155436545</v>
      </c>
      <c r="CX9" s="25">
        <f>IF($CU9&gt;=RAM,"",IF($CU9-CX$103&lt;BeginnAlter,"",ROUND(v^($CU9+FaktorAlter)*$L9*$D9*0.5*(VLOOKUP($CU9-CX$103,Frauen!$G$9:$J$102,4)+VLOOKUP($CU9-CX$103+1,Frauen!$G$9:$J$102,4))*0.5*(VLOOKUP($CU9-CX$103,Frauen!$AZ$9:$BD$102,5)+VLOOKUP($CU9-CX$103+1,Frauen!$AZ$9:$BD$102,5)),RundDx)))</f>
        <v>157092337</v>
      </c>
      <c r="CY9" s="25">
        <f>IF($CU9&gt;=RAM,"",IF($CU9-CY$103&lt;BeginnAlter,"",ROUND(v^($CU9+FaktorAlter)*$L9*$D9*0.5*(VLOOKUP($CU9-CY$103,Frauen!$G$9:$J$102,4)+VLOOKUP($CU9-CY$103+1,Frauen!$G$9:$J$102,4))*0.5*(VLOOKUP($CU9-CY$103,Frauen!$AZ$9:$BD$102,5)+VLOOKUP($CU9-CY$103+1,Frauen!$AZ$9:$BD$102,5)),RundDx)))</f>
        <v>158713304</v>
      </c>
      <c r="CZ9" s="25">
        <f>IF($CU9&gt;=RAM,"",IF($CU9-CZ$103&lt;BeginnAlter,"",ROUND(v^($CU9+FaktorAlter)*$L9*$D9*0.5*(VLOOKUP($CU9-CZ$103,Frauen!$G$9:$J$102,4)+VLOOKUP($CU9-CZ$103+1,Frauen!$G$9:$J$102,4))*0.5*(VLOOKUP($CU9-CZ$103,Frauen!$AZ$9:$BD$102,5)+VLOOKUP($CU9-CZ$103+1,Frauen!$AZ$9:$BD$102,5)),RundDx)))</f>
        <v>160299300</v>
      </c>
      <c r="DA9" s="25">
        <f>IF($CU9&gt;=RAM,"",IF($CU9-DA$103&lt;BeginnAlter,"",ROUND(v^($CU9+FaktorAlter)*$L9*$D9*0.5*(VLOOKUP($CU9-DA$103,Frauen!$G$9:$J$102,4)+VLOOKUP($CU9-DA$103+1,Frauen!$G$9:$J$102,4))*0.5*(VLOOKUP($CU9-DA$103,Frauen!$AZ$9:$BD$102,5)+VLOOKUP($CU9-DA$103+1,Frauen!$AZ$9:$BD$102,5)),RundDx)))</f>
        <v>161851940</v>
      </c>
      <c r="DB9" s="25">
        <f>IF($CU9&gt;=RAM,"",IF($CU9-DB$103&lt;BeginnAlter,"",ROUND(v^($CU9+FaktorAlter)*$L9*$D9*0.5*(VLOOKUP($CU9-DB$103,Frauen!$G$9:$J$102,4)+VLOOKUP($CU9-DB$103+1,Frauen!$G$9:$J$102,4))*0.5*(VLOOKUP($CU9-DB$103,Frauen!$AZ$9:$BD$102,5)+VLOOKUP($CU9-DB$103+1,Frauen!$AZ$9:$BD$102,5)),RundDx)))</f>
        <v>163375388</v>
      </c>
      <c r="DC9" s="25">
        <f>IF($CU9&gt;=RAM,"",IF($CU9-DC$103&lt;BeginnAlter,"",ROUND(v^($CU9+FaktorAlter)*$L9*$D9*0.5*(VLOOKUP($CU9-DC$103,Frauen!$G$9:$J$102,4)+VLOOKUP($CU9-DC$103+1,Frauen!$G$9:$J$102,4))*0.5*(VLOOKUP($CU9-DC$103,Frauen!$AZ$9:$BD$102,5)+VLOOKUP($CU9-DC$103+1,Frauen!$AZ$9:$BD$102,5)),RundDx)))</f>
        <v>164866083</v>
      </c>
      <c r="DD9" s="25">
        <f>IF($CU9&gt;=RAM,"",IF($CU9-DD$103&lt;BeginnAlter,"",ROUND(v^($CU9+FaktorAlter)*$L9*$D9*0.5*(VLOOKUP($CU9-DD$103,Frauen!$G$9:$J$102,4)+VLOOKUP($CU9-DD$103+1,Frauen!$G$9:$J$102,4))*0.5*(VLOOKUP($CU9-DD$103,Frauen!$AZ$9:$BD$102,5)+VLOOKUP($CU9-DD$103+1,Frauen!$AZ$9:$BD$102,5)),RundDx)))</f>
        <v>166325579</v>
      </c>
      <c r="DE9" s="25">
        <f>IF($CU9&gt;=RAM,"",IF($CU9-DE$103&lt;BeginnAlter,"",ROUND(v^($CU9+FaktorAlter)*$L9*$D9*0.5*(VLOOKUP($CU9-DE$103,Frauen!$G$9:$J$102,4)+VLOOKUP($CU9-DE$103+1,Frauen!$G$9:$J$102,4))*0.5*(VLOOKUP($CU9-DE$103,Frauen!$AZ$9:$BD$102,5)+VLOOKUP($CU9-DE$103+1,Frauen!$AZ$9:$BD$102,5)),RundDx)))</f>
        <v>167756249</v>
      </c>
      <c r="DF9" s="25">
        <f>IF($CU9&gt;=RAM,"",IF($CU9-DF$103&lt;BeginnAlter,"",ROUND(v^($CU9+FaktorAlter)*$L9*$D9*0.5*(VLOOKUP($CU9-DF$103,Frauen!$G$9:$J$102,4)+VLOOKUP($CU9-DF$103+1,Frauen!$G$9:$J$102,4))*0.5*(VLOOKUP($CU9-DF$103,Frauen!$AZ$9:$BD$102,5)+VLOOKUP($CU9-DF$103+1,Frauen!$AZ$9:$BD$102,5)),RundDx)))</f>
        <v>169157060</v>
      </c>
      <c r="DG9" s="25">
        <f>IF($CU9&gt;=RAM,"",IF($CU9-DG$103&lt;BeginnAlter,"",ROUND(v^($CU9+FaktorAlter)*$L9*$D9*0.5*(VLOOKUP($CU9-DG$103,Frauen!$G$9:$J$102,4)+VLOOKUP($CU9-DG$103+1,Frauen!$G$9:$J$102,4))*0.5*(VLOOKUP($CU9-DG$103,Frauen!$AZ$9:$BD$102,5)+VLOOKUP($CU9-DG$103+1,Frauen!$AZ$9:$BD$102,5)),RundDx)))</f>
        <v>170529528</v>
      </c>
      <c r="DH9" s="25">
        <f>IF($CU9&gt;=RAM,"",IF($CU9-DH$103&lt;BeginnAlter,"",ROUND(v^($CU9+FaktorAlter)*$L9*$D9*0.5*(VLOOKUP($CU9-DH$103,Frauen!$G$9:$J$102,4)+VLOOKUP($CU9-DH$103+1,Frauen!$G$9:$J$102,4))*0.5*(VLOOKUP($CU9-DH$103,Frauen!$AZ$9:$BD$102,5)+VLOOKUP($CU9-DH$103+1,Frauen!$AZ$9:$BD$102,5)),RundDx)))</f>
        <v>171870866</v>
      </c>
      <c r="DI9" s="25">
        <f>IF($CU9&gt;=RAM,"",IF($CU9-DI$103&lt;BeginnAlter,"",ROUND(v^($CU9+FaktorAlter)*$L9*$D9*0.5*(VLOOKUP($CU9-DI$103,Frauen!$G$9:$J$102,4)+VLOOKUP($CU9-DI$103+1,Frauen!$G$9:$J$102,4))*0.5*(VLOOKUP($CU9-DI$103,Frauen!$AZ$9:$BD$102,5)+VLOOKUP($CU9-DI$103+1,Frauen!$AZ$9:$BD$102,5)),RundDx)))</f>
        <v>173181730</v>
      </c>
      <c r="DJ9" s="25">
        <f>IF($CU9&gt;=RAM,"",IF($CU9-DJ$103&lt;BeginnAlter,"",ROUND(v^($CU9+FaktorAlter)*$L9*$D9*0.5*(VLOOKUP($CU9-DJ$103,Frauen!$G$9:$J$102,4)+VLOOKUP($CU9-DJ$103+1,Frauen!$G$9:$J$102,4))*0.5*(VLOOKUP($CU9-DJ$103,Frauen!$AZ$9:$BD$102,5)+VLOOKUP($CU9-DJ$103+1,Frauen!$AZ$9:$BD$102,5)),RundDx)))</f>
        <v>174467128</v>
      </c>
      <c r="DK9" s="25">
        <f>IF($CU9&gt;=RAM,"",IF($CU9-DK$103&lt;BeginnAlter,"",ROUND(v^($CU9+FaktorAlter)*$L9*$D9*0.5*(VLOOKUP($CU9-DK$103,Frauen!$G$9:$J$102,4)+VLOOKUP($CU9-DK$103+1,Frauen!$G$9:$J$102,4))*0.5*(VLOOKUP($CU9-DK$103,Frauen!$AZ$9:$BD$102,5)+VLOOKUP($CU9-DK$103+1,Frauen!$AZ$9:$BD$102,5)),RundDx)))</f>
        <v>175724427</v>
      </c>
      <c r="DL9" s="25" t="str">
        <f>IF($CU9&gt;=RAM,"",IF($CU9-DL$103&lt;BeginnAlter,"",ROUND(v^($CU9+FaktorAlter)*$L9*$D9*0.5*(VLOOKUP($CU9-DL$103,Frauen!$G$9:$J$102,4)+VLOOKUP($CU9-DL$103+1,Frauen!$G$9:$J$102,4))*0.5*(VLOOKUP($CU9-DL$103,Frauen!$AZ$9:$BD$102,5)+VLOOKUP($CU9-DL$103+1,Frauen!$AZ$9:$BD$102,5)),RundDx)))</f>
        <v/>
      </c>
      <c r="DM9" s="25" t="str">
        <f>IF($CU9&gt;=RAM,"",IF($CU9-DM$103&lt;BeginnAlter,"",ROUND(v^($CU9+FaktorAlter)*$L9*$D9*0.5*(VLOOKUP($CU9-DM$103,Frauen!$G$9:$J$102,4)+VLOOKUP($CU9-DM$103+1,Frauen!$G$9:$J$102,4))*0.5*(VLOOKUP($CU9-DM$103,Frauen!$AZ$9:$BD$102,5)+VLOOKUP($CU9-DM$103+1,Frauen!$AZ$9:$BD$102,5)),RundDx)))</f>
        <v/>
      </c>
      <c r="DN9" s="25" t="str">
        <f>IF($CU9&gt;=RAM,"",IF($CU9-DN$103&lt;BeginnAlter,"",ROUND(v^($CU9+FaktorAlter)*$L9*$D9*0.5*(VLOOKUP($CU9-DN$103,Frauen!$G$9:$J$102,4)+VLOOKUP($CU9-DN$103+1,Frauen!$G$9:$J$102,4))*0.5*(VLOOKUP($CU9-DN$103,Frauen!$AZ$9:$BD$102,5)+VLOOKUP($CU9-DN$103+1,Frauen!$AZ$9:$BD$102,5)),RundDx)))</f>
        <v/>
      </c>
      <c r="DO9" s="25" t="str">
        <f>IF($CU9&gt;=RAM,"",IF($CU9-DO$103&lt;BeginnAlter,"",ROUND(v^($CU9+FaktorAlter)*$L9*$D9*0.5*(VLOOKUP($CU9-DO$103,Frauen!$G$9:$J$102,4)+VLOOKUP($CU9-DO$103+1,Frauen!$G$9:$J$102,4))*0.5*(VLOOKUP($CU9-DO$103,Frauen!$AZ$9:$BD$102,5)+VLOOKUP($CU9-DO$103+1,Frauen!$AZ$9:$BD$102,5)),RundDx)))</f>
        <v/>
      </c>
      <c r="DP9" s="25" t="str">
        <f>IF($CU9&gt;=RAM,"",IF($CU9-DP$103&lt;BeginnAlter,"",ROUND(v^($CU9+FaktorAlter)*$L9*$D9*0.5*(VLOOKUP($CU9-DP$103,Frauen!$G$9:$J$102,4)+VLOOKUP($CU9-DP$103+1,Frauen!$G$9:$J$102,4))*0.5*(VLOOKUP($CU9-DP$103,Frauen!$AZ$9:$BD$102,5)+VLOOKUP($CU9-DP$103+1,Frauen!$AZ$9:$BD$102,5)),RundDx)))</f>
        <v/>
      </c>
      <c r="DQ9" s="25" t="str">
        <f>IF($CU9&gt;=RAM,"",IF($CU9-DQ$103&lt;BeginnAlter,"",ROUND(v^($CU9+FaktorAlter)*$L9*$D9*0.5*(VLOOKUP($CU9-DQ$103,Frauen!$G$9:$J$102,4)+VLOOKUP($CU9-DQ$103+1,Frauen!$G$9:$J$102,4))*0.5*(VLOOKUP($CU9-DQ$103,Frauen!$AZ$9:$BD$102,5)+VLOOKUP($CU9-DQ$103+1,Frauen!$AZ$9:$BD$102,5)),RundDx)))</f>
        <v/>
      </c>
      <c r="DR9" s="25" t="str">
        <f>IF($CU9&gt;=RAM,"",IF($CU9-DR$103&lt;BeginnAlter,"",ROUND(v^($CU9+FaktorAlter)*$L9*$D9*0.5*(VLOOKUP($CU9-DR$103,Frauen!$G$9:$J$102,4)+VLOOKUP($CU9-DR$103+1,Frauen!$G$9:$J$102,4))*0.5*(VLOOKUP($CU9-DR$103,Frauen!$AZ$9:$BD$102,5)+VLOOKUP($CU9-DR$103+1,Frauen!$AZ$9:$BD$102,5)),RundDx)))</f>
        <v/>
      </c>
      <c r="DS9" s="25" t="str">
        <f>IF($CU9&gt;=RAM,"",IF($CU9-DS$103&lt;BeginnAlter,"",ROUND(v^($CU9+FaktorAlter)*$L9*$D9*0.5*(VLOOKUP($CU9-DS$103,Frauen!$G$9:$J$102,4)+VLOOKUP($CU9-DS$103+1,Frauen!$G$9:$J$102,4))*0.5*(VLOOKUP($CU9-DS$103,Frauen!$AZ$9:$BD$102,5)+VLOOKUP($CU9-DS$103+1,Frauen!$AZ$9:$BD$102,5)),RundDx)))</f>
        <v/>
      </c>
      <c r="DT9" s="25" t="str">
        <f>IF($CU9&gt;=RAM,"",IF($CU9-DT$103&lt;BeginnAlter,"",ROUND(v^($CU9+FaktorAlter)*$L9*$D9*0.5*(VLOOKUP($CU9-DT$103,Frauen!$G$9:$J$102,4)+VLOOKUP($CU9-DT$103+1,Frauen!$G$9:$J$102,4))*0.5*(VLOOKUP($CU9-DT$103,Frauen!$AZ$9:$BD$102,5)+VLOOKUP($CU9-DT$103+1,Frauen!$AZ$9:$BD$102,5)),RundDx)))</f>
        <v/>
      </c>
      <c r="DU9" s="25" t="str">
        <f>IF($CU9&gt;=RAM,"",IF($CU9-DU$103&lt;BeginnAlter,"",ROUND(v^($CU9+FaktorAlter)*$L9*$D9*0.5*(VLOOKUP($CU9-DU$103,Frauen!$G$9:$J$102,4)+VLOOKUP($CU9-DU$103+1,Frauen!$G$9:$J$102,4))*0.5*(VLOOKUP($CU9-DU$103,Frauen!$AZ$9:$BD$102,5)+VLOOKUP($CU9-DU$103+1,Frauen!$AZ$9:$BD$102,5)),RundDx)))</f>
        <v/>
      </c>
      <c r="DV9" s="25" t="str">
        <f>IF($CU9&gt;=RAM,"",IF($CU9-DV$103&lt;BeginnAlter,"",ROUND(v^($CU9+FaktorAlter)*$L9*$D9*0.5*(VLOOKUP($CU9-DV$103,Frauen!$G$9:$J$102,4)+VLOOKUP($CU9-DV$103+1,Frauen!$G$9:$J$102,4))*0.5*(VLOOKUP($CU9-DV$103,Frauen!$AZ$9:$BD$102,5)+VLOOKUP($CU9-DV$103+1,Frauen!$AZ$9:$BD$102,5)),RundDx)))</f>
        <v/>
      </c>
      <c r="DW9" s="25" t="str">
        <f>IF($CU9&gt;=RAM,"",IF($CU9-DW$103&lt;BeginnAlter,"",ROUND(v^($CU9+FaktorAlter)*$L9*$D9*0.5*(VLOOKUP($CU9-DW$103,Frauen!$G$9:$J$102,4)+VLOOKUP($CU9-DW$103+1,Frauen!$G$9:$J$102,4))*0.5*(VLOOKUP($CU9-DW$103,Frauen!$AZ$9:$BD$102,5)+VLOOKUP($CU9-DW$103+1,Frauen!$AZ$9:$BD$102,5)),RundDx)))</f>
        <v/>
      </c>
      <c r="DX9" s="25" t="str">
        <f>IF($CU9&gt;=RAM,"",IF($CU9-DX$103&lt;BeginnAlter,"",ROUND(v^($CU9+FaktorAlter)*$L9*$D9*0.5*(VLOOKUP($CU9-DX$103,Frauen!$G$9:$J$102,4)+VLOOKUP($CU9-DX$103+1,Frauen!$G$9:$J$102,4))*0.5*(VLOOKUP($CU9-DX$103,Frauen!$AZ$9:$BD$102,5)+VLOOKUP($CU9-DX$103+1,Frauen!$AZ$9:$BD$102,5)),RundDx)))</f>
        <v/>
      </c>
      <c r="DY9" s="25" t="str">
        <f>IF($CU9&gt;=RAM,"",IF($CU9-DY$103&lt;BeginnAlter,"",ROUND(v^($CU9+FaktorAlter)*$L9*$D9*0.5*(VLOOKUP($CU9-DY$103,Frauen!$G$9:$J$102,4)+VLOOKUP($CU9-DY$103+1,Frauen!$G$9:$J$102,4))*0.5*(VLOOKUP($CU9-DY$103,Frauen!$AZ$9:$BD$102,5)+VLOOKUP($CU9-DY$103+1,Frauen!$AZ$9:$BD$102,5)),RundDx)))</f>
        <v/>
      </c>
      <c r="DZ9" s="25" t="str">
        <f>IF($CU9&gt;=RAM,"",IF($CU9-DZ$103&lt;BeginnAlter,"",ROUND(v^($CU9+FaktorAlter)*$L9*$D9*0.5*(VLOOKUP($CU9-DZ$103,Frauen!$G$9:$J$102,4)+VLOOKUP($CU9-DZ$103+1,Frauen!$G$9:$J$102,4))*0.5*(VLOOKUP($CU9-DZ$103,Frauen!$AZ$9:$BD$102,5)+VLOOKUP($CU9-DZ$103+1,Frauen!$AZ$9:$BD$102,5)),RundDx)))</f>
        <v/>
      </c>
      <c r="EA9" s="43">
        <f>IF($CU9&gt;=RAM,"",IF($CU9-EA$103&lt;BeginnAlter,"",ROUND((SUM(CV9:CV$56)+SUM(FN$9:FN$56))/VLOOKUP($CU9,$AH$9:$AI$102,2)/VLOOKUP($CU9-EA$103,Frauen!$G$9:$J$102,4),Rundäx)))</f>
        <v>6.8659999999999997</v>
      </c>
      <c r="EB9" s="43">
        <f>IF($CU9&gt;=RAM,"",IF($CU9-EB$103&lt;BeginnAlter,"",ROUND((SUM(CW9:CW$56)+SUM(FO$9:FO$56))/VLOOKUP($CU9,$AH$9:$AI$102,2)/VLOOKUP($CU9-EB$103,Frauen!$G$9:$J$102,4),Rundäx)))</f>
        <v>7.0449999999999999</v>
      </c>
      <c r="EC9" s="43">
        <f>IF($CU9&gt;=RAM,"",IF($CU9-EC$103&lt;BeginnAlter,"",ROUND((SUM(CX9:CX$56)+SUM(FP$9:FP$56))/VLOOKUP($CU9,$AH$9:$AI$102,2)/VLOOKUP($CU9-EC$103,Frauen!$G$9:$J$102,4),Rundäx)))</f>
        <v>7.2249999999999996</v>
      </c>
      <c r="ED9" s="43">
        <f>IF($CU9&gt;=RAM,"",IF($CU9-ED$103&lt;BeginnAlter,"",ROUND((SUM(CY9:CY$56)+SUM(FQ$9:FQ$56))/VLOOKUP($CU9,$AH$9:$AI$102,2)/VLOOKUP($CU9-ED$103,Frauen!$G$9:$J$102,4),Rundäx)))</f>
        <v>7.4029999999999996</v>
      </c>
      <c r="EE9" s="43">
        <f>IF($CU9&gt;=RAM,"",IF($CU9-EE$103&lt;BeginnAlter,"",ROUND((SUM(CZ9:CZ$56)+SUM(FR$9:FR$56))/VLOOKUP($CU9,$AH$9:$AI$102,2)/VLOOKUP($CU9-EE$103,Frauen!$G$9:$J$102,4),Rundäx)))</f>
        <v>7.5819999999999999</v>
      </c>
      <c r="EF9" s="43">
        <f>IF($CU9&gt;=RAM,"",IF($CU9-EF$103&lt;BeginnAlter,"",ROUND((SUM(DA9:DA$56)+SUM(FS$9:FS$56))/VLOOKUP($CU9,$AH$9:$AI$102,2)/VLOOKUP($CU9-EF$103,Frauen!$G$9:$J$102,4),Rundäx)))</f>
        <v>7.7610000000000001</v>
      </c>
      <c r="EG9" s="43">
        <f>IF($CU9&gt;=RAM,"",IF($CU9-EG$103&lt;BeginnAlter,"",ROUND((SUM(DB9:DB$56)+SUM(FT$9:FT$56))/VLOOKUP($CU9,$AH$9:$AI$102,2)/VLOOKUP($CU9-EG$103,Frauen!$G$9:$J$102,4),Rundäx)))</f>
        <v>7.9390000000000001</v>
      </c>
      <c r="EH9" s="43">
        <f>IF($CU9&gt;=RAM,"",IF($CU9-EH$103&lt;BeginnAlter,"",ROUND((SUM(DC9:DC$56)+SUM(FU$9:FU$56))/VLOOKUP($CU9,$AH$9:$AI$102,2)/VLOOKUP($CU9-EH$103,Frauen!$G$9:$J$102,4),Rundäx)))</f>
        <v>8.1180000000000003</v>
      </c>
      <c r="EI9" s="86"/>
      <c r="EJ9" s="35">
        <f>BeginnAlter</f>
        <v>17</v>
      </c>
      <c r="EK9" s="43">
        <f>IF($CU9&gt;=RAM,"",IF($CU9-EK$103&lt;BeginnAlter,"",ROUND((SUM(DD9:DD$56)+SUM(FV$9:FV$56))/VLOOKUP($CU9,$AH$9:$AI$102,2)/VLOOKUP($CU9-EK$103,Frauen!$G$9:$J$102,4),Rundäx)))</f>
        <v>8.2959999999999994</v>
      </c>
      <c r="EL9" s="43">
        <f>IF($CU9&gt;=RAM,"",IF($CU9-EL$103&lt;BeginnAlter,"",ROUND((SUM(DE9:DE$56)+SUM(FW$9:FW$56))/VLOOKUP($CU9,$AH$9:$AI$102,2)/VLOOKUP($CU9-EL$103,Frauen!$G$9:$J$102,4),Rundäx)))</f>
        <v>8.4749999999999996</v>
      </c>
      <c r="EM9" s="43">
        <f>IF($CU9&gt;=RAM,"",IF($CU9-EM$103&lt;BeginnAlter,"",ROUND((SUM(DF9:DF$56)+SUM(FX$9:FX$56))/VLOOKUP($CU9,$AH$9:$AI$102,2)/VLOOKUP($CU9-EM$103,Frauen!$G$9:$J$102,4),Rundäx)))</f>
        <v>8.6530000000000005</v>
      </c>
      <c r="EN9" s="43">
        <f>IF($CU9&gt;=RAM,"",IF($CU9-EN$103&lt;BeginnAlter,"",ROUND((SUM(DG9:DG$56)+SUM(FY$9:FY$56))/VLOOKUP($CU9,$AH$9:$AI$102,2)/VLOOKUP($CU9-EN$103,Frauen!$G$9:$J$102,4),Rundäx)))</f>
        <v>8.8320000000000007</v>
      </c>
      <c r="EO9" s="43">
        <f>IF($CU9&gt;=RAM,"",IF($CU9-EO$103&lt;BeginnAlter,"",ROUND((SUM(DH9:DH$56)+SUM(FZ$9:FZ$56))/VLOOKUP($CU9,$AH$9:$AI$102,2)/VLOOKUP($CU9-EO$103,Frauen!$G$9:$J$102,4),Rundäx)))</f>
        <v>9.01</v>
      </c>
      <c r="EP9" s="43">
        <f>IF($CU9&gt;=RAM,"",IF($CU9-EP$103&lt;BeginnAlter,"",ROUND((SUM(DI9:DI$56)+SUM(GA$9:GA$56))/VLOOKUP($CU9,$AH$9:$AI$102,2)/VLOOKUP($CU9-EP$103,Frauen!$G$9:$J$102,4),Rundäx)))</f>
        <v>9.1890000000000001</v>
      </c>
      <c r="EQ9" s="43">
        <f>IF($CU9&gt;=RAM,"",IF($CU9-EQ$103&lt;BeginnAlter,"",ROUND((SUM(DJ9:DJ$56)+SUM(GB$9:GB$56))/VLOOKUP($CU9,$AH$9:$AI$102,2)/VLOOKUP($CU9-EQ$103,Frauen!$G$9:$J$102,4),Rundäx)))</f>
        <v>9.3670000000000009</v>
      </c>
      <c r="ER9" s="43">
        <f>IF($CU9&gt;=RAM,"",IF($CU9-ER$103&lt;BeginnAlter,"",ROUND((SUM(DK9:DK$56)+SUM(GC$9:GC$56))/VLOOKUP($CU9,$AH$9:$AI$102,2)/VLOOKUP($CU9-ER$103,Frauen!$G$9:$J$102,4),Rundäx)))</f>
        <v>9.5440000000000005</v>
      </c>
      <c r="ES9" s="86"/>
      <c r="ET9" s="35">
        <f>BeginnAlter</f>
        <v>17</v>
      </c>
      <c r="EU9" s="43" t="str">
        <f>IF($CU9&gt;=RAM,"",IF($CU9-EU$103&lt;BeginnAlter,"",ROUND((SUM(DL9:DL$56)+SUM(GD$9:GD$56))/VLOOKUP($CU9,$AH$9:$AI$102,2)/VLOOKUP($CU9-EU$103,Frauen!$G$9:$J$102,4),Rundäx)))</f>
        <v/>
      </c>
      <c r="EV9" s="43" t="str">
        <f>IF($CU9&gt;=RAM,"",IF($CU9-EV$103&lt;BeginnAlter,"",ROUND((SUM(DM9:DM$56)+SUM(GE$9:GE$56))/VLOOKUP($CU9,$AH$9:$AI$102,2)/VLOOKUP($CU9-EV$103,Frauen!$G$9:$J$102,4),Rundäx)))</f>
        <v/>
      </c>
      <c r="EW9" s="43" t="str">
        <f>IF($CU9&gt;=RAM,"",IF($CU9-EW$103&lt;BeginnAlter,"",ROUND((SUM(DN9:DN$56)+SUM(GF$9:GF$56))/VLOOKUP($CU9,$AH$9:$AI$102,2)/VLOOKUP($CU9-EW$103,Frauen!$G$9:$J$102,4),Rundäx)))</f>
        <v/>
      </c>
      <c r="EX9" s="43" t="str">
        <f>IF($CU9&gt;=RAM,"",IF($CU9-EX$103&lt;BeginnAlter,"",ROUND((SUM(DO9:DO$56)+SUM(GG$9:GG$56))/VLOOKUP($CU9,$AH$9:$AI$102,2)/VLOOKUP($CU9-EX$103,Frauen!$G$9:$J$102,4),Rundäx)))</f>
        <v/>
      </c>
      <c r="EY9" s="43" t="str">
        <f>IF($CU9&gt;=RAM,"",IF($CU9-EY$103&lt;BeginnAlter,"",ROUND((SUM(DP9:DP$56)+SUM(GH$9:GH$56))/VLOOKUP($CU9,$AH$9:$AI$102,2)/VLOOKUP($CU9-EY$103,Frauen!$G$9:$J$102,4),Rundäx)))</f>
        <v/>
      </c>
      <c r="EZ9" s="43" t="str">
        <f>IF($CU9&gt;=RAM,"",IF($CU9-EZ$103&lt;BeginnAlter,"",ROUND((SUM(DQ9:DQ$56)+SUM(GI$9:GI$56))/VLOOKUP($CU9,$AH$9:$AI$102,2)/VLOOKUP($CU9-EZ$103,Frauen!$G$9:$J$102,4),Rundäx)))</f>
        <v/>
      </c>
      <c r="FA9" s="43" t="str">
        <f>IF($CU9&gt;=RAM,"",IF($CU9-FA$103&lt;BeginnAlter,"",ROUND((SUM(DR9:DR$56)+SUM(GJ$9:GJ$56))/VLOOKUP($CU9,$AH$9:$AI$102,2)/VLOOKUP($CU9-FA$103,Frauen!$G$9:$J$102,4),Rundäx)))</f>
        <v/>
      </c>
      <c r="FB9" s="43" t="str">
        <f>IF($CU9&gt;=RAM,"",IF($CU9-FB$103&lt;BeginnAlter,"",ROUND((SUM(DS9:DS$56)+SUM(GK$9:GK$56))/VLOOKUP($CU9,$AH$9:$AI$102,2)/VLOOKUP($CU9-FB$103,Frauen!$G$9:$J$102,4),Rundäx)))</f>
        <v/>
      </c>
      <c r="FC9" s="86"/>
      <c r="FD9" s="35">
        <f>BeginnAlter</f>
        <v>17</v>
      </c>
      <c r="FE9" s="43" t="str">
        <f>IF($CU9&gt;=RAM,"",IF($CU9-FE$103&lt;BeginnAlter,"",ROUND((SUM(DT9:DT$56)+SUM(GL$9:GL$56))/VLOOKUP($CU9,$AH$9:$AI$102,2)/VLOOKUP($CU9-FE$103,Frauen!$G$9:$J$102,4),Rundäx)))</f>
        <v/>
      </c>
      <c r="FF9" s="43" t="str">
        <f>IF($CU9&gt;=RAM,"",IF($CU9-FF$103&lt;BeginnAlter,"",ROUND((SUM(DU9:DU$56)+SUM(GM$9:GM$56))/VLOOKUP($CU9,$AH$9:$AI$102,2)/VLOOKUP($CU9-FF$103,Frauen!$G$9:$J$102,4),Rundäx)))</f>
        <v/>
      </c>
      <c r="FG9" s="43" t="str">
        <f>IF($CU9&gt;=RAM,"",IF($CU9-FG$103&lt;BeginnAlter,"",ROUND((SUM(DV9:DV$56)+SUM(GN$9:GN$56))/VLOOKUP($CU9,$AH$9:$AI$102,2)/VLOOKUP($CU9-FG$103,Frauen!$G$9:$J$102,4),Rundäx)))</f>
        <v/>
      </c>
      <c r="FH9" s="43" t="str">
        <f>IF($CU9&gt;=RAM,"",IF($CU9-FH$103&lt;BeginnAlter,"",ROUND((SUM(DW9:DW$56)+SUM(GO$9:GO$56))/VLOOKUP($CU9,$AH$9:$AI$102,2)/VLOOKUP($CU9-FH$103,Frauen!$G$9:$J$102,4),Rundäx)))</f>
        <v/>
      </c>
      <c r="FI9" s="43" t="str">
        <f>IF($CU9&gt;=RAM,"",IF($CU9-FI$103&lt;BeginnAlter,"",ROUND((SUM(DX9:DX$56)+SUM(GP$9:GP$56))/VLOOKUP($CU9,$AH$9:$AI$102,2)/VLOOKUP($CU9-FI$103,Frauen!$G$9:$J$102,4),Rundäx)))</f>
        <v/>
      </c>
      <c r="FJ9" s="43" t="str">
        <f>IF($CU9&gt;=RAM,"",IF($CU9-FJ$103&lt;BeginnAlter,"",ROUND((SUM(DY9:DY$56)+SUM(GQ$9:GQ$56))/VLOOKUP($CU9,$AH$9:$AI$102,2)/VLOOKUP($CU9-FJ$103,Frauen!$G$9:$J$102,4),Rundäx)))</f>
        <v/>
      </c>
      <c r="FK9" s="43" t="str">
        <f>IF($CU9&gt;=RAM,"",IF($CU9-FK$103&lt;BeginnAlter,"",ROUND((SUM(DZ9:DZ$56)+SUM(GR$9:GR$56))/VLOOKUP($CU9,$AH$9:$AI$102,2)/VLOOKUP($CU9-FK$103,Frauen!$G$9:$J$102,4),Rundäx)))</f>
        <v/>
      </c>
      <c r="FL9" s="86"/>
      <c r="FM9" s="35">
        <f>RAM</f>
        <v>65</v>
      </c>
      <c r="FN9" s="25">
        <f>ROUND(v^($FM9+FaktorAlter)*VLOOKUP($FM9,$G$9:$J$102,4)*VLOOKUP($FM9,$A$9:$E$102,5)*0.5*(VLOOKUP($FM9-FN$103,Frauen!$G$9:$J$102,4)+VLOOKUP($FM9-FN$103+1,Frauen!$G$9:$J$102,4))*0.5*(VLOOKUP($FM9-FN$103,Frauen!$AZ$9:$BD$102,5)+VLOOKUP($FM9-FN$103+1,Frauen!$AZ$9:$BD$102,5)),RundDx)</f>
        <v>162517673</v>
      </c>
      <c r="FO9" s="25">
        <f>ROUND(v^($FM9+FaktorAlter)*VLOOKUP($FM9,$G$9:$J$102,4)*VLOOKUP($FM9,$A$9:$E$102,5)*0.5*(VLOOKUP($FM9-FO$103,Frauen!$G$9:$J$102,4)+VLOOKUP($FM9-FO$103+1,Frauen!$G$9:$J$102,4))*0.5*(VLOOKUP($FM9-FO$103,Frauen!$AZ$9:$BD$102,5)+VLOOKUP($FM9-FO$103+1,Frauen!$AZ$9:$BD$102,5)),RundDx)</f>
        <v>179125933</v>
      </c>
      <c r="FP9" s="25">
        <f>ROUND(v^($FM9+FaktorAlter)*VLOOKUP($FM9,$G$9:$J$102,4)*VLOOKUP($FM9,$A$9:$E$102,5)*0.5*(VLOOKUP($FM9-FP$103,Frauen!$G$9:$J$102,4)+VLOOKUP($FM9-FP$103+1,Frauen!$G$9:$J$102,4))*0.5*(VLOOKUP($FM9-FP$103,Frauen!$AZ$9:$BD$102,5)+VLOOKUP($FM9-FP$103+1,Frauen!$AZ$9:$BD$102,5)),RundDx)</f>
        <v>195964341</v>
      </c>
      <c r="FQ9" s="25">
        <f>ROUND(v^($FM9+FaktorAlter)*VLOOKUP($FM9,$G$9:$J$102,4)*VLOOKUP($FM9,$A$9:$E$102,5)*0.5*(VLOOKUP($FM9-FQ$103,Frauen!$G$9:$J$102,4)+VLOOKUP($FM9-FQ$103+1,Frauen!$G$9:$J$102,4))*0.5*(VLOOKUP($FM9-FQ$103,Frauen!$AZ$9:$BD$102,5)+VLOOKUP($FM9-FQ$103+1,Frauen!$AZ$9:$BD$102,5)),RundDx)</f>
        <v>213019071</v>
      </c>
      <c r="FR9" s="25">
        <f>ROUND(v^($FM9+FaktorAlter)*VLOOKUP($FM9,$G$9:$J$102,4)*VLOOKUP($FM9,$A$9:$E$102,5)*0.5*(VLOOKUP($FM9-FR$103,Frauen!$G$9:$J$102,4)+VLOOKUP($FM9-FR$103+1,Frauen!$G$9:$J$102,4))*0.5*(VLOOKUP($FM9-FR$103,Frauen!$AZ$9:$BD$102,5)+VLOOKUP($FM9-FR$103+1,Frauen!$AZ$9:$BD$102,5)),RundDx)</f>
        <v>230331752</v>
      </c>
      <c r="FS9" s="25">
        <f>ROUND(v^($FM9+FaktorAlter)*VLOOKUP($FM9,$G$9:$J$102,4)*VLOOKUP($FM9,$A$9:$E$102,5)*0.5*(VLOOKUP($FM9-FS$103,Frauen!$G$9:$J$102,4)+VLOOKUP($FM9-FS$103+1,Frauen!$G$9:$J$102,4))*0.5*(VLOOKUP($FM9-FS$103,Frauen!$AZ$9:$BD$102,5)+VLOOKUP($FM9-FS$103+1,Frauen!$AZ$9:$BD$102,5)),RundDx)</f>
        <v>247919240</v>
      </c>
      <c r="FT9" s="25">
        <f>ROUND(v^($FM9+FaktorAlter)*VLOOKUP($FM9,$G$9:$J$102,4)*VLOOKUP($FM9,$A$9:$E$102,5)*0.5*(VLOOKUP($FM9-FT$103,Frauen!$G$9:$J$102,4)+VLOOKUP($FM9-FT$103+1,Frauen!$G$9:$J$102,4))*0.5*(VLOOKUP($FM9-FT$103,Frauen!$AZ$9:$BD$102,5)+VLOOKUP($FM9-FT$103+1,Frauen!$AZ$9:$BD$102,5)),RundDx)</f>
        <v>265835938</v>
      </c>
      <c r="FU9" s="25">
        <f>ROUND(v^($FM9+FaktorAlter)*VLOOKUP($FM9,$G$9:$J$102,4)*VLOOKUP($FM9,$A$9:$E$102,5)*0.5*(VLOOKUP($FM9-FU$103,Frauen!$G$9:$J$102,4)+VLOOKUP($FM9-FU$103+1,Frauen!$G$9:$J$102,4))*0.5*(VLOOKUP($FM9-FU$103,Frauen!$AZ$9:$BD$102,5)+VLOOKUP($FM9-FU$103+1,Frauen!$AZ$9:$BD$102,5)),RundDx)</f>
        <v>284091919</v>
      </c>
      <c r="FV9" s="25">
        <f>ROUND(v^($FM9+FaktorAlter)*VLOOKUP($FM9,$G$9:$J$102,4)*VLOOKUP($FM9,$A$9:$E$102,5)*0.5*(VLOOKUP($FM9-FV$103,Frauen!$G$9:$J$102,4)+VLOOKUP($FM9-FV$103+1,Frauen!$G$9:$J$102,4))*0.5*(VLOOKUP($FM9-FV$103,Frauen!$AZ$9:$BD$102,5)+VLOOKUP($FM9-FV$103+1,Frauen!$AZ$9:$BD$102,5)),RundDx)</f>
        <v>302645215</v>
      </c>
      <c r="FW9" s="25">
        <f>ROUND(v^($FM9+FaktorAlter)*VLOOKUP($FM9,$G$9:$J$102,4)*VLOOKUP($FM9,$A$9:$E$102,5)*0.5*(VLOOKUP($FM9-FW$103,Frauen!$G$9:$J$102,4)+VLOOKUP($FM9-FW$103+1,Frauen!$G$9:$J$102,4))*0.5*(VLOOKUP($FM9-FW$103,Frauen!$AZ$9:$BD$102,5)+VLOOKUP($FM9-FW$103+1,Frauen!$AZ$9:$BD$102,5)),RundDx)</f>
        <v>321414724</v>
      </c>
      <c r="FX9" s="25">
        <f>ROUND(v^($FM9+FaktorAlter)*VLOOKUP($FM9,$G$9:$J$102,4)*VLOOKUP($FM9,$A$9:$E$102,5)*0.5*(VLOOKUP($FM9-FX$103,Frauen!$G$9:$J$102,4)+VLOOKUP($FM9-FX$103+1,Frauen!$G$9:$J$102,4))*0.5*(VLOOKUP($FM9-FX$103,Frauen!$AZ$9:$BD$102,5)+VLOOKUP($FM9-FX$103+1,Frauen!$AZ$9:$BD$102,5)),RundDx)</f>
        <v>340265701</v>
      </c>
      <c r="FY9" s="25">
        <f>ROUND(v^($FM9+FaktorAlter)*VLOOKUP($FM9,$G$9:$J$102,4)*VLOOKUP($FM9,$A$9:$E$102,5)*0.5*(VLOOKUP($FM9-FY$103,Frauen!$G$9:$J$102,4)+VLOOKUP($FM9-FY$103+1,Frauen!$G$9:$J$102,4))*0.5*(VLOOKUP($FM9-FY$103,Frauen!$AZ$9:$BD$102,5)+VLOOKUP($FM9-FY$103+1,Frauen!$AZ$9:$BD$102,5)),RundDx)</f>
        <v>359145652</v>
      </c>
      <c r="FZ9" s="25">
        <f>ROUND(v^($FM9+FaktorAlter)*VLOOKUP($FM9,$G$9:$J$102,4)*VLOOKUP($FM9,$A$9:$E$102,5)*0.5*(VLOOKUP($FM9-FZ$103,Frauen!$G$9:$J$102,4)+VLOOKUP($FM9-FZ$103+1,Frauen!$G$9:$J$102,4))*0.5*(VLOOKUP($FM9-FZ$103,Frauen!$AZ$9:$BD$102,5)+VLOOKUP($FM9-FZ$103+1,Frauen!$AZ$9:$BD$102,5)),RundDx)</f>
        <v>378019865</v>
      </c>
      <c r="GA9" s="25">
        <f>ROUND(v^($FM9+FaktorAlter)*VLOOKUP($FM9,$G$9:$J$102,4)*VLOOKUP($FM9,$A$9:$E$102,5)*0.5*(VLOOKUP($FM9-GA$103,Frauen!$G$9:$J$102,4)+VLOOKUP($FM9-GA$103+1,Frauen!$G$9:$J$102,4))*0.5*(VLOOKUP($FM9-GA$103,Frauen!$AZ$9:$BD$102,5)+VLOOKUP($FM9-GA$103+1,Frauen!$AZ$9:$BD$102,5)),RundDx)</f>
        <v>396760264</v>
      </c>
      <c r="GB9" s="25">
        <f>ROUND(v^($FM9+FaktorAlter)*VLOOKUP($FM9,$G$9:$J$102,4)*VLOOKUP($FM9,$A$9:$E$102,5)*0.5*(VLOOKUP($FM9-GB$103,Frauen!$G$9:$J$102,4)+VLOOKUP($FM9-GB$103+1,Frauen!$G$9:$J$102,4))*0.5*(VLOOKUP($FM9-GB$103,Frauen!$AZ$9:$BD$102,5)+VLOOKUP($FM9-GB$103+1,Frauen!$AZ$9:$BD$102,5)),RundDx)</f>
        <v>415292751</v>
      </c>
      <c r="GC9" s="25">
        <f>ROUND(v^($FM9+FaktorAlter)*VLOOKUP($FM9,$G$9:$J$102,4)*VLOOKUP($FM9,$A$9:$E$102,5)*0.5*(VLOOKUP($FM9-GC$103,Frauen!$G$9:$J$102,4)+VLOOKUP($FM9-GC$103+1,Frauen!$G$9:$J$102,4))*0.5*(VLOOKUP($FM9-GC$103,Frauen!$AZ$9:$BD$102,5)+VLOOKUP($FM9-GC$103+1,Frauen!$AZ$9:$BD$102,5)),RundDx)</f>
        <v>433648217</v>
      </c>
      <c r="GD9" s="25">
        <f>ROUND(v^($FM9+FaktorAlter)*VLOOKUP($FM9,$G$9:$J$102,4)*VLOOKUP($FM9,$A$9:$E$102,5)*0.5*(VLOOKUP($FM9-GD$103,Frauen!$G$9:$J$102,4)+VLOOKUP($FM9-GD$103+1,Frauen!$G$9:$J$102,4))*0.5*(VLOOKUP($FM9-GD$103,Frauen!$AZ$9:$BD$102,5)+VLOOKUP($FM9-GD$103+1,Frauen!$AZ$9:$BD$102,5)),RundDx)</f>
        <v>451783459</v>
      </c>
      <c r="GE9" s="25">
        <f>ROUND(v^($FM9+FaktorAlter)*VLOOKUP($FM9,$G$9:$J$102,4)*VLOOKUP($FM9,$A$9:$E$102,5)*0.5*(VLOOKUP($FM9-GE$103,Frauen!$G$9:$J$102,4)+VLOOKUP($FM9-GE$103+1,Frauen!$G$9:$J$102,4))*0.5*(VLOOKUP($FM9-GE$103,Frauen!$AZ$9:$BD$102,5)+VLOOKUP($FM9-GE$103+1,Frauen!$AZ$9:$BD$102,5)),RundDx)</f>
        <v>469591361</v>
      </c>
      <c r="GF9" s="25">
        <f>ROUND(v^($FM9+FaktorAlter)*VLOOKUP($FM9,$G$9:$J$102,4)*VLOOKUP($FM9,$A$9:$E$102,5)*0.5*(VLOOKUP($FM9-GF$103,Frauen!$G$9:$J$102,4)+VLOOKUP($FM9-GF$103+1,Frauen!$G$9:$J$102,4))*0.5*(VLOOKUP($FM9-GF$103,Frauen!$AZ$9:$BD$102,5)+VLOOKUP($FM9-GF$103+1,Frauen!$AZ$9:$BD$102,5)),RundDx)</f>
        <v>487062275</v>
      </c>
      <c r="GG9" s="25">
        <f>ROUND(v^($FM9+FaktorAlter)*VLOOKUP($FM9,$G$9:$J$102,4)*VLOOKUP($FM9,$A$9:$E$102,5)*0.5*(VLOOKUP($FM9-GG$103,Frauen!$G$9:$J$102,4)+VLOOKUP($FM9-GG$103+1,Frauen!$G$9:$J$102,4))*0.5*(VLOOKUP($FM9-GG$103,Frauen!$AZ$9:$BD$102,5)+VLOOKUP($FM9-GG$103+1,Frauen!$AZ$9:$BD$102,5)),RundDx)</f>
        <v>504241334</v>
      </c>
      <c r="GH9" s="25">
        <f>ROUND(v^($FM9+FaktorAlter)*VLOOKUP($FM9,$G$9:$J$102,4)*VLOOKUP($FM9,$A$9:$E$102,5)*0.5*(VLOOKUP($FM9-GH$103,Frauen!$G$9:$J$102,4)+VLOOKUP($FM9-GH$103+1,Frauen!$G$9:$J$102,4))*0.5*(VLOOKUP($FM9-GH$103,Frauen!$AZ$9:$BD$102,5)+VLOOKUP($FM9-GH$103+1,Frauen!$AZ$9:$BD$102,5)),RundDx)</f>
        <v>521105619</v>
      </c>
      <c r="GI9" s="25">
        <f>ROUND(v^($FM9+FaktorAlter)*VLOOKUP($FM9,$G$9:$J$102,4)*VLOOKUP($FM9,$A$9:$E$102,5)*0.5*(VLOOKUP($FM9-GI$103,Frauen!$G$9:$J$102,4)+VLOOKUP($FM9-GI$103+1,Frauen!$G$9:$J$102,4))*0.5*(VLOOKUP($FM9-GI$103,Frauen!$AZ$9:$BD$102,5)+VLOOKUP($FM9-GI$103+1,Frauen!$AZ$9:$BD$102,5)),RundDx)</f>
        <v>537650570</v>
      </c>
      <c r="GJ9" s="25">
        <f>ROUND(v^($FM9+FaktorAlter)*VLOOKUP($FM9,$G$9:$J$102,4)*VLOOKUP($FM9,$A$9:$E$102,5)*0.5*(VLOOKUP($FM9-GJ$103,Frauen!$G$9:$J$102,4)+VLOOKUP($FM9-GJ$103+1,Frauen!$G$9:$J$102,4))*0.5*(VLOOKUP($FM9-GJ$103,Frauen!$AZ$9:$BD$102,5)+VLOOKUP($FM9-GJ$103+1,Frauen!$AZ$9:$BD$102,5)),RundDx)</f>
        <v>553910555</v>
      </c>
      <c r="GK9" s="25">
        <f>ROUND(v^($FM9+FaktorAlter)*VLOOKUP($FM9,$G$9:$J$102,4)*VLOOKUP($FM9,$A$9:$E$102,5)*0.5*(VLOOKUP($FM9-GK$103,Frauen!$G$9:$J$102,4)+VLOOKUP($FM9-GK$103+1,Frauen!$G$9:$J$102,4))*0.5*(VLOOKUP($FM9-GK$103,Frauen!$AZ$9:$BD$102,5)+VLOOKUP($FM9-GK$103+1,Frauen!$AZ$9:$BD$102,5)),RundDx)</f>
        <v>569936403</v>
      </c>
      <c r="GL9" s="25">
        <f>ROUND(v^($FM9+FaktorAlter)*VLOOKUP($FM9,$G$9:$J$102,4)*VLOOKUP($FM9,$A$9:$E$102,5)*0.5*(VLOOKUP($FM9-GL$103,Frauen!$G$9:$J$102,4)+VLOOKUP($FM9-GL$103+1,Frauen!$G$9:$J$102,4))*0.5*(VLOOKUP($FM9-GL$103,Frauen!$AZ$9:$BD$102,5)+VLOOKUP($FM9-GL$103+1,Frauen!$AZ$9:$BD$102,5)),RundDx)</f>
        <v>585770183</v>
      </c>
      <c r="GM9" s="25">
        <f>ROUND(v^($FM9+FaktorAlter)*VLOOKUP($FM9,$G$9:$J$102,4)*VLOOKUP($FM9,$A$9:$E$102,5)*0.5*(VLOOKUP($FM9-GM$103,Frauen!$G$9:$J$102,4)+VLOOKUP($FM9-GM$103+1,Frauen!$G$9:$J$102,4))*0.5*(VLOOKUP($FM9-GM$103,Frauen!$AZ$9:$BD$102,5)+VLOOKUP($FM9-GM$103+1,Frauen!$AZ$9:$BD$102,5)),RundDx)</f>
        <v>601449589</v>
      </c>
      <c r="GN9" s="25">
        <f>ROUND(v^($FM9+FaktorAlter)*VLOOKUP($FM9,$G$9:$J$102,4)*VLOOKUP($FM9,$A$9:$E$102,5)*0.5*(VLOOKUP($FM9-GN$103,Frauen!$G$9:$J$102,4)+VLOOKUP($FM9-GN$103+1,Frauen!$G$9:$J$102,4))*0.5*(VLOOKUP($FM9-GN$103,Frauen!$AZ$9:$BD$102,5)+VLOOKUP($FM9-GN$103+1,Frauen!$AZ$9:$BD$102,5)),RundDx)</f>
        <v>616992448</v>
      </c>
      <c r="GO9" s="25">
        <f>ROUND(v^($FM9+FaktorAlter)*VLOOKUP($FM9,$G$9:$J$102,4)*VLOOKUP($FM9,$A$9:$E$102,5)*0.5*(VLOOKUP($FM9-GO$103,Frauen!$G$9:$J$102,4)+VLOOKUP($FM9-GO$103+1,Frauen!$G$9:$J$102,4))*0.5*(VLOOKUP($FM9-GO$103,Frauen!$AZ$9:$BD$102,5)+VLOOKUP($FM9-GO$103+1,Frauen!$AZ$9:$BD$102,5)),RundDx)</f>
        <v>632369783</v>
      </c>
      <c r="GP9" s="25">
        <f>ROUND(v^($FM9+FaktorAlter)*VLOOKUP($FM9,$G$9:$J$102,4)*VLOOKUP($FM9,$A$9:$E$102,5)*0.5*(VLOOKUP($FM9-GP$103,Frauen!$G$9:$J$102,4)+VLOOKUP($FM9-GP$103+1,Frauen!$G$9:$J$102,4))*0.5*(VLOOKUP($FM9-GP$103,Frauen!$AZ$9:$BD$102,5)+VLOOKUP($FM9-GP$103+1,Frauen!$AZ$9:$BD$102,5)),RundDx)</f>
        <v>647594645</v>
      </c>
      <c r="GQ9" s="25">
        <f>ROUND(v^($FM9+FaktorAlter)*VLOOKUP($FM9,$G$9:$J$102,4)*VLOOKUP($FM9,$A$9:$E$102,5)*0.5*(VLOOKUP($FM9-GQ$103,Frauen!$G$9:$J$102,4)+VLOOKUP($FM9-GQ$103+1,Frauen!$G$9:$J$102,4))*0.5*(VLOOKUP($FM9-GQ$103,Frauen!$AZ$9:$BD$102,5)+VLOOKUP($FM9-GQ$103+1,Frauen!$AZ$9:$BD$102,5)),RundDx)</f>
        <v>662635385</v>
      </c>
      <c r="GR9" s="25">
        <f>ROUND(v^($FM9+FaktorAlter)*VLOOKUP($FM9,$G$9:$J$102,4)*VLOOKUP($FM9,$A$9:$E$102,5)*0.5*(VLOOKUP($FM9-GR$103,Frauen!$G$9:$J$102,4)+VLOOKUP($FM9-GR$103+1,Frauen!$G$9:$J$102,4))*0.5*(VLOOKUP($FM9-GR$103,Frauen!$AZ$9:$BD$102,5)+VLOOKUP($FM9-GR$103+1,Frauen!$AZ$9:$BD$102,5)),RundDx)</f>
        <v>677422288</v>
      </c>
      <c r="GS9" s="24">
        <f>ROUND(SUM(FN9:FN$56)/VLOOKUP($FM9,$AQ$9:$AR$102,2)/VLOOKUP($FM9-GS$103,Frauen!$G$9:$J$102,4),Rundäx)</f>
        <v>0.97</v>
      </c>
      <c r="GT9" s="24">
        <f>ROUND(SUM(FO9:FO$56)/VLOOKUP($FM9,$AQ$9:$AR$102,2)/VLOOKUP($FM9-GT$103,Frauen!$G$9:$J$102,4),Rundäx)</f>
        <v>1.1080000000000001</v>
      </c>
      <c r="GU9" s="24">
        <f>ROUND(SUM(FP9:FP$56)/VLOOKUP($FM9,$AQ$9:$AR$102,2)/VLOOKUP($FM9-GU$103,Frauen!$G$9:$J$102,4),Rundäx)</f>
        <v>1.26</v>
      </c>
      <c r="GV9" s="24">
        <f>ROUND(SUM(FQ9:FQ$56)/VLOOKUP($FM9,$AQ$9:$AR$102,2)/VLOOKUP($FM9-GV$103,Frauen!$G$9:$J$102,4),Rundäx)</f>
        <v>1.427</v>
      </c>
      <c r="GW9" s="24">
        <f>ROUND(SUM(FR9:FR$56)/VLOOKUP($FM9,$AQ$9:$AR$102,2)/VLOOKUP($FM9-GW$103,Frauen!$G$9:$J$102,4),Rundäx)</f>
        <v>1.607</v>
      </c>
      <c r="GX9" s="24">
        <f>ROUND(SUM(FS9:FS$56)/VLOOKUP($FM9,$AQ$9:$AR$102,2)/VLOOKUP($FM9-GX$103,Frauen!$G$9:$J$102,4),Rundäx)</f>
        <v>1.8</v>
      </c>
      <c r="GY9" s="24">
        <f>ROUND(SUM(FT9:FT$56)/VLOOKUP($FM9,$AQ$9:$AR$102,2)/VLOOKUP($FM9-GY$103,Frauen!$G$9:$J$102,4),Rundäx)</f>
        <v>2.0059999999999998</v>
      </c>
      <c r="GZ9" s="24">
        <f>ROUND(SUM(FU9:FU$56)/VLOOKUP($FM9,$AQ$9:$AR$102,2)/VLOOKUP($FM9-GZ$103,Frauen!$G$9:$J$102,4),Rundäx)</f>
        <v>2.2250000000000001</v>
      </c>
      <c r="HA9" s="86"/>
      <c r="HB9" s="35">
        <f>RAM</f>
        <v>65</v>
      </c>
      <c r="HC9" s="24">
        <f>ROUND(SUM(FV9:FV$56)/VLOOKUP($FM9,$AQ$9:$AR$102,2)/VLOOKUP($FM9-HC$103,Frauen!$G$9:$J$102,4),Rundäx)</f>
        <v>2.4550000000000001</v>
      </c>
      <c r="HD9" s="24">
        <f>ROUND(SUM(FW9:FW$56)/VLOOKUP($FM9,$AQ$9:$AR$102,2)/VLOOKUP($FM9-HD$103,Frauen!$G$9:$J$102,4),Rundäx)</f>
        <v>2.698</v>
      </c>
      <c r="HE9" s="24">
        <f>ROUND(SUM(FX9:FX$56)/VLOOKUP($FM9,$AQ$9:$AR$102,2)/VLOOKUP($FM9-HE$103,Frauen!$G$9:$J$102,4),Rundäx)</f>
        <v>2.9529999999999998</v>
      </c>
      <c r="HF9" s="24">
        <f>ROUND(SUM(FY9:FY$56)/VLOOKUP($FM9,$AQ$9:$AR$102,2)/VLOOKUP($FM9-HF$103,Frauen!$G$9:$J$102,4),Rundäx)</f>
        <v>3.22</v>
      </c>
      <c r="HG9" s="24">
        <f>ROUND(SUM(FZ9:FZ$56)/VLOOKUP($FM9,$AQ$9:$AR$102,2)/VLOOKUP($FM9-HG$103,Frauen!$G$9:$J$102,4),Rundäx)</f>
        <v>3.4980000000000002</v>
      </c>
      <c r="HH9" s="24">
        <f>ROUND(SUM(GA9:GA$56)/VLOOKUP($FM9,$AQ$9:$AR$102,2)/VLOOKUP($FM9-HH$103,Frauen!$G$9:$J$102,4),Rundäx)</f>
        <v>3.7890000000000001</v>
      </c>
      <c r="HI9" s="24">
        <f>ROUND(SUM(GB9:GB$56)/VLOOKUP($FM9,$AQ$9:$AR$102,2)/VLOOKUP($FM9-HI$103,Frauen!$G$9:$J$102,4),Rundäx)</f>
        <v>4.09</v>
      </c>
      <c r="HJ9" s="24">
        <f>ROUND(SUM(GC9:GC$56)/VLOOKUP($FM9,$AQ$9:$AR$102,2)/VLOOKUP($FM9-HJ$103,Frauen!$G$9:$J$102,4),Rundäx)</f>
        <v>4.4009999999999998</v>
      </c>
      <c r="HK9" s="86"/>
      <c r="HL9" s="35">
        <f>RAM</f>
        <v>65</v>
      </c>
      <c r="HM9" s="24">
        <f>ROUND(SUM(GD9:GD$56)/VLOOKUP($FM9,$AQ$9:$AR$102,2)/VLOOKUP($FM9-HM$103,Frauen!$G$9:$J$102,4),Rundäx)</f>
        <v>4.7220000000000004</v>
      </c>
      <c r="HN9" s="24">
        <f>ROUND(SUM(GE9:GE$56)/VLOOKUP($FM9,$AQ$9:$AR$102,2)/VLOOKUP($FM9-HN$103,Frauen!$G$9:$J$102,4),Rundäx)</f>
        <v>5.0540000000000003</v>
      </c>
      <c r="HO9" s="24">
        <f>ROUND(SUM(GF9:GF$56)/VLOOKUP($FM9,$AQ$9:$AR$102,2)/VLOOKUP($FM9-HO$103,Frauen!$G$9:$J$102,4),Rundäx)</f>
        <v>5.3940000000000001</v>
      </c>
      <c r="HP9" s="24">
        <f>ROUND(SUM(GG9:GG$56)/VLOOKUP($FM9,$AQ$9:$AR$102,2)/VLOOKUP($FM9-HP$103,Frauen!$G$9:$J$102,4),Rundäx)</f>
        <v>5.7430000000000003</v>
      </c>
      <c r="HQ9" s="24">
        <f>ROUND(SUM(GH9:GH$56)/VLOOKUP($FM9,$AQ$9:$AR$102,2)/VLOOKUP($FM9-HQ$103,Frauen!$G$9:$J$102,4),Rundäx)</f>
        <v>6.1</v>
      </c>
      <c r="HR9" s="24">
        <f>ROUND(SUM(GI9:GI$56)/VLOOKUP($FM9,$AQ$9:$AR$102,2)/VLOOKUP($FM9-HR$103,Frauen!$G$9:$J$102,4),Rundäx)</f>
        <v>6.4630000000000001</v>
      </c>
      <c r="HS9" s="24">
        <f>ROUND(SUM(GJ9:GJ$56)/VLOOKUP($FM9,$AQ$9:$AR$102,2)/VLOOKUP($FM9-HS$103,Frauen!$G$9:$J$102,4),Rundäx)</f>
        <v>6.8330000000000002</v>
      </c>
      <c r="HT9" s="24">
        <f>ROUND(SUM(GK9:GK$56)/VLOOKUP($FM9,$AQ$9:$AR$102,2)/VLOOKUP($FM9-HT$103,Frauen!$G$9:$J$102,4),Rundäx)</f>
        <v>7.2080000000000002</v>
      </c>
      <c r="HU9" s="86"/>
      <c r="HV9" s="35">
        <f>RAM</f>
        <v>65</v>
      </c>
      <c r="HW9" s="24">
        <f>ROUND(SUM(GL9:GL$56)/VLOOKUP($FM9,$AQ$9:$AR$102,2)/VLOOKUP($FM9-HW$103,Frauen!$G$9:$J$102,4),Rundäx)</f>
        <v>7.5860000000000003</v>
      </c>
      <c r="HX9" s="24">
        <f>ROUND(SUM(GM9:GM$56)/VLOOKUP($FM9,$AQ$9:$AR$102,2)/VLOOKUP($FM9-HX$103,Frauen!$G$9:$J$102,4),Rundäx)</f>
        <v>7.968</v>
      </c>
      <c r="HY9" s="24">
        <f>ROUND(SUM(GN9:GN$56)/VLOOKUP($FM9,$AQ$9:$AR$102,2)/VLOOKUP($FM9-HY$103,Frauen!$G$9:$J$102,4),Rundäx)</f>
        <v>8.3510000000000009</v>
      </c>
      <c r="HZ9" s="24">
        <f>ROUND(SUM(GO9:GO$56)/VLOOKUP($FM9,$AQ$9:$AR$102,2)/VLOOKUP($FM9-HZ$103,Frauen!$G$9:$J$102,4),Rundäx)</f>
        <v>8.7349999999999994</v>
      </c>
      <c r="IA9" s="24">
        <f>ROUND(SUM(GP9:GP$56)/VLOOKUP($FM9,$AQ$9:$AR$102,2)/VLOOKUP($FM9-IA$103,Frauen!$G$9:$J$102,4),Rundäx)</f>
        <v>9.1199999999999992</v>
      </c>
      <c r="IB9" s="24">
        <f>ROUND(SUM(GQ9:GQ$56)/VLOOKUP($FM9,$AQ$9:$AR$102,2)/VLOOKUP($FM9-IB$103,Frauen!$G$9:$J$102,4),Rundäx)</f>
        <v>9.5050000000000008</v>
      </c>
      <c r="IC9" s="24">
        <f>ROUND(SUM(GR9:GR$56)/VLOOKUP($FM9,$AQ$9:$AR$102,2)/VLOOKUP($FM9-IC$103,Frauen!$G$9:$J$102,4),Rundäx)</f>
        <v>9.8889999999999993</v>
      </c>
      <c r="ID9" s="89"/>
      <c r="IE9" s="35">
        <f>BeginnAlter</f>
        <v>17</v>
      </c>
      <c r="IF9" s="25">
        <f>IF($IE9&lt;RAM,IF(S10&lt;=RAK,ROUND(v^($IE9+FaktorAlter)*$H9*($B9*0.5*($R9+$R10)*(VLOOKUP(TRUNC(0.5*($S9+$S10),0),$BF$9:$BH$102,3)+(0.5*($S9+$S10)-TRUNC(0.5*($S9+$S10),0))*(VLOOKUP(TRUNC(0.5*($S9+$S10)+1,0),$BF$9:$BH$102,3)-VLOOKUP(TRUNC(0.5*($S9+$S10),0),$BF$9:$BH$102,3)))+$C9*0.5*($IL9+$IL10)),RundDx),0),"")</f>
        <v>94</v>
      </c>
      <c r="IG9" s="25">
        <f>IF($IE9&lt;RAM,IF(S10&lt;=RAK,ROUND(SUM(IF9:INDEX(Dakx,RAM-BeginnAlter))+INDEX(Dax,RAM-BeginnAlter+1)*INDEX(äkx,1),RundDx),0),"")</f>
        <v>20272</v>
      </c>
      <c r="IH9" s="25">
        <f>IF($IE9&lt;RAM,IF(S10&lt;=RAK,ROUND(SUM(IG9:INDEX(Nakx,RAM-BeginnAlter))+INDEX(Dax,RAM-BeginnAlter+1)*INDEX(äkx,1),RundDx),0),"")</f>
        <v>446680</v>
      </c>
      <c r="II9" s="24">
        <f>IF($IE9&lt;RAM,IF(S10&lt;=RAK,ROUND(IG9/$Y9,Rundäx),0),"")</f>
        <v>0.29599999999999999</v>
      </c>
      <c r="IJ9" s="25">
        <f>IF($IE9&lt;RAM,IF(S10&lt;=RAK,ROUND(v^($IE9+FaktorAlter)*$L9*$D9*0.5*($R9+$R10)*(VLOOKUP(TRUNC(0.5*($S9+$S10),0),$BF$9:$BH$102,3)+(0.5*($S9+$S10)-TRUNC(0.5*($S9+$S10),0))*(VLOOKUP(TRUNC(0.5*($S9+$S10)+1,0),$BF$9:$BH$102,3)-VLOOKUP(TRUNC(0.5*($S9+$S10),0),$BF$9:$BH$102,3))),RundDx),0),"")</f>
        <v>15</v>
      </c>
      <c r="IK9" s="25">
        <f>IF($IE9&lt;RAM,IF(S10&lt;=RAK,SUM(IJ9:INDEX(Dikx,RAM-BeginnAlter))+INDEX(Dix,RAM-BeginnAlter+1)*INDEX(äkx,1),0),"")</f>
        <v>473168.83199999999</v>
      </c>
      <c r="IL9" s="24">
        <f>IF($IE9&lt;RAM,IF(S10&lt;=RAK,ROUND(IK9/$AI9,Rundäx),0),IF(IE9&gt;RAM,"",INDEX(äkx,1)))</f>
        <v>3.4689999999999999</v>
      </c>
      <c r="IM9" s="86"/>
      <c r="IN9" s="35">
        <f>RAM</f>
        <v>65</v>
      </c>
      <c r="IO9" s="25">
        <f>IF(AND(VLOOKUP(IN9+1,O$9:S$102,5)&lt;=RAK,VLOOKUP(IN9+1,O$9:S$102,5)&lt;&gt;""),ROUND(v^($IN9+FaktorAlter)*VLOOKUP(IN9,G$9:J$102,4)*VLOOKUP(IN9,A$9:E$102,5)*0.5*(VLOOKUP(IN9,O$9:R$102,4)+VLOOKUP(IN9+1,O$9:R$102,4))*(VLOOKUP(TRUNC(0.5*(VLOOKUP(IN9,O$9:S$102,5)+VLOOKUP(IN9+1,O$9:S$102,5)),0),$BF$9:$BH$36,3)+(0.5*(VLOOKUP(IN9,O$9:S$102,5)+VLOOKUP(IN9+1,O$9:S$102,5))-TRUNC(0.5*(VLOOKUP(IN9,O$9:S$102,5)+VLOOKUP(IN9+1,O$9:S$102,5)),0))*(VLOOKUP(TRUNC(0.5*(VLOOKUP(IN9,O$9:S$102,5)+VLOOKUP(IN9+1,O$9:S$102,5))+1,0),$BF$9:$BH$36,3)-VLOOKUP(TRUNC(0.5*(VLOOKUP(IN9,O$9:S$102,5)+VLOOKUP(IN9+1,O$9:S$102,5)),0),$BF$9:$BH$36,3))),RundDx),0)</f>
        <v>20</v>
      </c>
      <c r="IP9" s="25">
        <f>IF(AND(VLOOKUP(IN9+1,O$9:S$102,5)&lt;=RAK,VLOOKUP(IN9+1,O$9:S$102,5)&lt;&gt;""),SUM(IO9:IO$102),0)</f>
        <v>161</v>
      </c>
      <c r="IQ9" s="24">
        <f>IF(VLOOKUP(IN9+1,O$9:S$102,5)&lt;=RAK,ROUND(IP9/INDEX(Dx,$IN9-BeginnAlter+1),Rundäx),0)</f>
        <v>8.0000000000000002E-3</v>
      </c>
      <c r="IR9" s="86"/>
    </row>
    <row r="10" spans="1:252" ht="15.75" customHeight="1" x14ac:dyDescent="0.25">
      <c r="A10" s="35">
        <f>1+A9</f>
        <v>18</v>
      </c>
      <c r="B10" s="77">
        <v>3.0993955000000004E-4</v>
      </c>
      <c r="C10" s="77">
        <v>3.8993954999999998E-4</v>
      </c>
      <c r="D10" s="77">
        <v>2.1426113401113436E-3</v>
      </c>
      <c r="E10" s="77">
        <v>3.1006201240246778E-4</v>
      </c>
      <c r="F10" s="86"/>
      <c r="G10" s="35">
        <f>1+G9</f>
        <v>18</v>
      </c>
      <c r="H10" s="25">
        <f>IF(G10&lt;=RAM,ROUND(H9*(1-B9-C9),Rundlx),"")</f>
        <v>99942</v>
      </c>
      <c r="I10" s="25">
        <f>IF(G10&lt;=RAM,ROUND(H9*C9*(1-D9)/(1-0.5*D9)+I9*(1-D9),RundIx),"")</f>
        <v>38</v>
      </c>
      <c r="J10" s="25">
        <f>IF(G10&lt;=RAM,H10+I10,ROUND(J9*(1-E9),Rundlx))</f>
        <v>99980</v>
      </c>
      <c r="K10" s="30">
        <f>IF(J10&gt;0,ROUND(SUM(J10:J$102)/J10-0.5,Rundex),"")</f>
        <v>60.83</v>
      </c>
      <c r="L10" s="25">
        <f t="shared" ref="L10:L73" si="0">IF(G10&gt;=RAM,J10,ROUND(L11/(1-D10),Rundlx))</f>
        <v>199057</v>
      </c>
      <c r="M10" s="30">
        <f>IF(L10&gt;0,ROUND(SUM(L10:L$102)/L10-0.5,Rundex),"")</f>
        <v>41.94</v>
      </c>
      <c r="N10" s="86"/>
      <c r="O10" s="35">
        <f>1+O9</f>
        <v>18</v>
      </c>
      <c r="P10" s="43">
        <v>8.0000000000000002E-3</v>
      </c>
      <c r="Q10" s="78">
        <v>19.132549980832156</v>
      </c>
      <c r="R10" s="43">
        <v>0.02</v>
      </c>
      <c r="S10" s="78">
        <v>0.02</v>
      </c>
      <c r="T10" s="15">
        <v>3.1105393559882621E-4</v>
      </c>
      <c r="U10" s="11">
        <f>ROUND(U9*(1-T9),Rundlx)</f>
        <v>99980</v>
      </c>
      <c r="V10" s="30">
        <f>IF(U10&gt;0,ROUND(SUM(U10:U$102)/U10-0.5,Rundex),"")</f>
        <v>58.47</v>
      </c>
      <c r="W10" s="86"/>
      <c r="X10" s="35">
        <f>1+X9</f>
        <v>18</v>
      </c>
      <c r="Y10" s="25">
        <f t="shared" ref="Y10:Y73" si="1">IF($X10&lt;=RAM,ROUND(v^X10*H10,RundDx)," ")</f>
        <v>66959</v>
      </c>
      <c r="Z10" s="25">
        <f>IF($X10&lt;RAM,SUM(Y10:INDEX(Dax,RAM-BeginnAlter))," ")</f>
        <v>1877999</v>
      </c>
      <c r="AA10" s="25">
        <f t="shared" ref="AA10:AA73" si="2">IF($X10&lt;RAM,ROUND(v^($X10+FaktorAlter)*$H10*$B10,RundCx)," ")</f>
        <v>21</v>
      </c>
      <c r="AB10" s="25">
        <f>IF($X10&lt;RAM,SUM(AA10:INDEX(Cax,RAM-BeginnAlter))," ")</f>
        <v>2841</v>
      </c>
      <c r="AC10" s="25">
        <f t="shared" ref="AC10:AC73" si="3">IF($X10&lt;RAM,ROUND(v^(X10+FaktorAlter)*$H10*$C10,RundCx)," ")</f>
        <v>26</v>
      </c>
      <c r="AD10" s="25">
        <f>IF($X10&lt;RAM,SUM(AC10:INDEX(Caix,RAM-BeginnAlter))," ")</f>
        <v>8129</v>
      </c>
      <c r="AE10" s="24">
        <f t="shared" ref="AE10:AE73" si="4">IF($X10&lt;RAM,ROUND(Z10/Y10,Rundäx)," ")</f>
        <v>28.047000000000001</v>
      </c>
      <c r="AF10" s="24">
        <f t="shared" ref="AF10:AF73" si="5">IF($X10&lt;RAM,ROUND(AE10-(m-1)/(2*m)*((Y10-INDEX(Dax,RAM-BeginnAlter+1))/Y10),Rundäx)," ")</f>
        <v>27.69</v>
      </c>
      <c r="AG10" s="86"/>
      <c r="AH10" s="35">
        <f>1+AH9</f>
        <v>18</v>
      </c>
      <c r="AI10" s="25">
        <f t="shared" ref="AI10:AI73" si="6">IF($AH10&lt;=RAM,ROUND(v^AH10*L10,RundDx)," ")</f>
        <v>133364</v>
      </c>
      <c r="AJ10" s="25">
        <f>IF($AH10&gt;RAM," ",IF($AH10&lt;RAM,SUM(AI10:INDEX(Dix,RAM-BeginnAlter))+INDEX(Nx,RAM-BeginnAlter+1),INDEX(Nx,RAM-BeginnAlter+1)))</f>
        <v>3392358</v>
      </c>
      <c r="AK10" s="25">
        <f>IF($AH10&lt;RAM,SUM(AI10:INDEX(Dix,RAM-BeginnAlter))," ")</f>
        <v>3095111</v>
      </c>
      <c r="AL10" s="24">
        <f t="shared" ref="AL10:AL73" si="7">IF($AH10&gt;RAM," ",ROUND(AJ10/AI10,Rundäx))</f>
        <v>25.437000000000001</v>
      </c>
      <c r="AM10" s="24">
        <f t="shared" ref="AM10:AM73" si="8">IF($AH10&gt;RAM," ",ROUND(AJ10/AI10-(m-1)/(2*m),Rundäx))</f>
        <v>24.978999999999999</v>
      </c>
      <c r="AN10" s="24">
        <f t="shared" ref="AN10:AN73" si="9">IF($AH10&lt;RAM,ROUND(AK10/AI10,Rundäx)," ")</f>
        <v>23.207999999999998</v>
      </c>
      <c r="AO10" s="24">
        <f t="shared" ref="AO10:AO73" si="10">IF($AH10&lt;RAM,ROUND(AK10/AI10-(m-1)/(2*m)*(AI10-INDEX(Dix,RAM-BeginnAlter+1))/AI10,Rundäx)," ")</f>
        <v>22.82</v>
      </c>
      <c r="AP10" s="86"/>
      <c r="AQ10" s="35">
        <f>1+AQ9</f>
        <v>18</v>
      </c>
      <c r="AR10" s="25">
        <f t="shared" ref="AR10:AR73" si="11">ROUND(v^AQ10*J10,RundDx)</f>
        <v>66984</v>
      </c>
      <c r="AS10" s="25">
        <f>SUM(AR10:AR$94)</f>
        <v>2228412</v>
      </c>
      <c r="AT10" s="25">
        <f>IF($AQ10&lt;RAM,SUM(AR10:INDEX(Dx,RAM-BeginnAlter))," ")</f>
        <v>1931165</v>
      </c>
      <c r="AU10" s="24">
        <f t="shared" ref="AU10:AU73" si="12">IF(AR10&gt;0,ROUND(AS10/AR10,Rundäx)," ")</f>
        <v>33.268000000000001</v>
      </c>
      <c r="AV10" s="24">
        <f t="shared" ref="AV10:AV73" si="13">IF(AR10&gt;0,ROUND(AS10/AR10-(m-1)/(2*m),Rundäx)," ")</f>
        <v>32.808999999999997</v>
      </c>
      <c r="AW10" s="24">
        <f t="shared" ref="AW10:AW73" si="14">IF($AQ10&lt;RAM,ROUND(AT10/AR10,Rundäx)," ")</f>
        <v>28.83</v>
      </c>
      <c r="AX10" s="24">
        <f t="shared" ref="AX10:AX73" si="15">IF($AQ10&lt;RAM,ROUND(AT10/AR10-(m-1)/(2*m)*(AR10-INDEX(Dx,RAM-BeginnAlter+1))/AR10,Rundäx)," ")</f>
        <v>28.512</v>
      </c>
      <c r="AY10" s="86"/>
      <c r="AZ10" s="35">
        <f>1+AZ9</f>
        <v>18</v>
      </c>
      <c r="BA10" s="25">
        <f t="shared" ref="BA10:BA73" si="16">ROUND(v^AZ10*U10,0)</f>
        <v>66984</v>
      </c>
      <c r="BB10" s="25">
        <f>SUM(BA10:BA$94)</f>
        <v>2186350</v>
      </c>
      <c r="BC10" s="24">
        <f t="shared" ref="BC10:BC73" si="17">IF(BA10&gt;0,ROUND(BB10/BA10,Rundäx)," ")</f>
        <v>32.64</v>
      </c>
      <c r="BD10" s="24">
        <f t="shared" ref="BD10:BD73" si="18">IF(BA10&gt;0,ROUND(BB10/BA10-(m-1)/(2*m),Rundäx),0)</f>
        <v>32.182000000000002</v>
      </c>
      <c r="BE10" s="86"/>
      <c r="BF10" s="35">
        <f>1+BF9</f>
        <v>1</v>
      </c>
      <c r="BG10" s="24">
        <f t="shared" ref="BG10:BG73" si="19">IF($BF10&lt;RAK,IF(Zins&lt;&gt;0,ROUND((1-v^(RAK-$BF10))/(1-v),Rundäx),RAK-$BF10),IF($BF10&gt;RAK,"",0))</f>
        <v>18.803000000000001</v>
      </c>
      <c r="BH10" s="24">
        <f t="shared" ref="BH10:BH73" si="20">IF($BF10&lt;RAK,IF(Zins&lt;&gt;0,ROUND((1-v^(RAK-$BF10))/(1-v)-(m-1)/(2*m)*(1-v^(RAK-$BF10)),Rundäx),RAK-$BF10),IF($BF10&gt;RAK,"",0))</f>
        <v>18.613</v>
      </c>
      <c r="BI10" s="86"/>
      <c r="BJ10" s="35">
        <f>1+BJ9</f>
        <v>18</v>
      </c>
      <c r="BK10" s="25">
        <f t="shared" ref="BK10:BK73" si="21">IF(BJ10&lt;RAM,ROUND(v^(BJ10+FaktorAlter)*$H10*$C10*0.5*(AM10+AM11),RundDx)," ")</f>
        <v>640</v>
      </c>
      <c r="BL10" s="25">
        <f>IF(BJ10&lt;RAM,SUM(BK10:INDEX(Daix,RAM-BeginnAlter))," ")</f>
        <v>135595</v>
      </c>
      <c r="BM10" s="25">
        <f>IF(BJ10&lt;RAM,SUM(BL10:INDEX(Naix,RAM-BeginnAlter))," ")</f>
        <v>4933425</v>
      </c>
      <c r="BN10" s="24">
        <f t="shared" ref="BN10:BN73" si="22">IF(BJ10&lt;RAM,ROUND(INDEX(Dax,RAM-BeginnAlter+1)/Y10*INDEX(ämx,RAM-BeginnAlter+1),Rundäx)," ")</f>
        <v>3.1030000000000002</v>
      </c>
      <c r="BO10" s="24">
        <f t="shared" ref="BO10:BO73" si="23">IF(BJ10&lt;RAM,ROUND(BL10/Y10,Rundäx)," ")</f>
        <v>2.0249999999999999</v>
      </c>
      <c r="BP10" s="86"/>
      <c r="BQ10" s="35">
        <f>1+BQ9</f>
        <v>18</v>
      </c>
      <c r="BR10" s="25">
        <f>IF(BQ10&lt;RAM,ROUND(v^(BQ10+FaktorAlter)*C10*H10*(0.5*(AM10+AM11)-v^FaktorAlter*(1-D10)/(1-0.5*D10)*INDEX(Dix,RAM-BeginnAlter+1)/AI11*INDEX(äimx,RAM-BeginnAlter+1)),RundDx)," ")</f>
        <v>583</v>
      </c>
      <c r="BS10" s="25">
        <f>IF(BQ10&lt;RAM,SUM(BR10:INDEX(Daixs,RAM-BeginnAlter))," ")</f>
        <v>55546</v>
      </c>
      <c r="BT10" s="25">
        <f>IF(BQ10&lt;RAM,SUM(BS10:INDEX(Naixs,RAM-BeginnAlter))," ")</f>
        <v>1663496</v>
      </c>
      <c r="BU10" s="24">
        <f>IF(BQ10&lt;RAM,ROUND((1-I10/L10)*INDEX(ämx,RAM-BeginnAlter+1)/Y10*INDEX(Dx,RAM-BeginnAlter+1),Rundäx)," ")</f>
        <v>4.298</v>
      </c>
      <c r="BV10" s="24">
        <f>IF(BQ10&lt;RAM,ROUND(BS10/Y10,Rundäx)," ")</f>
        <v>0.83</v>
      </c>
      <c r="BW10" s="86"/>
      <c r="BX10" s="35">
        <f>1+BX9</f>
        <v>18</v>
      </c>
      <c r="BY10" s="10">
        <f t="shared" ref="BY10:BY73" si="24">IF(S11&lt;=RAK,IF(ROUND($BX10+FaktorAlter+RAK-0.5*($S10+$S11),0)&lt;$BX10+1,"",IF(ROUND($BX10+FaktorAlter+RAK-0.5*($S10+$S11),0)&lt;RAM,0.5*($AM10+$AM11)-v^FaktorAlter*(1-$D10)/(1-0.5*$D10)/$AI11*VLOOKUP(ROUND($BX10+FaktorAlter+RAK-0.5*($S10+$S11),0),$AH$9:$AM$102,2)*VLOOKUP(ROUND($BX10+FaktorAlter+RAK-0.5*($S10+$S11),0),$AH$9:$AM$102,6),IF($BX10&lt;RAM,(0.5*($AM10+$AM11)-v^FaktorAlter*(1-$D10)/(1-0.5*$D10)/$AI11*VLOOKUP(ROUND($BX10+FaktorAlter+RAK-0.5*($S10+$S11),0),$AQ$9:$AX$102,2)*VLOOKUP(ROUND($BX10+FaktorAlter+RAK-0.5*($S10+$S11),0),$AQ$9:$AX$102,6)),""))),"")</f>
        <v>16.78738913833579</v>
      </c>
      <c r="BZ10" s="11">
        <f t="shared" ref="BZ10:BZ73" si="25">IF(S11&lt;=RAK,IF($BX10&lt;RAM,ROUND(v^($BX10+FaktorAlter)*$H10*$C10*0.5*($R10+$R11)*BY10,RundDx),""),"")</f>
        <v>11</v>
      </c>
      <c r="CA10" s="25">
        <f>IF(S11&lt;=RAK,IF($BX10&lt;RAM,SUM(BZ10:INDEX(Dazx,RAM-BeginnAlter)),""),"")</f>
        <v>22269</v>
      </c>
      <c r="CB10" s="24">
        <f t="shared" ref="CB10:CB73" si="26">IF(S11&lt;=RAK,IF($BX10&lt;RAM,ROUND($CA10/$Y10,Rundäx),""),"")</f>
        <v>0.33300000000000002</v>
      </c>
      <c r="CC10" s="25">
        <f t="shared" ref="CC10:CC73" si="27">IF(AND(S10&lt;=RAK,S10&lt;&gt;""),ROUND((1-MOD($BX10+RAK-S10,1))*INDEX(Dx,INT($BX10+RAK-S10-BeginnAlter+1))+MOD($BX10+RAK-S10,1)*INDEX(Dx,INT($BX10+RAK-S10-BeginnAlter+1)+1),RundDx),0)</f>
        <v>37621</v>
      </c>
      <c r="CD10" s="24">
        <f t="shared" ref="CD10:CD73" si="28">IF(AND(S10&lt;=RAK,S10&lt;&gt;""),ROUND((1-MOD($BX10+RAK-MIN(S10,RAK),1))*INDEX(ämx,INT($BX10+RAK-MIN(S10,RAK)-BeginnAlter+1))+MOD($BX10+RAK-MIN(S10,RAK),1)*INDEX(ämx,INT($BX10+RAK-MIN(S10,RAK)-BeginnAlter+1)+1),Rundäx),0)</f>
        <v>24.516999999999999</v>
      </c>
      <c r="CE10" s="24">
        <f t="shared" ref="CE10:CE73" si="29">IF(S11&lt;=RAK,IF($BX10&lt;=RAM,ROUND((INDEX(ämx,RAM-BeginnAlter+1)-INDEX(Ds25zs,RAM-BeginnAlter+1)/INDEX(Dx,RAM-BeginnAlter+1)*INDEX(äms25zs,RAM-BeginnAlter+1))*INDEX(kx,RAM-BeginnAlter+1)*INDEX(Dax,RAM-BeginnAlter+1)/$Y10,Rundäx),""),"")</f>
        <v>1.4999999999999999E-2</v>
      </c>
      <c r="CF10" s="86"/>
      <c r="CG10" s="35">
        <f>1+CG9</f>
        <v>18</v>
      </c>
      <c r="CH10" s="25">
        <f>IF(CG10&lt;RAM,ROUND(v^($CG10+FaktorAlter)*$H10*($B10*0.5*($P10+$P11)*(VLOOKUP(TRUNC(0.5*($Q10+$Q11),0),Frauen!$AZ$9:$BD$95,5)+(0.5*($Q10+$Q11)-TRUNC(0.5*($Q10+$Q11),0))*(VLOOKUP(TRUNC(0.5*($Q10+$Q11)+1,0),Frauen!$AZ$9:$BD$95,5)-VLOOKUP(TRUNC(0.5*($Q10+$Q11),0),Frauen!$AZ$9:$BD$95,5)))+$C10*0.5*($CN10+$CN11)),RundDx),"")</f>
        <v>146</v>
      </c>
      <c r="CI10" s="25">
        <f>IF(CG10&lt;RAM,ROUND(SUM(CH10:INDEX(Dawx,RAM-BeginnAlter))+INDEX(Dax,RAM-BeginnAlter+1)*INDEX(äwx,1),RundDx),"")</f>
        <v>169555</v>
      </c>
      <c r="CJ10" s="25">
        <f>IF(CG10&lt;RAM,ROUND(SUM(CI10:INDEX(Nawx,RAM-BeginnAlter))+INDEX(Dax,RAM-BeginnAlter+1)*INDEX(äwx,1),RundDx),"")</f>
        <v>7003080</v>
      </c>
      <c r="CK10" s="24">
        <f>IF(CG10&lt;RAM,ROUND(CI10/$Y10,Rundäx),"")</f>
        <v>2.532</v>
      </c>
      <c r="CL10" s="25">
        <f>IF(CG10&lt;RAM,ROUND(v^($CG10+FaktorAlter)*$L10*$D10*0.5*($P10+$P11)*(VLOOKUP(TRUNC(0.5*($Q10+$Q11),0),Frauen!$AZ$9:$BD$95,5)+(0.5*($Q10+$Q11)-TRUNC(0.5*($Q10+$Q11),0))*(VLOOKUP(TRUNC(0.5*($Q10+$Q11)+1,0),Frauen!$AZ$9:$BD$95,5)-VLOOKUP(TRUNC(0.5*($Q10+$Q11),0),Frauen!$AZ$9:$BD$95,5))),RundDx),"")</f>
        <v>100</v>
      </c>
      <c r="CM10" s="25">
        <f>IF(CG10&lt;RAM,SUM(CL10:INDEX(Diwx,RAM-BeginnAlter))+INDEX(Dix,RAM-BeginnAlter+1)*INDEX(äwx,1),"")</f>
        <v>707917.41399999999</v>
      </c>
      <c r="CN10" s="24">
        <f>IF(CG10&lt;RAM,ROUND(CM10/$AI10,Rundäx),IF(CG10&gt;RAM,"",INDEX(äwx,1)))</f>
        <v>5.3079999999999998</v>
      </c>
      <c r="CO10" s="86"/>
      <c r="CP10" s="35">
        <f>1+CP9</f>
        <v>66</v>
      </c>
      <c r="CQ10" s="11">
        <f>ROUND(v^($CP10+FaktorAlter)*VLOOKUP(CP10,G$9:J$102,4)*VLOOKUP(CP10,A$9:E$102,5)*0.5*(VLOOKUP(CP10,O$9:P$102,2)+VLOOKUP(CP10+1,O$9:P$102,2))*(VLOOKUP(TRUNC(0.5*(VLOOKUP(CP10,O$9:Q$102,3)+VLOOKUP(CP10+1,O$9:Q$102,3)),0),Frauen!$AZ$9:$BD$95,5)+(0.5*(VLOOKUP(CP10,O$9:Q$102,3)+VLOOKUP(CP10+1,O$9:Q$102,3))-TRUNC(0.5*(VLOOKUP(CP10,O$9:Q$102,3)+VLOOKUP(CP10+1,O$9:Q$102,3)),0))*(VLOOKUP(TRUNC(0.5*(VLOOKUP(CP10,O$9:Q$102,3)+VLOOKUP(CP10+1,O$9:Q$102,3))+1,0),Frauen!$AZ$9:$BD$95,5)-VLOOKUP(TRUNC(0.5*(VLOOKUP(CP10,O$9:Q$102,3)+VLOOKUP(CP10+1,O$9:Q$102,3)),0),Frauen!$AZ$9:$BD$95,5))),RundDx)</f>
        <v>4349</v>
      </c>
      <c r="CR10" s="25">
        <f>SUM(CQ10:CQ$56)</f>
        <v>103622</v>
      </c>
      <c r="CS10" s="24">
        <f t="shared" ref="CS10:CS49" si="30">IF(VLOOKUP(CP10,AQ$9:AR$102,2)&gt;0,ROUND(CR10/VLOOKUP(CP10,AQ$9:AR$102,2),Rundäx),0)</f>
        <v>5.2510000000000003</v>
      </c>
      <c r="CT10" s="86"/>
      <c r="CU10" s="35">
        <f>1+CU9</f>
        <v>18</v>
      </c>
      <c r="CV10" s="25">
        <f>IF($CU10&gt;=RAM,"",IF($CU10-CV$103&lt;BeginnAlter,"",ROUND(v^($CU10+FaktorAlter)*$L10*$D10*0.5*(VLOOKUP($CU10-CV$103,Frauen!$G$9:$J$102,4)+VLOOKUP($CU10-CV$103+1,Frauen!$G$9:$J$102,4))*0.5*(VLOOKUP($CU10-CV$103,Frauen!$AZ$9:$BD$102,5)+VLOOKUP($CU10-CV$103+1,Frauen!$AZ$9:$BD$102,5)),RundDx)))</f>
        <v>834428809</v>
      </c>
      <c r="CW10" s="25">
        <f>IF($CU10&gt;=RAM,"",IF($CU10-CW$103&lt;BeginnAlter,"",ROUND(v^($CU10+FaktorAlter)*$L10*$D10*0.5*(VLOOKUP($CU10-CW$103,Frauen!$G$9:$J$102,4)+VLOOKUP($CU10-CW$103+1,Frauen!$G$9:$J$102,4))*0.5*(VLOOKUP($CU10-CW$103,Frauen!$AZ$9:$BD$102,5)+VLOOKUP($CU10-CW$103+1,Frauen!$AZ$9:$BD$102,5)),RundDx)))</f>
        <v>843881302</v>
      </c>
      <c r="CX10" s="25">
        <f>IF($CU10&gt;=RAM,"",IF($CU10-CX$103&lt;BeginnAlter,"",ROUND(v^($CU10+FaktorAlter)*$L10*$D10*0.5*(VLOOKUP($CU10-CX$103,Frauen!$G$9:$J$102,4)+VLOOKUP($CU10-CX$103+1,Frauen!$G$9:$J$102,4))*0.5*(VLOOKUP($CU10-CX$103,Frauen!$AZ$9:$BD$102,5)+VLOOKUP($CU10-CX$103+1,Frauen!$AZ$9:$BD$102,5)),RundDx)))</f>
        <v>853150028</v>
      </c>
      <c r="CY10" s="25">
        <f>IF($CU10&gt;=RAM,"",IF($CU10-CY$103&lt;BeginnAlter,"",ROUND(v^($CU10+FaktorAlter)*$L10*$D10*0.5*(VLOOKUP($CU10-CY$103,Frauen!$G$9:$J$102,4)+VLOOKUP($CU10-CY$103+1,Frauen!$G$9:$J$102,4))*0.5*(VLOOKUP($CU10-CY$103,Frauen!$AZ$9:$BD$102,5)+VLOOKUP($CU10-CY$103+1,Frauen!$AZ$9:$BD$102,5)),RundDx)))</f>
        <v>862238235</v>
      </c>
      <c r="CZ10" s="25">
        <f>IF($CU10&gt;=RAM,"",IF($CU10-CZ$103&lt;BeginnAlter,"",ROUND(v^($CU10+FaktorAlter)*$L10*$D10*0.5*(VLOOKUP($CU10-CZ$103,Frauen!$G$9:$J$102,4)+VLOOKUP($CU10-CZ$103+1,Frauen!$G$9:$J$102,4))*0.5*(VLOOKUP($CU10-CZ$103,Frauen!$AZ$9:$BD$102,5)+VLOOKUP($CU10-CZ$103+1,Frauen!$AZ$9:$BD$102,5)),RundDx)))</f>
        <v>871135291</v>
      </c>
      <c r="DA10" s="25">
        <f>IF($CU10&gt;=RAM,"",IF($CU10-DA$103&lt;BeginnAlter,"",ROUND(v^($CU10+FaktorAlter)*$L10*$D10*0.5*(VLOOKUP($CU10-DA$103,Frauen!$G$9:$J$102,4)+VLOOKUP($CU10-DA$103+1,Frauen!$G$9:$J$102,4))*0.5*(VLOOKUP($CU10-DA$103,Frauen!$AZ$9:$BD$102,5)+VLOOKUP($CU10-DA$103+1,Frauen!$AZ$9:$BD$102,5)),RundDx)))</f>
        <v>879840403</v>
      </c>
      <c r="DB10" s="25">
        <f>IF($CU10&gt;=RAM,"",IF($CU10-DB$103&lt;BeginnAlter,"",ROUND(v^($CU10+FaktorAlter)*$L10*$D10*0.5*(VLOOKUP($CU10-DB$103,Frauen!$G$9:$J$102,4)+VLOOKUP($CU10-DB$103+1,Frauen!$G$9:$J$102,4))*0.5*(VLOOKUP($CU10-DB$103,Frauen!$AZ$9:$BD$102,5)+VLOOKUP($CU10-DB$103+1,Frauen!$AZ$9:$BD$102,5)),RundDx)))</f>
        <v>888362433</v>
      </c>
      <c r="DC10" s="25">
        <f>IF($CU10&gt;=RAM,"",IF($CU10-DC$103&lt;BeginnAlter,"",ROUND(v^($CU10+FaktorAlter)*$L10*$D10*0.5*(VLOOKUP($CU10-DC$103,Frauen!$G$9:$J$102,4)+VLOOKUP($CU10-DC$103+1,Frauen!$G$9:$J$102,4))*0.5*(VLOOKUP($CU10-DC$103,Frauen!$AZ$9:$BD$102,5)+VLOOKUP($CU10-DC$103+1,Frauen!$AZ$9:$BD$102,5)),RundDx)))</f>
        <v>896724236</v>
      </c>
      <c r="DD10" s="25">
        <f>IF($CU10&gt;=RAM,"",IF($CU10-DD$103&lt;BeginnAlter,"",ROUND(v^($CU10+FaktorAlter)*$L10*$D10*0.5*(VLOOKUP($CU10-DD$103,Frauen!$G$9:$J$102,4)+VLOOKUP($CU10-DD$103+1,Frauen!$G$9:$J$102,4))*0.5*(VLOOKUP($CU10-DD$103,Frauen!$AZ$9:$BD$102,5)+VLOOKUP($CU10-DD$103+1,Frauen!$AZ$9:$BD$102,5)),RundDx)))</f>
        <v>904906266</v>
      </c>
      <c r="DE10" s="25">
        <f>IF($CU10&gt;=RAM,"",IF($CU10-DE$103&lt;BeginnAlter,"",ROUND(v^($CU10+FaktorAlter)*$L10*$D10*0.5*(VLOOKUP($CU10-DE$103,Frauen!$G$9:$J$102,4)+VLOOKUP($CU10-DE$103+1,Frauen!$G$9:$J$102,4))*0.5*(VLOOKUP($CU10-DE$103,Frauen!$AZ$9:$BD$102,5)+VLOOKUP($CU10-DE$103+1,Frauen!$AZ$9:$BD$102,5)),RundDx)))</f>
        <v>912917050</v>
      </c>
      <c r="DF10" s="25">
        <f>IF($CU10&gt;=RAM,"",IF($CU10-DF$103&lt;BeginnAlter,"",ROUND(v^($CU10+FaktorAlter)*$L10*$D10*0.5*(VLOOKUP($CU10-DF$103,Frauen!$G$9:$J$102,4)+VLOOKUP($CU10-DF$103+1,Frauen!$G$9:$J$102,4))*0.5*(VLOOKUP($CU10-DF$103,Frauen!$AZ$9:$BD$102,5)+VLOOKUP($CU10-DF$103+1,Frauen!$AZ$9:$BD$102,5)),RundDx)))</f>
        <v>920769620</v>
      </c>
      <c r="DG10" s="25">
        <f>IF($CU10&gt;=RAM,"",IF($CU10-DG$103&lt;BeginnAlter,"",ROUND(v^($CU10+FaktorAlter)*$L10*$D10*0.5*(VLOOKUP($CU10-DG$103,Frauen!$G$9:$J$102,4)+VLOOKUP($CU10-DG$103+1,Frauen!$G$9:$J$102,4))*0.5*(VLOOKUP($CU10-DG$103,Frauen!$AZ$9:$BD$102,5)+VLOOKUP($CU10-DG$103+1,Frauen!$AZ$9:$BD$102,5)),RundDx)))</f>
        <v>928458300</v>
      </c>
      <c r="DH10" s="25">
        <f>IF($CU10&gt;=RAM,"",IF($CU10-DH$103&lt;BeginnAlter,"",ROUND(v^($CU10+FaktorAlter)*$L10*$D10*0.5*(VLOOKUP($CU10-DH$103,Frauen!$G$9:$J$102,4)+VLOOKUP($CU10-DH$103+1,Frauen!$G$9:$J$102,4))*0.5*(VLOOKUP($CU10-DH$103,Frauen!$AZ$9:$BD$102,5)+VLOOKUP($CU10-DH$103+1,Frauen!$AZ$9:$BD$102,5)),RundDx)))</f>
        <v>935991414</v>
      </c>
      <c r="DI10" s="25">
        <f>IF($CU10&gt;=RAM,"",IF($CU10-DI$103&lt;BeginnAlter,"",ROUND(v^($CU10+FaktorAlter)*$L10*$D10*0.5*(VLOOKUP($CU10-DI$103,Frauen!$G$9:$J$102,4)+VLOOKUP($CU10-DI$103+1,Frauen!$G$9:$J$102,4))*0.5*(VLOOKUP($CU10-DI$103,Frauen!$AZ$9:$BD$102,5)+VLOOKUP($CU10-DI$103+1,Frauen!$AZ$9:$BD$102,5)),RundDx)))</f>
        <v>943353662</v>
      </c>
      <c r="DJ10" s="25">
        <f>IF($CU10&gt;=RAM,"",IF($CU10-DJ$103&lt;BeginnAlter,"",ROUND(v^($CU10+FaktorAlter)*$L10*$D10*0.5*(VLOOKUP($CU10-DJ$103,Frauen!$G$9:$J$102,4)+VLOOKUP($CU10-DJ$103+1,Frauen!$G$9:$J$102,4))*0.5*(VLOOKUP($CU10-DJ$103,Frauen!$AZ$9:$BD$102,5)+VLOOKUP($CU10-DJ$103+1,Frauen!$AZ$9:$BD$102,5)),RundDx)))</f>
        <v>950548648</v>
      </c>
      <c r="DK10" s="25">
        <f>IF($CU10&gt;=RAM,"",IF($CU10-DK$103&lt;BeginnAlter,"",ROUND(v^($CU10+FaktorAlter)*$L10*$D10*0.5*(VLOOKUP($CU10-DK$103,Frauen!$G$9:$J$102,4)+VLOOKUP($CU10-DK$103+1,Frauen!$G$9:$J$102,4))*0.5*(VLOOKUP($CU10-DK$103,Frauen!$AZ$9:$BD$102,5)+VLOOKUP($CU10-DK$103+1,Frauen!$AZ$9:$BD$102,5)),RundDx)))</f>
        <v>957603859</v>
      </c>
      <c r="DL10" s="25">
        <f>IF($CU10&gt;=RAM,"",IF($CU10-DL$103&lt;BeginnAlter,"",ROUND(v^($CU10+FaktorAlter)*$L10*$D10*0.5*(VLOOKUP($CU10-DL$103,Frauen!$G$9:$J$102,4)+VLOOKUP($CU10-DL$103+1,Frauen!$G$9:$J$102,4))*0.5*(VLOOKUP($CU10-DL$103,Frauen!$AZ$9:$BD$102,5)+VLOOKUP($CU10-DL$103+1,Frauen!$AZ$9:$BD$102,5)),RundDx)))</f>
        <v>964504842</v>
      </c>
      <c r="DM10" s="25" t="str">
        <f>IF($CU10&gt;=RAM,"",IF($CU10-DM$103&lt;BeginnAlter,"",ROUND(v^($CU10+FaktorAlter)*$L10*$D10*0.5*(VLOOKUP($CU10-DM$103,Frauen!$G$9:$J$102,4)+VLOOKUP($CU10-DM$103+1,Frauen!$G$9:$J$102,4))*0.5*(VLOOKUP($CU10-DM$103,Frauen!$AZ$9:$BD$102,5)+VLOOKUP($CU10-DM$103+1,Frauen!$AZ$9:$BD$102,5)),RundDx)))</f>
        <v/>
      </c>
      <c r="DN10" s="25" t="str">
        <f>IF($CU10&gt;=RAM,"",IF($CU10-DN$103&lt;BeginnAlter,"",ROUND(v^($CU10+FaktorAlter)*$L10*$D10*0.5*(VLOOKUP($CU10-DN$103,Frauen!$G$9:$J$102,4)+VLOOKUP($CU10-DN$103+1,Frauen!$G$9:$J$102,4))*0.5*(VLOOKUP($CU10-DN$103,Frauen!$AZ$9:$BD$102,5)+VLOOKUP($CU10-DN$103+1,Frauen!$AZ$9:$BD$102,5)),RundDx)))</f>
        <v/>
      </c>
      <c r="DO10" s="25" t="str">
        <f>IF($CU10&gt;=RAM,"",IF($CU10-DO$103&lt;BeginnAlter,"",ROUND(v^($CU10+FaktorAlter)*$L10*$D10*0.5*(VLOOKUP($CU10-DO$103,Frauen!$G$9:$J$102,4)+VLOOKUP($CU10-DO$103+1,Frauen!$G$9:$J$102,4))*0.5*(VLOOKUP($CU10-DO$103,Frauen!$AZ$9:$BD$102,5)+VLOOKUP($CU10-DO$103+1,Frauen!$AZ$9:$BD$102,5)),RundDx)))</f>
        <v/>
      </c>
      <c r="DP10" s="25" t="str">
        <f>IF($CU10&gt;=RAM,"",IF($CU10-DP$103&lt;BeginnAlter,"",ROUND(v^($CU10+FaktorAlter)*$L10*$D10*0.5*(VLOOKUP($CU10-DP$103,Frauen!$G$9:$J$102,4)+VLOOKUP($CU10-DP$103+1,Frauen!$G$9:$J$102,4))*0.5*(VLOOKUP($CU10-DP$103,Frauen!$AZ$9:$BD$102,5)+VLOOKUP($CU10-DP$103+1,Frauen!$AZ$9:$BD$102,5)),RundDx)))</f>
        <v/>
      </c>
      <c r="DQ10" s="25" t="str">
        <f>IF($CU10&gt;=RAM,"",IF($CU10-DQ$103&lt;BeginnAlter,"",ROUND(v^($CU10+FaktorAlter)*$L10*$D10*0.5*(VLOOKUP($CU10-DQ$103,Frauen!$G$9:$J$102,4)+VLOOKUP($CU10-DQ$103+1,Frauen!$G$9:$J$102,4))*0.5*(VLOOKUP($CU10-DQ$103,Frauen!$AZ$9:$BD$102,5)+VLOOKUP($CU10-DQ$103+1,Frauen!$AZ$9:$BD$102,5)),RundDx)))</f>
        <v/>
      </c>
      <c r="DR10" s="25" t="str">
        <f>IF($CU10&gt;=RAM,"",IF($CU10-DR$103&lt;BeginnAlter,"",ROUND(v^($CU10+FaktorAlter)*$L10*$D10*0.5*(VLOOKUP($CU10-DR$103,Frauen!$G$9:$J$102,4)+VLOOKUP($CU10-DR$103+1,Frauen!$G$9:$J$102,4))*0.5*(VLOOKUP($CU10-DR$103,Frauen!$AZ$9:$BD$102,5)+VLOOKUP($CU10-DR$103+1,Frauen!$AZ$9:$BD$102,5)),RundDx)))</f>
        <v/>
      </c>
      <c r="DS10" s="25" t="str">
        <f>IF($CU10&gt;=RAM,"",IF($CU10-DS$103&lt;BeginnAlter,"",ROUND(v^($CU10+FaktorAlter)*$L10*$D10*0.5*(VLOOKUP($CU10-DS$103,Frauen!$G$9:$J$102,4)+VLOOKUP($CU10-DS$103+1,Frauen!$G$9:$J$102,4))*0.5*(VLOOKUP($CU10-DS$103,Frauen!$AZ$9:$BD$102,5)+VLOOKUP($CU10-DS$103+1,Frauen!$AZ$9:$BD$102,5)),RundDx)))</f>
        <v/>
      </c>
      <c r="DT10" s="25" t="str">
        <f>IF($CU10&gt;=RAM,"",IF($CU10-DT$103&lt;BeginnAlter,"",ROUND(v^($CU10+FaktorAlter)*$L10*$D10*0.5*(VLOOKUP($CU10-DT$103,Frauen!$G$9:$J$102,4)+VLOOKUP($CU10-DT$103+1,Frauen!$G$9:$J$102,4))*0.5*(VLOOKUP($CU10-DT$103,Frauen!$AZ$9:$BD$102,5)+VLOOKUP($CU10-DT$103+1,Frauen!$AZ$9:$BD$102,5)),RundDx)))</f>
        <v/>
      </c>
      <c r="DU10" s="25" t="str">
        <f>IF($CU10&gt;=RAM,"",IF($CU10-DU$103&lt;BeginnAlter,"",ROUND(v^($CU10+FaktorAlter)*$L10*$D10*0.5*(VLOOKUP($CU10-DU$103,Frauen!$G$9:$J$102,4)+VLOOKUP($CU10-DU$103+1,Frauen!$G$9:$J$102,4))*0.5*(VLOOKUP($CU10-DU$103,Frauen!$AZ$9:$BD$102,5)+VLOOKUP($CU10-DU$103+1,Frauen!$AZ$9:$BD$102,5)),RundDx)))</f>
        <v/>
      </c>
      <c r="DV10" s="25" t="str">
        <f>IF($CU10&gt;=RAM,"",IF($CU10-DV$103&lt;BeginnAlter,"",ROUND(v^($CU10+FaktorAlter)*$L10*$D10*0.5*(VLOOKUP($CU10-DV$103,Frauen!$G$9:$J$102,4)+VLOOKUP($CU10-DV$103+1,Frauen!$G$9:$J$102,4))*0.5*(VLOOKUP($CU10-DV$103,Frauen!$AZ$9:$BD$102,5)+VLOOKUP($CU10-DV$103+1,Frauen!$AZ$9:$BD$102,5)),RundDx)))</f>
        <v/>
      </c>
      <c r="DW10" s="25" t="str">
        <f>IF($CU10&gt;=RAM,"",IF($CU10-DW$103&lt;BeginnAlter,"",ROUND(v^($CU10+FaktorAlter)*$L10*$D10*0.5*(VLOOKUP($CU10-DW$103,Frauen!$G$9:$J$102,4)+VLOOKUP($CU10-DW$103+1,Frauen!$G$9:$J$102,4))*0.5*(VLOOKUP($CU10-DW$103,Frauen!$AZ$9:$BD$102,5)+VLOOKUP($CU10-DW$103+1,Frauen!$AZ$9:$BD$102,5)),RundDx)))</f>
        <v/>
      </c>
      <c r="DX10" s="25" t="str">
        <f>IF($CU10&gt;=RAM,"",IF($CU10-DX$103&lt;BeginnAlter,"",ROUND(v^($CU10+FaktorAlter)*$L10*$D10*0.5*(VLOOKUP($CU10-DX$103,Frauen!$G$9:$J$102,4)+VLOOKUP($CU10-DX$103+1,Frauen!$G$9:$J$102,4))*0.5*(VLOOKUP($CU10-DX$103,Frauen!$AZ$9:$BD$102,5)+VLOOKUP($CU10-DX$103+1,Frauen!$AZ$9:$BD$102,5)),RundDx)))</f>
        <v/>
      </c>
      <c r="DY10" s="25" t="str">
        <f>IF($CU10&gt;=RAM,"",IF($CU10-DY$103&lt;BeginnAlter,"",ROUND(v^($CU10+FaktorAlter)*$L10*$D10*0.5*(VLOOKUP($CU10-DY$103,Frauen!$G$9:$J$102,4)+VLOOKUP($CU10-DY$103+1,Frauen!$G$9:$J$102,4))*0.5*(VLOOKUP($CU10-DY$103,Frauen!$AZ$9:$BD$102,5)+VLOOKUP($CU10-DY$103+1,Frauen!$AZ$9:$BD$102,5)),RundDx)))</f>
        <v/>
      </c>
      <c r="DZ10" s="25" t="str">
        <f>IF($CU10&gt;=RAM,"",IF($CU10-DZ$103&lt;BeginnAlter,"",ROUND(v^($CU10+FaktorAlter)*$L10*$D10*0.5*(VLOOKUP($CU10-DZ$103,Frauen!$G$9:$J$102,4)+VLOOKUP($CU10-DZ$103+1,Frauen!$G$9:$J$102,4))*0.5*(VLOOKUP($CU10-DZ$103,Frauen!$AZ$9:$BD$102,5)+VLOOKUP($CU10-DZ$103+1,Frauen!$AZ$9:$BD$102,5)),RundDx)))</f>
        <v/>
      </c>
      <c r="EA10" s="43">
        <f>IF($CU10&gt;=RAM,"",IF($CU10-EA$103&lt;BeginnAlter,"",ROUND((SUM(CV10:CV$56)+SUM(FN$9:FN$56))/VLOOKUP($CU10,$AH$9:$AI$102,2)/VLOOKUP($CU10-EA$103,Frauen!$G$9:$J$102,4),Rundäx)))</f>
        <v>7.016</v>
      </c>
      <c r="EB10" s="43">
        <f>IF($CU10&gt;=RAM,"",IF($CU10-EB$103&lt;BeginnAlter,"",ROUND((SUM(CW10:CW$56)+SUM(FO$9:FO$56))/VLOOKUP($CU10,$AH$9:$AI$102,2)/VLOOKUP($CU10-EB$103,Frauen!$G$9:$J$102,4),Rundäx)))</f>
        <v>7.1989999999999998</v>
      </c>
      <c r="EC10" s="43">
        <f>IF($CU10&gt;=RAM,"",IF($CU10-EC$103&lt;BeginnAlter,"",ROUND((SUM(CX10:CX$56)+SUM(FP$9:FP$56))/VLOOKUP($CU10,$AH$9:$AI$102,2)/VLOOKUP($CU10-EC$103,Frauen!$G$9:$J$102,4),Rundäx)))</f>
        <v>7.3819999999999997</v>
      </c>
      <c r="ED10" s="43">
        <f>IF($CU10&gt;=RAM,"",IF($CU10-ED$103&lt;BeginnAlter,"",ROUND((SUM(CY10:CY$56)+SUM(FQ$9:FQ$56))/VLOOKUP($CU10,$AH$9:$AI$102,2)/VLOOKUP($CU10-ED$103,Frauen!$G$9:$J$102,4),Rundäx)))</f>
        <v>7.5650000000000004</v>
      </c>
      <c r="EE10" s="43">
        <f>IF($CU10&gt;=RAM,"",IF($CU10-EE$103&lt;BeginnAlter,"",ROUND((SUM(CZ10:CZ$56)+SUM(FR$9:FR$56))/VLOOKUP($CU10,$AH$9:$AI$102,2)/VLOOKUP($CU10-EE$103,Frauen!$G$9:$J$102,4),Rundäx)))</f>
        <v>7.7469999999999999</v>
      </c>
      <c r="EF10" s="43">
        <f>IF($CU10&gt;=RAM,"",IF($CU10-EF$103&lt;BeginnAlter,"",ROUND((SUM(DA10:DA$56)+SUM(FS$9:FS$56))/VLOOKUP($CU10,$AH$9:$AI$102,2)/VLOOKUP($CU10-EF$103,Frauen!$G$9:$J$102,4),Rundäx)))</f>
        <v>7.93</v>
      </c>
      <c r="EG10" s="43">
        <f>IF($CU10&gt;=RAM,"",IF($CU10-EG$103&lt;BeginnAlter,"",ROUND((SUM(DB10:DB$56)+SUM(FT$9:FT$56))/VLOOKUP($CU10,$AH$9:$AI$102,2)/VLOOKUP($CU10-EG$103,Frauen!$G$9:$J$102,4),Rundäx)))</f>
        <v>8.1120000000000001</v>
      </c>
      <c r="EH10" s="43">
        <f>IF($CU10&gt;=RAM,"",IF($CU10-EH$103&lt;BeginnAlter,"",ROUND((SUM(DC10:DC$56)+SUM(FU$9:FU$56))/VLOOKUP($CU10,$AH$9:$AI$102,2)/VLOOKUP($CU10-EH$103,Frauen!$G$9:$J$102,4),Rundäx)))</f>
        <v>8.2940000000000005</v>
      </c>
      <c r="EI10" s="86"/>
      <c r="EJ10" s="35">
        <f>1+EJ9</f>
        <v>18</v>
      </c>
      <c r="EK10" s="43">
        <f>IF($CU10&gt;=RAM,"",IF($CU10-EK$103&lt;BeginnAlter,"",ROUND((SUM(DD10:DD$56)+SUM(FV$9:FV$56))/VLOOKUP($CU10,$AH$9:$AI$102,2)/VLOOKUP($CU10-EK$103,Frauen!$G$9:$J$102,4),Rundäx)))</f>
        <v>8.4770000000000003</v>
      </c>
      <c r="EL10" s="43">
        <f>IF($CU10&gt;=RAM,"",IF($CU10-EL$103&lt;BeginnAlter,"",ROUND((SUM(DE10:DE$56)+SUM(FW$9:FW$56))/VLOOKUP($CU10,$AH$9:$AI$102,2)/VLOOKUP($CU10-EL$103,Frauen!$G$9:$J$102,4),Rundäx)))</f>
        <v>8.6590000000000007</v>
      </c>
      <c r="EM10" s="43">
        <f>IF($CU10&gt;=RAM,"",IF($CU10-EM$103&lt;BeginnAlter,"",ROUND((SUM(DF10:DF$56)+SUM(FX$9:FX$56))/VLOOKUP($CU10,$AH$9:$AI$102,2)/VLOOKUP($CU10-EM$103,Frauen!$G$9:$J$102,4),Rundäx)))</f>
        <v>8.8409999999999993</v>
      </c>
      <c r="EN10" s="43">
        <f>IF($CU10&gt;=RAM,"",IF($CU10-EN$103&lt;BeginnAlter,"",ROUND((SUM(DG10:DG$56)+SUM(FY$9:FY$56))/VLOOKUP($CU10,$AH$9:$AI$102,2)/VLOOKUP($CU10-EN$103,Frauen!$G$9:$J$102,4),Rundäx)))</f>
        <v>9.0229999999999997</v>
      </c>
      <c r="EO10" s="43">
        <f>IF($CU10&gt;=RAM,"",IF($CU10-EO$103&lt;BeginnAlter,"",ROUND((SUM(DH10:DH$56)+SUM(FZ$9:FZ$56))/VLOOKUP($CU10,$AH$9:$AI$102,2)/VLOOKUP($CU10-EO$103,Frauen!$G$9:$J$102,4),Rundäx)))</f>
        <v>9.2050000000000001</v>
      </c>
      <c r="EP10" s="43">
        <f>IF($CU10&gt;=RAM,"",IF($CU10-EP$103&lt;BeginnAlter,"",ROUND((SUM(DI10:DI$56)+SUM(GA$9:GA$56))/VLOOKUP($CU10,$AH$9:$AI$102,2)/VLOOKUP($CU10-EP$103,Frauen!$G$9:$J$102,4),Rundäx)))</f>
        <v>9.3870000000000005</v>
      </c>
      <c r="EQ10" s="43">
        <f>IF($CU10&gt;=RAM,"",IF($CU10-EQ$103&lt;BeginnAlter,"",ROUND((SUM(DJ10:DJ$56)+SUM(GB$9:GB$56))/VLOOKUP($CU10,$AH$9:$AI$102,2)/VLOOKUP($CU10-EQ$103,Frauen!$G$9:$J$102,4),Rundäx)))</f>
        <v>9.5690000000000008</v>
      </c>
      <c r="ER10" s="43">
        <f>IF($CU10&gt;=RAM,"",IF($CU10-ER$103&lt;BeginnAlter,"",ROUND((SUM(DK10:DK$56)+SUM(GC$9:GC$56))/VLOOKUP($CU10,$AH$9:$AI$102,2)/VLOOKUP($CU10-ER$103,Frauen!$G$9:$J$102,4),Rundäx)))</f>
        <v>9.75</v>
      </c>
      <c r="ES10" s="86"/>
      <c r="ET10" s="35">
        <f>1+ET9</f>
        <v>18</v>
      </c>
      <c r="EU10" s="43">
        <f>IF($CU10&gt;=RAM,"",IF($CU10-EU$103&lt;BeginnAlter,"",ROUND((SUM(DL10:DL$56)+SUM(GD$9:GD$56))/VLOOKUP($CU10,$AH$9:$AI$102,2)/VLOOKUP($CU10-EU$103,Frauen!$G$9:$J$102,4),Rundäx)))</f>
        <v>9.9309999999999992</v>
      </c>
      <c r="EV10" s="43" t="str">
        <f>IF($CU10&gt;=RAM,"",IF($CU10-EV$103&lt;BeginnAlter,"",ROUND((SUM(DM10:DM$56)+SUM(GE$9:GE$56))/VLOOKUP($CU10,$AH$9:$AI$102,2)/VLOOKUP($CU10-EV$103,Frauen!$G$9:$J$102,4),Rundäx)))</f>
        <v/>
      </c>
      <c r="EW10" s="43" t="str">
        <f>IF($CU10&gt;=RAM,"",IF($CU10-EW$103&lt;BeginnAlter,"",ROUND((SUM(DN10:DN$56)+SUM(GF$9:GF$56))/VLOOKUP($CU10,$AH$9:$AI$102,2)/VLOOKUP($CU10-EW$103,Frauen!$G$9:$J$102,4),Rundäx)))</f>
        <v/>
      </c>
      <c r="EX10" s="43" t="str">
        <f>IF($CU10&gt;=RAM,"",IF($CU10-EX$103&lt;BeginnAlter,"",ROUND((SUM(DO10:DO$56)+SUM(GG$9:GG$56))/VLOOKUP($CU10,$AH$9:$AI$102,2)/VLOOKUP($CU10-EX$103,Frauen!$G$9:$J$102,4),Rundäx)))</f>
        <v/>
      </c>
      <c r="EY10" s="43" t="str">
        <f>IF($CU10&gt;=RAM,"",IF($CU10-EY$103&lt;BeginnAlter,"",ROUND((SUM(DP10:DP$56)+SUM(GH$9:GH$56))/VLOOKUP($CU10,$AH$9:$AI$102,2)/VLOOKUP($CU10-EY$103,Frauen!$G$9:$J$102,4),Rundäx)))</f>
        <v/>
      </c>
      <c r="EZ10" s="43" t="str">
        <f>IF($CU10&gt;=RAM,"",IF($CU10-EZ$103&lt;BeginnAlter,"",ROUND((SUM(DQ10:DQ$56)+SUM(GI$9:GI$56))/VLOOKUP($CU10,$AH$9:$AI$102,2)/VLOOKUP($CU10-EZ$103,Frauen!$G$9:$J$102,4),Rundäx)))</f>
        <v/>
      </c>
      <c r="FA10" s="43" t="str">
        <f>IF($CU10&gt;=RAM,"",IF($CU10-FA$103&lt;BeginnAlter,"",ROUND((SUM(DR10:DR$56)+SUM(GJ$9:GJ$56))/VLOOKUP($CU10,$AH$9:$AI$102,2)/VLOOKUP($CU10-FA$103,Frauen!$G$9:$J$102,4),Rundäx)))</f>
        <v/>
      </c>
      <c r="FB10" s="43" t="str">
        <f>IF($CU10&gt;=RAM,"",IF($CU10-FB$103&lt;BeginnAlter,"",ROUND((SUM(DS10:DS$56)+SUM(GK$9:GK$56))/VLOOKUP($CU10,$AH$9:$AI$102,2)/VLOOKUP($CU10-FB$103,Frauen!$G$9:$J$102,4),Rundäx)))</f>
        <v/>
      </c>
      <c r="FC10" s="86"/>
      <c r="FD10" s="35">
        <f>1+FD9</f>
        <v>18</v>
      </c>
      <c r="FE10" s="43" t="str">
        <f>IF($CU10&gt;=RAM,"",IF($CU10-FE$103&lt;BeginnAlter,"",ROUND((SUM(DT10:DT$56)+SUM(GL$9:GL$56))/VLOOKUP($CU10,$AH$9:$AI$102,2)/VLOOKUP($CU10-FE$103,Frauen!$G$9:$J$102,4),Rundäx)))</f>
        <v/>
      </c>
      <c r="FF10" s="43" t="str">
        <f>IF($CU10&gt;=RAM,"",IF($CU10-FF$103&lt;BeginnAlter,"",ROUND((SUM(DU10:DU$56)+SUM(GM$9:GM$56))/VLOOKUP($CU10,$AH$9:$AI$102,2)/VLOOKUP($CU10-FF$103,Frauen!$G$9:$J$102,4),Rundäx)))</f>
        <v/>
      </c>
      <c r="FG10" s="43" t="str">
        <f>IF($CU10&gt;=RAM,"",IF($CU10-FG$103&lt;BeginnAlter,"",ROUND((SUM(DV10:DV$56)+SUM(GN$9:GN$56))/VLOOKUP($CU10,$AH$9:$AI$102,2)/VLOOKUP($CU10-FG$103,Frauen!$G$9:$J$102,4),Rundäx)))</f>
        <v/>
      </c>
      <c r="FH10" s="43" t="str">
        <f>IF($CU10&gt;=RAM,"",IF($CU10-FH$103&lt;BeginnAlter,"",ROUND((SUM(DW10:DW$56)+SUM(GO$9:GO$56))/VLOOKUP($CU10,$AH$9:$AI$102,2)/VLOOKUP($CU10-FH$103,Frauen!$G$9:$J$102,4),Rundäx)))</f>
        <v/>
      </c>
      <c r="FI10" s="43" t="str">
        <f>IF($CU10&gt;=RAM,"",IF($CU10-FI$103&lt;BeginnAlter,"",ROUND((SUM(DX10:DX$56)+SUM(GP$9:GP$56))/VLOOKUP($CU10,$AH$9:$AI$102,2)/VLOOKUP($CU10-FI$103,Frauen!$G$9:$J$102,4),Rundäx)))</f>
        <v/>
      </c>
      <c r="FJ10" s="43" t="str">
        <f>IF($CU10&gt;=RAM,"",IF($CU10-FJ$103&lt;BeginnAlter,"",ROUND((SUM(DY10:DY$56)+SUM(GQ$9:GQ$56))/VLOOKUP($CU10,$AH$9:$AI$102,2)/VLOOKUP($CU10-FJ$103,Frauen!$G$9:$J$102,4),Rundäx)))</f>
        <v/>
      </c>
      <c r="FK10" s="43" t="str">
        <f>IF($CU10&gt;=RAM,"",IF($CU10-FK$103&lt;BeginnAlter,"",ROUND((SUM(DZ10:DZ$56)+SUM(GR$9:GR$56))/VLOOKUP($CU10,$AH$9:$AI$102,2)/VLOOKUP($CU10-FK$103,Frauen!$G$9:$J$102,4),Rundäx)))</f>
        <v/>
      </c>
      <c r="FL10" s="86"/>
      <c r="FM10" s="35">
        <f>1+FM9</f>
        <v>66</v>
      </c>
      <c r="FN10" s="25">
        <f>ROUND(v^($FM10+FaktorAlter)*VLOOKUP($FM10,$G$9:$J$102,4)*VLOOKUP($FM10,$A$9:$E$102,5)*0.5*(VLOOKUP($FM10-FN$103,Frauen!$G$9:$J$102,4)+VLOOKUP($FM10-FN$103+1,Frauen!$G$9:$J$102,4))*0.5*(VLOOKUP($FM10-FN$103,Frauen!$AZ$9:$BD$102,5)+VLOOKUP($FM10-FN$103+1,Frauen!$AZ$9:$BD$102,5)),RundDx)</f>
        <v>154203133</v>
      </c>
      <c r="FO10" s="25">
        <f>ROUND(v^($FM10+FaktorAlter)*VLOOKUP($FM10,$G$9:$J$102,4)*VLOOKUP($FM10,$A$9:$E$102,5)*0.5*(VLOOKUP($FM10-FO$103,Frauen!$G$9:$J$102,4)+VLOOKUP($FM10-FO$103+1,Frauen!$G$9:$J$102,4))*0.5*(VLOOKUP($FM10-FO$103,Frauen!$AZ$9:$BD$102,5)+VLOOKUP($FM10-FO$103+1,Frauen!$AZ$9:$BD$102,5)),RundDx)</f>
        <v>171402340</v>
      </c>
      <c r="FP10" s="25">
        <f>ROUND(v^($FM10+FaktorAlter)*VLOOKUP($FM10,$G$9:$J$102,4)*VLOOKUP($FM10,$A$9:$E$102,5)*0.5*(VLOOKUP($FM10-FP$103,Frauen!$G$9:$J$102,4)+VLOOKUP($FM10-FP$103+1,Frauen!$G$9:$J$102,4))*0.5*(VLOOKUP($FM10-FP$103,Frauen!$AZ$9:$BD$102,5)+VLOOKUP($FM10-FP$103+1,Frauen!$AZ$9:$BD$102,5)),RundDx)</f>
        <v>188918556</v>
      </c>
      <c r="FQ10" s="25">
        <f>ROUND(v^($FM10+FaktorAlter)*VLOOKUP($FM10,$G$9:$J$102,4)*VLOOKUP($FM10,$A$9:$E$102,5)*0.5*(VLOOKUP($FM10-FQ$103,Frauen!$G$9:$J$102,4)+VLOOKUP($FM10-FQ$103+1,Frauen!$G$9:$J$102,4))*0.5*(VLOOKUP($FM10-FQ$103,Frauen!$AZ$9:$BD$102,5)+VLOOKUP($FM10-FQ$103+1,Frauen!$AZ$9:$BD$102,5)),RundDx)</f>
        <v>206677502</v>
      </c>
      <c r="FR10" s="25">
        <f>ROUND(v^($FM10+FaktorAlter)*VLOOKUP($FM10,$G$9:$J$102,4)*VLOOKUP($FM10,$A$9:$E$102,5)*0.5*(VLOOKUP($FM10-FR$103,Frauen!$G$9:$J$102,4)+VLOOKUP($FM10-FR$103+1,Frauen!$G$9:$J$102,4))*0.5*(VLOOKUP($FM10-FR$103,Frauen!$AZ$9:$BD$102,5)+VLOOKUP($FM10-FR$103+1,Frauen!$AZ$9:$BD$102,5)),RundDx)</f>
        <v>224664596</v>
      </c>
      <c r="FS10" s="25">
        <f>ROUND(v^($FM10+FaktorAlter)*VLOOKUP($FM10,$G$9:$J$102,4)*VLOOKUP($FM10,$A$9:$E$102,5)*0.5*(VLOOKUP($FM10-FS$103,Frauen!$G$9:$J$102,4)+VLOOKUP($FM10-FS$103+1,Frauen!$G$9:$J$102,4))*0.5*(VLOOKUP($FM10-FS$103,Frauen!$AZ$9:$BD$102,5)+VLOOKUP($FM10-FS$103+1,Frauen!$AZ$9:$BD$102,5)),RundDx)</f>
        <v>242923742</v>
      </c>
      <c r="FT10" s="25">
        <f>ROUND(v^($FM10+FaktorAlter)*VLOOKUP($FM10,$G$9:$J$102,4)*VLOOKUP($FM10,$A$9:$E$102,5)*0.5*(VLOOKUP($FM10-FT$103,Frauen!$G$9:$J$102,4)+VLOOKUP($FM10-FT$103+1,Frauen!$G$9:$J$102,4))*0.5*(VLOOKUP($FM10-FT$103,Frauen!$AZ$9:$BD$102,5)+VLOOKUP($FM10-FT$103+1,Frauen!$AZ$9:$BD$102,5)),RundDx)</f>
        <v>261472719</v>
      </c>
      <c r="FU10" s="25">
        <f>ROUND(v^($FM10+FaktorAlter)*VLOOKUP($FM10,$G$9:$J$102,4)*VLOOKUP($FM10,$A$9:$E$102,5)*0.5*(VLOOKUP($FM10-FU$103,Frauen!$G$9:$J$102,4)+VLOOKUP($FM10-FU$103+1,Frauen!$G$9:$J$102,4))*0.5*(VLOOKUP($FM10-FU$103,Frauen!$AZ$9:$BD$102,5)+VLOOKUP($FM10-FU$103+1,Frauen!$AZ$9:$BD$102,5)),RundDx)</f>
        <v>280368903</v>
      </c>
      <c r="FV10" s="25">
        <f>ROUND(v^($FM10+FaktorAlter)*VLOOKUP($FM10,$G$9:$J$102,4)*VLOOKUP($FM10,$A$9:$E$102,5)*0.5*(VLOOKUP($FM10-FV$103,Frauen!$G$9:$J$102,4)+VLOOKUP($FM10-FV$103+1,Frauen!$G$9:$J$102,4))*0.5*(VLOOKUP($FM10-FV$103,Frauen!$AZ$9:$BD$102,5)+VLOOKUP($FM10-FV$103+1,Frauen!$AZ$9:$BD$102,5)),RundDx)</f>
        <v>299622920</v>
      </c>
      <c r="FW10" s="25">
        <f>ROUND(v^($FM10+FaktorAlter)*VLOOKUP($FM10,$G$9:$J$102,4)*VLOOKUP($FM10,$A$9:$E$102,5)*0.5*(VLOOKUP($FM10-FW$103,Frauen!$G$9:$J$102,4)+VLOOKUP($FM10-FW$103+1,Frauen!$G$9:$J$102,4))*0.5*(VLOOKUP($FM10-FW$103,Frauen!$AZ$9:$BD$102,5)+VLOOKUP($FM10-FW$103+1,Frauen!$AZ$9:$BD$102,5)),RundDx)</f>
        <v>319190504</v>
      </c>
      <c r="FX10" s="25">
        <f>ROUND(v^($FM10+FaktorAlter)*VLOOKUP($FM10,$G$9:$J$102,4)*VLOOKUP($FM10,$A$9:$E$102,5)*0.5*(VLOOKUP($FM10-FX$103,Frauen!$G$9:$J$102,4)+VLOOKUP($FM10-FX$103+1,Frauen!$G$9:$J$102,4))*0.5*(VLOOKUP($FM10-FX$103,Frauen!$AZ$9:$BD$102,5)+VLOOKUP($FM10-FX$103+1,Frauen!$AZ$9:$BD$102,5)),RundDx)</f>
        <v>338986123</v>
      </c>
      <c r="FY10" s="25">
        <f>ROUND(v^($FM10+FaktorAlter)*VLOOKUP($FM10,$G$9:$J$102,4)*VLOOKUP($FM10,$A$9:$E$102,5)*0.5*(VLOOKUP($FM10-FY$103,Frauen!$G$9:$J$102,4)+VLOOKUP($FM10-FY$103+1,Frauen!$G$9:$J$102,4))*0.5*(VLOOKUP($FM10-FY$103,Frauen!$AZ$9:$BD$102,5)+VLOOKUP($FM10-FY$103+1,Frauen!$AZ$9:$BD$102,5)),RundDx)</f>
        <v>358867662</v>
      </c>
      <c r="FZ10" s="25">
        <f>ROUND(v^($FM10+FaktorAlter)*VLOOKUP($FM10,$G$9:$J$102,4)*VLOOKUP($FM10,$A$9:$E$102,5)*0.5*(VLOOKUP($FM10-FZ$103,Frauen!$G$9:$J$102,4)+VLOOKUP($FM10-FZ$103+1,Frauen!$G$9:$J$102,4))*0.5*(VLOOKUP($FM10-FZ$103,Frauen!$AZ$9:$BD$102,5)+VLOOKUP($FM10-FZ$103+1,Frauen!$AZ$9:$BD$102,5)),RundDx)</f>
        <v>378779759</v>
      </c>
      <c r="GA10" s="25">
        <f>ROUND(v^($FM10+FaktorAlter)*VLOOKUP($FM10,$G$9:$J$102,4)*VLOOKUP($FM10,$A$9:$E$102,5)*0.5*(VLOOKUP($FM10-GA$103,Frauen!$G$9:$J$102,4)+VLOOKUP($FM10-GA$103+1,Frauen!$G$9:$J$102,4))*0.5*(VLOOKUP($FM10-GA$103,Frauen!$AZ$9:$BD$102,5)+VLOOKUP($FM10-GA$103+1,Frauen!$AZ$9:$BD$102,5)),RundDx)</f>
        <v>398685805</v>
      </c>
      <c r="GB10" s="25">
        <f>ROUND(v^($FM10+FaktorAlter)*VLOOKUP($FM10,$G$9:$J$102,4)*VLOOKUP($FM10,$A$9:$E$102,5)*0.5*(VLOOKUP($FM10-GB$103,Frauen!$G$9:$J$102,4)+VLOOKUP($FM10-GB$103+1,Frauen!$G$9:$J$102,4))*0.5*(VLOOKUP($FM10-GB$103,Frauen!$AZ$9:$BD$102,5)+VLOOKUP($FM10-GB$103+1,Frauen!$AZ$9:$BD$102,5)),RundDx)</f>
        <v>418450723</v>
      </c>
      <c r="GC10" s="25">
        <f>ROUND(v^($FM10+FaktorAlter)*VLOOKUP($FM10,$G$9:$J$102,4)*VLOOKUP($FM10,$A$9:$E$102,5)*0.5*(VLOOKUP($FM10-GC$103,Frauen!$G$9:$J$102,4)+VLOOKUP($FM10-GC$103+1,Frauen!$G$9:$J$102,4))*0.5*(VLOOKUP($FM10-GC$103,Frauen!$AZ$9:$BD$102,5)+VLOOKUP($FM10-GC$103+1,Frauen!$AZ$9:$BD$102,5)),RundDx)</f>
        <v>437996360</v>
      </c>
      <c r="GD10" s="25">
        <f>ROUND(v^($FM10+FaktorAlter)*VLOOKUP($FM10,$G$9:$J$102,4)*VLOOKUP($FM10,$A$9:$E$102,5)*0.5*(VLOOKUP($FM10-GD$103,Frauen!$G$9:$J$102,4)+VLOOKUP($FM10-GD$103+1,Frauen!$G$9:$J$102,4))*0.5*(VLOOKUP($FM10-GD$103,Frauen!$AZ$9:$BD$102,5)+VLOOKUP($FM10-GD$103+1,Frauen!$AZ$9:$BD$102,5)),RundDx)</f>
        <v>457355300</v>
      </c>
      <c r="GE10" s="25">
        <f>ROUND(v^($FM10+FaktorAlter)*VLOOKUP($FM10,$G$9:$J$102,4)*VLOOKUP($FM10,$A$9:$E$102,5)*0.5*(VLOOKUP($FM10-GE$103,Frauen!$G$9:$J$102,4)+VLOOKUP($FM10-GE$103+1,Frauen!$G$9:$J$102,4))*0.5*(VLOOKUP($FM10-GE$103,Frauen!$AZ$9:$BD$102,5)+VLOOKUP($FM10-GE$103+1,Frauen!$AZ$9:$BD$102,5)),RundDx)</f>
        <v>476481976</v>
      </c>
      <c r="GF10" s="25">
        <f>ROUND(v^($FM10+FaktorAlter)*VLOOKUP($FM10,$G$9:$J$102,4)*VLOOKUP($FM10,$A$9:$E$102,5)*0.5*(VLOOKUP($FM10-GF$103,Frauen!$G$9:$J$102,4)+VLOOKUP($FM10-GF$103+1,Frauen!$G$9:$J$102,4))*0.5*(VLOOKUP($FM10-GF$103,Frauen!$AZ$9:$BD$102,5)+VLOOKUP($FM10-GF$103+1,Frauen!$AZ$9:$BD$102,5)),RundDx)</f>
        <v>495263418</v>
      </c>
      <c r="GG10" s="25">
        <f>ROUND(v^($FM10+FaktorAlter)*VLOOKUP($FM10,$G$9:$J$102,4)*VLOOKUP($FM10,$A$9:$E$102,5)*0.5*(VLOOKUP($FM10-GG$103,Frauen!$G$9:$J$102,4)+VLOOKUP($FM10-GG$103+1,Frauen!$G$9:$J$102,4))*0.5*(VLOOKUP($FM10-GG$103,Frauen!$AZ$9:$BD$102,5)+VLOOKUP($FM10-GG$103+1,Frauen!$AZ$9:$BD$102,5)),RundDx)</f>
        <v>513689448</v>
      </c>
      <c r="GH10" s="25">
        <f>ROUND(v^($FM10+FaktorAlter)*VLOOKUP($FM10,$G$9:$J$102,4)*VLOOKUP($FM10,$A$9:$E$102,5)*0.5*(VLOOKUP($FM10-GH$103,Frauen!$G$9:$J$102,4)+VLOOKUP($FM10-GH$103+1,Frauen!$G$9:$J$102,4))*0.5*(VLOOKUP($FM10-GH$103,Frauen!$AZ$9:$BD$102,5)+VLOOKUP($FM10-GH$103+1,Frauen!$AZ$9:$BD$102,5)),RundDx)</f>
        <v>531807667</v>
      </c>
      <c r="GI10" s="25">
        <f>ROUND(v^($FM10+FaktorAlter)*VLOOKUP($FM10,$G$9:$J$102,4)*VLOOKUP($FM10,$A$9:$E$102,5)*0.5*(VLOOKUP($FM10-GI$103,Frauen!$G$9:$J$102,4)+VLOOKUP($FM10-GI$103+1,Frauen!$G$9:$J$102,4))*0.5*(VLOOKUP($FM10-GI$103,Frauen!$AZ$9:$BD$102,5)+VLOOKUP($FM10-GI$103+1,Frauen!$AZ$9:$BD$102,5)),RundDx)</f>
        <v>549593905</v>
      </c>
      <c r="GJ10" s="25">
        <f>ROUND(v^($FM10+FaktorAlter)*VLOOKUP($FM10,$G$9:$J$102,4)*VLOOKUP($FM10,$A$9:$E$102,5)*0.5*(VLOOKUP($FM10-GJ$103,Frauen!$G$9:$J$102,4)+VLOOKUP($FM10-GJ$103+1,Frauen!$G$9:$J$102,4))*0.5*(VLOOKUP($FM10-GJ$103,Frauen!$AZ$9:$BD$102,5)+VLOOKUP($FM10-GJ$103+1,Frauen!$AZ$9:$BD$102,5)),RundDx)</f>
        <v>567043351</v>
      </c>
      <c r="GK10" s="25">
        <f>ROUND(v^($FM10+FaktorAlter)*VLOOKUP($FM10,$G$9:$J$102,4)*VLOOKUP($FM10,$A$9:$E$102,5)*0.5*(VLOOKUP($FM10-GK$103,Frauen!$G$9:$J$102,4)+VLOOKUP($FM10-GK$103+1,Frauen!$G$9:$J$102,4))*0.5*(VLOOKUP($FM10-GK$103,Frauen!$AZ$9:$BD$102,5)+VLOOKUP($FM10-GK$103+1,Frauen!$AZ$9:$BD$102,5)),RundDx)</f>
        <v>584192251</v>
      </c>
      <c r="GL10" s="25">
        <f>ROUND(v^($FM10+FaktorAlter)*VLOOKUP($FM10,$G$9:$J$102,4)*VLOOKUP($FM10,$A$9:$E$102,5)*0.5*(VLOOKUP($FM10-GL$103,Frauen!$G$9:$J$102,4)+VLOOKUP($FM10-GL$103+1,Frauen!$G$9:$J$102,4))*0.5*(VLOOKUP($FM10-GL$103,Frauen!$AZ$9:$BD$102,5)+VLOOKUP($FM10-GL$103+1,Frauen!$AZ$9:$BD$102,5)),RundDx)</f>
        <v>601094216</v>
      </c>
      <c r="GM10" s="25">
        <f>ROUND(v^($FM10+FaktorAlter)*VLOOKUP($FM10,$G$9:$J$102,4)*VLOOKUP($FM10,$A$9:$E$102,5)*0.5*(VLOOKUP($FM10-GM$103,Frauen!$G$9:$J$102,4)+VLOOKUP($FM10-GM$103+1,Frauen!$G$9:$J$102,4))*0.5*(VLOOKUP($FM10-GM$103,Frauen!$AZ$9:$BD$102,5)+VLOOKUP($FM10-GM$103+1,Frauen!$AZ$9:$BD$102,5)),RundDx)</f>
        <v>617793611</v>
      </c>
      <c r="GN10" s="25">
        <f>ROUND(v^($FM10+FaktorAlter)*VLOOKUP($FM10,$G$9:$J$102,4)*VLOOKUP($FM10,$A$9:$E$102,5)*0.5*(VLOOKUP($FM10-GN$103,Frauen!$G$9:$J$102,4)+VLOOKUP($FM10-GN$103+1,Frauen!$G$9:$J$102,4))*0.5*(VLOOKUP($FM10-GN$103,Frauen!$AZ$9:$BD$102,5)+VLOOKUP($FM10-GN$103+1,Frauen!$AZ$9:$BD$102,5)),RundDx)</f>
        <v>634330193</v>
      </c>
      <c r="GO10" s="25">
        <f>ROUND(v^($FM10+FaktorAlter)*VLOOKUP($FM10,$G$9:$J$102,4)*VLOOKUP($FM10,$A$9:$E$102,5)*0.5*(VLOOKUP($FM10-GO$103,Frauen!$G$9:$J$102,4)+VLOOKUP($FM10-GO$103+1,Frauen!$G$9:$J$102,4))*0.5*(VLOOKUP($FM10-GO$103,Frauen!$AZ$9:$BD$102,5)+VLOOKUP($FM10-GO$103+1,Frauen!$AZ$9:$BD$102,5)),RundDx)</f>
        <v>650722764</v>
      </c>
      <c r="GP10" s="25">
        <f>ROUND(v^($FM10+FaktorAlter)*VLOOKUP($FM10,$G$9:$J$102,4)*VLOOKUP($FM10,$A$9:$E$102,5)*0.5*(VLOOKUP($FM10-GP$103,Frauen!$G$9:$J$102,4)+VLOOKUP($FM10-GP$103+1,Frauen!$G$9:$J$102,4))*0.5*(VLOOKUP($FM10-GP$103,Frauen!$AZ$9:$BD$102,5)+VLOOKUP($FM10-GP$103+1,Frauen!$AZ$9:$BD$102,5)),RundDx)</f>
        <v>666940761</v>
      </c>
      <c r="GQ10" s="25">
        <f>ROUND(v^($FM10+FaktorAlter)*VLOOKUP($FM10,$G$9:$J$102,4)*VLOOKUP($FM10,$A$9:$E$102,5)*0.5*(VLOOKUP($FM10-GQ$103,Frauen!$G$9:$J$102,4)+VLOOKUP($FM10-GQ$103+1,Frauen!$G$9:$J$102,4))*0.5*(VLOOKUP($FM10-GQ$103,Frauen!$AZ$9:$BD$102,5)+VLOOKUP($FM10-GQ$103+1,Frauen!$AZ$9:$BD$102,5)),RundDx)</f>
        <v>682997950</v>
      </c>
      <c r="GR10" s="25">
        <f>ROUND(v^($FM10+FaktorAlter)*VLOOKUP($FM10,$G$9:$J$102,4)*VLOOKUP($FM10,$A$9:$E$102,5)*0.5*(VLOOKUP($FM10-GR$103,Frauen!$G$9:$J$102,4)+VLOOKUP($FM10-GR$103+1,Frauen!$G$9:$J$102,4))*0.5*(VLOOKUP($FM10-GR$103,Frauen!$AZ$9:$BD$102,5)+VLOOKUP($FM10-GR$103+1,Frauen!$AZ$9:$BD$102,5)),RundDx)</f>
        <v>698860951</v>
      </c>
      <c r="GS10" s="24">
        <f>ROUND(SUM(FN10:FN$56)/VLOOKUP($FM10,$AQ$9:$AR$102,2)/VLOOKUP($FM10-GS$103,Frauen!$G$9:$J$102,4),Rundäx)</f>
        <v>0.91900000000000004</v>
      </c>
      <c r="GT10" s="24">
        <f>ROUND(SUM(FO10:FO$56)/VLOOKUP($FM10,$AQ$9:$AR$102,2)/VLOOKUP($FM10-GT$103,Frauen!$G$9:$J$102,4),Rundäx)</f>
        <v>1.0529999999999999</v>
      </c>
      <c r="GU10" s="24">
        <f>ROUND(SUM(FP10:FP$56)/VLOOKUP($FM10,$AQ$9:$AR$102,2)/VLOOKUP($FM10-GU$103,Frauen!$G$9:$J$102,4),Rundäx)</f>
        <v>1.202</v>
      </c>
      <c r="GV10" s="24">
        <f>ROUND(SUM(FQ10:FQ$56)/VLOOKUP($FM10,$AQ$9:$AR$102,2)/VLOOKUP($FM10-GV$103,Frauen!$G$9:$J$102,4),Rundäx)</f>
        <v>1.367</v>
      </c>
      <c r="GW10" s="24">
        <f>ROUND(SUM(FR10:FR$56)/VLOOKUP($FM10,$AQ$9:$AR$102,2)/VLOOKUP($FM10-GW$103,Frauen!$G$9:$J$102,4),Rundäx)</f>
        <v>1.546</v>
      </c>
      <c r="GX10" s="24">
        <f>ROUND(SUM(FS10:FS$56)/VLOOKUP($FM10,$AQ$9:$AR$102,2)/VLOOKUP($FM10-GX$103,Frauen!$G$9:$J$102,4),Rundäx)</f>
        <v>1.7390000000000001</v>
      </c>
      <c r="GY10" s="24">
        <f>ROUND(SUM(FT10:FT$56)/VLOOKUP($FM10,$AQ$9:$AR$102,2)/VLOOKUP($FM10-GY$103,Frauen!$G$9:$J$102,4),Rundäx)</f>
        <v>1.9470000000000001</v>
      </c>
      <c r="GZ10" s="24">
        <f>ROUND(SUM(FU10:FU$56)/VLOOKUP($FM10,$AQ$9:$AR$102,2)/VLOOKUP($FM10-GZ$103,Frauen!$G$9:$J$102,4),Rundäx)</f>
        <v>2.1669999999999998</v>
      </c>
      <c r="HA10" s="86"/>
      <c r="HB10" s="35">
        <f>1+HB9</f>
        <v>66</v>
      </c>
      <c r="HC10" s="24">
        <f>ROUND(SUM(FV10:FV$56)/VLOOKUP($FM10,$AQ$9:$AR$102,2)/VLOOKUP($FM10-HC$103,Frauen!$G$9:$J$102,4),Rundäx)</f>
        <v>2.4</v>
      </c>
      <c r="HD10" s="24">
        <f>ROUND(SUM(FW10:FW$56)/VLOOKUP($FM10,$AQ$9:$AR$102,2)/VLOOKUP($FM10-HD$103,Frauen!$G$9:$J$102,4),Rundäx)</f>
        <v>2.6459999999999999</v>
      </c>
      <c r="HE10" s="24">
        <f>ROUND(SUM(FX10:FX$56)/VLOOKUP($FM10,$AQ$9:$AR$102,2)/VLOOKUP($FM10-HE$103,Frauen!$G$9:$J$102,4),Rundäx)</f>
        <v>2.9039999999999999</v>
      </c>
      <c r="HF10" s="24">
        <f>ROUND(SUM(FY10:FY$56)/VLOOKUP($FM10,$AQ$9:$AR$102,2)/VLOOKUP($FM10-HF$103,Frauen!$G$9:$J$102,4),Rundäx)</f>
        <v>3.1749999999999998</v>
      </c>
      <c r="HG10" s="24">
        <f>ROUND(SUM(FZ10:FZ$56)/VLOOKUP($FM10,$AQ$9:$AR$102,2)/VLOOKUP($FM10-HG$103,Frauen!$G$9:$J$102,4),Rundäx)</f>
        <v>3.4569999999999999</v>
      </c>
      <c r="HH10" s="24">
        <f>ROUND(SUM(GA10:GA$56)/VLOOKUP($FM10,$AQ$9:$AR$102,2)/VLOOKUP($FM10-HH$103,Frauen!$G$9:$J$102,4),Rundäx)</f>
        <v>3.75</v>
      </c>
      <c r="HI10" s="24">
        <f>ROUND(SUM(GB10:GB$56)/VLOOKUP($FM10,$AQ$9:$AR$102,2)/VLOOKUP($FM10-HI$103,Frauen!$G$9:$J$102,4),Rundäx)</f>
        <v>4.056</v>
      </c>
      <c r="HJ10" s="24">
        <f>ROUND(SUM(GC10:GC$56)/VLOOKUP($FM10,$AQ$9:$AR$102,2)/VLOOKUP($FM10-HJ$103,Frauen!$G$9:$J$102,4),Rundäx)</f>
        <v>4.3719999999999999</v>
      </c>
      <c r="HK10" s="86"/>
      <c r="HL10" s="35">
        <f>1+HL9</f>
        <v>66</v>
      </c>
      <c r="HM10" s="24">
        <f>ROUND(SUM(GD10:GD$56)/VLOOKUP($FM10,$AQ$9:$AR$102,2)/VLOOKUP($FM10-HM$103,Frauen!$G$9:$J$102,4),Rundäx)</f>
        <v>4.6970000000000001</v>
      </c>
      <c r="HN10" s="24">
        <f>ROUND(SUM(GE10:GE$56)/VLOOKUP($FM10,$AQ$9:$AR$102,2)/VLOOKUP($FM10-HN$103,Frauen!$G$9:$J$102,4),Rundäx)</f>
        <v>5.032</v>
      </c>
      <c r="HO10" s="24">
        <f>ROUND(SUM(GF10:GF$56)/VLOOKUP($FM10,$AQ$9:$AR$102,2)/VLOOKUP($FM10-HO$103,Frauen!$G$9:$J$102,4),Rundäx)</f>
        <v>5.3769999999999998</v>
      </c>
      <c r="HP10" s="24">
        <f>ROUND(SUM(GG10:GG$56)/VLOOKUP($FM10,$AQ$9:$AR$102,2)/VLOOKUP($FM10-HP$103,Frauen!$G$9:$J$102,4),Rundäx)</f>
        <v>5.73</v>
      </c>
      <c r="HQ10" s="24">
        <f>ROUND(SUM(GH10:GH$56)/VLOOKUP($FM10,$AQ$9:$AR$102,2)/VLOOKUP($FM10-HQ$103,Frauen!$G$9:$J$102,4),Rundäx)</f>
        <v>6.0910000000000002</v>
      </c>
      <c r="HR10" s="24">
        <f>ROUND(SUM(GI10:GI$56)/VLOOKUP($FM10,$AQ$9:$AR$102,2)/VLOOKUP($FM10-HR$103,Frauen!$G$9:$J$102,4),Rundäx)</f>
        <v>6.4589999999999996</v>
      </c>
      <c r="HS10" s="24">
        <f>ROUND(SUM(GJ10:GJ$56)/VLOOKUP($FM10,$AQ$9:$AR$102,2)/VLOOKUP($FM10-HS$103,Frauen!$G$9:$J$102,4),Rundäx)</f>
        <v>6.8330000000000002</v>
      </c>
      <c r="HT10" s="24">
        <f>ROUND(SUM(GK10:GK$56)/VLOOKUP($FM10,$AQ$9:$AR$102,2)/VLOOKUP($FM10-HT$103,Frauen!$G$9:$J$102,4),Rundäx)</f>
        <v>7.2130000000000001</v>
      </c>
      <c r="HU10" s="86"/>
      <c r="HV10" s="35">
        <f>1+HV9</f>
        <v>66</v>
      </c>
      <c r="HW10" s="24">
        <f>ROUND(SUM(GL10:GL$56)/VLOOKUP($FM10,$AQ$9:$AR$102,2)/VLOOKUP($FM10-HW$103,Frauen!$G$9:$J$102,4),Rundäx)</f>
        <v>7.5970000000000004</v>
      </c>
      <c r="HX10" s="24">
        <f>ROUND(SUM(GM10:GM$56)/VLOOKUP($FM10,$AQ$9:$AR$102,2)/VLOOKUP($FM10-HX$103,Frauen!$G$9:$J$102,4),Rundäx)</f>
        <v>7.984</v>
      </c>
      <c r="HY10" s="24">
        <f>ROUND(SUM(GN10:GN$56)/VLOOKUP($FM10,$AQ$9:$AR$102,2)/VLOOKUP($FM10-HY$103,Frauen!$G$9:$J$102,4),Rundäx)</f>
        <v>8.3729999999999993</v>
      </c>
      <c r="HZ10" s="24">
        <f>ROUND(SUM(GO10:GO$56)/VLOOKUP($FM10,$AQ$9:$AR$102,2)/VLOOKUP($FM10-HZ$103,Frauen!$G$9:$J$102,4),Rundäx)</f>
        <v>8.7629999999999999</v>
      </c>
      <c r="IA10" s="24">
        <f>ROUND(SUM(GP10:GP$56)/VLOOKUP($FM10,$AQ$9:$AR$102,2)/VLOOKUP($FM10-IA$103,Frauen!$G$9:$J$102,4),Rundäx)</f>
        <v>9.1549999999999994</v>
      </c>
      <c r="IB10" s="24">
        <f>ROUND(SUM(GQ10:GQ$56)/VLOOKUP($FM10,$AQ$9:$AR$102,2)/VLOOKUP($FM10-IB$103,Frauen!$G$9:$J$102,4),Rundäx)</f>
        <v>9.5459999999999994</v>
      </c>
      <c r="IC10" s="24">
        <f>ROUND(SUM(GR10:GR$56)/VLOOKUP($FM10,$AQ$9:$AR$102,2)/VLOOKUP($FM10-IC$103,Frauen!$G$9:$J$102,4),Rundäx)</f>
        <v>9.9359999999999999</v>
      </c>
      <c r="ID10" s="89"/>
      <c r="IE10" s="35">
        <f>1+IE9</f>
        <v>18</v>
      </c>
      <c r="IF10" s="25">
        <f t="shared" ref="IF10:IF73" si="31">IF($IE10&lt;RAM,IF(S11&lt;=RAK,ROUND(v^($IE10+FaktorAlter)*$H10*($B10*0.5*($R10+$R11)*(VLOOKUP(TRUNC(0.5*($S10+$S11),0),$BF$9:$BH$102,3)+(0.5*($S10+$S11)-TRUNC(0.5*($S10+$S11),0))*(VLOOKUP(TRUNC(0.5*($S10+$S11)+1,0),$BF$9:$BH$102,3)-VLOOKUP(TRUNC(0.5*($S10+$S11),0),$BF$9:$BH$102,3)))+$C10*0.5*($IL10+$IL11)),RundDx),0),"")</f>
        <v>103</v>
      </c>
      <c r="IG10" s="25">
        <f>IF($IE10&lt;RAM,IF(S11&lt;=RAK,ROUND(SUM(IF10:INDEX(Dakx,RAM-BeginnAlter))+INDEX(Dax,RAM-BeginnAlter+1)*INDEX(äkx,1),RundDx),0),"")</f>
        <v>20178</v>
      </c>
      <c r="IH10" s="25">
        <f>IF($IE10&lt;RAM,IF(S11&lt;=RAK,ROUND(SUM(IG10:INDEX(Nakx,RAM-BeginnAlter))+INDEX(Dax,RAM-BeginnAlter+1)*INDEX(äkx,1),RundDx),0),"")</f>
        <v>426408</v>
      </c>
      <c r="II10" s="24">
        <f t="shared" ref="II10:II73" si="32">IF($IE10&lt;RAM,IF(S11&lt;=RAK,ROUND(IG10/$Y10,Rundäx),0),"")</f>
        <v>0.30099999999999999</v>
      </c>
      <c r="IJ10" s="25">
        <f t="shared" ref="IJ10:IJ73" si="33">IF($IE10&lt;RAM,IF(S11&lt;=RAK,ROUND(v^($IE10+FaktorAlter)*$L10*$D10*0.5*($R10+$R11)*(VLOOKUP(TRUNC(0.5*($S10+$S11),0),$BF$9:$BH$102,3)+(0.5*($S10+$S11)-TRUNC(0.5*($S10+$S11),0))*(VLOOKUP(TRUNC(0.5*($S10+$S11)+1,0),$BF$9:$BH$102,3)-VLOOKUP(TRUNC(0.5*($S10+$S11),0),$BF$9:$BH$102,3))),RundDx),0),"")</f>
        <v>135</v>
      </c>
      <c r="IK10" s="25">
        <f>IF($IE10&lt;RAM,IF(S11&lt;=RAK,SUM(IJ10:INDEX(Dikx,RAM-BeginnAlter))+INDEX(Dix,RAM-BeginnAlter+1)*INDEX(äkx,1),0),"")</f>
        <v>473153.83199999999</v>
      </c>
      <c r="IL10" s="24">
        <f t="shared" ref="IL10:IL73" si="34">IF($IE10&lt;RAM,IF(S11&lt;=RAK,ROUND(IK10/$AI10,Rundäx),0),IF(IE10&gt;RAM,"",INDEX(äkx,1)))</f>
        <v>3.548</v>
      </c>
      <c r="IM10" s="86"/>
      <c r="IN10" s="35">
        <f>1+IN9</f>
        <v>66</v>
      </c>
      <c r="IO10" s="25">
        <f t="shared" ref="IO10:IO22" si="35">IF(AND(VLOOKUP(IN10+1,O$9:S$102,5)&lt;=RAK,VLOOKUP(IN10+1,O$9:S$102,5)&lt;&gt;""),ROUND(v^($IN10+FaktorAlter)*VLOOKUP(IN10,G$9:J$102,4)*VLOOKUP(IN10,A$9:E$102,5)*0.5*(VLOOKUP(IN10,O$9:R$102,4)+VLOOKUP(IN10+1,O$9:R$102,4))*(VLOOKUP(TRUNC(0.5*(VLOOKUP(IN10,O$9:S$102,5)+VLOOKUP(IN10+1,O$9:S$102,5)),0),$BF$9:$BH$36,3)+(0.5*(VLOOKUP(IN10,O$9:S$102,5)+VLOOKUP(IN10+1,O$9:S$102,5))-TRUNC(0.5*(VLOOKUP(IN10,O$9:S$102,5)+VLOOKUP(IN10+1,O$9:S$102,5)),0))*(VLOOKUP(TRUNC(0.5*(VLOOKUP(IN10,O$9:S$102,5)+VLOOKUP(IN10+1,O$9:S$102,5))+1,0),$BF$9:$BH$36,3)-VLOOKUP(TRUNC(0.5*(VLOOKUP(IN10,O$9:S$102,5)+VLOOKUP(IN10+1,O$9:S$102,5)),0),$BF$9:$BH$36,3))),RundDx),0)</f>
        <v>19</v>
      </c>
      <c r="IP10" s="25">
        <f>IF(AND(VLOOKUP(IN10+1,O$9:S$102,5)&lt;=RAK,VLOOKUP(IN10+1,O$9:S$102,5)&lt;&gt;""),SUM(IO10:IO$102),0)</f>
        <v>141</v>
      </c>
      <c r="IQ10" s="24">
        <f t="shared" ref="IQ10:IQ22" si="36">IF(VLOOKUP(IN10+1,O$9:S$102,5)&lt;=RAK,ROUND(IP10/INDEX(Dx,$IN10-BeginnAlter+1),Rundäx),0)</f>
        <v>7.0000000000000001E-3</v>
      </c>
      <c r="IR10" s="86"/>
    </row>
    <row r="11" spans="1:252" ht="15.75" customHeight="1" x14ac:dyDescent="0.25">
      <c r="A11" s="35">
        <f>1+A10</f>
        <v>19</v>
      </c>
      <c r="B11" s="77">
        <v>4.4483429240367974E-4</v>
      </c>
      <c r="C11" s="77">
        <v>3.999110153445882E-4</v>
      </c>
      <c r="D11" s="77">
        <v>3.7929993067001696E-3</v>
      </c>
      <c r="E11" s="77">
        <v>4.4022451450242972E-4</v>
      </c>
      <c r="F11" s="86"/>
      <c r="G11" s="35">
        <f>1+G10</f>
        <v>19</v>
      </c>
      <c r="H11" s="25">
        <f t="shared" ref="H11:H74" si="37">IF(G11&lt;=RAM,ROUND(H10*(1-B10-C10),Rundlx),"")</f>
        <v>99872</v>
      </c>
      <c r="I11" s="25">
        <f t="shared" ref="I11:I74" si="38">IF(G11&lt;=RAM,ROUND(H10*C10*(1-D10)/(1-0.5*D10)+I10*(1-D10),RundIx),"")</f>
        <v>77</v>
      </c>
      <c r="J11" s="25">
        <f t="shared" ref="J11:J74" si="39">IF(G11&lt;=RAM,H11+I11,ROUND(J10*(1-E10),Rundlx))</f>
        <v>99949</v>
      </c>
      <c r="K11" s="30">
        <f>IF(J11&gt;0,ROUND(SUM(J11:J$102)/J11-0.5,Rundex),"")</f>
        <v>59.84</v>
      </c>
      <c r="L11" s="25">
        <f t="shared" si="0"/>
        <v>198630</v>
      </c>
      <c r="M11" s="30">
        <f>IF(L11&gt;0,ROUND(SUM(L11:L$102)/L11-0.5,Rundex),"")</f>
        <v>41.03</v>
      </c>
      <c r="N11" s="86"/>
      <c r="O11" s="35">
        <f>1+O10</f>
        <v>19</v>
      </c>
      <c r="P11" s="43">
        <v>1.2999999999999999E-2</v>
      </c>
      <c r="Q11" s="78">
        <v>20.029269412578952</v>
      </c>
      <c r="R11" s="43">
        <v>0.03</v>
      </c>
      <c r="S11" s="78">
        <v>0.08</v>
      </c>
      <c r="T11" s="15">
        <v>4.4816752867260501E-4</v>
      </c>
      <c r="U11" s="11">
        <f t="shared" ref="U11:U74" si="40">ROUND(U10*(1-T10),Rundlx)</f>
        <v>99949</v>
      </c>
      <c r="V11" s="30">
        <f>IF(U11&gt;0,ROUND(SUM(U11:U$102)/U11-0.5,Rundex),"")</f>
        <v>57.49</v>
      </c>
      <c r="W11" s="86"/>
      <c r="X11" s="35">
        <f>1+X10</f>
        <v>19</v>
      </c>
      <c r="Y11" s="25">
        <f t="shared" si="1"/>
        <v>65440</v>
      </c>
      <c r="Z11" s="25">
        <f>IF($X11&lt;RAM,SUM(Y11:INDEX(Dax,RAM-BeginnAlter))," ")</f>
        <v>1811040</v>
      </c>
      <c r="AA11" s="25">
        <f t="shared" si="2"/>
        <v>29</v>
      </c>
      <c r="AB11" s="25">
        <f>IF($X11&lt;RAM,SUM(AA11:INDEX(Cax,RAM-BeginnAlter))," ")</f>
        <v>2820</v>
      </c>
      <c r="AC11" s="25">
        <f t="shared" si="3"/>
        <v>26</v>
      </c>
      <c r="AD11" s="25">
        <f>IF($X11&lt;RAM,SUM(AC11:INDEX(Caix,RAM-BeginnAlter))," ")</f>
        <v>8103</v>
      </c>
      <c r="AE11" s="24">
        <f t="shared" si="4"/>
        <v>27.675000000000001</v>
      </c>
      <c r="AF11" s="24">
        <f t="shared" si="5"/>
        <v>27.32</v>
      </c>
      <c r="AG11" s="86"/>
      <c r="AH11" s="35">
        <f>1+AH10</f>
        <v>19</v>
      </c>
      <c r="AI11" s="25">
        <f t="shared" si="6"/>
        <v>130149</v>
      </c>
      <c r="AJ11" s="25">
        <f>IF($AH11&gt;RAM," ",IF($AH11&lt;RAM,SUM(AI11:INDEX(Dix,RAM-BeginnAlter))+INDEX(Nx,RAM-BeginnAlter+1),INDEX(Nx,RAM-BeginnAlter+1)))</f>
        <v>3258994</v>
      </c>
      <c r="AK11" s="25">
        <f>IF($AH11&lt;RAM,SUM(AI11:INDEX(Dix,RAM-BeginnAlter))," ")</f>
        <v>2961747</v>
      </c>
      <c r="AL11" s="24">
        <f t="shared" si="7"/>
        <v>25.04</v>
      </c>
      <c r="AM11" s="24">
        <f t="shared" si="8"/>
        <v>24.582000000000001</v>
      </c>
      <c r="AN11" s="24">
        <f t="shared" si="9"/>
        <v>22.757000000000001</v>
      </c>
      <c r="AO11" s="24">
        <f t="shared" si="10"/>
        <v>22.37</v>
      </c>
      <c r="AP11" s="86"/>
      <c r="AQ11" s="35">
        <f>1+AQ10</f>
        <v>19</v>
      </c>
      <c r="AR11" s="25">
        <f t="shared" si="11"/>
        <v>65490</v>
      </c>
      <c r="AS11" s="25">
        <f>SUM(AR11:AR$94)</f>
        <v>2161428</v>
      </c>
      <c r="AT11" s="25">
        <f>IF($AQ11&lt;RAM,SUM(AR11:INDEX(Dx,RAM-BeginnAlter))," ")</f>
        <v>1864181</v>
      </c>
      <c r="AU11" s="24">
        <f t="shared" si="12"/>
        <v>33.003999999999998</v>
      </c>
      <c r="AV11" s="24">
        <f t="shared" si="13"/>
        <v>32.545999999999999</v>
      </c>
      <c r="AW11" s="24">
        <f t="shared" si="14"/>
        <v>28.465</v>
      </c>
      <c r="AX11" s="24">
        <f t="shared" si="15"/>
        <v>28.15</v>
      </c>
      <c r="AY11" s="86"/>
      <c r="AZ11" s="35">
        <f>1+AZ10</f>
        <v>19</v>
      </c>
      <c r="BA11" s="25">
        <f t="shared" si="16"/>
        <v>65490</v>
      </c>
      <c r="BB11" s="25">
        <f>SUM(BA11:BA$94)</f>
        <v>2119366</v>
      </c>
      <c r="BC11" s="24">
        <f t="shared" si="17"/>
        <v>32.362000000000002</v>
      </c>
      <c r="BD11" s="24">
        <f t="shared" si="18"/>
        <v>31.902999999999999</v>
      </c>
      <c r="BE11" s="86"/>
      <c r="BF11" s="35">
        <f>1+BF10</f>
        <v>2</v>
      </c>
      <c r="BG11" s="24">
        <f t="shared" si="19"/>
        <v>18.202999999999999</v>
      </c>
      <c r="BH11" s="24">
        <f t="shared" si="20"/>
        <v>18.02</v>
      </c>
      <c r="BI11" s="86"/>
      <c r="BJ11" s="35">
        <f>1+BJ10</f>
        <v>19</v>
      </c>
      <c r="BK11" s="25">
        <f t="shared" si="21"/>
        <v>631</v>
      </c>
      <c r="BL11" s="25">
        <f>IF(BJ11&lt;RAM,SUM(BK11:INDEX(Daix,RAM-BeginnAlter))," ")</f>
        <v>134955</v>
      </c>
      <c r="BM11" s="25">
        <f>IF(BJ11&lt;RAM,SUM(BL11:INDEX(Naix,RAM-BeginnAlter))," ")</f>
        <v>4797830</v>
      </c>
      <c r="BN11" s="24">
        <f t="shared" si="22"/>
        <v>3.1749999999999998</v>
      </c>
      <c r="BO11" s="24">
        <f t="shared" si="23"/>
        <v>2.0619999999999998</v>
      </c>
      <c r="BP11" s="86"/>
      <c r="BQ11" s="35">
        <f>1+BQ10</f>
        <v>19</v>
      </c>
      <c r="BR11" s="25">
        <f>IF(BQ11&lt;RAM,ROUND(v^(BQ11+FaktorAlter)*C11*H11*(0.5*(AM11+AM12)-v^FaktorAlter*(1-D11)/(1-0.5*D11)*INDEX(Dix,RAM-BeginnAlter+1)/AI12*INDEX(äimx,RAM-BeginnAlter+1)),RundDx)," ")</f>
        <v>573</v>
      </c>
      <c r="BS11" s="25">
        <f>IF(BQ11&lt;RAM,SUM(BR11:INDEX(Daixs,RAM-BeginnAlter))," ")</f>
        <v>54963</v>
      </c>
      <c r="BT11" s="25">
        <f>IF(BQ11&lt;RAM,SUM(BS11:INDEX(Naixs,RAM-BeginnAlter))," ")</f>
        <v>1607950</v>
      </c>
      <c r="BU11" s="24">
        <f>IF(BQ11&lt;RAM,ROUND((1-I11/L11)*INDEX(ämx,RAM-BeginnAlter+1)/Y11*INDEX(Dx,RAM-BeginnAlter+1),Rundäx)," ")</f>
        <v>4.3970000000000002</v>
      </c>
      <c r="BV11" s="24">
        <f>IF(BQ11&lt;RAM,ROUND(BS11/Y11,Rundäx)," ")</f>
        <v>0.84</v>
      </c>
      <c r="BW11" s="86"/>
      <c r="BX11" s="35">
        <f>1+BX10</f>
        <v>19</v>
      </c>
      <c r="BY11" s="10">
        <f t="shared" si="24"/>
        <v>16.612319215843446</v>
      </c>
      <c r="BZ11" s="11">
        <f t="shared" si="25"/>
        <v>15</v>
      </c>
      <c r="CA11" s="25">
        <f>IF(S12&lt;=RAK,IF($BX11&lt;RAM,SUM(BZ11:INDEX(Dazx,RAM-BeginnAlter)),""),"")</f>
        <v>22258</v>
      </c>
      <c r="CB11" s="24">
        <f t="shared" si="26"/>
        <v>0.34</v>
      </c>
      <c r="CC11" s="25">
        <f t="shared" si="27"/>
        <v>36784</v>
      </c>
      <c r="CD11" s="24">
        <f t="shared" si="28"/>
        <v>24.123999999999999</v>
      </c>
      <c r="CE11" s="24">
        <f t="shared" si="29"/>
        <v>1.6E-2</v>
      </c>
      <c r="CF11" s="86"/>
      <c r="CG11" s="35">
        <f>1+CG10</f>
        <v>19</v>
      </c>
      <c r="CH11" s="25">
        <f>IF(CG11&lt;RAM,ROUND(v^($CG11+FaktorAlter)*$H11*($B11*0.5*($P11+$P12)*(VLOOKUP(TRUNC(0.5*($Q11+$Q12),0),Frauen!$AZ$9:$BD$95,5)+(0.5*($Q11+$Q12)-TRUNC(0.5*($Q11+$Q12),0))*(VLOOKUP(TRUNC(0.5*($Q11+$Q12)+1,0),Frauen!$AZ$9:$BD$95,5)-VLOOKUP(TRUNC(0.5*($Q11+$Q12),0),Frauen!$AZ$9:$BD$95,5)))+$C11*0.5*($CN11+$CN12)),RundDx),"")</f>
        <v>158</v>
      </c>
      <c r="CI11" s="25">
        <f>IF(CG11&lt;RAM,ROUND(SUM(CH11:INDEX(Dawx,RAM-BeginnAlter))+INDEX(Dax,RAM-BeginnAlter+1)*INDEX(äwx,1),RundDx),"")</f>
        <v>169409</v>
      </c>
      <c r="CJ11" s="25">
        <f>IF(CG11&lt;RAM,ROUND(SUM(CI11:INDEX(Nawx,RAM-BeginnAlter))+INDEX(Dax,RAM-BeginnAlter+1)*INDEX(äwx,1),RundDx),"")</f>
        <v>6833525</v>
      </c>
      <c r="CK11" s="24">
        <f>IF(CG11&lt;RAM,ROUND(CI11/$Y11,Rundäx),"")</f>
        <v>2.589</v>
      </c>
      <c r="CL11" s="25">
        <f>IF(CG11&lt;RAM,ROUND(v^($CG11+FaktorAlter)*$L11*$D11*0.5*($P11+$P12)*(VLOOKUP(TRUNC(0.5*($Q11+$Q12),0),Frauen!$AZ$9:$BD$95,5)+(0.5*($Q11+$Q12)-TRUNC(0.5*($Q11+$Q12),0))*(VLOOKUP(TRUNC(0.5*($Q11+$Q12)+1,0),Frauen!$AZ$9:$BD$95,5)-VLOOKUP(TRUNC(0.5*($Q11+$Q12),0),Frauen!$AZ$9:$BD$95,5))),RundDx),"")</f>
        <v>269</v>
      </c>
      <c r="CM11" s="25">
        <f>IF(CG11&lt;RAM,SUM(CL11:INDEX(Diwx,RAM-BeginnAlter))+INDEX(Dix,RAM-BeginnAlter+1)*INDEX(äwx,1),"")</f>
        <v>707817.41399999999</v>
      </c>
      <c r="CN11" s="24">
        <f>IF(CG11&lt;RAM,ROUND(CM11/$AI11,Rundäx),IF(CG11&gt;RAM,"",INDEX(äwx,1)))</f>
        <v>5.4390000000000001</v>
      </c>
      <c r="CO11" s="86"/>
      <c r="CP11" s="35">
        <f>1+CP10</f>
        <v>67</v>
      </c>
      <c r="CQ11" s="11">
        <f>ROUND(v^($CP11+FaktorAlter)*VLOOKUP(CP11,G$9:J$102,4)*VLOOKUP(CP11,A$9:E$102,5)*0.5*(VLOOKUP(CP11,O$9:P$102,2)+VLOOKUP(CP11+1,O$9:P$102,2))*(VLOOKUP(TRUNC(0.5*(VLOOKUP(CP11,O$9:Q$102,3)+VLOOKUP(CP11+1,O$9:Q$102,3)),0),Frauen!$AZ$9:$BD$95,5)+(0.5*(VLOOKUP(CP11,O$9:Q$102,3)+VLOOKUP(CP11+1,O$9:Q$102,3))-TRUNC(0.5*(VLOOKUP(CP11,O$9:Q$102,3)+VLOOKUP(CP11+1,O$9:Q$102,3)),0))*(VLOOKUP(TRUNC(0.5*(VLOOKUP(CP11,O$9:Q$102,3)+VLOOKUP(CP11+1,O$9:Q$102,3))+1,0),Frauen!$AZ$9:$BD$95,5)-VLOOKUP(TRUNC(0.5*(VLOOKUP(CP11,O$9:Q$102,3)+VLOOKUP(CP11+1,O$9:Q$102,3)),0),Frauen!$AZ$9:$BD$95,5))),RundDx)</f>
        <v>4536</v>
      </c>
      <c r="CR11" s="25">
        <f>SUM(CQ11:CQ$56)</f>
        <v>99273</v>
      </c>
      <c r="CS11" s="24">
        <f t="shared" si="30"/>
        <v>5.2290000000000001</v>
      </c>
      <c r="CT11" s="86"/>
      <c r="CU11" s="35">
        <f>1+CU10</f>
        <v>19</v>
      </c>
      <c r="CV11" s="25">
        <f>IF($CU11&gt;=RAM,"",IF($CU11-CV$103&lt;BeginnAlter,"",ROUND(v^($CU11+FaktorAlter)*$L11*$D11*0.5*(VLOOKUP($CU11-CV$103,Frauen!$G$9:$J$102,4)+VLOOKUP($CU11-CV$103+1,Frauen!$G$9:$J$102,4))*0.5*(VLOOKUP($CU11-CV$103,Frauen!$AZ$9:$BD$102,5)+VLOOKUP($CU11-CV$103+1,Frauen!$AZ$9:$BD$102,5)),RundDx)))</f>
        <v>1424882897</v>
      </c>
      <c r="CW11" s="25">
        <f>IF($CU11&gt;=RAM,"",IF($CU11-CW$103&lt;BeginnAlter,"",ROUND(v^($CU11+FaktorAlter)*$L11*$D11*0.5*(VLOOKUP($CU11-CW$103,Frauen!$G$9:$J$102,4)+VLOOKUP($CU11-CW$103+1,Frauen!$G$9:$J$102,4))*0.5*(VLOOKUP($CU11-CW$103,Frauen!$AZ$9:$BD$102,5)+VLOOKUP($CU11-CW$103+1,Frauen!$AZ$9:$BD$102,5)),RundDx)))</f>
        <v>1441560008</v>
      </c>
      <c r="CX11" s="25">
        <f>IF($CU11&gt;=RAM,"",IF($CU11-CX$103&lt;BeginnAlter,"",ROUND(v^($CU11+FaktorAlter)*$L11*$D11*0.5*(VLOOKUP($CU11-CX$103,Frauen!$G$9:$J$102,4)+VLOOKUP($CU11-CX$103+1,Frauen!$G$9:$J$102,4))*0.5*(VLOOKUP($CU11-CX$103,Frauen!$AZ$9:$BD$102,5)+VLOOKUP($CU11-CX$103+1,Frauen!$AZ$9:$BD$102,5)),RundDx)))</f>
        <v>1457890143</v>
      </c>
      <c r="CY11" s="25">
        <f>IF($CU11&gt;=RAM,"",IF($CU11-CY$103&lt;BeginnAlter,"",ROUND(v^($CU11+FaktorAlter)*$L11*$D11*0.5*(VLOOKUP($CU11-CY$103,Frauen!$G$9:$J$102,4)+VLOOKUP($CU11-CY$103+1,Frauen!$G$9:$J$102,4))*0.5*(VLOOKUP($CU11-CY$103,Frauen!$AZ$9:$BD$102,5)+VLOOKUP($CU11-CY$103+1,Frauen!$AZ$9:$BD$102,5)),RundDx)))</f>
        <v>1473902804</v>
      </c>
      <c r="CZ11" s="25">
        <f>IF($CU11&gt;=RAM,"",IF($CU11-CZ$103&lt;BeginnAlter,"",ROUND(v^($CU11+FaktorAlter)*$L11*$D11*0.5*(VLOOKUP($CU11-CZ$103,Frauen!$G$9:$J$102,4)+VLOOKUP($CU11-CZ$103+1,Frauen!$G$9:$J$102,4))*0.5*(VLOOKUP($CU11-CZ$103,Frauen!$AZ$9:$BD$102,5)+VLOOKUP($CU11-CZ$103+1,Frauen!$AZ$9:$BD$102,5)),RundDx)))</f>
        <v>1489603598</v>
      </c>
      <c r="DA11" s="25">
        <f>IF($CU11&gt;=RAM,"",IF($CU11-DA$103&lt;BeginnAlter,"",ROUND(v^($CU11+FaktorAlter)*$L11*$D11*0.5*(VLOOKUP($CU11-DA$103,Frauen!$G$9:$J$102,4)+VLOOKUP($CU11-DA$103+1,Frauen!$G$9:$J$102,4))*0.5*(VLOOKUP($CU11-DA$103,Frauen!$AZ$9:$BD$102,5)+VLOOKUP($CU11-DA$103+1,Frauen!$AZ$9:$BD$102,5)),RundDx)))</f>
        <v>1504974162</v>
      </c>
      <c r="DB11" s="25">
        <f>IF($CU11&gt;=RAM,"",IF($CU11-DB$103&lt;BeginnAlter,"",ROUND(v^($CU11+FaktorAlter)*$L11*$D11*0.5*(VLOOKUP($CU11-DB$103,Frauen!$G$9:$J$102,4)+VLOOKUP($CU11-DB$103+1,Frauen!$G$9:$J$102,4))*0.5*(VLOOKUP($CU11-DB$103,Frauen!$AZ$9:$BD$102,5)+VLOOKUP($CU11-DB$103+1,Frauen!$AZ$9:$BD$102,5)),RundDx)))</f>
        <v>1520013120</v>
      </c>
      <c r="DC11" s="25">
        <f>IF($CU11&gt;=RAM,"",IF($CU11-DC$103&lt;BeginnAlter,"",ROUND(v^($CU11+FaktorAlter)*$L11*$D11*0.5*(VLOOKUP($CU11-DC$103,Frauen!$G$9:$J$102,4)+VLOOKUP($CU11-DC$103+1,Frauen!$G$9:$J$102,4))*0.5*(VLOOKUP($CU11-DC$103,Frauen!$AZ$9:$BD$102,5)+VLOOKUP($CU11-DC$103+1,Frauen!$AZ$9:$BD$102,5)),RundDx)))</f>
        <v>1534735789</v>
      </c>
      <c r="DD11" s="25">
        <f>IF($CU11&gt;=RAM,"",IF($CU11-DD$103&lt;BeginnAlter,"",ROUND(v^($CU11+FaktorAlter)*$L11*$D11*0.5*(VLOOKUP($CU11-DD$103,Frauen!$G$9:$J$102,4)+VLOOKUP($CU11-DD$103+1,Frauen!$G$9:$J$102,4))*0.5*(VLOOKUP($CU11-DD$103,Frauen!$AZ$9:$BD$102,5)+VLOOKUP($CU11-DD$103+1,Frauen!$AZ$9:$BD$102,5)),RundDx)))</f>
        <v>1549181647</v>
      </c>
      <c r="DE11" s="25">
        <f>IF($CU11&gt;=RAM,"",IF($CU11-DE$103&lt;BeginnAlter,"",ROUND(v^($CU11+FaktorAlter)*$L11*$D11*0.5*(VLOOKUP($CU11-DE$103,Frauen!$G$9:$J$102,4)+VLOOKUP($CU11-DE$103+1,Frauen!$G$9:$J$102,4))*0.5*(VLOOKUP($CU11-DE$103,Frauen!$AZ$9:$BD$102,5)+VLOOKUP($CU11-DE$103+1,Frauen!$AZ$9:$BD$102,5)),RundDx)))</f>
        <v>1563316930</v>
      </c>
      <c r="DF11" s="25">
        <f>IF($CU11&gt;=RAM,"",IF($CU11-DF$103&lt;BeginnAlter,"",ROUND(v^($CU11+FaktorAlter)*$L11*$D11*0.5*(VLOOKUP($CU11-DF$103,Frauen!$G$9:$J$102,4)+VLOOKUP($CU11-DF$103+1,Frauen!$G$9:$J$102,4))*0.5*(VLOOKUP($CU11-DF$103,Frauen!$AZ$9:$BD$102,5)+VLOOKUP($CU11-DF$103+1,Frauen!$AZ$9:$BD$102,5)),RundDx)))</f>
        <v>1577156367</v>
      </c>
      <c r="DG11" s="25">
        <f>IF($CU11&gt;=RAM,"",IF($CU11-DG$103&lt;BeginnAlter,"",ROUND(v^($CU11+FaktorAlter)*$L11*$D11*0.5*(VLOOKUP($CU11-DG$103,Frauen!$G$9:$J$102,4)+VLOOKUP($CU11-DG$103+1,Frauen!$G$9:$J$102,4))*0.5*(VLOOKUP($CU11-DG$103,Frauen!$AZ$9:$BD$102,5)+VLOOKUP($CU11-DG$103+1,Frauen!$AZ$9:$BD$102,5)),RundDx)))</f>
        <v>1590722476</v>
      </c>
      <c r="DH11" s="25">
        <f>IF($CU11&gt;=RAM,"",IF($CU11-DH$103&lt;BeginnAlter,"",ROUND(v^($CU11+FaktorAlter)*$L11*$D11*0.5*(VLOOKUP($CU11-DH$103,Frauen!$G$9:$J$102,4)+VLOOKUP($CU11-DH$103+1,Frauen!$G$9:$J$102,4))*0.5*(VLOOKUP($CU11-DH$103,Frauen!$AZ$9:$BD$102,5)+VLOOKUP($CU11-DH$103+1,Frauen!$AZ$9:$BD$102,5)),RundDx)))</f>
        <v>1604005446</v>
      </c>
      <c r="DI11" s="25">
        <f>IF($CU11&gt;=RAM,"",IF($CU11-DI$103&lt;BeginnAlter,"",ROUND(v^($CU11+FaktorAlter)*$L11*$D11*0.5*(VLOOKUP($CU11-DI$103,Frauen!$G$9:$J$102,4)+VLOOKUP($CU11-DI$103+1,Frauen!$G$9:$J$102,4))*0.5*(VLOOKUP($CU11-DI$103,Frauen!$AZ$9:$BD$102,5)+VLOOKUP($CU11-DI$103+1,Frauen!$AZ$9:$BD$102,5)),RundDx)))</f>
        <v>1617019661</v>
      </c>
      <c r="DJ11" s="25">
        <f>IF($CU11&gt;=RAM,"",IF($CU11-DJ$103&lt;BeginnAlter,"",ROUND(v^($CU11+FaktorAlter)*$L11*$D11*0.5*(VLOOKUP($CU11-DJ$103,Frauen!$G$9:$J$102,4)+VLOOKUP($CU11-DJ$103+1,Frauen!$G$9:$J$102,4))*0.5*(VLOOKUP($CU11-DJ$103,Frauen!$AZ$9:$BD$102,5)+VLOOKUP($CU11-DJ$103+1,Frauen!$AZ$9:$BD$102,5)),RundDx)))</f>
        <v>1629738688</v>
      </c>
      <c r="DK11" s="25">
        <f>IF($CU11&gt;=RAM,"",IF($CU11-DK$103&lt;BeginnAlter,"",ROUND(v^($CU11+FaktorAlter)*$L11*$D11*0.5*(VLOOKUP($CU11-DK$103,Frauen!$G$9:$J$102,4)+VLOOKUP($CU11-DK$103+1,Frauen!$G$9:$J$102,4))*0.5*(VLOOKUP($CU11-DK$103,Frauen!$AZ$9:$BD$102,5)+VLOOKUP($CU11-DK$103+1,Frauen!$AZ$9:$BD$102,5)),RundDx)))</f>
        <v>1642168753</v>
      </c>
      <c r="DL11" s="25">
        <f>IF($CU11&gt;=RAM,"",IF($CU11-DL$103&lt;BeginnAlter,"",ROUND(v^($CU11+FaktorAlter)*$L11*$D11*0.5*(VLOOKUP($CU11-DL$103,Frauen!$G$9:$J$102,4)+VLOOKUP($CU11-DL$103+1,Frauen!$G$9:$J$102,4))*0.5*(VLOOKUP($CU11-DL$103,Frauen!$AZ$9:$BD$102,5)+VLOOKUP($CU11-DL$103+1,Frauen!$AZ$9:$BD$102,5)),RundDx)))</f>
        <v>1654357341</v>
      </c>
      <c r="DM11" s="25">
        <f>IF($CU11&gt;=RAM,"",IF($CU11-DM$103&lt;BeginnAlter,"",ROUND(v^($CU11+FaktorAlter)*$L11*$D11*0.5*(VLOOKUP($CU11-DM$103,Frauen!$G$9:$J$102,4)+VLOOKUP($CU11-DM$103+1,Frauen!$G$9:$J$102,4))*0.5*(VLOOKUP($CU11-DM$103,Frauen!$AZ$9:$BD$102,5)+VLOOKUP($CU11-DM$103+1,Frauen!$AZ$9:$BD$102,5)),RundDx)))</f>
        <v>1666279486</v>
      </c>
      <c r="DN11" s="25" t="str">
        <f>IF($CU11&gt;=RAM,"",IF($CU11-DN$103&lt;BeginnAlter,"",ROUND(v^($CU11+FaktorAlter)*$L11*$D11*0.5*(VLOOKUP($CU11-DN$103,Frauen!$G$9:$J$102,4)+VLOOKUP($CU11-DN$103+1,Frauen!$G$9:$J$102,4))*0.5*(VLOOKUP($CU11-DN$103,Frauen!$AZ$9:$BD$102,5)+VLOOKUP($CU11-DN$103+1,Frauen!$AZ$9:$BD$102,5)),RundDx)))</f>
        <v/>
      </c>
      <c r="DO11" s="25" t="str">
        <f>IF($CU11&gt;=RAM,"",IF($CU11-DO$103&lt;BeginnAlter,"",ROUND(v^($CU11+FaktorAlter)*$L11*$D11*0.5*(VLOOKUP($CU11-DO$103,Frauen!$G$9:$J$102,4)+VLOOKUP($CU11-DO$103+1,Frauen!$G$9:$J$102,4))*0.5*(VLOOKUP($CU11-DO$103,Frauen!$AZ$9:$BD$102,5)+VLOOKUP($CU11-DO$103+1,Frauen!$AZ$9:$BD$102,5)),RundDx)))</f>
        <v/>
      </c>
      <c r="DP11" s="25" t="str">
        <f>IF($CU11&gt;=RAM,"",IF($CU11-DP$103&lt;BeginnAlter,"",ROUND(v^($CU11+FaktorAlter)*$L11*$D11*0.5*(VLOOKUP($CU11-DP$103,Frauen!$G$9:$J$102,4)+VLOOKUP($CU11-DP$103+1,Frauen!$G$9:$J$102,4))*0.5*(VLOOKUP($CU11-DP$103,Frauen!$AZ$9:$BD$102,5)+VLOOKUP($CU11-DP$103+1,Frauen!$AZ$9:$BD$102,5)),RundDx)))</f>
        <v/>
      </c>
      <c r="DQ11" s="25" t="str">
        <f>IF($CU11&gt;=RAM,"",IF($CU11-DQ$103&lt;BeginnAlter,"",ROUND(v^($CU11+FaktorAlter)*$L11*$D11*0.5*(VLOOKUP($CU11-DQ$103,Frauen!$G$9:$J$102,4)+VLOOKUP($CU11-DQ$103+1,Frauen!$G$9:$J$102,4))*0.5*(VLOOKUP($CU11-DQ$103,Frauen!$AZ$9:$BD$102,5)+VLOOKUP($CU11-DQ$103+1,Frauen!$AZ$9:$BD$102,5)),RundDx)))</f>
        <v/>
      </c>
      <c r="DR11" s="25" t="str">
        <f>IF($CU11&gt;=RAM,"",IF($CU11-DR$103&lt;BeginnAlter,"",ROUND(v^($CU11+FaktorAlter)*$L11*$D11*0.5*(VLOOKUP($CU11-DR$103,Frauen!$G$9:$J$102,4)+VLOOKUP($CU11-DR$103+1,Frauen!$G$9:$J$102,4))*0.5*(VLOOKUP($CU11-DR$103,Frauen!$AZ$9:$BD$102,5)+VLOOKUP($CU11-DR$103+1,Frauen!$AZ$9:$BD$102,5)),RundDx)))</f>
        <v/>
      </c>
      <c r="DS11" s="25" t="str">
        <f>IF($CU11&gt;=RAM,"",IF($CU11-DS$103&lt;BeginnAlter,"",ROUND(v^($CU11+FaktorAlter)*$L11*$D11*0.5*(VLOOKUP($CU11-DS$103,Frauen!$G$9:$J$102,4)+VLOOKUP($CU11-DS$103+1,Frauen!$G$9:$J$102,4))*0.5*(VLOOKUP($CU11-DS$103,Frauen!$AZ$9:$BD$102,5)+VLOOKUP($CU11-DS$103+1,Frauen!$AZ$9:$BD$102,5)),RundDx)))</f>
        <v/>
      </c>
      <c r="DT11" s="25" t="str">
        <f>IF($CU11&gt;=RAM,"",IF($CU11-DT$103&lt;BeginnAlter,"",ROUND(v^($CU11+FaktorAlter)*$L11*$D11*0.5*(VLOOKUP($CU11-DT$103,Frauen!$G$9:$J$102,4)+VLOOKUP($CU11-DT$103+1,Frauen!$G$9:$J$102,4))*0.5*(VLOOKUP($CU11-DT$103,Frauen!$AZ$9:$BD$102,5)+VLOOKUP($CU11-DT$103+1,Frauen!$AZ$9:$BD$102,5)),RundDx)))</f>
        <v/>
      </c>
      <c r="DU11" s="25" t="str">
        <f>IF($CU11&gt;=RAM,"",IF($CU11-DU$103&lt;BeginnAlter,"",ROUND(v^($CU11+FaktorAlter)*$L11*$D11*0.5*(VLOOKUP($CU11-DU$103,Frauen!$G$9:$J$102,4)+VLOOKUP($CU11-DU$103+1,Frauen!$G$9:$J$102,4))*0.5*(VLOOKUP($CU11-DU$103,Frauen!$AZ$9:$BD$102,5)+VLOOKUP($CU11-DU$103+1,Frauen!$AZ$9:$BD$102,5)),RundDx)))</f>
        <v/>
      </c>
      <c r="DV11" s="25" t="str">
        <f>IF($CU11&gt;=RAM,"",IF($CU11-DV$103&lt;BeginnAlter,"",ROUND(v^($CU11+FaktorAlter)*$L11*$D11*0.5*(VLOOKUP($CU11-DV$103,Frauen!$G$9:$J$102,4)+VLOOKUP($CU11-DV$103+1,Frauen!$G$9:$J$102,4))*0.5*(VLOOKUP($CU11-DV$103,Frauen!$AZ$9:$BD$102,5)+VLOOKUP($CU11-DV$103+1,Frauen!$AZ$9:$BD$102,5)),RundDx)))</f>
        <v/>
      </c>
      <c r="DW11" s="25" t="str">
        <f>IF($CU11&gt;=RAM,"",IF($CU11-DW$103&lt;BeginnAlter,"",ROUND(v^($CU11+FaktorAlter)*$L11*$D11*0.5*(VLOOKUP($CU11-DW$103,Frauen!$G$9:$J$102,4)+VLOOKUP($CU11-DW$103+1,Frauen!$G$9:$J$102,4))*0.5*(VLOOKUP($CU11-DW$103,Frauen!$AZ$9:$BD$102,5)+VLOOKUP($CU11-DW$103+1,Frauen!$AZ$9:$BD$102,5)),RundDx)))</f>
        <v/>
      </c>
      <c r="DX11" s="25" t="str">
        <f>IF($CU11&gt;=RAM,"",IF($CU11-DX$103&lt;BeginnAlter,"",ROUND(v^($CU11+FaktorAlter)*$L11*$D11*0.5*(VLOOKUP($CU11-DX$103,Frauen!$G$9:$J$102,4)+VLOOKUP($CU11-DX$103+1,Frauen!$G$9:$J$102,4))*0.5*(VLOOKUP($CU11-DX$103,Frauen!$AZ$9:$BD$102,5)+VLOOKUP($CU11-DX$103+1,Frauen!$AZ$9:$BD$102,5)),RundDx)))</f>
        <v/>
      </c>
      <c r="DY11" s="25" t="str">
        <f>IF($CU11&gt;=RAM,"",IF($CU11-DY$103&lt;BeginnAlter,"",ROUND(v^($CU11+FaktorAlter)*$L11*$D11*0.5*(VLOOKUP($CU11-DY$103,Frauen!$G$9:$J$102,4)+VLOOKUP($CU11-DY$103+1,Frauen!$G$9:$J$102,4))*0.5*(VLOOKUP($CU11-DY$103,Frauen!$AZ$9:$BD$102,5)+VLOOKUP($CU11-DY$103+1,Frauen!$AZ$9:$BD$102,5)),RundDx)))</f>
        <v/>
      </c>
      <c r="DZ11" s="25" t="str">
        <f>IF($CU11&gt;=RAM,"",IF($CU11-DZ$103&lt;BeginnAlter,"",ROUND(v^($CU11+FaktorAlter)*$L11*$D11*0.5*(VLOOKUP($CU11-DZ$103,Frauen!$G$9:$J$102,4)+VLOOKUP($CU11-DZ$103+1,Frauen!$G$9:$J$102,4))*0.5*(VLOOKUP($CU11-DZ$103,Frauen!$AZ$9:$BD$102,5)+VLOOKUP($CU11-DZ$103+1,Frauen!$AZ$9:$BD$102,5)),RundDx)))</f>
        <v/>
      </c>
      <c r="EA11" s="43">
        <f>IF($CU11&gt;=RAM,"",IF($CU11-EA$103&lt;BeginnAlter,"",ROUND((SUM(CV11:CV$56)+SUM(FN$9:FN$56))/VLOOKUP($CU11,$AH$9:$AI$102,2)/VLOOKUP($CU11-EA$103,Frauen!$G$9:$J$102,4),Rundäx)))</f>
        <v>7.1289999999999996</v>
      </c>
      <c r="EB11" s="43">
        <f>IF($CU11&gt;=RAM,"",IF($CU11-EB$103&lt;BeginnAlter,"",ROUND((SUM(CW11:CW$56)+SUM(FO$9:FO$56))/VLOOKUP($CU11,$AH$9:$AI$102,2)/VLOOKUP($CU11-EB$103,Frauen!$G$9:$J$102,4),Rundäx)))</f>
        <v>7.3159999999999998</v>
      </c>
      <c r="EC11" s="43">
        <f>IF($CU11&gt;=RAM,"",IF($CU11-EC$103&lt;BeginnAlter,"",ROUND((SUM(CX11:CX$56)+SUM(FP$9:FP$56))/VLOOKUP($CU11,$AH$9:$AI$102,2)/VLOOKUP($CU11-EC$103,Frauen!$G$9:$J$102,4),Rundäx)))</f>
        <v>7.5030000000000001</v>
      </c>
      <c r="ED11" s="43">
        <f>IF($CU11&gt;=RAM,"",IF($CU11-ED$103&lt;BeginnAlter,"",ROUND((SUM(CY11:CY$56)+SUM(FQ$9:FQ$56))/VLOOKUP($CU11,$AH$9:$AI$102,2)/VLOOKUP($CU11-ED$103,Frauen!$G$9:$J$102,4),Rundäx)))</f>
        <v>7.6890000000000001</v>
      </c>
      <c r="EE11" s="43">
        <f>IF($CU11&gt;=RAM,"",IF($CU11-EE$103&lt;BeginnAlter,"",ROUND((SUM(CZ11:CZ$56)+SUM(FR$9:FR$56))/VLOOKUP($CU11,$AH$9:$AI$102,2)/VLOOKUP($CU11-EE$103,Frauen!$G$9:$J$102,4),Rundäx)))</f>
        <v>7.8760000000000003</v>
      </c>
      <c r="EF11" s="43">
        <f>IF($CU11&gt;=RAM,"",IF($CU11-EF$103&lt;BeginnAlter,"",ROUND((SUM(DA11:DA$56)+SUM(FS$9:FS$56))/VLOOKUP($CU11,$AH$9:$AI$102,2)/VLOOKUP($CU11-EF$103,Frauen!$G$9:$J$102,4),Rundäx)))</f>
        <v>8.0619999999999994</v>
      </c>
      <c r="EG11" s="43">
        <f>IF($CU11&gt;=RAM,"",IF($CU11-EG$103&lt;BeginnAlter,"",ROUND((SUM(DB11:DB$56)+SUM(FT$9:FT$56))/VLOOKUP($CU11,$AH$9:$AI$102,2)/VLOOKUP($CU11-EG$103,Frauen!$G$9:$J$102,4),Rundäx)))</f>
        <v>8.2479999999999993</v>
      </c>
      <c r="EH11" s="43">
        <f>IF($CU11&gt;=RAM,"",IF($CU11-EH$103&lt;BeginnAlter,"",ROUND((SUM(DC11:DC$56)+SUM(FU$9:FU$56))/VLOOKUP($CU11,$AH$9:$AI$102,2)/VLOOKUP($CU11-EH$103,Frauen!$G$9:$J$102,4),Rundäx)))</f>
        <v>8.4339999999999993</v>
      </c>
      <c r="EI11" s="86"/>
      <c r="EJ11" s="35">
        <f>1+EJ10</f>
        <v>19</v>
      </c>
      <c r="EK11" s="43">
        <f>IF($CU11&gt;=RAM,"",IF($CU11-EK$103&lt;BeginnAlter,"",ROUND((SUM(DD11:DD$56)+SUM(FV$9:FV$56))/VLOOKUP($CU11,$AH$9:$AI$102,2)/VLOOKUP($CU11-EK$103,Frauen!$G$9:$J$102,4),Rundäx)))</f>
        <v>8.6199999999999992</v>
      </c>
      <c r="EL11" s="43">
        <f>IF($CU11&gt;=RAM,"",IF($CU11-EL$103&lt;BeginnAlter,"",ROUND((SUM(DE11:DE$56)+SUM(FW$9:FW$56))/VLOOKUP($CU11,$AH$9:$AI$102,2)/VLOOKUP($CU11-EL$103,Frauen!$G$9:$J$102,4),Rundäx)))</f>
        <v>8.8049999999999997</v>
      </c>
      <c r="EM11" s="43">
        <f>IF($CU11&gt;=RAM,"",IF($CU11-EM$103&lt;BeginnAlter,"",ROUND((SUM(DF11:DF$56)+SUM(FX$9:FX$56))/VLOOKUP($CU11,$AH$9:$AI$102,2)/VLOOKUP($CU11-EM$103,Frauen!$G$9:$J$102,4),Rundäx)))</f>
        <v>8.9909999999999997</v>
      </c>
      <c r="EN11" s="43">
        <f>IF($CU11&gt;=RAM,"",IF($CU11-EN$103&lt;BeginnAlter,"",ROUND((SUM(DG11:DG$56)+SUM(FY$9:FY$56))/VLOOKUP($CU11,$AH$9:$AI$102,2)/VLOOKUP($CU11-EN$103,Frauen!$G$9:$J$102,4),Rundäx)))</f>
        <v>9.1769999999999996</v>
      </c>
      <c r="EO11" s="43">
        <f>IF($CU11&gt;=RAM,"",IF($CU11-EO$103&lt;BeginnAlter,"",ROUND((SUM(DH11:DH$56)+SUM(FZ$9:FZ$56))/VLOOKUP($CU11,$AH$9:$AI$102,2)/VLOOKUP($CU11-EO$103,Frauen!$G$9:$J$102,4),Rundäx)))</f>
        <v>9.3620000000000001</v>
      </c>
      <c r="EP11" s="43">
        <f>IF($CU11&gt;=RAM,"",IF($CU11-EP$103&lt;BeginnAlter,"",ROUND((SUM(DI11:DI$56)+SUM(GA$9:GA$56))/VLOOKUP($CU11,$AH$9:$AI$102,2)/VLOOKUP($CU11-EP$103,Frauen!$G$9:$J$102,4),Rundäx)))</f>
        <v>9.548</v>
      </c>
      <c r="EQ11" s="43">
        <f>IF($CU11&gt;=RAM,"",IF($CU11-EQ$103&lt;BeginnAlter,"",ROUND((SUM(DJ11:DJ$56)+SUM(GB$9:GB$56))/VLOOKUP($CU11,$AH$9:$AI$102,2)/VLOOKUP($CU11-EQ$103,Frauen!$G$9:$J$102,4),Rundäx)))</f>
        <v>9.7330000000000005</v>
      </c>
      <c r="ER11" s="43">
        <f>IF($CU11&gt;=RAM,"",IF($CU11-ER$103&lt;BeginnAlter,"",ROUND((SUM(DK11:DK$56)+SUM(GC$9:GC$56))/VLOOKUP($CU11,$AH$9:$AI$102,2)/VLOOKUP($CU11-ER$103,Frauen!$G$9:$J$102,4),Rundäx)))</f>
        <v>9.9190000000000005</v>
      </c>
      <c r="ES11" s="86"/>
      <c r="ET11" s="35">
        <f>1+ET10</f>
        <v>19</v>
      </c>
      <c r="EU11" s="43">
        <f>IF($CU11&gt;=RAM,"",IF($CU11-EU$103&lt;BeginnAlter,"",ROUND((SUM(DL11:DL$56)+SUM(GD$9:GD$56))/VLOOKUP($CU11,$AH$9:$AI$102,2)/VLOOKUP($CU11-EU$103,Frauen!$G$9:$J$102,4),Rundäx)))</f>
        <v>10.103</v>
      </c>
      <c r="EV11" s="43">
        <f>IF($CU11&gt;=RAM,"",IF($CU11-EV$103&lt;BeginnAlter,"",ROUND((SUM(DM11:DM$56)+SUM(GE$9:GE$56))/VLOOKUP($CU11,$AH$9:$AI$102,2)/VLOOKUP($CU11-EV$103,Frauen!$G$9:$J$102,4),Rundäx)))</f>
        <v>10.287000000000001</v>
      </c>
      <c r="EW11" s="43" t="str">
        <f>IF($CU11&gt;=RAM,"",IF($CU11-EW$103&lt;BeginnAlter,"",ROUND((SUM(DN11:DN$56)+SUM(GF$9:GF$56))/VLOOKUP($CU11,$AH$9:$AI$102,2)/VLOOKUP($CU11-EW$103,Frauen!$G$9:$J$102,4),Rundäx)))</f>
        <v/>
      </c>
      <c r="EX11" s="43" t="str">
        <f>IF($CU11&gt;=RAM,"",IF($CU11-EX$103&lt;BeginnAlter,"",ROUND((SUM(DO11:DO$56)+SUM(GG$9:GG$56))/VLOOKUP($CU11,$AH$9:$AI$102,2)/VLOOKUP($CU11-EX$103,Frauen!$G$9:$J$102,4),Rundäx)))</f>
        <v/>
      </c>
      <c r="EY11" s="43" t="str">
        <f>IF($CU11&gt;=RAM,"",IF($CU11-EY$103&lt;BeginnAlter,"",ROUND((SUM(DP11:DP$56)+SUM(GH$9:GH$56))/VLOOKUP($CU11,$AH$9:$AI$102,2)/VLOOKUP($CU11-EY$103,Frauen!$G$9:$J$102,4),Rundäx)))</f>
        <v/>
      </c>
      <c r="EZ11" s="43" t="str">
        <f>IF($CU11&gt;=RAM,"",IF($CU11-EZ$103&lt;BeginnAlter,"",ROUND((SUM(DQ11:DQ$56)+SUM(GI$9:GI$56))/VLOOKUP($CU11,$AH$9:$AI$102,2)/VLOOKUP($CU11-EZ$103,Frauen!$G$9:$J$102,4),Rundäx)))</f>
        <v/>
      </c>
      <c r="FA11" s="43" t="str">
        <f>IF($CU11&gt;=RAM,"",IF($CU11-FA$103&lt;BeginnAlter,"",ROUND((SUM(DR11:DR$56)+SUM(GJ$9:GJ$56))/VLOOKUP($CU11,$AH$9:$AI$102,2)/VLOOKUP($CU11-FA$103,Frauen!$G$9:$J$102,4),Rundäx)))</f>
        <v/>
      </c>
      <c r="FB11" s="43" t="str">
        <f>IF($CU11&gt;=RAM,"",IF($CU11-FB$103&lt;BeginnAlter,"",ROUND((SUM(DS11:DS$56)+SUM(GK$9:GK$56))/VLOOKUP($CU11,$AH$9:$AI$102,2)/VLOOKUP($CU11-FB$103,Frauen!$G$9:$J$102,4),Rundäx)))</f>
        <v/>
      </c>
      <c r="FC11" s="86"/>
      <c r="FD11" s="35">
        <f>1+FD10</f>
        <v>19</v>
      </c>
      <c r="FE11" s="43" t="str">
        <f>IF($CU11&gt;=RAM,"",IF($CU11-FE$103&lt;BeginnAlter,"",ROUND((SUM(DT11:DT$56)+SUM(GL$9:GL$56))/VLOOKUP($CU11,$AH$9:$AI$102,2)/VLOOKUP($CU11-FE$103,Frauen!$G$9:$J$102,4),Rundäx)))</f>
        <v/>
      </c>
      <c r="FF11" s="43" t="str">
        <f>IF($CU11&gt;=RAM,"",IF($CU11-FF$103&lt;BeginnAlter,"",ROUND((SUM(DU11:DU$56)+SUM(GM$9:GM$56))/VLOOKUP($CU11,$AH$9:$AI$102,2)/VLOOKUP($CU11-FF$103,Frauen!$G$9:$J$102,4),Rundäx)))</f>
        <v/>
      </c>
      <c r="FG11" s="43" t="str">
        <f>IF($CU11&gt;=RAM,"",IF($CU11-FG$103&lt;BeginnAlter,"",ROUND((SUM(DV11:DV$56)+SUM(GN$9:GN$56))/VLOOKUP($CU11,$AH$9:$AI$102,2)/VLOOKUP($CU11-FG$103,Frauen!$G$9:$J$102,4),Rundäx)))</f>
        <v/>
      </c>
      <c r="FH11" s="43" t="str">
        <f>IF($CU11&gt;=RAM,"",IF($CU11-FH$103&lt;BeginnAlter,"",ROUND((SUM(DW11:DW$56)+SUM(GO$9:GO$56))/VLOOKUP($CU11,$AH$9:$AI$102,2)/VLOOKUP($CU11-FH$103,Frauen!$G$9:$J$102,4),Rundäx)))</f>
        <v/>
      </c>
      <c r="FI11" s="43" t="str">
        <f>IF($CU11&gt;=RAM,"",IF($CU11-FI$103&lt;BeginnAlter,"",ROUND((SUM(DX11:DX$56)+SUM(GP$9:GP$56))/VLOOKUP($CU11,$AH$9:$AI$102,2)/VLOOKUP($CU11-FI$103,Frauen!$G$9:$J$102,4),Rundäx)))</f>
        <v/>
      </c>
      <c r="FJ11" s="43" t="str">
        <f>IF($CU11&gt;=RAM,"",IF($CU11-FJ$103&lt;BeginnAlter,"",ROUND((SUM(DY11:DY$56)+SUM(GQ$9:GQ$56))/VLOOKUP($CU11,$AH$9:$AI$102,2)/VLOOKUP($CU11-FJ$103,Frauen!$G$9:$J$102,4),Rundäx)))</f>
        <v/>
      </c>
      <c r="FK11" s="43" t="str">
        <f>IF($CU11&gt;=RAM,"",IF($CU11-FK$103&lt;BeginnAlter,"",ROUND((SUM(DZ11:DZ$56)+SUM(GR$9:GR$56))/VLOOKUP($CU11,$AH$9:$AI$102,2)/VLOOKUP($CU11-FK$103,Frauen!$G$9:$J$102,4),Rundäx)))</f>
        <v/>
      </c>
      <c r="FL11" s="86"/>
      <c r="FM11" s="35">
        <f>1+FM10</f>
        <v>67</v>
      </c>
      <c r="FN11" s="25">
        <f>ROUND(v^($FM11+FaktorAlter)*VLOOKUP($FM11,$G$9:$J$102,4)*VLOOKUP($FM11,$A$9:$E$102,5)*0.5*(VLOOKUP($FM11-FN$103,Frauen!$G$9:$J$102,4)+VLOOKUP($FM11-FN$103+1,Frauen!$G$9:$J$102,4))*0.5*(VLOOKUP($FM11-FN$103,Frauen!$AZ$9:$BD$102,5)+VLOOKUP($FM11-FN$103+1,Frauen!$AZ$9:$BD$102,5)),RundDx)</f>
        <v>146862744</v>
      </c>
      <c r="FO11" s="25">
        <f>ROUND(v^($FM11+FaktorAlter)*VLOOKUP($FM11,$G$9:$J$102,4)*VLOOKUP($FM11,$A$9:$E$102,5)*0.5*(VLOOKUP($FM11-FO$103,Frauen!$G$9:$J$102,4)+VLOOKUP($FM11-FO$103+1,Frauen!$G$9:$J$102,4))*0.5*(VLOOKUP($FM11-FO$103,Frauen!$AZ$9:$BD$102,5)+VLOOKUP($FM11-FO$103+1,Frauen!$AZ$9:$BD$102,5)),RundDx)</f>
        <v>164852527</v>
      </c>
      <c r="FP11" s="25">
        <f>ROUND(v^($FM11+FaktorAlter)*VLOOKUP($FM11,$G$9:$J$102,4)*VLOOKUP($FM11,$A$9:$E$102,5)*0.5*(VLOOKUP($FM11-FP$103,Frauen!$G$9:$J$102,4)+VLOOKUP($FM11-FP$103+1,Frauen!$G$9:$J$102,4))*0.5*(VLOOKUP($FM11-FP$103,Frauen!$AZ$9:$BD$102,5)+VLOOKUP($FM11-FP$103+1,Frauen!$AZ$9:$BD$102,5)),RundDx)</f>
        <v>183239524</v>
      </c>
      <c r="FQ11" s="25">
        <f>ROUND(v^($FM11+FaktorAlter)*VLOOKUP($FM11,$G$9:$J$102,4)*VLOOKUP($FM11,$A$9:$E$102,5)*0.5*(VLOOKUP($FM11-FQ$103,Frauen!$G$9:$J$102,4)+VLOOKUP($FM11-FQ$103+1,Frauen!$G$9:$J$102,4))*0.5*(VLOOKUP($FM11-FQ$103,Frauen!$AZ$9:$BD$102,5)+VLOOKUP($FM11-FQ$103+1,Frauen!$AZ$9:$BD$102,5)),RundDx)</f>
        <v>201965425</v>
      </c>
      <c r="FR11" s="25">
        <f>ROUND(v^($FM11+FaktorAlter)*VLOOKUP($FM11,$G$9:$J$102,4)*VLOOKUP($FM11,$A$9:$E$102,5)*0.5*(VLOOKUP($FM11-FR$103,Frauen!$G$9:$J$102,4)+VLOOKUP($FM11-FR$103+1,Frauen!$G$9:$J$102,4))*0.5*(VLOOKUP($FM11-FR$103,Frauen!$AZ$9:$BD$102,5)+VLOOKUP($FM11-FR$103+1,Frauen!$AZ$9:$BD$102,5)),RundDx)</f>
        <v>220950817</v>
      </c>
      <c r="FS11" s="25">
        <f>ROUND(v^($FM11+FaktorAlter)*VLOOKUP($FM11,$G$9:$J$102,4)*VLOOKUP($FM11,$A$9:$E$102,5)*0.5*(VLOOKUP($FM11-FS$103,Frauen!$G$9:$J$102,4)+VLOOKUP($FM11-FS$103+1,Frauen!$G$9:$J$102,4))*0.5*(VLOOKUP($FM11-FS$103,Frauen!$AZ$9:$BD$102,5)+VLOOKUP($FM11-FS$103+1,Frauen!$AZ$9:$BD$102,5)),RundDx)</f>
        <v>240180115</v>
      </c>
      <c r="FT11" s="25">
        <f>ROUND(v^($FM11+FaktorAlter)*VLOOKUP($FM11,$G$9:$J$102,4)*VLOOKUP($FM11,$A$9:$E$102,5)*0.5*(VLOOKUP($FM11-FT$103,Frauen!$G$9:$J$102,4)+VLOOKUP($FM11-FT$103+1,Frauen!$G$9:$J$102,4))*0.5*(VLOOKUP($FM11-FT$103,Frauen!$AZ$9:$BD$102,5)+VLOOKUP($FM11-FT$103+1,Frauen!$AZ$9:$BD$102,5)),RundDx)</f>
        <v>259700253</v>
      </c>
      <c r="FU11" s="25">
        <f>ROUND(v^($FM11+FaktorAlter)*VLOOKUP($FM11,$G$9:$J$102,4)*VLOOKUP($FM11,$A$9:$E$102,5)*0.5*(VLOOKUP($FM11-FU$103,Frauen!$G$9:$J$102,4)+VLOOKUP($FM11-FU$103+1,Frauen!$G$9:$J$102,4))*0.5*(VLOOKUP($FM11-FU$103,Frauen!$AZ$9:$BD$102,5)+VLOOKUP($FM11-FU$103+1,Frauen!$AZ$9:$BD$102,5)),RundDx)</f>
        <v>279530237</v>
      </c>
      <c r="FV11" s="25">
        <f>ROUND(v^($FM11+FaktorAlter)*VLOOKUP($FM11,$G$9:$J$102,4)*VLOOKUP($FM11,$A$9:$E$102,5)*0.5*(VLOOKUP($FM11-FV$103,Frauen!$G$9:$J$102,4)+VLOOKUP($FM11-FV$103+1,Frauen!$G$9:$J$102,4))*0.5*(VLOOKUP($FM11-FV$103,Frauen!$AZ$9:$BD$102,5)+VLOOKUP($FM11-FV$103+1,Frauen!$AZ$9:$BD$102,5)),RundDx)</f>
        <v>299731407</v>
      </c>
      <c r="FW11" s="25">
        <f>ROUND(v^($FM11+FaktorAlter)*VLOOKUP($FM11,$G$9:$J$102,4)*VLOOKUP($FM11,$A$9:$E$102,5)*0.5*(VLOOKUP($FM11-FW$103,Frauen!$G$9:$J$102,4)+VLOOKUP($FM11-FW$103+1,Frauen!$G$9:$J$102,4))*0.5*(VLOOKUP($FM11-FW$103,Frauen!$AZ$9:$BD$102,5)+VLOOKUP($FM11-FW$103+1,Frauen!$AZ$9:$BD$102,5)),RundDx)</f>
        <v>320315122</v>
      </c>
      <c r="FX11" s="25">
        <f>ROUND(v^($FM11+FaktorAlter)*VLOOKUP($FM11,$G$9:$J$102,4)*VLOOKUP($FM11,$A$9:$E$102,5)*0.5*(VLOOKUP($FM11-FX$103,Frauen!$G$9:$J$102,4)+VLOOKUP($FM11-FX$103+1,Frauen!$G$9:$J$102,4))*0.5*(VLOOKUP($FM11-FX$103,Frauen!$AZ$9:$BD$102,5)+VLOOKUP($FM11-FX$103+1,Frauen!$AZ$9:$BD$102,5)),RundDx)</f>
        <v>341234059</v>
      </c>
      <c r="FY11" s="25">
        <f>ROUND(v^($FM11+FaktorAlter)*VLOOKUP($FM11,$G$9:$J$102,4)*VLOOKUP($FM11,$A$9:$E$102,5)*0.5*(VLOOKUP($FM11-FY$103,Frauen!$G$9:$J$102,4)+VLOOKUP($FM11-FY$103+1,Frauen!$G$9:$J$102,4))*0.5*(VLOOKUP($FM11-FY$103,Frauen!$AZ$9:$BD$102,5)+VLOOKUP($FM11-FY$103+1,Frauen!$AZ$9:$BD$102,5)),RundDx)</f>
        <v>362396779</v>
      </c>
      <c r="FZ11" s="25">
        <f>ROUND(v^($FM11+FaktorAlter)*VLOOKUP($FM11,$G$9:$J$102,4)*VLOOKUP($FM11,$A$9:$E$102,5)*0.5*(VLOOKUP($FM11-FZ$103,Frauen!$G$9:$J$102,4)+VLOOKUP($FM11-FZ$103+1,Frauen!$G$9:$J$102,4))*0.5*(VLOOKUP($FM11-FZ$103,Frauen!$AZ$9:$BD$102,5)+VLOOKUP($FM11-FZ$103+1,Frauen!$AZ$9:$BD$102,5)),RundDx)</f>
        <v>383651354</v>
      </c>
      <c r="GA11" s="25">
        <f>ROUND(v^($FM11+FaktorAlter)*VLOOKUP($FM11,$G$9:$J$102,4)*VLOOKUP($FM11,$A$9:$E$102,5)*0.5*(VLOOKUP($FM11-GA$103,Frauen!$G$9:$J$102,4)+VLOOKUP($FM11-GA$103+1,Frauen!$G$9:$J$102,4))*0.5*(VLOOKUP($FM11-GA$103,Frauen!$AZ$9:$BD$102,5)+VLOOKUP($FM11-GA$103+1,Frauen!$AZ$9:$BD$102,5)),RundDx)</f>
        <v>404938597</v>
      </c>
      <c r="GB11" s="25">
        <f>ROUND(v^($FM11+FaktorAlter)*VLOOKUP($FM11,$G$9:$J$102,4)*VLOOKUP($FM11,$A$9:$E$102,5)*0.5*(VLOOKUP($FM11-GB$103,Frauen!$G$9:$J$102,4)+VLOOKUP($FM11-GB$103+1,Frauen!$G$9:$J$102,4))*0.5*(VLOOKUP($FM11-GB$103,Frauen!$AZ$9:$BD$102,5)+VLOOKUP($FM11-GB$103+1,Frauen!$AZ$9:$BD$102,5)),RundDx)</f>
        <v>426219370</v>
      </c>
      <c r="GC11" s="25">
        <f>ROUND(v^($FM11+FaktorAlter)*VLOOKUP($FM11,$G$9:$J$102,4)*VLOOKUP($FM11,$A$9:$E$102,5)*0.5*(VLOOKUP($FM11-GC$103,Frauen!$G$9:$J$102,4)+VLOOKUP($FM11-GC$103+1,Frauen!$G$9:$J$102,4))*0.5*(VLOOKUP($FM11-GC$103,Frauen!$AZ$9:$BD$102,5)+VLOOKUP($FM11-GC$103+1,Frauen!$AZ$9:$BD$102,5)),RundDx)</f>
        <v>447349269</v>
      </c>
      <c r="GD11" s="25">
        <f>ROUND(v^($FM11+FaktorAlter)*VLOOKUP($FM11,$G$9:$J$102,4)*VLOOKUP($FM11,$A$9:$E$102,5)*0.5*(VLOOKUP($FM11-GD$103,Frauen!$G$9:$J$102,4)+VLOOKUP($FM11-GD$103+1,Frauen!$G$9:$J$102,4))*0.5*(VLOOKUP($FM11-GD$103,Frauen!$AZ$9:$BD$102,5)+VLOOKUP($FM11-GD$103+1,Frauen!$AZ$9:$BD$102,5)),RundDx)</f>
        <v>468244744</v>
      </c>
      <c r="GE11" s="25">
        <f>ROUND(v^($FM11+FaktorAlter)*VLOOKUP($FM11,$G$9:$J$102,4)*VLOOKUP($FM11,$A$9:$E$102,5)*0.5*(VLOOKUP($FM11-GE$103,Frauen!$G$9:$J$102,4)+VLOOKUP($FM11-GE$103+1,Frauen!$G$9:$J$102,4))*0.5*(VLOOKUP($FM11-GE$103,Frauen!$AZ$9:$BD$102,5)+VLOOKUP($FM11-GE$103+1,Frauen!$AZ$9:$BD$102,5)),RundDx)</f>
        <v>488940628</v>
      </c>
      <c r="GF11" s="25">
        <f>ROUND(v^($FM11+FaktorAlter)*VLOOKUP($FM11,$G$9:$J$102,4)*VLOOKUP($FM11,$A$9:$E$102,5)*0.5*(VLOOKUP($FM11-GF$103,Frauen!$G$9:$J$102,4)+VLOOKUP($FM11-GF$103+1,Frauen!$G$9:$J$102,4))*0.5*(VLOOKUP($FM11-GF$103,Frauen!$AZ$9:$BD$102,5)+VLOOKUP($FM11-GF$103+1,Frauen!$AZ$9:$BD$102,5)),RundDx)</f>
        <v>509388208</v>
      </c>
      <c r="GG11" s="25">
        <f>ROUND(v^($FM11+FaktorAlter)*VLOOKUP($FM11,$G$9:$J$102,4)*VLOOKUP($FM11,$A$9:$E$102,5)*0.5*(VLOOKUP($FM11-GG$103,Frauen!$G$9:$J$102,4)+VLOOKUP($FM11-GG$103+1,Frauen!$G$9:$J$102,4))*0.5*(VLOOKUP($FM11-GG$103,Frauen!$AZ$9:$BD$102,5)+VLOOKUP($FM11-GG$103+1,Frauen!$AZ$9:$BD$102,5)),RundDx)</f>
        <v>529466711</v>
      </c>
      <c r="GH11" s="25">
        <f>ROUND(v^($FM11+FaktorAlter)*VLOOKUP($FM11,$G$9:$J$102,4)*VLOOKUP($FM11,$A$9:$E$102,5)*0.5*(VLOOKUP($FM11-GH$103,Frauen!$G$9:$J$102,4)+VLOOKUP($FM11-GH$103+1,Frauen!$G$9:$J$102,4))*0.5*(VLOOKUP($FM11-GH$103,Frauen!$AZ$9:$BD$102,5)+VLOOKUP($FM11-GH$103+1,Frauen!$AZ$9:$BD$102,5)),RundDx)</f>
        <v>549165258</v>
      </c>
      <c r="GI11" s="25">
        <f>ROUND(v^($FM11+FaktorAlter)*VLOOKUP($FM11,$G$9:$J$102,4)*VLOOKUP($FM11,$A$9:$E$102,5)*0.5*(VLOOKUP($FM11-GI$103,Frauen!$G$9:$J$102,4)+VLOOKUP($FM11-GI$103+1,Frauen!$G$9:$J$102,4))*0.5*(VLOOKUP($FM11-GI$103,Frauen!$AZ$9:$BD$102,5)+VLOOKUP($FM11-GI$103+1,Frauen!$AZ$9:$BD$102,5)),RundDx)</f>
        <v>568534736</v>
      </c>
      <c r="GJ11" s="25">
        <f>ROUND(v^($FM11+FaktorAlter)*VLOOKUP($FM11,$G$9:$J$102,4)*VLOOKUP($FM11,$A$9:$E$102,5)*0.5*(VLOOKUP($FM11-GJ$103,Frauen!$G$9:$J$102,4)+VLOOKUP($FM11-GJ$103+1,Frauen!$G$9:$J$102,4))*0.5*(VLOOKUP($FM11-GJ$103,Frauen!$AZ$9:$BD$102,5)+VLOOKUP($FM11-GJ$103+1,Frauen!$AZ$9:$BD$102,5)),RundDx)</f>
        <v>587549306</v>
      </c>
      <c r="GK11" s="25">
        <f>ROUND(v^($FM11+FaktorAlter)*VLOOKUP($FM11,$G$9:$J$102,4)*VLOOKUP($FM11,$A$9:$E$102,5)*0.5*(VLOOKUP($FM11-GK$103,Frauen!$G$9:$J$102,4)+VLOOKUP($FM11-GK$103+1,Frauen!$G$9:$J$102,4))*0.5*(VLOOKUP($FM11-GK$103,Frauen!$AZ$9:$BD$102,5)+VLOOKUP($FM11-GK$103+1,Frauen!$AZ$9:$BD$102,5)),RundDx)</f>
        <v>606203824</v>
      </c>
      <c r="GL11" s="25">
        <f>ROUND(v^($FM11+FaktorAlter)*VLOOKUP($FM11,$G$9:$J$102,4)*VLOOKUP($FM11,$A$9:$E$102,5)*0.5*(VLOOKUP($FM11-GL$103,Frauen!$G$9:$J$102,4)+VLOOKUP($FM11-GL$103+1,Frauen!$G$9:$J$102,4))*0.5*(VLOOKUP($FM11-GL$103,Frauen!$AZ$9:$BD$102,5)+VLOOKUP($FM11-GL$103+1,Frauen!$AZ$9:$BD$102,5)),RundDx)</f>
        <v>624537042</v>
      </c>
      <c r="GM11" s="25">
        <f>ROUND(v^($FM11+FaktorAlter)*VLOOKUP($FM11,$G$9:$J$102,4)*VLOOKUP($FM11,$A$9:$E$102,5)*0.5*(VLOOKUP($FM11-GM$103,Frauen!$G$9:$J$102,4)+VLOOKUP($FM11-GM$103+1,Frauen!$G$9:$J$102,4))*0.5*(VLOOKUP($FM11-GM$103,Frauen!$AZ$9:$BD$102,5)+VLOOKUP($FM11-GM$103+1,Frauen!$AZ$9:$BD$102,5)),RundDx)</f>
        <v>642606270</v>
      </c>
      <c r="GN11" s="25">
        <f>ROUND(v^($FM11+FaktorAlter)*VLOOKUP($FM11,$G$9:$J$102,4)*VLOOKUP($FM11,$A$9:$E$102,5)*0.5*(VLOOKUP($FM11-GN$103,Frauen!$G$9:$J$102,4)+VLOOKUP($FM11-GN$103+1,Frauen!$G$9:$J$102,4))*0.5*(VLOOKUP($FM11-GN$103,Frauen!$AZ$9:$BD$102,5)+VLOOKUP($FM11-GN$103+1,Frauen!$AZ$9:$BD$102,5)),RundDx)</f>
        <v>660458939</v>
      </c>
      <c r="GO11" s="25">
        <f>ROUND(v^($FM11+FaktorAlter)*VLOOKUP($FM11,$G$9:$J$102,4)*VLOOKUP($FM11,$A$9:$E$102,5)*0.5*(VLOOKUP($FM11-GO$103,Frauen!$G$9:$J$102,4)+VLOOKUP($FM11-GO$103+1,Frauen!$G$9:$J$102,4))*0.5*(VLOOKUP($FM11-GO$103,Frauen!$AZ$9:$BD$102,5)+VLOOKUP($FM11-GO$103+1,Frauen!$AZ$9:$BD$102,5)),RundDx)</f>
        <v>678137551</v>
      </c>
      <c r="GP11" s="25">
        <f>ROUND(v^($FM11+FaktorAlter)*VLOOKUP($FM11,$G$9:$J$102,4)*VLOOKUP($FM11,$A$9:$E$102,5)*0.5*(VLOOKUP($FM11-GP$103,Frauen!$G$9:$J$102,4)+VLOOKUP($FM11-GP$103+1,Frauen!$G$9:$J$102,4))*0.5*(VLOOKUP($FM11-GP$103,Frauen!$AZ$9:$BD$102,5)+VLOOKUP($FM11-GP$103+1,Frauen!$AZ$9:$BD$102,5)),RundDx)</f>
        <v>695662206</v>
      </c>
      <c r="GQ11" s="25">
        <f>ROUND(v^($FM11+FaktorAlter)*VLOOKUP($FM11,$G$9:$J$102,4)*VLOOKUP($FM11,$A$9:$E$102,5)*0.5*(VLOOKUP($FM11-GQ$103,Frauen!$G$9:$J$102,4)+VLOOKUP($FM11-GQ$103+1,Frauen!$G$9:$J$102,4))*0.5*(VLOOKUP($FM11-GQ$103,Frauen!$AZ$9:$BD$102,5)+VLOOKUP($FM11-GQ$103+1,Frauen!$AZ$9:$BD$102,5)),RundDx)</f>
        <v>713000231</v>
      </c>
      <c r="GR11" s="25">
        <f>ROUND(v^($FM11+FaktorAlter)*VLOOKUP($FM11,$G$9:$J$102,4)*VLOOKUP($FM11,$A$9:$E$102,5)*0.5*(VLOOKUP($FM11-GR$103,Frauen!$G$9:$J$102,4)+VLOOKUP($FM11-GR$103+1,Frauen!$G$9:$J$102,4))*0.5*(VLOOKUP($FM11-GR$103,Frauen!$AZ$9:$BD$102,5)+VLOOKUP($FM11-GR$103+1,Frauen!$AZ$9:$BD$102,5)),RundDx)</f>
        <v>730166342</v>
      </c>
      <c r="GS11" s="24">
        <f>ROUND(SUM(FN11:FN$56)/VLOOKUP($FM11,$AQ$9:$AR$102,2)/VLOOKUP($FM11-GS$103,Frauen!$G$9:$J$102,4),Rundäx)</f>
        <v>0.86799999999999999</v>
      </c>
      <c r="GT11" s="24">
        <f>ROUND(SUM(FO11:FO$56)/VLOOKUP($FM11,$AQ$9:$AR$102,2)/VLOOKUP($FM11-GT$103,Frauen!$G$9:$J$102,4),Rundäx)</f>
        <v>0.998</v>
      </c>
      <c r="GU11" s="24">
        <f>ROUND(SUM(FP11:FP$56)/VLOOKUP($FM11,$AQ$9:$AR$102,2)/VLOOKUP($FM11-GU$103,Frauen!$G$9:$J$102,4),Rundäx)</f>
        <v>1.1439999999999999</v>
      </c>
      <c r="GV11" s="24">
        <f>ROUND(SUM(FQ11:FQ$56)/VLOOKUP($FM11,$AQ$9:$AR$102,2)/VLOOKUP($FM11-GV$103,Frauen!$G$9:$J$102,4),Rundäx)</f>
        <v>1.304</v>
      </c>
      <c r="GW11" s="24">
        <f>ROUND(SUM(FR11:FR$56)/VLOOKUP($FM11,$AQ$9:$AR$102,2)/VLOOKUP($FM11-GW$103,Frauen!$G$9:$J$102,4),Rundäx)</f>
        <v>1.4810000000000001</v>
      </c>
      <c r="GX11" s="24">
        <f>ROUND(SUM(FS11:FS$56)/VLOOKUP($FM11,$AQ$9:$AR$102,2)/VLOOKUP($FM11-GX$103,Frauen!$G$9:$J$102,4),Rundäx)</f>
        <v>1.673</v>
      </c>
      <c r="GY11" s="24">
        <f>ROUND(SUM(FT11:FT$56)/VLOOKUP($FM11,$AQ$9:$AR$102,2)/VLOOKUP($FM11-GY$103,Frauen!$G$9:$J$102,4),Rundäx)</f>
        <v>1.881</v>
      </c>
      <c r="GZ11" s="24">
        <f>ROUND(SUM(FU11:FU$56)/VLOOKUP($FM11,$AQ$9:$AR$102,2)/VLOOKUP($FM11-GZ$103,Frauen!$G$9:$J$102,4),Rundäx)</f>
        <v>2.1030000000000002</v>
      </c>
      <c r="HA11" s="86"/>
      <c r="HB11" s="35">
        <f>1+HB10</f>
        <v>67</v>
      </c>
      <c r="HC11" s="24">
        <f>ROUND(SUM(FV11:FV$56)/VLOOKUP($FM11,$AQ$9:$AR$102,2)/VLOOKUP($FM11-HC$103,Frauen!$G$9:$J$102,4),Rundäx)</f>
        <v>2.339</v>
      </c>
      <c r="HD11" s="24">
        <f>ROUND(SUM(FW11:FW$56)/VLOOKUP($FM11,$AQ$9:$AR$102,2)/VLOOKUP($FM11-HD$103,Frauen!$G$9:$J$102,4),Rundäx)</f>
        <v>2.5870000000000002</v>
      </c>
      <c r="HE11" s="24">
        <f>ROUND(SUM(FX11:FX$56)/VLOOKUP($FM11,$AQ$9:$AR$102,2)/VLOOKUP($FM11-HE$103,Frauen!$G$9:$J$102,4),Rundäx)</f>
        <v>2.8479999999999999</v>
      </c>
      <c r="HF11" s="24">
        <f>ROUND(SUM(FY11:FY$56)/VLOOKUP($FM11,$AQ$9:$AR$102,2)/VLOOKUP($FM11-HF$103,Frauen!$G$9:$J$102,4),Rundäx)</f>
        <v>3.1219999999999999</v>
      </c>
      <c r="HG11" s="24">
        <f>ROUND(SUM(FZ11:FZ$56)/VLOOKUP($FM11,$AQ$9:$AR$102,2)/VLOOKUP($FM11-HG$103,Frauen!$G$9:$J$102,4),Rundäx)</f>
        <v>3.4079999999999999</v>
      </c>
      <c r="HH11" s="24">
        <f>ROUND(SUM(GA11:GA$56)/VLOOKUP($FM11,$AQ$9:$AR$102,2)/VLOOKUP($FM11-HH$103,Frauen!$G$9:$J$102,4),Rundäx)</f>
        <v>3.706</v>
      </c>
      <c r="HI11" s="24">
        <f>ROUND(SUM(GB11:GB$56)/VLOOKUP($FM11,$AQ$9:$AR$102,2)/VLOOKUP($FM11-HI$103,Frauen!$G$9:$J$102,4),Rundäx)</f>
        <v>4.0149999999999997</v>
      </c>
      <c r="HJ11" s="24">
        <f>ROUND(SUM(GC11:GC$56)/VLOOKUP($FM11,$AQ$9:$AR$102,2)/VLOOKUP($FM11-HJ$103,Frauen!$G$9:$J$102,4),Rundäx)</f>
        <v>4.335</v>
      </c>
      <c r="HK11" s="86"/>
      <c r="HL11" s="35">
        <f>1+HL10</f>
        <v>67</v>
      </c>
      <c r="HM11" s="24">
        <f>ROUND(SUM(GD11:GD$56)/VLOOKUP($FM11,$AQ$9:$AR$102,2)/VLOOKUP($FM11-HM$103,Frauen!$G$9:$J$102,4),Rundäx)</f>
        <v>4.665</v>
      </c>
      <c r="HN11" s="24">
        <f>ROUND(SUM(GE11:GE$56)/VLOOKUP($FM11,$AQ$9:$AR$102,2)/VLOOKUP($FM11-HN$103,Frauen!$G$9:$J$102,4),Rundäx)</f>
        <v>5.0049999999999999</v>
      </c>
      <c r="HO11" s="24">
        <f>ROUND(SUM(GF11:GF$56)/VLOOKUP($FM11,$AQ$9:$AR$102,2)/VLOOKUP($FM11-HO$103,Frauen!$G$9:$J$102,4),Rundäx)</f>
        <v>5.3529999999999998</v>
      </c>
      <c r="HP11" s="24">
        <f>ROUND(SUM(GG11:GG$56)/VLOOKUP($FM11,$AQ$9:$AR$102,2)/VLOOKUP($FM11-HP$103,Frauen!$G$9:$J$102,4),Rundäx)</f>
        <v>5.7110000000000003</v>
      </c>
      <c r="HQ11" s="24">
        <f>ROUND(SUM(GH11:GH$56)/VLOOKUP($FM11,$AQ$9:$AR$102,2)/VLOOKUP($FM11-HQ$103,Frauen!$G$9:$J$102,4),Rundäx)</f>
        <v>6.0759999999999996</v>
      </c>
      <c r="HR11" s="24">
        <f>ROUND(SUM(GI11:GI$56)/VLOOKUP($FM11,$AQ$9:$AR$102,2)/VLOOKUP($FM11-HR$103,Frauen!$G$9:$J$102,4),Rundäx)</f>
        <v>6.4480000000000004</v>
      </c>
      <c r="HS11" s="24">
        <f>ROUND(SUM(GJ11:GJ$56)/VLOOKUP($FM11,$AQ$9:$AR$102,2)/VLOOKUP($FM11-HS$103,Frauen!$G$9:$J$102,4),Rundäx)</f>
        <v>6.8259999999999996</v>
      </c>
      <c r="HT11" s="24">
        <f>ROUND(SUM(GK11:GK$56)/VLOOKUP($FM11,$AQ$9:$AR$102,2)/VLOOKUP($FM11-HT$103,Frauen!$G$9:$J$102,4),Rundäx)</f>
        <v>7.2110000000000003</v>
      </c>
      <c r="HU11" s="86"/>
      <c r="HV11" s="35">
        <f>1+HV10</f>
        <v>67</v>
      </c>
      <c r="HW11" s="24">
        <f>ROUND(SUM(GL11:GL$56)/VLOOKUP($FM11,$AQ$9:$AR$102,2)/VLOOKUP($FM11-HW$103,Frauen!$G$9:$J$102,4),Rundäx)</f>
        <v>7.5990000000000002</v>
      </c>
      <c r="HX11" s="24">
        <f>ROUND(SUM(GM11:GM$56)/VLOOKUP($FM11,$AQ$9:$AR$102,2)/VLOOKUP($FM11-HX$103,Frauen!$G$9:$J$102,4),Rundäx)</f>
        <v>7.992</v>
      </c>
      <c r="HY11" s="24">
        <f>ROUND(SUM(GN11:GN$56)/VLOOKUP($FM11,$AQ$9:$AR$102,2)/VLOOKUP($FM11-HY$103,Frauen!$G$9:$J$102,4),Rundäx)</f>
        <v>8.3870000000000005</v>
      </c>
      <c r="HZ11" s="24">
        <f>ROUND(SUM(GO11:GO$56)/VLOOKUP($FM11,$AQ$9:$AR$102,2)/VLOOKUP($FM11-HZ$103,Frauen!$G$9:$J$102,4),Rundäx)</f>
        <v>8.7840000000000007</v>
      </c>
      <c r="IA11" s="24">
        <f>ROUND(SUM(GP11:GP$56)/VLOOKUP($FM11,$AQ$9:$AR$102,2)/VLOOKUP($FM11-IA$103,Frauen!$G$9:$J$102,4),Rundäx)</f>
        <v>9.1809999999999992</v>
      </c>
      <c r="IB11" s="24">
        <f>ROUND(SUM(GQ11:GQ$56)/VLOOKUP($FM11,$AQ$9:$AR$102,2)/VLOOKUP($FM11-IB$103,Frauen!$G$9:$J$102,4),Rundäx)</f>
        <v>9.5790000000000006</v>
      </c>
      <c r="IC11" s="24">
        <f>ROUND(SUM(GR11:GR$56)/VLOOKUP($FM11,$AQ$9:$AR$102,2)/VLOOKUP($FM11-IC$103,Frauen!$G$9:$J$102,4),Rundäx)</f>
        <v>9.9760000000000009</v>
      </c>
      <c r="ID11" s="89"/>
      <c r="IE11" s="35">
        <f>1+IE10</f>
        <v>19</v>
      </c>
      <c r="IF11" s="25">
        <f t="shared" si="31"/>
        <v>115</v>
      </c>
      <c r="IG11" s="25">
        <f>IF($IE11&lt;RAM,IF(S12&lt;=RAK,ROUND(SUM(IF11:INDEX(Dakx,RAM-BeginnAlter))+INDEX(Dax,RAM-BeginnAlter+1)*INDEX(äkx,1),RundDx),0),"")</f>
        <v>20075</v>
      </c>
      <c r="IH11" s="25">
        <f>IF($IE11&lt;RAM,IF(S12&lt;=RAK,ROUND(SUM(IG11:INDEX(Nakx,RAM-BeginnAlter))+INDEX(Dax,RAM-BeginnAlter+1)*INDEX(äkx,1),RundDx),0),"")</f>
        <v>406230</v>
      </c>
      <c r="II11" s="24">
        <f t="shared" si="32"/>
        <v>0.307</v>
      </c>
      <c r="IJ11" s="25">
        <f t="shared" si="33"/>
        <v>327</v>
      </c>
      <c r="IK11" s="25">
        <f>IF($IE11&lt;RAM,IF(S12&lt;=RAK,SUM(IJ11:INDEX(Dikx,RAM-BeginnAlter))+INDEX(Dix,RAM-BeginnAlter+1)*INDEX(äkx,1),0),"")</f>
        <v>473018.83199999999</v>
      </c>
      <c r="IL11" s="24">
        <f t="shared" si="34"/>
        <v>3.6339999999999999</v>
      </c>
      <c r="IM11" s="86"/>
      <c r="IN11" s="35">
        <f>1+IN10</f>
        <v>67</v>
      </c>
      <c r="IO11" s="25">
        <f t="shared" si="35"/>
        <v>18</v>
      </c>
      <c r="IP11" s="25">
        <f>IF(AND(VLOOKUP(IN11+1,O$9:S$102,5)&lt;=RAK,VLOOKUP(IN11+1,O$9:S$102,5)&lt;&gt;""),SUM(IO11:IO$102),0)</f>
        <v>122</v>
      </c>
      <c r="IQ11" s="24">
        <f t="shared" si="36"/>
        <v>6.0000000000000001E-3</v>
      </c>
      <c r="IR11" s="86"/>
    </row>
    <row r="12" spans="1:252" ht="15.75" customHeight="1" x14ac:dyDescent="0.25">
      <c r="A12" s="35">
        <f>1+A11</f>
        <v>20</v>
      </c>
      <c r="B12" s="77">
        <v>5.6794516726026384E-4</v>
      </c>
      <c r="C12" s="77">
        <v>4.0988354736792203E-4</v>
      </c>
      <c r="D12" s="77">
        <v>5.3365369737359315E-3</v>
      </c>
      <c r="E12" s="77">
        <v>5.8055152394775877E-4</v>
      </c>
      <c r="F12" s="86"/>
      <c r="G12" s="35">
        <f>1+G11</f>
        <v>20</v>
      </c>
      <c r="H12" s="25">
        <f t="shared" si="37"/>
        <v>99788</v>
      </c>
      <c r="I12" s="25">
        <f t="shared" si="38"/>
        <v>117</v>
      </c>
      <c r="J12" s="25">
        <f t="shared" si="39"/>
        <v>99905</v>
      </c>
      <c r="K12" s="30">
        <f>IF(J12&gt;0,ROUND(SUM(J12:J$102)/J12-0.5,Rundex),"")</f>
        <v>58.87</v>
      </c>
      <c r="L12" s="25">
        <f t="shared" si="0"/>
        <v>197877</v>
      </c>
      <c r="M12" s="30">
        <f>IF(L12&gt;0,ROUND(SUM(L12:L$102)/L12-0.5,Rundex),"")</f>
        <v>40.19</v>
      </c>
      <c r="N12" s="86"/>
      <c r="O12" s="35">
        <f>1+O11</f>
        <v>20</v>
      </c>
      <c r="P12" s="43">
        <v>0.02</v>
      </c>
      <c r="Q12" s="78">
        <v>20.925988844325744</v>
      </c>
      <c r="R12" s="43">
        <v>0.04</v>
      </c>
      <c r="S12" s="78">
        <v>0.13</v>
      </c>
      <c r="T12" s="15">
        <v>5.7459692686434582E-4</v>
      </c>
      <c r="U12" s="11">
        <f t="shared" si="40"/>
        <v>99904</v>
      </c>
      <c r="V12" s="30">
        <f>IF(U12&gt;0,ROUND(SUM(U12:U$102)/U12-0.5,Rundex),"")</f>
        <v>56.52</v>
      </c>
      <c r="W12" s="86"/>
      <c r="X12" s="35">
        <f>1+X11</f>
        <v>20</v>
      </c>
      <c r="Y12" s="25">
        <f t="shared" si="1"/>
        <v>63946</v>
      </c>
      <c r="Z12" s="25">
        <f>IF($X12&lt;RAM,SUM(Y12:INDEX(Dax,RAM-BeginnAlter))," ")</f>
        <v>1745600</v>
      </c>
      <c r="AA12" s="25">
        <f t="shared" si="2"/>
        <v>36</v>
      </c>
      <c r="AB12" s="25">
        <f>IF($X12&lt;RAM,SUM(AA12:INDEX(Cax,RAM-BeginnAlter))," ")</f>
        <v>2791</v>
      </c>
      <c r="AC12" s="25">
        <f t="shared" si="3"/>
        <v>26</v>
      </c>
      <c r="AD12" s="25">
        <f>IF($X12&lt;RAM,SUM(AC12:INDEX(Caix,RAM-BeginnAlter))," ")</f>
        <v>8077</v>
      </c>
      <c r="AE12" s="24">
        <f t="shared" si="4"/>
        <v>27.297999999999998</v>
      </c>
      <c r="AF12" s="24">
        <f t="shared" si="5"/>
        <v>26.946000000000002</v>
      </c>
      <c r="AG12" s="86"/>
      <c r="AH12" s="35">
        <f>1+AH11</f>
        <v>20</v>
      </c>
      <c r="AI12" s="25">
        <f t="shared" si="6"/>
        <v>126803</v>
      </c>
      <c r="AJ12" s="25">
        <f>IF($AH12&gt;RAM," ",IF($AH12&lt;RAM,SUM(AI12:INDEX(Dix,RAM-BeginnAlter))+INDEX(Nx,RAM-BeginnAlter+1),INDEX(Nx,RAM-BeginnAlter+1)))</f>
        <v>3128845</v>
      </c>
      <c r="AK12" s="25">
        <f>IF($AH12&lt;RAM,SUM(AI12:INDEX(Dix,RAM-BeginnAlter))," ")</f>
        <v>2831598</v>
      </c>
      <c r="AL12" s="24">
        <f t="shared" si="7"/>
        <v>24.675000000000001</v>
      </c>
      <c r="AM12" s="24">
        <f t="shared" si="8"/>
        <v>24.216999999999999</v>
      </c>
      <c r="AN12" s="24">
        <f t="shared" si="9"/>
        <v>22.331</v>
      </c>
      <c r="AO12" s="24">
        <f t="shared" si="10"/>
        <v>21.946000000000002</v>
      </c>
      <c r="AP12" s="86"/>
      <c r="AQ12" s="35">
        <f>1+AQ11</f>
        <v>20</v>
      </c>
      <c r="AR12" s="25">
        <f t="shared" si="11"/>
        <v>64021</v>
      </c>
      <c r="AS12" s="25">
        <f>SUM(AR12:AR$94)</f>
        <v>2095938</v>
      </c>
      <c r="AT12" s="25">
        <f>IF($AQ12&lt;RAM,SUM(AR12:INDEX(Dx,RAM-BeginnAlter))," ")</f>
        <v>1798691</v>
      </c>
      <c r="AU12" s="24">
        <f t="shared" si="12"/>
        <v>32.738</v>
      </c>
      <c r="AV12" s="24">
        <f t="shared" si="13"/>
        <v>32.28</v>
      </c>
      <c r="AW12" s="24">
        <f t="shared" si="14"/>
        <v>28.094999999999999</v>
      </c>
      <c r="AX12" s="24">
        <f t="shared" si="15"/>
        <v>27.783999999999999</v>
      </c>
      <c r="AY12" s="86"/>
      <c r="AZ12" s="35">
        <f>1+AZ11</f>
        <v>20</v>
      </c>
      <c r="BA12" s="25">
        <f t="shared" si="16"/>
        <v>64020</v>
      </c>
      <c r="BB12" s="25">
        <f>SUM(BA12:BA$94)</f>
        <v>2053876</v>
      </c>
      <c r="BC12" s="24">
        <f t="shared" si="17"/>
        <v>32.082000000000001</v>
      </c>
      <c r="BD12" s="24">
        <f t="shared" si="18"/>
        <v>31.623000000000001</v>
      </c>
      <c r="BE12" s="86"/>
      <c r="BF12" s="35">
        <f>1+BF11</f>
        <v>3</v>
      </c>
      <c r="BG12" s="24">
        <f t="shared" si="19"/>
        <v>17.59</v>
      </c>
      <c r="BH12" s="24">
        <f t="shared" si="20"/>
        <v>17.413</v>
      </c>
      <c r="BI12" s="86"/>
      <c r="BJ12" s="35">
        <f>1+BJ11</f>
        <v>20</v>
      </c>
      <c r="BK12" s="25">
        <f t="shared" si="21"/>
        <v>623</v>
      </c>
      <c r="BL12" s="25">
        <f>IF(BJ12&lt;RAM,SUM(BK12:INDEX(Daix,RAM-BeginnAlter))," ")</f>
        <v>134324</v>
      </c>
      <c r="BM12" s="25">
        <f>IF(BJ12&lt;RAM,SUM(BL12:INDEX(Naix,RAM-BeginnAlter))," ")</f>
        <v>4662875</v>
      </c>
      <c r="BN12" s="24">
        <f t="shared" si="22"/>
        <v>3.2490000000000001</v>
      </c>
      <c r="BO12" s="24">
        <f t="shared" si="23"/>
        <v>2.101</v>
      </c>
      <c r="BP12" s="86"/>
      <c r="BQ12" s="35">
        <f>1+BQ11</f>
        <v>20</v>
      </c>
      <c r="BR12" s="25">
        <f>IF(BQ12&lt;RAM,ROUND(v^(BQ12+FaktorAlter)*C12*H12*(0.5*(AM12+AM13)-v^FaktorAlter*(1-D12)/(1-0.5*D12)*INDEX(Dix,RAM-BeginnAlter+1)/AI13*INDEX(äimx,RAM-BeginnAlter+1)),RundDx)," ")</f>
        <v>564</v>
      </c>
      <c r="BS12" s="25">
        <f>IF(BQ12&lt;RAM,SUM(BR12:INDEX(Daixs,RAM-BeginnAlter))," ")</f>
        <v>54390</v>
      </c>
      <c r="BT12" s="25">
        <f>IF(BQ12&lt;RAM,SUM(BS12:INDEX(Naixs,RAM-BeginnAlter))," ")</f>
        <v>1552987</v>
      </c>
      <c r="BU12" s="24">
        <f>IF(BQ12&lt;RAM,ROUND((1-I12/L12)*INDEX(ämx,RAM-BeginnAlter+1)/Y12*INDEX(Dx,RAM-BeginnAlter+1),Rundäx)," ")</f>
        <v>4.4989999999999997</v>
      </c>
      <c r="BV12" s="24">
        <f>IF(BQ12&lt;RAM,ROUND(BS12/Y12,Rundäx)," ")</f>
        <v>0.85099999999999998</v>
      </c>
      <c r="BW12" s="86"/>
      <c r="BX12" s="35">
        <f>1+BX11</f>
        <v>20</v>
      </c>
      <c r="BY12" s="10">
        <f t="shared" si="24"/>
        <v>16.453075927565017</v>
      </c>
      <c r="BZ12" s="11">
        <f t="shared" si="25"/>
        <v>21</v>
      </c>
      <c r="CA12" s="25">
        <f>IF(S13&lt;=RAK,IF($BX12&lt;RAM,SUM(BZ12:INDEX(Dazx,RAM-BeginnAlter)),""),"")</f>
        <v>22243</v>
      </c>
      <c r="CB12" s="24">
        <f t="shared" si="26"/>
        <v>0.34799999999999998</v>
      </c>
      <c r="CC12" s="25">
        <f t="shared" si="27"/>
        <v>35953</v>
      </c>
      <c r="CD12" s="24">
        <f t="shared" si="28"/>
        <v>23.719000000000001</v>
      </c>
      <c r="CE12" s="24">
        <f t="shared" si="29"/>
        <v>1.6E-2</v>
      </c>
      <c r="CF12" s="86"/>
      <c r="CG12" s="35">
        <f>1+CG11</f>
        <v>20</v>
      </c>
      <c r="CH12" s="25">
        <f>IF(CG12&lt;RAM,ROUND(v^($CG12+FaktorAlter)*$H12*($B12*0.5*($P12+$P13)*(VLOOKUP(TRUNC(0.5*($Q12+$Q13),0),Frauen!$AZ$9:$BD$95,5)+(0.5*($Q12+$Q13)-TRUNC(0.5*($Q12+$Q13),0))*(VLOOKUP(TRUNC(0.5*($Q12+$Q13)+1,0),Frauen!$AZ$9:$BD$95,5)-VLOOKUP(TRUNC(0.5*($Q12+$Q13),0),Frauen!$AZ$9:$BD$95,5)))+$C12*0.5*($CN12+$CN13)),RundDx),"")</f>
        <v>176</v>
      </c>
      <c r="CI12" s="25">
        <f>IF(CG12&lt;RAM,ROUND(SUM(CH12:INDEX(Dawx,RAM-BeginnAlter))+INDEX(Dax,RAM-BeginnAlter+1)*INDEX(äwx,1),RundDx),"")</f>
        <v>169251</v>
      </c>
      <c r="CJ12" s="25">
        <f>IF(CG12&lt;RAM,ROUND(SUM(CI12:INDEX(Nawx,RAM-BeginnAlter))+INDEX(Dax,RAM-BeginnAlter+1)*INDEX(äwx,1),RundDx),"")</f>
        <v>6664116</v>
      </c>
      <c r="CK12" s="24">
        <f>IF(CG12&lt;RAM,ROUND(CI12/$Y12,Rundäx),"")</f>
        <v>2.6469999999999998</v>
      </c>
      <c r="CL12" s="25">
        <f>IF(CG12&lt;RAM,ROUND(v^($CG12+FaktorAlter)*$L12*$D12*0.5*($P12+$P13)*(VLOOKUP(TRUNC(0.5*($Q12+$Q13),0),Frauen!$AZ$9:$BD$95,5)+(0.5*($Q12+$Q13)-TRUNC(0.5*($Q12+$Q13),0))*(VLOOKUP(TRUNC(0.5*($Q12+$Q13)+1,0),Frauen!$AZ$9:$BD$95,5)-VLOOKUP(TRUNC(0.5*($Q12+$Q13),0),Frauen!$AZ$9:$BD$95,5))),RundDx),"")</f>
        <v>555</v>
      </c>
      <c r="CM12" s="25">
        <f>IF(CG12&lt;RAM,SUM(CL12:INDEX(Diwx,RAM-BeginnAlter))+INDEX(Dix,RAM-BeginnAlter+1)*INDEX(äwx,1),"")</f>
        <v>707548.41399999999</v>
      </c>
      <c r="CN12" s="24">
        <f>IF(CG12&lt;RAM,ROUND(CM12/$AI12,Rundäx),IF(CG12&gt;RAM,"",INDEX(äwx,1)))</f>
        <v>5.58</v>
      </c>
      <c r="CO12" s="86"/>
      <c r="CP12" s="35">
        <f>1+CP11</f>
        <v>68</v>
      </c>
      <c r="CQ12" s="11">
        <f>ROUND(v^($CP12+FaktorAlter)*VLOOKUP(CP12,G$9:J$102,4)*VLOOKUP(CP12,A$9:E$102,5)*0.5*(VLOOKUP(CP12,O$9:P$102,2)+VLOOKUP(CP12+1,O$9:P$102,2))*(VLOOKUP(TRUNC(0.5*(VLOOKUP(CP12,O$9:Q$102,3)+VLOOKUP(CP12+1,O$9:Q$102,3)),0),Frauen!$AZ$9:$BD$95,5)+(0.5*(VLOOKUP(CP12,O$9:Q$102,3)+VLOOKUP(CP12+1,O$9:Q$102,3))-TRUNC(0.5*(VLOOKUP(CP12,O$9:Q$102,3)+VLOOKUP(CP12+1,O$9:Q$102,3)),0))*(VLOOKUP(TRUNC(0.5*(VLOOKUP(CP12,O$9:Q$102,3)+VLOOKUP(CP12+1,O$9:Q$102,3))+1,0),Frauen!$AZ$9:$BD$95,5)-VLOOKUP(TRUNC(0.5*(VLOOKUP(CP12,O$9:Q$102,3)+VLOOKUP(CP12+1,O$9:Q$102,3)),0),Frauen!$AZ$9:$BD$95,5))),RundDx)</f>
        <v>4623</v>
      </c>
      <c r="CR12" s="25">
        <f>SUM(CQ12:CQ$56)</f>
        <v>94737</v>
      </c>
      <c r="CS12" s="24">
        <f t="shared" si="30"/>
        <v>5.1959999999999997</v>
      </c>
      <c r="CT12" s="86"/>
      <c r="CU12" s="35">
        <f>1+CU11</f>
        <v>20</v>
      </c>
      <c r="CV12" s="25">
        <f>IF($CU12&gt;=RAM,"",IF($CU12-CV$103&lt;BeginnAlter,"",ROUND(v^($CU12+FaktorAlter)*$L12*$D12*0.5*(VLOOKUP($CU12-CV$103,Frauen!$G$9:$J$102,4)+VLOOKUP($CU12-CV$103+1,Frauen!$G$9:$J$102,4))*0.5*(VLOOKUP($CU12-CV$103,Frauen!$AZ$9:$BD$102,5)+VLOOKUP($CU12-CV$103+1,Frauen!$AZ$9:$BD$102,5)),RundDx)))</f>
        <v>1929841016</v>
      </c>
      <c r="CW12" s="25">
        <f>IF($CU12&gt;=RAM,"",IF($CU12-CW$103&lt;BeginnAlter,"",ROUND(v^($CU12+FaktorAlter)*$L12*$D12*0.5*(VLOOKUP($CU12-CW$103,Frauen!$G$9:$J$102,4)+VLOOKUP($CU12-CW$103+1,Frauen!$G$9:$J$102,4))*0.5*(VLOOKUP($CU12-CW$103,Frauen!$AZ$9:$BD$102,5)+VLOOKUP($CU12-CW$103+1,Frauen!$AZ$9:$BD$102,5)),RundDx)))</f>
        <v>1953183700</v>
      </c>
      <c r="CX12" s="25">
        <f>IF($CU12&gt;=RAM,"",IF($CU12-CX$103&lt;BeginnAlter,"",ROUND(v^($CU12+FaktorAlter)*$L12*$D12*0.5*(VLOOKUP($CU12-CX$103,Frauen!$G$9:$J$102,4)+VLOOKUP($CU12-CX$103+1,Frauen!$G$9:$J$102,4))*0.5*(VLOOKUP($CU12-CX$103,Frauen!$AZ$9:$BD$102,5)+VLOOKUP($CU12-CX$103+1,Frauen!$AZ$9:$BD$102,5)),RundDx)))</f>
        <v>1976044148</v>
      </c>
      <c r="CY12" s="25">
        <f>IF($CU12&gt;=RAM,"",IF($CU12-CY$103&lt;BeginnAlter,"",ROUND(v^($CU12+FaktorAlter)*$L12*$D12*0.5*(VLOOKUP($CU12-CY$103,Frauen!$G$9:$J$102,4)+VLOOKUP($CU12-CY$103+1,Frauen!$G$9:$J$102,4))*0.5*(VLOOKUP($CU12-CY$103,Frauen!$AZ$9:$BD$102,5)+VLOOKUP($CU12-CY$103+1,Frauen!$AZ$9:$BD$102,5)),RundDx)))</f>
        <v>1998428973</v>
      </c>
      <c r="CZ12" s="25">
        <f>IF($CU12&gt;=RAM,"",IF($CU12-CZ$103&lt;BeginnAlter,"",ROUND(v^($CU12+FaktorAlter)*$L12*$D12*0.5*(VLOOKUP($CU12-CZ$103,Frauen!$G$9:$J$102,4)+VLOOKUP($CU12-CZ$103+1,Frauen!$G$9:$J$102,4))*0.5*(VLOOKUP($CU12-CZ$103,Frauen!$AZ$9:$BD$102,5)+VLOOKUP($CU12-CZ$103+1,Frauen!$AZ$9:$BD$102,5)),RundDx)))</f>
        <v>2020378613</v>
      </c>
      <c r="DA12" s="25">
        <f>IF($CU12&gt;=RAM,"",IF($CU12-DA$103&lt;BeginnAlter,"",ROUND(v^($CU12+FaktorAlter)*$L12*$D12*0.5*(VLOOKUP($CU12-DA$103,Frauen!$G$9:$J$102,4)+VLOOKUP($CU12-DA$103+1,Frauen!$G$9:$J$102,4))*0.5*(VLOOKUP($CU12-DA$103,Frauen!$AZ$9:$BD$102,5)+VLOOKUP($CU12-DA$103+1,Frauen!$AZ$9:$BD$102,5)),RundDx)))</f>
        <v>2041900758</v>
      </c>
      <c r="DB12" s="25">
        <f>IF($CU12&gt;=RAM,"",IF($CU12-DB$103&lt;BeginnAlter,"",ROUND(v^($CU12+FaktorAlter)*$L12*$D12*0.5*(VLOOKUP($CU12-DB$103,Frauen!$G$9:$J$102,4)+VLOOKUP($CU12-DB$103+1,Frauen!$G$9:$J$102,4))*0.5*(VLOOKUP($CU12-DB$103,Frauen!$AZ$9:$BD$102,5)+VLOOKUP($CU12-DB$103+1,Frauen!$AZ$9:$BD$102,5)),RundDx)))</f>
        <v>2062970232</v>
      </c>
      <c r="DC12" s="25">
        <f>IF($CU12&gt;=RAM,"",IF($CU12-DC$103&lt;BeginnAlter,"",ROUND(v^($CU12+FaktorAlter)*$L12*$D12*0.5*(VLOOKUP($CU12-DC$103,Frauen!$G$9:$J$102,4)+VLOOKUP($CU12-DC$103+1,Frauen!$G$9:$J$102,4))*0.5*(VLOOKUP($CU12-DC$103,Frauen!$AZ$9:$BD$102,5)+VLOOKUP($CU12-DC$103+1,Frauen!$AZ$9:$BD$102,5)),RundDx)))</f>
        <v>2083585153</v>
      </c>
      <c r="DD12" s="25">
        <f>IF($CU12&gt;=RAM,"",IF($CU12-DD$103&lt;BeginnAlter,"",ROUND(v^($CU12+FaktorAlter)*$L12*$D12*0.5*(VLOOKUP($CU12-DD$103,Frauen!$G$9:$J$102,4)+VLOOKUP($CU12-DD$103+1,Frauen!$G$9:$J$102,4))*0.5*(VLOOKUP($CU12-DD$103,Frauen!$AZ$9:$BD$102,5)+VLOOKUP($CU12-DD$103+1,Frauen!$AZ$9:$BD$102,5)),RundDx)))</f>
        <v>2103766515</v>
      </c>
      <c r="DE12" s="25">
        <f>IF($CU12&gt;=RAM,"",IF($CU12-DE$103&lt;BeginnAlter,"",ROUND(v^($CU12+FaktorAlter)*$L12*$D12*0.5*(VLOOKUP($CU12-DE$103,Frauen!$G$9:$J$102,4)+VLOOKUP($CU12-DE$103+1,Frauen!$G$9:$J$102,4))*0.5*(VLOOKUP($CU12-DE$103,Frauen!$AZ$9:$BD$102,5)+VLOOKUP($CU12-DE$103+1,Frauen!$AZ$9:$BD$102,5)),RundDx)))</f>
        <v>2123568433</v>
      </c>
      <c r="DF12" s="25">
        <f>IF($CU12&gt;=RAM,"",IF($CU12-DF$103&lt;BeginnAlter,"",ROUND(v^($CU12+FaktorAlter)*$L12*$D12*0.5*(VLOOKUP($CU12-DF$103,Frauen!$G$9:$J$102,4)+VLOOKUP($CU12-DF$103+1,Frauen!$G$9:$J$102,4))*0.5*(VLOOKUP($CU12-DF$103,Frauen!$AZ$9:$BD$102,5)+VLOOKUP($CU12-DF$103+1,Frauen!$AZ$9:$BD$102,5)),RundDx)))</f>
        <v>2142944625</v>
      </c>
      <c r="DG12" s="25">
        <f>IF($CU12&gt;=RAM,"",IF($CU12-DG$103&lt;BeginnAlter,"",ROUND(v^($CU12+FaktorAlter)*$L12*$D12*0.5*(VLOOKUP($CU12-DG$103,Frauen!$G$9:$J$102,4)+VLOOKUP($CU12-DG$103+1,Frauen!$G$9:$J$102,4))*0.5*(VLOOKUP($CU12-DG$103,Frauen!$AZ$9:$BD$102,5)+VLOOKUP($CU12-DG$103+1,Frauen!$AZ$9:$BD$102,5)),RundDx)))</f>
        <v>2161915281</v>
      </c>
      <c r="DH12" s="25">
        <f>IF($CU12&gt;=RAM,"",IF($CU12-DH$103&lt;BeginnAlter,"",ROUND(v^($CU12+FaktorAlter)*$L12*$D12*0.5*(VLOOKUP($CU12-DH$103,Frauen!$G$9:$J$102,4)+VLOOKUP($CU12-DH$103+1,Frauen!$G$9:$J$102,4))*0.5*(VLOOKUP($CU12-DH$103,Frauen!$AZ$9:$BD$102,5)+VLOOKUP($CU12-DH$103+1,Frauen!$AZ$9:$BD$102,5)),RundDx)))</f>
        <v>2180511267</v>
      </c>
      <c r="DI12" s="25">
        <f>IF($CU12&gt;=RAM,"",IF($CU12-DI$103&lt;BeginnAlter,"",ROUND(v^($CU12+FaktorAlter)*$L12*$D12*0.5*(VLOOKUP($CU12-DI$103,Frauen!$G$9:$J$102,4)+VLOOKUP($CU12-DI$103+1,Frauen!$G$9:$J$102,4))*0.5*(VLOOKUP($CU12-DI$103,Frauen!$AZ$9:$BD$102,5)+VLOOKUP($CU12-DI$103+1,Frauen!$AZ$9:$BD$102,5)),RundDx)))</f>
        <v>2198719135</v>
      </c>
      <c r="DJ12" s="25">
        <f>IF($CU12&gt;=RAM,"",IF($CU12-DJ$103&lt;BeginnAlter,"",ROUND(v^($CU12+FaktorAlter)*$L12*$D12*0.5*(VLOOKUP($CU12-DJ$103,Frauen!$G$9:$J$102,4)+VLOOKUP($CU12-DJ$103+1,Frauen!$G$9:$J$102,4))*0.5*(VLOOKUP($CU12-DJ$103,Frauen!$AZ$9:$BD$102,5)+VLOOKUP($CU12-DJ$103+1,Frauen!$AZ$9:$BD$102,5)),RundDx)))</f>
        <v>2216558603</v>
      </c>
      <c r="DK12" s="25">
        <f>IF($CU12&gt;=RAM,"",IF($CU12-DK$103&lt;BeginnAlter,"",ROUND(v^($CU12+FaktorAlter)*$L12*$D12*0.5*(VLOOKUP($CU12-DK$103,Frauen!$G$9:$J$102,4)+VLOOKUP($CU12-DK$103+1,Frauen!$G$9:$J$102,4))*0.5*(VLOOKUP($CU12-DK$103,Frauen!$AZ$9:$BD$102,5)+VLOOKUP($CU12-DK$103+1,Frauen!$AZ$9:$BD$102,5)),RundDx)))</f>
        <v>2233993436</v>
      </c>
      <c r="DL12" s="25">
        <f>IF($CU12&gt;=RAM,"",IF($CU12-DL$103&lt;BeginnAlter,"",ROUND(v^($CU12+FaktorAlter)*$L12*$D12*0.5*(VLOOKUP($CU12-DL$103,Frauen!$G$9:$J$102,4)+VLOOKUP($CU12-DL$103+1,Frauen!$G$9:$J$102,4))*0.5*(VLOOKUP($CU12-DL$103,Frauen!$AZ$9:$BD$102,5)+VLOOKUP($CU12-DL$103+1,Frauen!$AZ$9:$BD$102,5)),RundDx)))</f>
        <v>2251032170</v>
      </c>
      <c r="DM12" s="25">
        <f>IF($CU12&gt;=RAM,"",IF($CU12-DM$103&lt;BeginnAlter,"",ROUND(v^($CU12+FaktorAlter)*$L12*$D12*0.5*(VLOOKUP($CU12-DM$103,Frauen!$G$9:$J$102,4)+VLOOKUP($CU12-DM$103+1,Frauen!$G$9:$J$102,4))*0.5*(VLOOKUP($CU12-DM$103,Frauen!$AZ$9:$BD$102,5)+VLOOKUP($CU12-DM$103+1,Frauen!$AZ$9:$BD$102,5)),RundDx)))</f>
        <v>2267739895</v>
      </c>
      <c r="DN12" s="25">
        <f>IF($CU12&gt;=RAM,"",IF($CU12-DN$103&lt;BeginnAlter,"",ROUND(v^($CU12+FaktorAlter)*$L12*$D12*0.5*(VLOOKUP($CU12-DN$103,Frauen!$G$9:$J$102,4)+VLOOKUP($CU12-DN$103+1,Frauen!$G$9:$J$102,4))*0.5*(VLOOKUP($CU12-DN$103,Frauen!$AZ$9:$BD$102,5)+VLOOKUP($CU12-DN$103+1,Frauen!$AZ$9:$BD$102,5)),RundDx)))</f>
        <v>2284082389</v>
      </c>
      <c r="DO12" s="25" t="str">
        <f>IF($CU12&gt;=RAM,"",IF($CU12-DO$103&lt;BeginnAlter,"",ROUND(v^($CU12+FaktorAlter)*$L12*$D12*0.5*(VLOOKUP($CU12-DO$103,Frauen!$G$9:$J$102,4)+VLOOKUP($CU12-DO$103+1,Frauen!$G$9:$J$102,4))*0.5*(VLOOKUP($CU12-DO$103,Frauen!$AZ$9:$BD$102,5)+VLOOKUP($CU12-DO$103+1,Frauen!$AZ$9:$BD$102,5)),RundDx)))</f>
        <v/>
      </c>
      <c r="DP12" s="25" t="str">
        <f>IF($CU12&gt;=RAM,"",IF($CU12-DP$103&lt;BeginnAlter,"",ROUND(v^($CU12+FaktorAlter)*$L12*$D12*0.5*(VLOOKUP($CU12-DP$103,Frauen!$G$9:$J$102,4)+VLOOKUP($CU12-DP$103+1,Frauen!$G$9:$J$102,4))*0.5*(VLOOKUP($CU12-DP$103,Frauen!$AZ$9:$BD$102,5)+VLOOKUP($CU12-DP$103+1,Frauen!$AZ$9:$BD$102,5)),RundDx)))</f>
        <v/>
      </c>
      <c r="DQ12" s="25" t="str">
        <f>IF($CU12&gt;=RAM,"",IF($CU12-DQ$103&lt;BeginnAlter,"",ROUND(v^($CU12+FaktorAlter)*$L12*$D12*0.5*(VLOOKUP($CU12-DQ$103,Frauen!$G$9:$J$102,4)+VLOOKUP($CU12-DQ$103+1,Frauen!$G$9:$J$102,4))*0.5*(VLOOKUP($CU12-DQ$103,Frauen!$AZ$9:$BD$102,5)+VLOOKUP($CU12-DQ$103+1,Frauen!$AZ$9:$BD$102,5)),RundDx)))</f>
        <v/>
      </c>
      <c r="DR12" s="25" t="str">
        <f>IF($CU12&gt;=RAM,"",IF($CU12-DR$103&lt;BeginnAlter,"",ROUND(v^($CU12+FaktorAlter)*$L12*$D12*0.5*(VLOOKUP($CU12-DR$103,Frauen!$G$9:$J$102,4)+VLOOKUP($CU12-DR$103+1,Frauen!$G$9:$J$102,4))*0.5*(VLOOKUP($CU12-DR$103,Frauen!$AZ$9:$BD$102,5)+VLOOKUP($CU12-DR$103+1,Frauen!$AZ$9:$BD$102,5)),RundDx)))</f>
        <v/>
      </c>
      <c r="DS12" s="25" t="str">
        <f>IF($CU12&gt;=RAM,"",IF($CU12-DS$103&lt;BeginnAlter,"",ROUND(v^($CU12+FaktorAlter)*$L12*$D12*0.5*(VLOOKUP($CU12-DS$103,Frauen!$G$9:$J$102,4)+VLOOKUP($CU12-DS$103+1,Frauen!$G$9:$J$102,4))*0.5*(VLOOKUP($CU12-DS$103,Frauen!$AZ$9:$BD$102,5)+VLOOKUP($CU12-DS$103+1,Frauen!$AZ$9:$BD$102,5)),RundDx)))</f>
        <v/>
      </c>
      <c r="DT12" s="25" t="str">
        <f>IF($CU12&gt;=RAM,"",IF($CU12-DT$103&lt;BeginnAlter,"",ROUND(v^($CU12+FaktorAlter)*$L12*$D12*0.5*(VLOOKUP($CU12-DT$103,Frauen!$G$9:$J$102,4)+VLOOKUP($CU12-DT$103+1,Frauen!$G$9:$J$102,4))*0.5*(VLOOKUP($CU12-DT$103,Frauen!$AZ$9:$BD$102,5)+VLOOKUP($CU12-DT$103+1,Frauen!$AZ$9:$BD$102,5)),RundDx)))</f>
        <v/>
      </c>
      <c r="DU12" s="25" t="str">
        <f>IF($CU12&gt;=RAM,"",IF($CU12-DU$103&lt;BeginnAlter,"",ROUND(v^($CU12+FaktorAlter)*$L12*$D12*0.5*(VLOOKUP($CU12-DU$103,Frauen!$G$9:$J$102,4)+VLOOKUP($CU12-DU$103+1,Frauen!$G$9:$J$102,4))*0.5*(VLOOKUP($CU12-DU$103,Frauen!$AZ$9:$BD$102,5)+VLOOKUP($CU12-DU$103+1,Frauen!$AZ$9:$BD$102,5)),RundDx)))</f>
        <v/>
      </c>
      <c r="DV12" s="25" t="str">
        <f>IF($CU12&gt;=RAM,"",IF($CU12-DV$103&lt;BeginnAlter,"",ROUND(v^($CU12+FaktorAlter)*$L12*$D12*0.5*(VLOOKUP($CU12-DV$103,Frauen!$G$9:$J$102,4)+VLOOKUP($CU12-DV$103+1,Frauen!$G$9:$J$102,4))*0.5*(VLOOKUP($CU12-DV$103,Frauen!$AZ$9:$BD$102,5)+VLOOKUP($CU12-DV$103+1,Frauen!$AZ$9:$BD$102,5)),RundDx)))</f>
        <v/>
      </c>
      <c r="DW12" s="25" t="str">
        <f>IF($CU12&gt;=RAM,"",IF($CU12-DW$103&lt;BeginnAlter,"",ROUND(v^($CU12+FaktorAlter)*$L12*$D12*0.5*(VLOOKUP($CU12-DW$103,Frauen!$G$9:$J$102,4)+VLOOKUP($CU12-DW$103+1,Frauen!$G$9:$J$102,4))*0.5*(VLOOKUP($CU12-DW$103,Frauen!$AZ$9:$BD$102,5)+VLOOKUP($CU12-DW$103+1,Frauen!$AZ$9:$BD$102,5)),RundDx)))</f>
        <v/>
      </c>
      <c r="DX12" s="25" t="str">
        <f>IF($CU12&gt;=RAM,"",IF($CU12-DX$103&lt;BeginnAlter,"",ROUND(v^($CU12+FaktorAlter)*$L12*$D12*0.5*(VLOOKUP($CU12-DX$103,Frauen!$G$9:$J$102,4)+VLOOKUP($CU12-DX$103+1,Frauen!$G$9:$J$102,4))*0.5*(VLOOKUP($CU12-DX$103,Frauen!$AZ$9:$BD$102,5)+VLOOKUP($CU12-DX$103+1,Frauen!$AZ$9:$BD$102,5)),RundDx)))</f>
        <v/>
      </c>
      <c r="DY12" s="25" t="str">
        <f>IF($CU12&gt;=RAM,"",IF($CU12-DY$103&lt;BeginnAlter,"",ROUND(v^($CU12+FaktorAlter)*$L12*$D12*0.5*(VLOOKUP($CU12-DY$103,Frauen!$G$9:$J$102,4)+VLOOKUP($CU12-DY$103+1,Frauen!$G$9:$J$102,4))*0.5*(VLOOKUP($CU12-DY$103,Frauen!$AZ$9:$BD$102,5)+VLOOKUP($CU12-DY$103+1,Frauen!$AZ$9:$BD$102,5)),RundDx)))</f>
        <v/>
      </c>
      <c r="DZ12" s="25" t="str">
        <f>IF($CU12&gt;=RAM,"",IF($CU12-DZ$103&lt;BeginnAlter,"",ROUND(v^($CU12+FaktorAlter)*$L12*$D12*0.5*(VLOOKUP($CU12-DZ$103,Frauen!$G$9:$J$102,4)+VLOOKUP($CU12-DZ$103+1,Frauen!$G$9:$J$102,4))*0.5*(VLOOKUP($CU12-DZ$103,Frauen!$AZ$9:$BD$102,5)+VLOOKUP($CU12-DZ$103+1,Frauen!$AZ$9:$BD$102,5)),RundDx)))</f>
        <v/>
      </c>
      <c r="EA12" s="43">
        <f>IF($CU12&gt;=RAM,"",IF($CU12-EA$103&lt;BeginnAlter,"",ROUND((SUM(CV12:CV$56)+SUM(FN$9:FN$56))/VLOOKUP($CU12,$AH$9:$AI$102,2)/VLOOKUP($CU12-EA$103,Frauen!$G$9:$J$102,4),Rundäx)))</f>
        <v>7.2089999999999996</v>
      </c>
      <c r="EB12" s="43">
        <f>IF($CU12&gt;=RAM,"",IF($CU12-EB$103&lt;BeginnAlter,"",ROUND((SUM(CW12:CW$56)+SUM(FO$9:FO$56))/VLOOKUP($CU12,$AH$9:$AI$102,2)/VLOOKUP($CU12-EB$103,Frauen!$G$9:$J$102,4),Rundäx)))</f>
        <v>7.399</v>
      </c>
      <c r="EC12" s="43">
        <f>IF($CU12&gt;=RAM,"",IF($CU12-EC$103&lt;BeginnAlter,"",ROUND((SUM(CX12:CX$56)+SUM(FP$9:FP$56))/VLOOKUP($CU12,$AH$9:$AI$102,2)/VLOOKUP($CU12-EC$103,Frauen!$G$9:$J$102,4),Rundäx)))</f>
        <v>7.5890000000000004</v>
      </c>
      <c r="ED12" s="43">
        <f>IF($CU12&gt;=RAM,"",IF($CU12-ED$103&lt;BeginnAlter,"",ROUND((SUM(CY12:CY$56)+SUM(FQ$9:FQ$56))/VLOOKUP($CU12,$AH$9:$AI$102,2)/VLOOKUP($CU12-ED$103,Frauen!$G$9:$J$102,4),Rundäx)))</f>
        <v>7.78</v>
      </c>
      <c r="EE12" s="43">
        <f>IF($CU12&gt;=RAM,"",IF($CU12-EE$103&lt;BeginnAlter,"",ROUND((SUM(CZ12:CZ$56)+SUM(FR$9:FR$56))/VLOOKUP($CU12,$AH$9:$AI$102,2)/VLOOKUP($CU12-EE$103,Frauen!$G$9:$J$102,4),Rundäx)))</f>
        <v>7.97</v>
      </c>
      <c r="EF12" s="43">
        <f>IF($CU12&gt;=RAM,"",IF($CU12-EF$103&lt;BeginnAlter,"",ROUND((SUM(DA12:DA$56)+SUM(FS$9:FS$56))/VLOOKUP($CU12,$AH$9:$AI$102,2)/VLOOKUP($CU12-EF$103,Frauen!$G$9:$J$102,4),Rundäx)))</f>
        <v>8.16</v>
      </c>
      <c r="EG12" s="43">
        <f>IF($CU12&gt;=RAM,"",IF($CU12-EG$103&lt;BeginnAlter,"",ROUND((SUM(DB12:DB$56)+SUM(FT$9:FT$56))/VLOOKUP($CU12,$AH$9:$AI$102,2)/VLOOKUP($CU12-EG$103,Frauen!$G$9:$J$102,4),Rundäx)))</f>
        <v>8.3490000000000002</v>
      </c>
      <c r="EH12" s="43">
        <f>IF($CU12&gt;=RAM,"",IF($CU12-EH$103&lt;BeginnAlter,"",ROUND((SUM(DC12:DC$56)+SUM(FU$9:FU$56))/VLOOKUP($CU12,$AH$9:$AI$102,2)/VLOOKUP($CU12-EH$103,Frauen!$G$9:$J$102,4),Rundäx)))</f>
        <v>8.5389999999999997</v>
      </c>
      <c r="EI12" s="86"/>
      <c r="EJ12" s="35">
        <f>1+EJ11</f>
        <v>20</v>
      </c>
      <c r="EK12" s="43">
        <f>IF($CU12&gt;=RAM,"",IF($CU12-EK$103&lt;BeginnAlter,"",ROUND((SUM(DD12:DD$56)+SUM(FV$9:FV$56))/VLOOKUP($CU12,$AH$9:$AI$102,2)/VLOOKUP($CU12-EK$103,Frauen!$G$9:$J$102,4),Rundäx)))</f>
        <v>8.7279999999999998</v>
      </c>
      <c r="EL12" s="43">
        <f>IF($CU12&gt;=RAM,"",IF($CU12-EL$103&lt;BeginnAlter,"",ROUND((SUM(DE12:DE$56)+SUM(FW$9:FW$56))/VLOOKUP($CU12,$AH$9:$AI$102,2)/VLOOKUP($CU12-EL$103,Frauen!$G$9:$J$102,4),Rundäx)))</f>
        <v>8.9179999999999993</v>
      </c>
      <c r="EM12" s="43">
        <f>IF($CU12&gt;=RAM,"",IF($CU12-EM$103&lt;BeginnAlter,"",ROUND((SUM(DF12:DF$56)+SUM(FX$9:FX$56))/VLOOKUP($CU12,$AH$9:$AI$102,2)/VLOOKUP($CU12-EM$103,Frauen!$G$9:$J$102,4),Rundäx)))</f>
        <v>9.1069999999999993</v>
      </c>
      <c r="EN12" s="43">
        <f>IF($CU12&gt;=RAM,"",IF($CU12-EN$103&lt;BeginnAlter,"",ROUND((SUM(DG12:DG$56)+SUM(FY$9:FY$56))/VLOOKUP($CU12,$AH$9:$AI$102,2)/VLOOKUP($CU12-EN$103,Frauen!$G$9:$J$102,4),Rundäx)))</f>
        <v>9.2959999999999994</v>
      </c>
      <c r="EO12" s="43">
        <f>IF($CU12&gt;=RAM,"",IF($CU12-EO$103&lt;BeginnAlter,"",ROUND((SUM(DH12:DH$56)+SUM(FZ$9:FZ$56))/VLOOKUP($CU12,$AH$9:$AI$102,2)/VLOOKUP($CU12-EO$103,Frauen!$G$9:$J$102,4),Rundäx)))</f>
        <v>9.4849999999999994</v>
      </c>
      <c r="EP12" s="43">
        <f>IF($CU12&gt;=RAM,"",IF($CU12-EP$103&lt;BeginnAlter,"",ROUND((SUM(DI12:DI$56)+SUM(GA$9:GA$56))/VLOOKUP($CU12,$AH$9:$AI$102,2)/VLOOKUP($CU12-EP$103,Frauen!$G$9:$J$102,4),Rundäx)))</f>
        <v>9.6739999999999995</v>
      </c>
      <c r="EQ12" s="43">
        <f>IF($CU12&gt;=RAM,"",IF($CU12-EQ$103&lt;BeginnAlter,"",ROUND((SUM(DJ12:DJ$56)+SUM(GB$9:GB$56))/VLOOKUP($CU12,$AH$9:$AI$102,2)/VLOOKUP($CU12-EQ$103,Frauen!$G$9:$J$102,4),Rundäx)))</f>
        <v>9.8629999999999995</v>
      </c>
      <c r="ER12" s="43">
        <f>IF($CU12&gt;=RAM,"",IF($CU12-ER$103&lt;BeginnAlter,"",ROUND((SUM(DK12:DK$56)+SUM(GC$9:GC$56))/VLOOKUP($CU12,$AH$9:$AI$102,2)/VLOOKUP($CU12-ER$103,Frauen!$G$9:$J$102,4),Rundäx)))</f>
        <v>10.052</v>
      </c>
      <c r="ES12" s="86"/>
      <c r="ET12" s="35">
        <f>1+ET11</f>
        <v>20</v>
      </c>
      <c r="EU12" s="43">
        <f>IF($CU12&gt;=RAM,"",IF($CU12-EU$103&lt;BeginnAlter,"",ROUND((SUM(DL12:DL$56)+SUM(GD$9:GD$56))/VLOOKUP($CU12,$AH$9:$AI$102,2)/VLOOKUP($CU12-EU$103,Frauen!$G$9:$J$102,4),Rundäx)))</f>
        <v>10.241</v>
      </c>
      <c r="EV12" s="43">
        <f>IF($CU12&gt;=RAM,"",IF($CU12-EV$103&lt;BeginnAlter,"",ROUND((SUM(DM12:DM$56)+SUM(GE$9:GE$56))/VLOOKUP($CU12,$AH$9:$AI$102,2)/VLOOKUP($CU12-EV$103,Frauen!$G$9:$J$102,4),Rundäx)))</f>
        <v>10.428000000000001</v>
      </c>
      <c r="EW12" s="43">
        <f>IF($CU12&gt;=RAM,"",IF($CU12-EW$103&lt;BeginnAlter,"",ROUND((SUM(DN12:DN$56)+SUM(GF$9:GF$56))/VLOOKUP($CU12,$AH$9:$AI$102,2)/VLOOKUP($CU12-EW$103,Frauen!$G$9:$J$102,4),Rundäx)))</f>
        <v>10.615</v>
      </c>
      <c r="EX12" s="43" t="str">
        <f>IF($CU12&gt;=RAM,"",IF($CU12-EX$103&lt;BeginnAlter,"",ROUND((SUM(DO12:DO$56)+SUM(GG$9:GG$56))/VLOOKUP($CU12,$AH$9:$AI$102,2)/VLOOKUP($CU12-EX$103,Frauen!$G$9:$J$102,4),Rundäx)))</f>
        <v/>
      </c>
      <c r="EY12" s="43" t="str">
        <f>IF($CU12&gt;=RAM,"",IF($CU12-EY$103&lt;BeginnAlter,"",ROUND((SUM(DP12:DP$56)+SUM(GH$9:GH$56))/VLOOKUP($CU12,$AH$9:$AI$102,2)/VLOOKUP($CU12-EY$103,Frauen!$G$9:$J$102,4),Rundäx)))</f>
        <v/>
      </c>
      <c r="EZ12" s="43" t="str">
        <f>IF($CU12&gt;=RAM,"",IF($CU12-EZ$103&lt;BeginnAlter,"",ROUND((SUM(DQ12:DQ$56)+SUM(GI$9:GI$56))/VLOOKUP($CU12,$AH$9:$AI$102,2)/VLOOKUP($CU12-EZ$103,Frauen!$G$9:$J$102,4),Rundäx)))</f>
        <v/>
      </c>
      <c r="FA12" s="43" t="str">
        <f>IF($CU12&gt;=RAM,"",IF($CU12-FA$103&lt;BeginnAlter,"",ROUND((SUM(DR12:DR$56)+SUM(GJ$9:GJ$56))/VLOOKUP($CU12,$AH$9:$AI$102,2)/VLOOKUP($CU12-FA$103,Frauen!$G$9:$J$102,4),Rundäx)))</f>
        <v/>
      </c>
      <c r="FB12" s="43" t="str">
        <f>IF($CU12&gt;=RAM,"",IF($CU12-FB$103&lt;BeginnAlter,"",ROUND((SUM(DS12:DS$56)+SUM(GK$9:GK$56))/VLOOKUP($CU12,$AH$9:$AI$102,2)/VLOOKUP($CU12-FB$103,Frauen!$G$9:$J$102,4),Rundäx)))</f>
        <v/>
      </c>
      <c r="FC12" s="86"/>
      <c r="FD12" s="35">
        <f>1+FD11</f>
        <v>20</v>
      </c>
      <c r="FE12" s="43" t="str">
        <f>IF($CU12&gt;=RAM,"",IF($CU12-FE$103&lt;BeginnAlter,"",ROUND((SUM(DT12:DT$56)+SUM(GL$9:GL$56))/VLOOKUP($CU12,$AH$9:$AI$102,2)/VLOOKUP($CU12-FE$103,Frauen!$G$9:$J$102,4),Rundäx)))</f>
        <v/>
      </c>
      <c r="FF12" s="43" t="str">
        <f>IF($CU12&gt;=RAM,"",IF($CU12-FF$103&lt;BeginnAlter,"",ROUND((SUM(DU12:DU$56)+SUM(GM$9:GM$56))/VLOOKUP($CU12,$AH$9:$AI$102,2)/VLOOKUP($CU12-FF$103,Frauen!$G$9:$J$102,4),Rundäx)))</f>
        <v/>
      </c>
      <c r="FG12" s="43" t="str">
        <f>IF($CU12&gt;=RAM,"",IF($CU12-FG$103&lt;BeginnAlter,"",ROUND((SUM(DV12:DV$56)+SUM(GN$9:GN$56))/VLOOKUP($CU12,$AH$9:$AI$102,2)/VLOOKUP($CU12-FG$103,Frauen!$G$9:$J$102,4),Rundäx)))</f>
        <v/>
      </c>
      <c r="FH12" s="43" t="str">
        <f>IF($CU12&gt;=RAM,"",IF($CU12-FH$103&lt;BeginnAlter,"",ROUND((SUM(DW12:DW$56)+SUM(GO$9:GO$56))/VLOOKUP($CU12,$AH$9:$AI$102,2)/VLOOKUP($CU12-FH$103,Frauen!$G$9:$J$102,4),Rundäx)))</f>
        <v/>
      </c>
      <c r="FI12" s="43" t="str">
        <f>IF($CU12&gt;=RAM,"",IF($CU12-FI$103&lt;BeginnAlter,"",ROUND((SUM(DX12:DX$56)+SUM(GP$9:GP$56))/VLOOKUP($CU12,$AH$9:$AI$102,2)/VLOOKUP($CU12-FI$103,Frauen!$G$9:$J$102,4),Rundäx)))</f>
        <v/>
      </c>
      <c r="FJ12" s="43" t="str">
        <f>IF($CU12&gt;=RAM,"",IF($CU12-FJ$103&lt;BeginnAlter,"",ROUND((SUM(DY12:DY$56)+SUM(GQ$9:GQ$56))/VLOOKUP($CU12,$AH$9:$AI$102,2)/VLOOKUP($CU12-FJ$103,Frauen!$G$9:$J$102,4),Rundäx)))</f>
        <v/>
      </c>
      <c r="FK12" s="43" t="str">
        <f>IF($CU12&gt;=RAM,"",IF($CU12-FK$103&lt;BeginnAlter,"",ROUND((SUM(DZ12:DZ$56)+SUM(GR$9:GR$56))/VLOOKUP($CU12,$AH$9:$AI$102,2)/VLOOKUP($CU12-FK$103,Frauen!$G$9:$J$102,4),Rundäx)))</f>
        <v/>
      </c>
      <c r="FL12" s="86"/>
      <c r="FM12" s="35">
        <f>1+FM11</f>
        <v>68</v>
      </c>
      <c r="FN12" s="25">
        <f>ROUND(v^($FM12+FaktorAlter)*VLOOKUP($FM12,$G$9:$J$102,4)*VLOOKUP($FM12,$A$9:$E$102,5)*0.5*(VLOOKUP($FM12-FN$103,Frauen!$G$9:$J$102,4)+VLOOKUP($FM12-FN$103+1,Frauen!$G$9:$J$102,4))*0.5*(VLOOKUP($FM12-FN$103,Frauen!$AZ$9:$BD$102,5)+VLOOKUP($FM12-FN$103+1,Frauen!$AZ$9:$BD$102,5)),RundDx)</f>
        <v>135309012</v>
      </c>
      <c r="FO12" s="25">
        <f>ROUND(v^($FM12+FaktorAlter)*VLOOKUP($FM12,$G$9:$J$102,4)*VLOOKUP($FM12,$A$9:$E$102,5)*0.5*(VLOOKUP($FM12-FO$103,Frauen!$G$9:$J$102,4)+VLOOKUP($FM12-FO$103+1,Frauen!$G$9:$J$102,4))*0.5*(VLOOKUP($FM12-FO$103,Frauen!$AZ$9:$BD$102,5)+VLOOKUP($FM12-FO$103+1,Frauen!$AZ$9:$BD$102,5)),RundDx)</f>
        <v>153582235</v>
      </c>
      <c r="FP12" s="25">
        <f>ROUND(v^($FM12+FaktorAlter)*VLOOKUP($FM12,$G$9:$J$102,4)*VLOOKUP($FM12,$A$9:$E$102,5)*0.5*(VLOOKUP($FM12-FP$103,Frauen!$G$9:$J$102,4)+VLOOKUP($FM12-FP$103+1,Frauen!$G$9:$J$102,4))*0.5*(VLOOKUP($FM12-FP$103,Frauen!$AZ$9:$BD$102,5)+VLOOKUP($FM12-FP$103+1,Frauen!$AZ$9:$BD$102,5)),RundDx)</f>
        <v>172395114</v>
      </c>
      <c r="FQ12" s="25">
        <f>ROUND(v^($FM12+FaktorAlter)*VLOOKUP($FM12,$G$9:$J$102,4)*VLOOKUP($FM12,$A$9:$E$102,5)*0.5*(VLOOKUP($FM12-FQ$103,Frauen!$G$9:$J$102,4)+VLOOKUP($FM12-FQ$103+1,Frauen!$G$9:$J$102,4))*0.5*(VLOOKUP($FM12-FQ$103,Frauen!$AZ$9:$BD$102,5)+VLOOKUP($FM12-FQ$103+1,Frauen!$AZ$9:$BD$102,5)),RundDx)</f>
        <v>191623382</v>
      </c>
      <c r="FR12" s="25">
        <f>ROUND(v^($FM12+FaktorAlter)*VLOOKUP($FM12,$G$9:$J$102,4)*VLOOKUP($FM12,$A$9:$E$102,5)*0.5*(VLOOKUP($FM12-FR$103,Frauen!$G$9:$J$102,4)+VLOOKUP($FM12-FR$103+1,Frauen!$G$9:$J$102,4))*0.5*(VLOOKUP($FM12-FR$103,Frauen!$AZ$9:$BD$102,5)+VLOOKUP($FM12-FR$103+1,Frauen!$AZ$9:$BD$102,5)),RundDx)</f>
        <v>211206059</v>
      </c>
      <c r="FS12" s="25">
        <f>ROUND(v^($FM12+FaktorAlter)*VLOOKUP($FM12,$G$9:$J$102,4)*VLOOKUP($FM12,$A$9:$E$102,5)*0.5*(VLOOKUP($FM12-FS$103,Frauen!$G$9:$J$102,4)+VLOOKUP($FM12-FS$103+1,Frauen!$G$9:$J$102,4))*0.5*(VLOOKUP($FM12-FS$103,Frauen!$AZ$9:$BD$102,5)+VLOOKUP($FM12-FS$103+1,Frauen!$AZ$9:$BD$102,5)),RundDx)</f>
        <v>231060100</v>
      </c>
      <c r="FT12" s="25">
        <f>ROUND(v^($FM12+FaktorAlter)*VLOOKUP($FM12,$G$9:$J$102,4)*VLOOKUP($FM12,$A$9:$E$102,5)*0.5*(VLOOKUP($FM12-FT$103,Frauen!$G$9:$J$102,4)+VLOOKUP($FM12-FT$103+1,Frauen!$G$9:$J$102,4))*0.5*(VLOOKUP($FM12-FT$103,Frauen!$AZ$9:$BD$102,5)+VLOOKUP($FM12-FT$103+1,Frauen!$AZ$9:$BD$102,5)),RundDx)</f>
        <v>251169206</v>
      </c>
      <c r="FU12" s="25">
        <f>ROUND(v^($FM12+FaktorAlter)*VLOOKUP($FM12,$G$9:$J$102,4)*VLOOKUP($FM12,$A$9:$E$102,5)*0.5*(VLOOKUP($FM12-FU$103,Frauen!$G$9:$J$102,4)+VLOOKUP($FM12-FU$103+1,Frauen!$G$9:$J$102,4))*0.5*(VLOOKUP($FM12-FU$103,Frauen!$AZ$9:$BD$102,5)+VLOOKUP($FM12-FU$103+1,Frauen!$AZ$9:$BD$102,5)),RundDx)</f>
        <v>271582460</v>
      </c>
      <c r="FV12" s="25">
        <f>ROUND(v^($FM12+FaktorAlter)*VLOOKUP($FM12,$G$9:$J$102,4)*VLOOKUP($FM12,$A$9:$E$102,5)*0.5*(VLOOKUP($FM12-FV$103,Frauen!$G$9:$J$102,4)+VLOOKUP($FM12-FV$103+1,Frauen!$G$9:$J$102,4))*0.5*(VLOOKUP($FM12-FV$103,Frauen!$AZ$9:$BD$102,5)+VLOOKUP($FM12-FV$103+1,Frauen!$AZ$9:$BD$102,5)),RundDx)</f>
        <v>292319736</v>
      </c>
      <c r="FW12" s="25">
        <f>ROUND(v^($FM12+FaktorAlter)*VLOOKUP($FM12,$G$9:$J$102,4)*VLOOKUP($FM12,$A$9:$E$102,5)*0.5*(VLOOKUP($FM12-FW$103,Frauen!$G$9:$J$102,4)+VLOOKUP($FM12-FW$103+1,Frauen!$G$9:$J$102,4))*0.5*(VLOOKUP($FM12-FW$103,Frauen!$AZ$9:$BD$102,5)+VLOOKUP($FM12-FW$103+1,Frauen!$AZ$9:$BD$102,5)),RundDx)</f>
        <v>313445182</v>
      </c>
      <c r="FX12" s="25">
        <f>ROUND(v^($FM12+FaktorAlter)*VLOOKUP($FM12,$G$9:$J$102,4)*VLOOKUP($FM12,$A$9:$E$102,5)*0.5*(VLOOKUP($FM12-FX$103,Frauen!$G$9:$J$102,4)+VLOOKUP($FM12-FX$103+1,Frauen!$G$9:$J$102,4))*0.5*(VLOOKUP($FM12-FX$103,Frauen!$AZ$9:$BD$102,5)+VLOOKUP($FM12-FX$103+1,Frauen!$AZ$9:$BD$102,5)),RundDx)</f>
        <v>334970674</v>
      </c>
      <c r="FY12" s="25">
        <f>ROUND(v^($FM12+FaktorAlter)*VLOOKUP($FM12,$G$9:$J$102,4)*VLOOKUP($FM12,$A$9:$E$102,5)*0.5*(VLOOKUP($FM12-FY$103,Frauen!$G$9:$J$102,4)+VLOOKUP($FM12-FY$103+1,Frauen!$G$9:$J$102,4))*0.5*(VLOOKUP($FM12-FY$103,Frauen!$AZ$9:$BD$102,5)+VLOOKUP($FM12-FY$103+1,Frauen!$AZ$9:$BD$102,5)),RundDx)</f>
        <v>356846727</v>
      </c>
      <c r="FZ12" s="25">
        <f>ROUND(v^($FM12+FaktorAlter)*VLOOKUP($FM12,$G$9:$J$102,4)*VLOOKUP($FM12,$A$9:$E$102,5)*0.5*(VLOOKUP($FM12-FZ$103,Frauen!$G$9:$J$102,4)+VLOOKUP($FM12-FZ$103+1,Frauen!$G$9:$J$102,4))*0.5*(VLOOKUP($FM12-FZ$103,Frauen!$AZ$9:$BD$102,5)+VLOOKUP($FM12-FZ$103+1,Frauen!$AZ$9:$BD$102,5)),RundDx)</f>
        <v>378977717</v>
      </c>
      <c r="GA12" s="25">
        <f>ROUND(v^($FM12+FaktorAlter)*VLOOKUP($FM12,$G$9:$J$102,4)*VLOOKUP($FM12,$A$9:$E$102,5)*0.5*(VLOOKUP($FM12-GA$103,Frauen!$G$9:$J$102,4)+VLOOKUP($FM12-GA$103+1,Frauen!$G$9:$J$102,4))*0.5*(VLOOKUP($FM12-GA$103,Frauen!$AZ$9:$BD$102,5)+VLOOKUP($FM12-GA$103+1,Frauen!$AZ$9:$BD$102,5)),RundDx)</f>
        <v>401204763</v>
      </c>
      <c r="GB12" s="25">
        <f>ROUND(v^($FM12+FaktorAlter)*VLOOKUP($FM12,$G$9:$J$102,4)*VLOOKUP($FM12,$A$9:$E$102,5)*0.5*(VLOOKUP($FM12-GB$103,Frauen!$G$9:$J$102,4)+VLOOKUP($FM12-GB$103+1,Frauen!$G$9:$J$102,4))*0.5*(VLOOKUP($FM12-GB$103,Frauen!$AZ$9:$BD$102,5)+VLOOKUP($FM12-GB$103+1,Frauen!$AZ$9:$BD$102,5)),RundDx)</f>
        <v>423465973</v>
      </c>
      <c r="GC12" s="25">
        <f>ROUND(v^($FM12+FaktorAlter)*VLOOKUP($FM12,$G$9:$J$102,4)*VLOOKUP($FM12,$A$9:$E$102,5)*0.5*(VLOOKUP($FM12-GC$103,Frauen!$G$9:$J$102,4)+VLOOKUP($FM12-GC$103+1,Frauen!$G$9:$J$102,4))*0.5*(VLOOKUP($FM12-GC$103,Frauen!$AZ$9:$BD$102,5)+VLOOKUP($FM12-GC$103+1,Frauen!$AZ$9:$BD$102,5)),RundDx)</f>
        <v>445720417</v>
      </c>
      <c r="GD12" s="25">
        <f>ROUND(v^($FM12+FaktorAlter)*VLOOKUP($FM12,$G$9:$J$102,4)*VLOOKUP($FM12,$A$9:$E$102,5)*0.5*(VLOOKUP($FM12-GD$103,Frauen!$G$9:$J$102,4)+VLOOKUP($FM12-GD$103+1,Frauen!$G$9:$J$102,4))*0.5*(VLOOKUP($FM12-GD$103,Frauen!$AZ$9:$BD$102,5)+VLOOKUP($FM12-GD$103+1,Frauen!$AZ$9:$BD$102,5)),RundDx)</f>
        <v>467817084</v>
      </c>
      <c r="GE12" s="25">
        <f>ROUND(v^($FM12+FaktorAlter)*VLOOKUP($FM12,$G$9:$J$102,4)*VLOOKUP($FM12,$A$9:$E$102,5)*0.5*(VLOOKUP($FM12-GE$103,Frauen!$G$9:$J$102,4)+VLOOKUP($FM12-GE$103+1,Frauen!$G$9:$J$102,4))*0.5*(VLOOKUP($FM12-GE$103,Frauen!$AZ$9:$BD$102,5)+VLOOKUP($FM12-GE$103+1,Frauen!$AZ$9:$BD$102,5)),RundDx)</f>
        <v>489668601</v>
      </c>
      <c r="GF12" s="25">
        <f>ROUND(v^($FM12+FaktorAlter)*VLOOKUP($FM12,$G$9:$J$102,4)*VLOOKUP($FM12,$A$9:$E$102,5)*0.5*(VLOOKUP($FM12-GF$103,Frauen!$G$9:$J$102,4)+VLOOKUP($FM12-GF$103+1,Frauen!$G$9:$J$102,4))*0.5*(VLOOKUP($FM12-GF$103,Frauen!$AZ$9:$BD$102,5)+VLOOKUP($FM12-GF$103+1,Frauen!$AZ$9:$BD$102,5)),RundDx)</f>
        <v>511311394</v>
      </c>
      <c r="GG12" s="25">
        <f>ROUND(v^($FM12+FaktorAlter)*VLOOKUP($FM12,$G$9:$J$102,4)*VLOOKUP($FM12,$A$9:$E$102,5)*0.5*(VLOOKUP($FM12-GG$103,Frauen!$G$9:$J$102,4)+VLOOKUP($FM12-GG$103+1,Frauen!$G$9:$J$102,4))*0.5*(VLOOKUP($FM12-GG$103,Frauen!$AZ$9:$BD$102,5)+VLOOKUP($FM12-GG$103+1,Frauen!$AZ$9:$BD$102,5)),RundDx)</f>
        <v>532694524</v>
      </c>
      <c r="GH12" s="25">
        <f>ROUND(v^($FM12+FaktorAlter)*VLOOKUP($FM12,$G$9:$J$102,4)*VLOOKUP($FM12,$A$9:$E$102,5)*0.5*(VLOOKUP($FM12-GH$103,Frauen!$G$9:$J$102,4)+VLOOKUP($FM12-GH$103+1,Frauen!$G$9:$J$102,4))*0.5*(VLOOKUP($FM12-GH$103,Frauen!$AZ$9:$BD$102,5)+VLOOKUP($FM12-GH$103+1,Frauen!$AZ$9:$BD$102,5)),RundDx)</f>
        <v>553691690</v>
      </c>
      <c r="GI12" s="25">
        <f>ROUND(v^($FM12+FaktorAlter)*VLOOKUP($FM12,$G$9:$J$102,4)*VLOOKUP($FM12,$A$9:$E$102,5)*0.5*(VLOOKUP($FM12-GI$103,Frauen!$G$9:$J$102,4)+VLOOKUP($FM12-GI$103+1,Frauen!$G$9:$J$102,4))*0.5*(VLOOKUP($FM12-GI$103,Frauen!$AZ$9:$BD$102,5)+VLOOKUP($FM12-GI$103+1,Frauen!$AZ$9:$BD$102,5)),RundDx)</f>
        <v>574291515</v>
      </c>
      <c r="GJ12" s="25">
        <f>ROUND(v^($FM12+FaktorAlter)*VLOOKUP($FM12,$G$9:$J$102,4)*VLOOKUP($FM12,$A$9:$E$102,5)*0.5*(VLOOKUP($FM12-GJ$103,Frauen!$G$9:$J$102,4)+VLOOKUP($FM12-GJ$103+1,Frauen!$G$9:$J$102,4))*0.5*(VLOOKUP($FM12-GJ$103,Frauen!$AZ$9:$BD$102,5)+VLOOKUP($FM12-GJ$103+1,Frauen!$AZ$9:$BD$102,5)),RundDx)</f>
        <v>594547216</v>
      </c>
      <c r="GK12" s="25">
        <f>ROUND(v^($FM12+FaktorAlter)*VLOOKUP($FM12,$G$9:$J$102,4)*VLOOKUP($FM12,$A$9:$E$102,5)*0.5*(VLOOKUP($FM12-GK$103,Frauen!$G$9:$J$102,4)+VLOOKUP($FM12-GK$103+1,Frauen!$G$9:$J$102,4))*0.5*(VLOOKUP($FM12-GK$103,Frauen!$AZ$9:$BD$102,5)+VLOOKUP($FM12-GK$103+1,Frauen!$AZ$9:$BD$102,5)),RundDx)</f>
        <v>614431769</v>
      </c>
      <c r="GL12" s="25">
        <f>ROUND(v^($FM12+FaktorAlter)*VLOOKUP($FM12,$G$9:$J$102,4)*VLOOKUP($FM12,$A$9:$E$102,5)*0.5*(VLOOKUP($FM12-GL$103,Frauen!$G$9:$J$102,4)+VLOOKUP($FM12-GL$103+1,Frauen!$G$9:$J$102,4))*0.5*(VLOOKUP($FM12-GL$103,Frauen!$AZ$9:$BD$102,5)+VLOOKUP($FM12-GL$103+1,Frauen!$AZ$9:$BD$102,5)),RundDx)</f>
        <v>633939798</v>
      </c>
      <c r="GM12" s="25">
        <f>ROUND(v^($FM12+FaktorAlter)*VLOOKUP($FM12,$G$9:$J$102,4)*VLOOKUP($FM12,$A$9:$E$102,5)*0.5*(VLOOKUP($FM12-GM$103,Frauen!$G$9:$J$102,4)+VLOOKUP($FM12-GM$103+1,Frauen!$G$9:$J$102,4))*0.5*(VLOOKUP($FM12-GM$103,Frauen!$AZ$9:$BD$102,5)+VLOOKUP($FM12-GM$103+1,Frauen!$AZ$9:$BD$102,5)),RundDx)</f>
        <v>653111825</v>
      </c>
      <c r="GN12" s="25">
        <f>ROUND(v^($FM12+FaktorAlter)*VLOOKUP($FM12,$G$9:$J$102,4)*VLOOKUP($FM12,$A$9:$E$102,5)*0.5*(VLOOKUP($FM12-GN$103,Frauen!$G$9:$J$102,4)+VLOOKUP($FM12-GN$103+1,Frauen!$G$9:$J$102,4))*0.5*(VLOOKUP($FM12-GN$103,Frauen!$AZ$9:$BD$102,5)+VLOOKUP($FM12-GN$103+1,Frauen!$AZ$9:$BD$102,5)),RundDx)</f>
        <v>672007784</v>
      </c>
      <c r="GO12" s="25">
        <f>ROUND(v^($FM12+FaktorAlter)*VLOOKUP($FM12,$G$9:$J$102,4)*VLOOKUP($FM12,$A$9:$E$102,5)*0.5*(VLOOKUP($FM12-GO$103,Frauen!$G$9:$J$102,4)+VLOOKUP($FM12-GO$103+1,Frauen!$G$9:$J$102,4))*0.5*(VLOOKUP($FM12-GO$103,Frauen!$AZ$9:$BD$102,5)+VLOOKUP($FM12-GO$103+1,Frauen!$AZ$9:$BD$102,5)),RundDx)</f>
        <v>690677276</v>
      </c>
      <c r="GP12" s="25">
        <f>ROUND(v^($FM12+FaktorAlter)*VLOOKUP($FM12,$G$9:$J$102,4)*VLOOKUP($FM12,$A$9:$E$102,5)*0.5*(VLOOKUP($FM12-GP$103,Frauen!$G$9:$J$102,4)+VLOOKUP($FM12-GP$103+1,Frauen!$G$9:$J$102,4))*0.5*(VLOOKUP($FM12-GP$103,Frauen!$AZ$9:$BD$102,5)+VLOOKUP($FM12-GP$103+1,Frauen!$AZ$9:$BD$102,5)),RundDx)</f>
        <v>709164748</v>
      </c>
      <c r="GQ12" s="25">
        <f>ROUND(v^($FM12+FaktorAlter)*VLOOKUP($FM12,$G$9:$J$102,4)*VLOOKUP($FM12,$A$9:$E$102,5)*0.5*(VLOOKUP($FM12-GQ$103,Frauen!$G$9:$J$102,4)+VLOOKUP($FM12-GQ$103+1,Frauen!$G$9:$J$102,4))*0.5*(VLOOKUP($FM12-GQ$103,Frauen!$AZ$9:$BD$102,5)+VLOOKUP($FM12-GQ$103+1,Frauen!$AZ$9:$BD$102,5)),RundDx)</f>
        <v>727491218</v>
      </c>
      <c r="GR12" s="25">
        <f>ROUND(v^($FM12+FaktorAlter)*VLOOKUP($FM12,$G$9:$J$102,4)*VLOOKUP($FM12,$A$9:$E$102,5)*0.5*(VLOOKUP($FM12-GR$103,Frauen!$G$9:$J$102,4)+VLOOKUP($FM12-GR$103+1,Frauen!$G$9:$J$102,4))*0.5*(VLOOKUP($FM12-GR$103,Frauen!$AZ$9:$BD$102,5)+VLOOKUP($FM12-GR$103+1,Frauen!$AZ$9:$BD$102,5)),RundDx)</f>
        <v>745622519</v>
      </c>
      <c r="GS12" s="24">
        <f>ROUND(SUM(FN12:FN$56)/VLOOKUP($FM12,$AQ$9:$AR$102,2)/VLOOKUP($FM12-GS$103,Frauen!$G$9:$J$102,4),Rundäx)</f>
        <v>0.81699999999999995</v>
      </c>
      <c r="GT12" s="24">
        <f>ROUND(SUM(FO12:FO$56)/VLOOKUP($FM12,$AQ$9:$AR$102,2)/VLOOKUP($FM12-GT$103,Frauen!$G$9:$J$102,4),Rundäx)</f>
        <v>0.94199999999999995</v>
      </c>
      <c r="GU12" s="24">
        <f>ROUND(SUM(FP12:FP$56)/VLOOKUP($FM12,$AQ$9:$AR$102,2)/VLOOKUP($FM12-GU$103,Frauen!$G$9:$J$102,4),Rundäx)</f>
        <v>1.0820000000000001</v>
      </c>
      <c r="GV12" s="24">
        <f>ROUND(SUM(FQ12:FQ$56)/VLOOKUP($FM12,$AQ$9:$AR$102,2)/VLOOKUP($FM12-GV$103,Frauen!$G$9:$J$102,4),Rundäx)</f>
        <v>1.2390000000000001</v>
      </c>
      <c r="GW12" s="24">
        <f>ROUND(SUM(FR12:FR$56)/VLOOKUP($FM12,$AQ$9:$AR$102,2)/VLOOKUP($FM12-GW$103,Frauen!$G$9:$J$102,4),Rundäx)</f>
        <v>1.4119999999999999</v>
      </c>
      <c r="GX12" s="24">
        <f>ROUND(SUM(FS12:FS$56)/VLOOKUP($FM12,$AQ$9:$AR$102,2)/VLOOKUP($FM12-GX$103,Frauen!$G$9:$J$102,4),Rundäx)</f>
        <v>1.6020000000000001</v>
      </c>
      <c r="GY12" s="24">
        <f>ROUND(SUM(FT12:FT$56)/VLOOKUP($FM12,$AQ$9:$AR$102,2)/VLOOKUP($FM12-GY$103,Frauen!$G$9:$J$102,4),Rundäx)</f>
        <v>1.8080000000000001</v>
      </c>
      <c r="GZ12" s="24">
        <f>ROUND(SUM(FU12:FU$56)/VLOOKUP($FM12,$AQ$9:$AR$102,2)/VLOOKUP($FM12-GZ$103,Frauen!$G$9:$J$102,4),Rundäx)</f>
        <v>2.0299999999999998</v>
      </c>
      <c r="HA12" s="86"/>
      <c r="HB12" s="35">
        <f>1+HB11</f>
        <v>68</v>
      </c>
      <c r="HC12" s="24">
        <f>ROUND(SUM(FV12:FV$56)/VLOOKUP($FM12,$AQ$9:$AR$102,2)/VLOOKUP($FM12-HC$103,Frauen!$G$9:$J$102,4),Rundäx)</f>
        <v>2.2679999999999998</v>
      </c>
      <c r="HD12" s="24">
        <f>ROUND(SUM(FW12:FW$56)/VLOOKUP($FM12,$AQ$9:$AR$102,2)/VLOOKUP($FM12-HD$103,Frauen!$G$9:$J$102,4),Rundäx)</f>
        <v>2.5190000000000001</v>
      </c>
      <c r="HE12" s="24">
        <f>ROUND(SUM(FX12:FX$56)/VLOOKUP($FM12,$AQ$9:$AR$102,2)/VLOOKUP($FM12-HE$103,Frauen!$G$9:$J$102,4),Rundäx)</f>
        <v>2.7829999999999999</v>
      </c>
      <c r="HF12" s="24">
        <f>ROUND(SUM(FY12:FY$56)/VLOOKUP($FM12,$AQ$9:$AR$102,2)/VLOOKUP($FM12-HF$103,Frauen!$G$9:$J$102,4),Rundäx)</f>
        <v>3.06</v>
      </c>
      <c r="HG12" s="24">
        <f>ROUND(SUM(FZ12:FZ$56)/VLOOKUP($FM12,$AQ$9:$AR$102,2)/VLOOKUP($FM12-HG$103,Frauen!$G$9:$J$102,4),Rundäx)</f>
        <v>3.3490000000000002</v>
      </c>
      <c r="HH12" s="24">
        <f>ROUND(SUM(GA12:GA$56)/VLOOKUP($FM12,$AQ$9:$AR$102,2)/VLOOKUP($FM12-HH$103,Frauen!$G$9:$J$102,4),Rundäx)</f>
        <v>3.6509999999999998</v>
      </c>
      <c r="HI12" s="24">
        <f>ROUND(SUM(GB12:GB$56)/VLOOKUP($FM12,$AQ$9:$AR$102,2)/VLOOKUP($FM12-HI$103,Frauen!$G$9:$J$102,4),Rundäx)</f>
        <v>3.964</v>
      </c>
      <c r="HJ12" s="24">
        <f>ROUND(SUM(GC12:GC$56)/VLOOKUP($FM12,$AQ$9:$AR$102,2)/VLOOKUP($FM12-HJ$103,Frauen!$G$9:$J$102,4),Rundäx)</f>
        <v>4.2880000000000003</v>
      </c>
      <c r="HK12" s="86"/>
      <c r="HL12" s="35">
        <f>1+HL11</f>
        <v>68</v>
      </c>
      <c r="HM12" s="24">
        <f>ROUND(SUM(GD12:GD$56)/VLOOKUP($FM12,$AQ$9:$AR$102,2)/VLOOKUP($FM12-HM$103,Frauen!$G$9:$J$102,4),Rundäx)</f>
        <v>4.6230000000000002</v>
      </c>
      <c r="HN12" s="24">
        <f>ROUND(SUM(GE12:GE$56)/VLOOKUP($FM12,$AQ$9:$AR$102,2)/VLOOKUP($FM12-HN$103,Frauen!$G$9:$J$102,4),Rundäx)</f>
        <v>4.968</v>
      </c>
      <c r="HO12" s="24">
        <f>ROUND(SUM(GF12:GF$56)/VLOOKUP($FM12,$AQ$9:$AR$102,2)/VLOOKUP($FM12-HO$103,Frauen!$G$9:$J$102,4),Rundäx)</f>
        <v>5.3209999999999997</v>
      </c>
      <c r="HP12" s="24">
        <f>ROUND(SUM(GG12:GG$56)/VLOOKUP($FM12,$AQ$9:$AR$102,2)/VLOOKUP($FM12-HP$103,Frauen!$G$9:$J$102,4),Rundäx)</f>
        <v>5.6820000000000004</v>
      </c>
      <c r="HQ12" s="24">
        <f>ROUND(SUM(GH12:GH$56)/VLOOKUP($FM12,$AQ$9:$AR$102,2)/VLOOKUP($FM12-HQ$103,Frauen!$G$9:$J$102,4),Rundäx)</f>
        <v>6.0510000000000002</v>
      </c>
      <c r="HR12" s="24">
        <f>ROUND(SUM(GI12:GI$56)/VLOOKUP($FM12,$AQ$9:$AR$102,2)/VLOOKUP($FM12-HR$103,Frauen!$G$9:$J$102,4),Rundäx)</f>
        <v>6.4279999999999999</v>
      </c>
      <c r="HS12" s="24">
        <f>ROUND(SUM(GJ12:GJ$56)/VLOOKUP($FM12,$AQ$9:$AR$102,2)/VLOOKUP($FM12-HS$103,Frauen!$G$9:$J$102,4),Rundäx)</f>
        <v>6.8109999999999999</v>
      </c>
      <c r="HT12" s="24">
        <f>ROUND(SUM(GK12:GK$56)/VLOOKUP($FM12,$AQ$9:$AR$102,2)/VLOOKUP($FM12-HT$103,Frauen!$G$9:$J$102,4),Rundäx)</f>
        <v>7.1989999999999998</v>
      </c>
      <c r="HU12" s="86"/>
      <c r="HV12" s="35">
        <f>1+HV11</f>
        <v>68</v>
      </c>
      <c r="HW12" s="24">
        <f>ROUND(SUM(GL12:GL$56)/VLOOKUP($FM12,$AQ$9:$AR$102,2)/VLOOKUP($FM12-HW$103,Frauen!$G$9:$J$102,4),Rundäx)</f>
        <v>7.593</v>
      </c>
      <c r="HX12" s="24">
        <f>ROUND(SUM(GM12:GM$56)/VLOOKUP($FM12,$AQ$9:$AR$102,2)/VLOOKUP($FM12-HX$103,Frauen!$G$9:$J$102,4),Rundäx)</f>
        <v>7.99</v>
      </c>
      <c r="HY12" s="24">
        <f>ROUND(SUM(GN12:GN$56)/VLOOKUP($FM12,$AQ$9:$AR$102,2)/VLOOKUP($FM12-HY$103,Frauen!$G$9:$J$102,4),Rundäx)</f>
        <v>8.391</v>
      </c>
      <c r="HZ12" s="24">
        <f>ROUND(SUM(GO12:GO$56)/VLOOKUP($FM12,$AQ$9:$AR$102,2)/VLOOKUP($FM12-HZ$103,Frauen!$G$9:$J$102,4),Rundäx)</f>
        <v>8.7929999999999993</v>
      </c>
      <c r="IA12" s="24">
        <f>ROUND(SUM(GP12:GP$56)/VLOOKUP($FM12,$AQ$9:$AR$102,2)/VLOOKUP($FM12-IA$103,Frauen!$G$9:$J$102,4),Rundäx)</f>
        <v>9.1969999999999992</v>
      </c>
      <c r="IB12" s="24">
        <f>ROUND(SUM(GQ12:GQ$56)/VLOOKUP($FM12,$AQ$9:$AR$102,2)/VLOOKUP($FM12-IB$103,Frauen!$G$9:$J$102,4),Rundäx)</f>
        <v>9.6010000000000009</v>
      </c>
      <c r="IC12" s="24">
        <f>ROUND(SUM(GR12:GR$56)/VLOOKUP($FM12,$AQ$9:$AR$102,2)/VLOOKUP($FM12-IC$103,Frauen!$G$9:$J$102,4),Rundäx)</f>
        <v>10.004</v>
      </c>
      <c r="ID12" s="89"/>
      <c r="IE12" s="35">
        <f>1+IE11</f>
        <v>20</v>
      </c>
      <c r="IF12" s="25">
        <f t="shared" si="31"/>
        <v>132</v>
      </c>
      <c r="IG12" s="25">
        <f>IF($IE12&lt;RAM,IF(S13&lt;=RAK,ROUND(SUM(IF12:INDEX(Dakx,RAM-BeginnAlter))+INDEX(Dax,RAM-BeginnAlter+1)*INDEX(äkx,1),RundDx),0),"")</f>
        <v>19960</v>
      </c>
      <c r="IH12" s="25">
        <f>IF($IE12&lt;RAM,IF(S13&lt;=RAK,ROUND(SUM(IG12:INDEX(Nakx,RAM-BeginnAlter))+INDEX(Dax,RAM-BeginnAlter+1)*INDEX(äkx,1),RundDx),0),"")</f>
        <v>386155</v>
      </c>
      <c r="II12" s="24">
        <f t="shared" si="32"/>
        <v>0.312</v>
      </c>
      <c r="IJ12" s="25">
        <f t="shared" si="33"/>
        <v>639</v>
      </c>
      <c r="IK12" s="25">
        <f>IF($IE12&lt;RAM,IF(S13&lt;=RAK,SUM(IJ12:INDEX(Dikx,RAM-BeginnAlter))+INDEX(Dix,RAM-BeginnAlter+1)*INDEX(äkx,1),0),"")</f>
        <v>472691.83199999999</v>
      </c>
      <c r="IL12" s="24">
        <f t="shared" si="34"/>
        <v>3.7280000000000002</v>
      </c>
      <c r="IM12" s="86"/>
      <c r="IN12" s="35">
        <f>1+IN11</f>
        <v>68</v>
      </c>
      <c r="IO12" s="25">
        <f t="shared" si="35"/>
        <v>17</v>
      </c>
      <c r="IP12" s="25">
        <f>IF(AND(VLOOKUP(IN12+1,O$9:S$102,5)&lt;=RAK,VLOOKUP(IN12+1,O$9:S$102,5)&lt;&gt;""),SUM(IO12:IO$102),0)</f>
        <v>104</v>
      </c>
      <c r="IQ12" s="24">
        <f t="shared" si="36"/>
        <v>6.0000000000000001E-3</v>
      </c>
      <c r="IR12" s="86"/>
    </row>
    <row r="13" spans="1:252" ht="15.75" customHeight="1" x14ac:dyDescent="0.25">
      <c r="A13" s="35">
        <f>1+A12</f>
        <v>21</v>
      </c>
      <c r="B13" s="77">
        <v>6.3727977203327318E-4</v>
      </c>
      <c r="C13" s="77">
        <v>4.1986614313793198E-4</v>
      </c>
      <c r="D13" s="77">
        <v>6.7769678388961297E-3</v>
      </c>
      <c r="E13" s="77">
        <v>6.4098070047169386E-4</v>
      </c>
      <c r="F13" s="86"/>
      <c r="G13" s="35">
        <f>1+G12</f>
        <v>21</v>
      </c>
      <c r="H13" s="25">
        <f t="shared" si="37"/>
        <v>99690</v>
      </c>
      <c r="I13" s="25">
        <f t="shared" si="38"/>
        <v>157</v>
      </c>
      <c r="J13" s="25">
        <f t="shared" si="39"/>
        <v>99847</v>
      </c>
      <c r="K13" s="30">
        <f>IF(J13&gt;0,ROUND(SUM(J13:J$102)/J13-0.5,Rundex),"")</f>
        <v>57.9</v>
      </c>
      <c r="L13" s="25">
        <f t="shared" si="0"/>
        <v>196821</v>
      </c>
      <c r="M13" s="30">
        <f>IF(L13&gt;0,ROUND(SUM(L13:L$102)/L13-0.5,Rundex),"")</f>
        <v>39.4</v>
      </c>
      <c r="N13" s="86"/>
      <c r="O13" s="35">
        <f>1+O12</f>
        <v>21</v>
      </c>
      <c r="P13" s="43">
        <v>0.03</v>
      </c>
      <c r="Q13" s="78">
        <v>21.822708276072539</v>
      </c>
      <c r="R13" s="43">
        <v>0.06</v>
      </c>
      <c r="S13" s="78">
        <v>0.21</v>
      </c>
      <c r="T13" s="15">
        <v>6.4833338773462312E-4</v>
      </c>
      <c r="U13" s="11">
        <f t="shared" si="40"/>
        <v>99847</v>
      </c>
      <c r="V13" s="30">
        <f>IF(U13&gt;0,ROUND(SUM(U13:U$102)/U13-0.5,Rundex),"")</f>
        <v>55.55</v>
      </c>
      <c r="W13" s="86"/>
      <c r="X13" s="35">
        <f>1+X12</f>
        <v>21</v>
      </c>
      <c r="Y13" s="25">
        <f t="shared" si="1"/>
        <v>62477</v>
      </c>
      <c r="Z13" s="25">
        <f>IF($X13&lt;RAM,SUM(Y13:INDEX(Dax,RAM-BeginnAlter))," ")</f>
        <v>1681654</v>
      </c>
      <c r="AA13" s="25">
        <f t="shared" si="2"/>
        <v>39</v>
      </c>
      <c r="AB13" s="25">
        <f>IF($X13&lt;RAM,SUM(AA13:INDEX(Cax,RAM-BeginnAlter))," ")</f>
        <v>2755</v>
      </c>
      <c r="AC13" s="25">
        <f t="shared" si="3"/>
        <v>26</v>
      </c>
      <c r="AD13" s="25">
        <f>IF($X13&lt;RAM,SUM(AC13:INDEX(Caix,RAM-BeginnAlter))," ")</f>
        <v>8051</v>
      </c>
      <c r="AE13" s="24">
        <f t="shared" si="4"/>
        <v>26.916</v>
      </c>
      <c r="AF13" s="24">
        <f t="shared" si="5"/>
        <v>26.565999999999999</v>
      </c>
      <c r="AG13" s="86"/>
      <c r="AH13" s="35">
        <f>1+AH12</f>
        <v>21</v>
      </c>
      <c r="AI13" s="25">
        <f t="shared" si="6"/>
        <v>123351</v>
      </c>
      <c r="AJ13" s="25">
        <f>IF($AH13&gt;RAM," ",IF($AH13&lt;RAM,SUM(AI13:INDEX(Dix,RAM-BeginnAlter))+INDEX(Nx,RAM-BeginnAlter+1),INDEX(Nx,RAM-BeginnAlter+1)))</f>
        <v>3002042</v>
      </c>
      <c r="AK13" s="25">
        <f>IF($AH13&lt;RAM,SUM(AI13:INDEX(Dix,RAM-BeginnAlter))," ")</f>
        <v>2704795</v>
      </c>
      <c r="AL13" s="24">
        <f t="shared" si="7"/>
        <v>24.337</v>
      </c>
      <c r="AM13" s="24">
        <f t="shared" si="8"/>
        <v>23.879000000000001</v>
      </c>
      <c r="AN13" s="24">
        <f t="shared" si="9"/>
        <v>21.928000000000001</v>
      </c>
      <c r="AO13" s="24">
        <f t="shared" si="10"/>
        <v>21.545000000000002</v>
      </c>
      <c r="AP13" s="86"/>
      <c r="AQ13" s="35">
        <f>1+AQ12</f>
        <v>21</v>
      </c>
      <c r="AR13" s="25">
        <f t="shared" si="11"/>
        <v>62576</v>
      </c>
      <c r="AS13" s="25">
        <f>SUM(AR13:AR$94)</f>
        <v>2031917</v>
      </c>
      <c r="AT13" s="25">
        <f>IF($AQ13&lt;RAM,SUM(AR13:INDEX(Dx,RAM-BeginnAlter))," ")</f>
        <v>1734670</v>
      </c>
      <c r="AU13" s="24">
        <f t="shared" si="12"/>
        <v>32.470999999999997</v>
      </c>
      <c r="AV13" s="24">
        <f t="shared" si="13"/>
        <v>32.012999999999998</v>
      </c>
      <c r="AW13" s="24">
        <f t="shared" si="14"/>
        <v>27.721</v>
      </c>
      <c r="AX13" s="24">
        <f t="shared" si="15"/>
        <v>27.413</v>
      </c>
      <c r="AY13" s="86"/>
      <c r="AZ13" s="35">
        <f>1+AZ12</f>
        <v>21</v>
      </c>
      <c r="BA13" s="25">
        <f t="shared" si="16"/>
        <v>62576</v>
      </c>
      <c r="BB13" s="25">
        <f>SUM(BA13:BA$94)</f>
        <v>1989856</v>
      </c>
      <c r="BC13" s="24">
        <f t="shared" si="17"/>
        <v>31.798999999999999</v>
      </c>
      <c r="BD13" s="24">
        <f t="shared" si="18"/>
        <v>31.341000000000001</v>
      </c>
      <c r="BE13" s="86"/>
      <c r="BF13" s="35">
        <f>1+BF12</f>
        <v>4</v>
      </c>
      <c r="BG13" s="24">
        <f t="shared" si="19"/>
        <v>16.963999999999999</v>
      </c>
      <c r="BH13" s="24">
        <f t="shared" si="20"/>
        <v>16.792999999999999</v>
      </c>
      <c r="BI13" s="86"/>
      <c r="BJ13" s="35">
        <f>1+BJ12</f>
        <v>21</v>
      </c>
      <c r="BK13" s="25">
        <f t="shared" si="21"/>
        <v>615</v>
      </c>
      <c r="BL13" s="25">
        <f>IF(BJ13&lt;RAM,SUM(BK13:INDEX(Daix,RAM-BeginnAlter))," ")</f>
        <v>133701</v>
      </c>
      <c r="BM13" s="25">
        <f>IF(BJ13&lt;RAM,SUM(BL13:INDEX(Naix,RAM-BeginnAlter))," ")</f>
        <v>4528551</v>
      </c>
      <c r="BN13" s="24">
        <f t="shared" si="22"/>
        <v>3.3250000000000002</v>
      </c>
      <c r="BO13" s="24">
        <f t="shared" si="23"/>
        <v>2.14</v>
      </c>
      <c r="BP13" s="86"/>
      <c r="BQ13" s="35">
        <f>1+BQ12</f>
        <v>21</v>
      </c>
      <c r="BR13" s="25">
        <f>IF(BQ13&lt;RAM,ROUND(v^(BQ13+FaktorAlter)*C13*H13*(0.5*(AM13+AM14)-v^FaktorAlter*(1-D13)/(1-0.5*D13)*INDEX(Dix,RAM-BeginnAlter+1)/AI14*INDEX(äimx,RAM-BeginnAlter+1)),RundDx)," ")</f>
        <v>554</v>
      </c>
      <c r="BS13" s="25">
        <f>IF(BQ13&lt;RAM,SUM(BR13:INDEX(Daixs,RAM-BeginnAlter))," ")</f>
        <v>53826</v>
      </c>
      <c r="BT13" s="25">
        <f>IF(BQ13&lt;RAM,SUM(BS13:INDEX(Naixs,RAM-BeginnAlter))," ")</f>
        <v>1498597</v>
      </c>
      <c r="BU13" s="24">
        <f>IF(BQ13&lt;RAM,ROUND((1-I13/L13)*INDEX(ämx,RAM-BeginnAlter+1)/Y13*INDEX(Dx,RAM-BeginnAlter+1),Rundäx)," ")</f>
        <v>4.6040000000000001</v>
      </c>
      <c r="BV13" s="24">
        <f>IF(BQ13&lt;RAM,ROUND(BS13/Y13,Rundäx)," ")</f>
        <v>0.86199999999999999</v>
      </c>
      <c r="BW13" s="86"/>
      <c r="BX13" s="35">
        <f>1+BX12</f>
        <v>21</v>
      </c>
      <c r="BY13" s="10">
        <f t="shared" si="24"/>
        <v>16.308098860475223</v>
      </c>
      <c r="BZ13" s="11">
        <f t="shared" si="25"/>
        <v>33</v>
      </c>
      <c r="CA13" s="25">
        <f>IF(S14&lt;=RAK,IF($BX13&lt;RAM,SUM(BZ13:INDEX(Dazx,RAM-BeginnAlter)),""),"")</f>
        <v>22222</v>
      </c>
      <c r="CB13" s="24">
        <f t="shared" si="26"/>
        <v>0.35599999999999998</v>
      </c>
      <c r="CC13" s="25">
        <f t="shared" si="27"/>
        <v>35161</v>
      </c>
      <c r="CD13" s="24">
        <f t="shared" si="28"/>
        <v>23.321999999999999</v>
      </c>
      <c r="CE13" s="24">
        <f t="shared" si="29"/>
        <v>1.6E-2</v>
      </c>
      <c r="CF13" s="86"/>
      <c r="CG13" s="35">
        <f>1+CG12</f>
        <v>21</v>
      </c>
      <c r="CH13" s="25">
        <f>IF(CG13&lt;RAM,ROUND(v^($CG13+FaktorAlter)*$H13*($B13*0.5*($P13+$P14)*(VLOOKUP(TRUNC(0.5*($Q13+$Q14),0),Frauen!$AZ$9:$BD$95,5)+(0.5*($Q13+$Q14)-TRUNC(0.5*($Q13+$Q14),0))*(VLOOKUP(TRUNC(0.5*($Q13+$Q14)+1,0),Frauen!$AZ$9:$BD$95,5)-VLOOKUP(TRUNC(0.5*($Q13+$Q14),0),Frauen!$AZ$9:$BD$95,5)))+$C13*0.5*($CN13+$CN14)),RundDx),"")</f>
        <v>199</v>
      </c>
      <c r="CI13" s="25">
        <f>IF(CG13&lt;RAM,ROUND(SUM(CH13:INDEX(Dawx,RAM-BeginnAlter))+INDEX(Dax,RAM-BeginnAlter+1)*INDEX(äwx,1),RundDx),"")</f>
        <v>169075</v>
      </c>
      <c r="CJ13" s="25">
        <f>IF(CG13&lt;RAM,ROUND(SUM(CI13:INDEX(Nawx,RAM-BeginnAlter))+INDEX(Dax,RAM-BeginnAlter+1)*INDEX(äwx,1),RundDx),"")</f>
        <v>6494865</v>
      </c>
      <c r="CK13" s="24">
        <f>IF(CG13&lt;RAM,ROUND(CI13/$Y13,Rundäx),"")</f>
        <v>2.706</v>
      </c>
      <c r="CL13" s="25">
        <f>IF(CG13&lt;RAM,ROUND(v^($CG13+FaktorAlter)*$L13*$D13*0.5*($P13+$P14)*(VLOOKUP(TRUNC(0.5*($Q13+$Q14),0),Frauen!$AZ$9:$BD$95,5)+(0.5*($Q13+$Q14)-TRUNC(0.5*($Q13+$Q14),0))*(VLOOKUP(TRUNC(0.5*($Q13+$Q14)+1,0),Frauen!$AZ$9:$BD$95,5)-VLOOKUP(TRUNC(0.5*($Q13+$Q14),0),Frauen!$AZ$9:$BD$95,5))),RundDx),"")</f>
        <v>1008</v>
      </c>
      <c r="CM13" s="25">
        <f>IF(CG13&lt;RAM,SUM(CL13:INDEX(Diwx,RAM-BeginnAlter))+INDEX(Dix,RAM-BeginnAlter+1)*INDEX(äwx,1),"")</f>
        <v>706993.41399999999</v>
      </c>
      <c r="CN13" s="24">
        <f>IF(CG13&lt;RAM,ROUND(CM13/$AI13,Rundäx),IF(CG13&gt;RAM,"",INDEX(äwx,1)))</f>
        <v>5.7320000000000002</v>
      </c>
      <c r="CO13" s="86"/>
      <c r="CP13" s="35">
        <f>1+CP12</f>
        <v>69</v>
      </c>
      <c r="CQ13" s="11">
        <f>ROUND(v^($CP13+FaktorAlter)*VLOOKUP(CP13,G$9:J$102,4)*VLOOKUP(CP13,A$9:E$102,5)*0.5*(VLOOKUP(CP13,O$9:P$102,2)+VLOOKUP(CP13+1,O$9:P$102,2))*(VLOOKUP(TRUNC(0.5*(VLOOKUP(CP13,O$9:Q$102,3)+VLOOKUP(CP13+1,O$9:Q$102,3)),0),Frauen!$AZ$9:$BD$95,5)+(0.5*(VLOOKUP(CP13,O$9:Q$102,3)+VLOOKUP(CP13+1,O$9:Q$102,3))-TRUNC(0.5*(VLOOKUP(CP13,O$9:Q$102,3)+VLOOKUP(CP13+1,O$9:Q$102,3)),0))*(VLOOKUP(TRUNC(0.5*(VLOOKUP(CP13,O$9:Q$102,3)+VLOOKUP(CP13+1,O$9:Q$102,3))+1,0),Frauen!$AZ$9:$BD$95,5)-VLOOKUP(TRUNC(0.5*(VLOOKUP(CP13,O$9:Q$102,3)+VLOOKUP(CP13+1,O$9:Q$102,3)),0),Frauen!$AZ$9:$BD$95,5))),RundDx)</f>
        <v>4688</v>
      </c>
      <c r="CR13" s="25">
        <f>SUM(CQ13:CQ$56)</f>
        <v>90114</v>
      </c>
      <c r="CS13" s="24">
        <f t="shared" si="30"/>
        <v>5.1539999999999999</v>
      </c>
      <c r="CT13" s="86"/>
      <c r="CU13" s="35">
        <f>1+CU12</f>
        <v>21</v>
      </c>
      <c r="CV13" s="25">
        <f>IF($CU13&gt;=RAM,"",IF($CU13-CV$103&lt;BeginnAlter,"",ROUND(v^($CU13+FaktorAlter)*$L13*$D13*0.5*(VLOOKUP($CU13-CV$103,Frauen!$G$9:$J$102,4)+VLOOKUP($CU13-CV$103+1,Frauen!$G$9:$J$102,4))*0.5*(VLOOKUP($CU13-CV$103,Frauen!$AZ$9:$BD$102,5)+VLOOKUP($CU13-CV$103+1,Frauen!$AZ$9:$BD$102,5)),RundDx)))</f>
        <v>2354582343</v>
      </c>
      <c r="CW13" s="25">
        <f>IF($CU13&gt;=RAM,"",IF($CU13-CW$103&lt;BeginnAlter,"",ROUND(v^($CU13+FaktorAlter)*$L13*$D13*0.5*(VLOOKUP($CU13-CW$103,Frauen!$G$9:$J$102,4)+VLOOKUP($CU13-CW$103+1,Frauen!$G$9:$J$102,4))*0.5*(VLOOKUP($CU13-CW$103,Frauen!$AZ$9:$BD$102,5)+VLOOKUP($CU13-CW$103+1,Frauen!$AZ$9:$BD$102,5)),RundDx)))</f>
        <v>2384021865</v>
      </c>
      <c r="CX13" s="25">
        <f>IF($CU13&gt;=RAM,"",IF($CU13-CX$103&lt;BeginnAlter,"",ROUND(v^($CU13+FaktorAlter)*$L13*$D13*0.5*(VLOOKUP($CU13-CX$103,Frauen!$G$9:$J$102,4)+VLOOKUP($CU13-CX$103+1,Frauen!$G$9:$J$102,4))*0.5*(VLOOKUP($CU13-CX$103,Frauen!$AZ$9:$BD$102,5)+VLOOKUP($CU13-CX$103+1,Frauen!$AZ$9:$BD$102,5)),RundDx)))</f>
        <v>2412858162</v>
      </c>
      <c r="CY13" s="25">
        <f>IF($CU13&gt;=RAM,"",IF($CU13-CY$103&lt;BeginnAlter,"",ROUND(v^($CU13+FaktorAlter)*$L13*$D13*0.5*(VLOOKUP($CU13-CY$103,Frauen!$G$9:$J$102,4)+VLOOKUP($CU13-CY$103+1,Frauen!$G$9:$J$102,4))*0.5*(VLOOKUP($CU13-CY$103,Frauen!$AZ$9:$BD$102,5)+VLOOKUP($CU13-CY$103+1,Frauen!$AZ$9:$BD$102,5)),RundDx)))</f>
        <v>2441098731</v>
      </c>
      <c r="CZ13" s="25">
        <f>IF($CU13&gt;=RAM,"",IF($CU13-CZ$103&lt;BeginnAlter,"",ROUND(v^($CU13+FaktorAlter)*$L13*$D13*0.5*(VLOOKUP($CU13-CZ$103,Frauen!$G$9:$J$102,4)+VLOOKUP($CU13-CZ$103+1,Frauen!$G$9:$J$102,4))*0.5*(VLOOKUP($CU13-CZ$103,Frauen!$AZ$9:$BD$102,5)+VLOOKUP($CU13-CZ$103+1,Frauen!$AZ$9:$BD$102,5)),RundDx)))</f>
        <v>2468751740</v>
      </c>
      <c r="DA13" s="25">
        <f>IF($CU13&gt;=RAM,"",IF($CU13-DA$103&lt;BeginnAlter,"",ROUND(v^($CU13+FaktorAlter)*$L13*$D13*0.5*(VLOOKUP($CU13-DA$103,Frauen!$G$9:$J$102,4)+VLOOKUP($CU13-DA$103+1,Frauen!$G$9:$J$102,4))*0.5*(VLOOKUP($CU13-DA$103,Frauen!$AZ$9:$BD$102,5)+VLOOKUP($CU13-DA$103+1,Frauen!$AZ$9:$BD$102,5)),RundDx)))</f>
        <v>2495867146</v>
      </c>
      <c r="DB13" s="25">
        <f>IF($CU13&gt;=RAM,"",IF($CU13-DB$103&lt;BeginnAlter,"",ROUND(v^($CU13+FaktorAlter)*$L13*$D13*0.5*(VLOOKUP($CU13-DB$103,Frauen!$G$9:$J$102,4)+VLOOKUP($CU13-DB$103+1,Frauen!$G$9:$J$102,4))*0.5*(VLOOKUP($CU13-DB$103,Frauen!$AZ$9:$BD$102,5)+VLOOKUP($CU13-DB$103+1,Frauen!$AZ$9:$BD$102,5)),RundDx)))</f>
        <v>2522454447</v>
      </c>
      <c r="DC13" s="25">
        <f>IF($CU13&gt;=RAM,"",IF($CU13-DC$103&lt;BeginnAlter,"",ROUND(v^($CU13+FaktorAlter)*$L13*$D13*0.5*(VLOOKUP($CU13-DC$103,Frauen!$G$9:$J$102,4)+VLOOKUP($CU13-DC$103+1,Frauen!$G$9:$J$102,4))*0.5*(VLOOKUP($CU13-DC$103,Frauen!$AZ$9:$BD$102,5)+VLOOKUP($CU13-DC$103+1,Frauen!$AZ$9:$BD$102,5)),RundDx)))</f>
        <v>2548482544</v>
      </c>
      <c r="DD13" s="25">
        <f>IF($CU13&gt;=RAM,"",IF($CU13-DD$103&lt;BeginnAlter,"",ROUND(v^($CU13+FaktorAlter)*$L13*$D13*0.5*(VLOOKUP($CU13-DD$103,Frauen!$G$9:$J$102,4)+VLOOKUP($CU13-DD$103+1,Frauen!$G$9:$J$102,4))*0.5*(VLOOKUP($CU13-DD$103,Frauen!$AZ$9:$BD$102,5)+VLOOKUP($CU13-DD$103+1,Frauen!$AZ$9:$BD$102,5)),RundDx)))</f>
        <v>2573949109</v>
      </c>
      <c r="DE13" s="25">
        <f>IF($CU13&gt;=RAM,"",IF($CU13-DE$103&lt;BeginnAlter,"",ROUND(v^($CU13+FaktorAlter)*$L13*$D13*0.5*(VLOOKUP($CU13-DE$103,Frauen!$G$9:$J$102,4)+VLOOKUP($CU13-DE$103+1,Frauen!$G$9:$J$102,4))*0.5*(VLOOKUP($CU13-DE$103,Frauen!$AZ$9:$BD$102,5)+VLOOKUP($CU13-DE$103+1,Frauen!$AZ$9:$BD$102,5)),RundDx)))</f>
        <v>2598880078</v>
      </c>
      <c r="DF13" s="25">
        <f>IF($CU13&gt;=RAM,"",IF($CU13-DF$103&lt;BeginnAlter,"",ROUND(v^($CU13+FaktorAlter)*$L13*$D13*0.5*(VLOOKUP($CU13-DF$103,Frauen!$G$9:$J$102,4)+VLOOKUP($CU13-DF$103+1,Frauen!$G$9:$J$102,4))*0.5*(VLOOKUP($CU13-DF$103,Frauen!$AZ$9:$BD$102,5)+VLOOKUP($CU13-DF$103+1,Frauen!$AZ$9:$BD$102,5)),RundDx)))</f>
        <v>2623342303</v>
      </c>
      <c r="DG13" s="25">
        <f>IF($CU13&gt;=RAM,"",IF($CU13-DG$103&lt;BeginnAlter,"",ROUND(v^($CU13+FaktorAlter)*$L13*$D13*0.5*(VLOOKUP($CU13-DG$103,Frauen!$G$9:$J$102,4)+VLOOKUP($CU13-DG$103+1,Frauen!$G$9:$J$102,4))*0.5*(VLOOKUP($CU13-DG$103,Frauen!$AZ$9:$BD$102,5)+VLOOKUP($CU13-DG$103+1,Frauen!$AZ$9:$BD$102,5)),RundDx)))</f>
        <v>2647278610</v>
      </c>
      <c r="DH13" s="25">
        <f>IF($CU13&gt;=RAM,"",IF($CU13-DH$103&lt;BeginnAlter,"",ROUND(v^($CU13+FaktorAlter)*$L13*$D13*0.5*(VLOOKUP($CU13-DH$103,Frauen!$G$9:$J$102,4)+VLOOKUP($CU13-DH$103+1,Frauen!$G$9:$J$102,4))*0.5*(VLOOKUP($CU13-DH$103,Frauen!$AZ$9:$BD$102,5)+VLOOKUP($CU13-DH$103+1,Frauen!$AZ$9:$BD$102,5)),RundDx)))</f>
        <v>2670713938</v>
      </c>
      <c r="DI13" s="25">
        <f>IF($CU13&gt;=RAM,"",IF($CU13-DI$103&lt;BeginnAlter,"",ROUND(v^($CU13+FaktorAlter)*$L13*$D13*0.5*(VLOOKUP($CU13-DI$103,Frauen!$G$9:$J$102,4)+VLOOKUP($CU13-DI$103+1,Frauen!$G$9:$J$102,4))*0.5*(VLOOKUP($CU13-DI$103,Frauen!$AZ$9:$BD$102,5)+VLOOKUP($CU13-DI$103+1,Frauen!$AZ$9:$BD$102,5)),RundDx)))</f>
        <v>2693686420</v>
      </c>
      <c r="DJ13" s="25">
        <f>IF($CU13&gt;=RAM,"",IF($CU13-DJ$103&lt;BeginnAlter,"",ROUND(v^($CU13+FaktorAlter)*$L13*$D13*0.5*(VLOOKUP($CU13-DJ$103,Frauen!$G$9:$J$102,4)+VLOOKUP($CU13-DJ$103+1,Frauen!$G$9:$J$102,4))*0.5*(VLOOKUP($CU13-DJ$103,Frauen!$AZ$9:$BD$102,5)+VLOOKUP($CU13-DJ$103+1,Frauen!$AZ$9:$BD$102,5)),RundDx)))</f>
        <v>2716179442</v>
      </c>
      <c r="DK13" s="25">
        <f>IF($CU13&gt;=RAM,"",IF($CU13-DK$103&lt;BeginnAlter,"",ROUND(v^($CU13+FaktorAlter)*$L13*$D13*0.5*(VLOOKUP($CU13-DK$103,Frauen!$G$9:$J$102,4)+VLOOKUP($CU13-DK$103+1,Frauen!$G$9:$J$102,4))*0.5*(VLOOKUP($CU13-DK$103,Frauen!$AZ$9:$BD$102,5)+VLOOKUP($CU13-DK$103+1,Frauen!$AZ$9:$BD$102,5)),RundDx)))</f>
        <v>2738217362</v>
      </c>
      <c r="DL13" s="25">
        <f>IF($CU13&gt;=RAM,"",IF($CU13-DL$103&lt;BeginnAlter,"",ROUND(v^($CU13+FaktorAlter)*$L13*$D13*0.5*(VLOOKUP($CU13-DL$103,Frauen!$G$9:$J$102,4)+VLOOKUP($CU13-DL$103+1,Frauen!$G$9:$J$102,4))*0.5*(VLOOKUP($CU13-DL$103,Frauen!$AZ$9:$BD$102,5)+VLOOKUP($CU13-DL$103+1,Frauen!$AZ$9:$BD$102,5)),RundDx)))</f>
        <v>2759755417</v>
      </c>
      <c r="DM13" s="25">
        <f>IF($CU13&gt;=RAM,"",IF($CU13-DM$103&lt;BeginnAlter,"",ROUND(v^($CU13+FaktorAlter)*$L13*$D13*0.5*(VLOOKUP($CU13-DM$103,Frauen!$G$9:$J$102,4)+VLOOKUP($CU13-DM$103+1,Frauen!$G$9:$J$102,4))*0.5*(VLOOKUP($CU13-DM$103,Frauen!$AZ$9:$BD$102,5)+VLOOKUP($CU13-DM$103+1,Frauen!$AZ$9:$BD$102,5)),RundDx)))</f>
        <v>2780804154</v>
      </c>
      <c r="DN13" s="25">
        <f>IF($CU13&gt;=RAM,"",IF($CU13-DN$103&lt;BeginnAlter,"",ROUND(v^($CU13+FaktorAlter)*$L13*$D13*0.5*(VLOOKUP($CU13-DN$103,Frauen!$G$9:$J$102,4)+VLOOKUP($CU13-DN$103+1,Frauen!$G$9:$J$102,4))*0.5*(VLOOKUP($CU13-DN$103,Frauen!$AZ$9:$BD$102,5)+VLOOKUP($CU13-DN$103+1,Frauen!$AZ$9:$BD$102,5)),RundDx)))</f>
        <v>2801443980</v>
      </c>
      <c r="DO13" s="25">
        <f>IF($CU13&gt;=RAM,"",IF($CU13-DO$103&lt;BeginnAlter,"",ROUND(v^($CU13+FaktorAlter)*$L13*$D13*0.5*(VLOOKUP($CU13-DO$103,Frauen!$G$9:$J$102,4)+VLOOKUP($CU13-DO$103+1,Frauen!$G$9:$J$102,4))*0.5*(VLOOKUP($CU13-DO$103,Frauen!$AZ$9:$BD$102,5)+VLOOKUP($CU13-DO$103+1,Frauen!$AZ$9:$BD$102,5)),RundDx)))</f>
        <v>2821632618</v>
      </c>
      <c r="DP13" s="25" t="str">
        <f>IF($CU13&gt;=RAM,"",IF($CU13-DP$103&lt;BeginnAlter,"",ROUND(v^($CU13+FaktorAlter)*$L13*$D13*0.5*(VLOOKUP($CU13-DP$103,Frauen!$G$9:$J$102,4)+VLOOKUP($CU13-DP$103+1,Frauen!$G$9:$J$102,4))*0.5*(VLOOKUP($CU13-DP$103,Frauen!$AZ$9:$BD$102,5)+VLOOKUP($CU13-DP$103+1,Frauen!$AZ$9:$BD$102,5)),RundDx)))</f>
        <v/>
      </c>
      <c r="DQ13" s="25" t="str">
        <f>IF($CU13&gt;=RAM,"",IF($CU13-DQ$103&lt;BeginnAlter,"",ROUND(v^($CU13+FaktorAlter)*$L13*$D13*0.5*(VLOOKUP($CU13-DQ$103,Frauen!$G$9:$J$102,4)+VLOOKUP($CU13-DQ$103+1,Frauen!$G$9:$J$102,4))*0.5*(VLOOKUP($CU13-DQ$103,Frauen!$AZ$9:$BD$102,5)+VLOOKUP($CU13-DQ$103+1,Frauen!$AZ$9:$BD$102,5)),RundDx)))</f>
        <v/>
      </c>
      <c r="DR13" s="25" t="str">
        <f>IF($CU13&gt;=RAM,"",IF($CU13-DR$103&lt;BeginnAlter,"",ROUND(v^($CU13+FaktorAlter)*$L13*$D13*0.5*(VLOOKUP($CU13-DR$103,Frauen!$G$9:$J$102,4)+VLOOKUP($CU13-DR$103+1,Frauen!$G$9:$J$102,4))*0.5*(VLOOKUP($CU13-DR$103,Frauen!$AZ$9:$BD$102,5)+VLOOKUP($CU13-DR$103+1,Frauen!$AZ$9:$BD$102,5)),RundDx)))</f>
        <v/>
      </c>
      <c r="DS13" s="25" t="str">
        <f>IF($CU13&gt;=RAM,"",IF($CU13-DS$103&lt;BeginnAlter,"",ROUND(v^($CU13+FaktorAlter)*$L13*$D13*0.5*(VLOOKUP($CU13-DS$103,Frauen!$G$9:$J$102,4)+VLOOKUP($CU13-DS$103+1,Frauen!$G$9:$J$102,4))*0.5*(VLOOKUP($CU13-DS$103,Frauen!$AZ$9:$BD$102,5)+VLOOKUP($CU13-DS$103+1,Frauen!$AZ$9:$BD$102,5)),RundDx)))</f>
        <v/>
      </c>
      <c r="DT13" s="25" t="str">
        <f>IF($CU13&gt;=RAM,"",IF($CU13-DT$103&lt;BeginnAlter,"",ROUND(v^($CU13+FaktorAlter)*$L13*$D13*0.5*(VLOOKUP($CU13-DT$103,Frauen!$G$9:$J$102,4)+VLOOKUP($CU13-DT$103+1,Frauen!$G$9:$J$102,4))*0.5*(VLOOKUP($CU13-DT$103,Frauen!$AZ$9:$BD$102,5)+VLOOKUP($CU13-DT$103+1,Frauen!$AZ$9:$BD$102,5)),RundDx)))</f>
        <v/>
      </c>
      <c r="DU13" s="25" t="str">
        <f>IF($CU13&gt;=RAM,"",IF($CU13-DU$103&lt;BeginnAlter,"",ROUND(v^($CU13+FaktorAlter)*$L13*$D13*0.5*(VLOOKUP($CU13-DU$103,Frauen!$G$9:$J$102,4)+VLOOKUP($CU13-DU$103+1,Frauen!$G$9:$J$102,4))*0.5*(VLOOKUP($CU13-DU$103,Frauen!$AZ$9:$BD$102,5)+VLOOKUP($CU13-DU$103+1,Frauen!$AZ$9:$BD$102,5)),RundDx)))</f>
        <v/>
      </c>
      <c r="DV13" s="25" t="str">
        <f>IF($CU13&gt;=RAM,"",IF($CU13-DV$103&lt;BeginnAlter,"",ROUND(v^($CU13+FaktorAlter)*$L13*$D13*0.5*(VLOOKUP($CU13-DV$103,Frauen!$G$9:$J$102,4)+VLOOKUP($CU13-DV$103+1,Frauen!$G$9:$J$102,4))*0.5*(VLOOKUP($CU13-DV$103,Frauen!$AZ$9:$BD$102,5)+VLOOKUP($CU13-DV$103+1,Frauen!$AZ$9:$BD$102,5)),RundDx)))</f>
        <v/>
      </c>
      <c r="DW13" s="25" t="str">
        <f>IF($CU13&gt;=RAM,"",IF($CU13-DW$103&lt;BeginnAlter,"",ROUND(v^($CU13+FaktorAlter)*$L13*$D13*0.5*(VLOOKUP($CU13-DW$103,Frauen!$G$9:$J$102,4)+VLOOKUP($CU13-DW$103+1,Frauen!$G$9:$J$102,4))*0.5*(VLOOKUP($CU13-DW$103,Frauen!$AZ$9:$BD$102,5)+VLOOKUP($CU13-DW$103+1,Frauen!$AZ$9:$BD$102,5)),RundDx)))</f>
        <v/>
      </c>
      <c r="DX13" s="25" t="str">
        <f>IF($CU13&gt;=RAM,"",IF($CU13-DX$103&lt;BeginnAlter,"",ROUND(v^($CU13+FaktorAlter)*$L13*$D13*0.5*(VLOOKUP($CU13-DX$103,Frauen!$G$9:$J$102,4)+VLOOKUP($CU13-DX$103+1,Frauen!$G$9:$J$102,4))*0.5*(VLOOKUP($CU13-DX$103,Frauen!$AZ$9:$BD$102,5)+VLOOKUP($CU13-DX$103+1,Frauen!$AZ$9:$BD$102,5)),RundDx)))</f>
        <v/>
      </c>
      <c r="DY13" s="25" t="str">
        <f>IF($CU13&gt;=RAM,"",IF($CU13-DY$103&lt;BeginnAlter,"",ROUND(v^($CU13+FaktorAlter)*$L13*$D13*0.5*(VLOOKUP($CU13-DY$103,Frauen!$G$9:$J$102,4)+VLOOKUP($CU13-DY$103+1,Frauen!$G$9:$J$102,4))*0.5*(VLOOKUP($CU13-DY$103,Frauen!$AZ$9:$BD$102,5)+VLOOKUP($CU13-DY$103+1,Frauen!$AZ$9:$BD$102,5)),RundDx)))</f>
        <v/>
      </c>
      <c r="DZ13" s="25" t="str">
        <f>IF($CU13&gt;=RAM,"",IF($CU13-DZ$103&lt;BeginnAlter,"",ROUND(v^($CU13+FaktorAlter)*$L13*$D13*0.5*(VLOOKUP($CU13-DZ$103,Frauen!$G$9:$J$102,4)+VLOOKUP($CU13-DZ$103+1,Frauen!$G$9:$J$102,4))*0.5*(VLOOKUP($CU13-DZ$103,Frauen!$AZ$9:$BD$102,5)+VLOOKUP($CU13-DZ$103+1,Frauen!$AZ$9:$BD$102,5)),RundDx)))</f>
        <v/>
      </c>
      <c r="EA13" s="43">
        <f>IF($CU13&gt;=RAM,"",IF($CU13-EA$103&lt;BeginnAlter,"",ROUND((SUM(CV13:CV$56)+SUM(FN$9:FN$56))/VLOOKUP($CU13,$AH$9:$AI$102,2)/VLOOKUP($CU13-EA$103,Frauen!$G$9:$J$102,4),Rundäx)))</f>
        <v>7.258</v>
      </c>
      <c r="EB13" s="43">
        <f>IF($CU13&gt;=RAM,"",IF($CU13-EB$103&lt;BeginnAlter,"",ROUND((SUM(CW13:CW$56)+SUM(FO$9:FO$56))/VLOOKUP($CU13,$AH$9:$AI$102,2)/VLOOKUP($CU13-EB$103,Frauen!$G$9:$J$102,4),Rundäx)))</f>
        <v>7.452</v>
      </c>
      <c r="EC13" s="43">
        <f>IF($CU13&gt;=RAM,"",IF($CU13-EC$103&lt;BeginnAlter,"",ROUND((SUM(CX13:CX$56)+SUM(FP$9:FP$56))/VLOOKUP($CU13,$AH$9:$AI$102,2)/VLOOKUP($CU13-EC$103,Frauen!$G$9:$J$102,4),Rundäx)))</f>
        <v>7.6449999999999996</v>
      </c>
      <c r="ED13" s="43">
        <f>IF($CU13&gt;=RAM,"",IF($CU13-ED$103&lt;BeginnAlter,"",ROUND((SUM(CY13:CY$56)+SUM(FQ$9:FQ$56))/VLOOKUP($CU13,$AH$9:$AI$102,2)/VLOOKUP($CU13-ED$103,Frauen!$G$9:$J$102,4),Rundäx)))</f>
        <v>7.8390000000000004</v>
      </c>
      <c r="EE13" s="43">
        <f>IF($CU13&gt;=RAM,"",IF($CU13-EE$103&lt;BeginnAlter,"",ROUND((SUM(CZ13:CZ$56)+SUM(FR$9:FR$56))/VLOOKUP($CU13,$AH$9:$AI$102,2)/VLOOKUP($CU13-EE$103,Frauen!$G$9:$J$102,4),Rundäx)))</f>
        <v>8.0329999999999995</v>
      </c>
      <c r="EF13" s="43">
        <f>IF($CU13&gt;=RAM,"",IF($CU13-EF$103&lt;BeginnAlter,"",ROUND((SUM(DA13:DA$56)+SUM(FS$9:FS$56))/VLOOKUP($CU13,$AH$9:$AI$102,2)/VLOOKUP($CU13-EF$103,Frauen!$G$9:$J$102,4),Rundäx)))</f>
        <v>8.2260000000000009</v>
      </c>
      <c r="EG13" s="43">
        <f>IF($CU13&gt;=RAM,"",IF($CU13-EG$103&lt;BeginnAlter,"",ROUND((SUM(DB13:DB$56)+SUM(FT$9:FT$56))/VLOOKUP($CU13,$AH$9:$AI$102,2)/VLOOKUP($CU13-EG$103,Frauen!$G$9:$J$102,4),Rundäx)))</f>
        <v>8.42</v>
      </c>
      <c r="EH13" s="43">
        <f>IF($CU13&gt;=RAM,"",IF($CU13-EH$103&lt;BeginnAlter,"",ROUND((SUM(DC13:DC$56)+SUM(FU$9:FU$56))/VLOOKUP($CU13,$AH$9:$AI$102,2)/VLOOKUP($CU13-EH$103,Frauen!$G$9:$J$102,4),Rundäx)))</f>
        <v>8.6129999999999995</v>
      </c>
      <c r="EI13" s="86"/>
      <c r="EJ13" s="35">
        <f>1+EJ12</f>
        <v>21</v>
      </c>
      <c r="EK13" s="43">
        <f>IF($CU13&gt;=RAM,"",IF($CU13-EK$103&lt;BeginnAlter,"",ROUND((SUM(DD13:DD$56)+SUM(FV$9:FV$56))/VLOOKUP($CU13,$AH$9:$AI$102,2)/VLOOKUP($CU13-EK$103,Frauen!$G$9:$J$102,4),Rundäx)))</f>
        <v>8.8059999999999992</v>
      </c>
      <c r="EL13" s="43">
        <f>IF($CU13&gt;=RAM,"",IF($CU13-EL$103&lt;BeginnAlter,"",ROUND((SUM(DE13:DE$56)+SUM(FW$9:FW$56))/VLOOKUP($CU13,$AH$9:$AI$102,2)/VLOOKUP($CU13-EL$103,Frauen!$G$9:$J$102,4),Rundäx)))</f>
        <v>8.9990000000000006</v>
      </c>
      <c r="EM13" s="43">
        <f>IF($CU13&gt;=RAM,"",IF($CU13-EM$103&lt;BeginnAlter,"",ROUND((SUM(DF13:DF$56)+SUM(FX$9:FX$56))/VLOOKUP($CU13,$AH$9:$AI$102,2)/VLOOKUP($CU13-EM$103,Frauen!$G$9:$J$102,4),Rundäx)))</f>
        <v>9.1910000000000007</v>
      </c>
      <c r="EN13" s="43">
        <f>IF($CU13&gt;=RAM,"",IF($CU13-EN$103&lt;BeginnAlter,"",ROUND((SUM(DG13:DG$56)+SUM(FY$9:FY$56))/VLOOKUP($CU13,$AH$9:$AI$102,2)/VLOOKUP($CU13-EN$103,Frauen!$G$9:$J$102,4),Rundäx)))</f>
        <v>9.3840000000000003</v>
      </c>
      <c r="EO13" s="43">
        <f>IF($CU13&gt;=RAM,"",IF($CU13-EO$103&lt;BeginnAlter,"",ROUND((SUM(DH13:DH$56)+SUM(FZ$9:FZ$56))/VLOOKUP($CU13,$AH$9:$AI$102,2)/VLOOKUP($CU13-EO$103,Frauen!$G$9:$J$102,4),Rundäx)))</f>
        <v>9.577</v>
      </c>
      <c r="EP13" s="43">
        <f>IF($CU13&gt;=RAM,"",IF($CU13-EP$103&lt;BeginnAlter,"",ROUND((SUM(DI13:DI$56)+SUM(GA$9:GA$56))/VLOOKUP($CU13,$AH$9:$AI$102,2)/VLOOKUP($CU13-EP$103,Frauen!$G$9:$J$102,4),Rundäx)))</f>
        <v>9.7690000000000001</v>
      </c>
      <c r="EQ13" s="43">
        <f>IF($CU13&gt;=RAM,"",IF($CU13-EQ$103&lt;BeginnAlter,"",ROUND((SUM(DJ13:DJ$56)+SUM(GB$9:GB$56))/VLOOKUP($CU13,$AH$9:$AI$102,2)/VLOOKUP($CU13-EQ$103,Frauen!$G$9:$J$102,4),Rundäx)))</f>
        <v>9.9619999999999997</v>
      </c>
      <c r="ER13" s="43">
        <f>IF($CU13&gt;=RAM,"",IF($CU13-ER$103&lt;BeginnAlter,"",ROUND((SUM(DK13:DK$56)+SUM(GC$9:GC$56))/VLOOKUP($CU13,$AH$9:$AI$102,2)/VLOOKUP($CU13-ER$103,Frauen!$G$9:$J$102,4),Rundäx)))</f>
        <v>10.154</v>
      </c>
      <c r="ES13" s="86"/>
      <c r="ET13" s="35">
        <f>1+ET12</f>
        <v>21</v>
      </c>
      <c r="EU13" s="43">
        <f>IF($CU13&gt;=RAM,"",IF($CU13-EU$103&lt;BeginnAlter,"",ROUND((SUM(DL13:DL$56)+SUM(GD$9:GD$56))/VLOOKUP($CU13,$AH$9:$AI$102,2)/VLOOKUP($CU13-EU$103,Frauen!$G$9:$J$102,4),Rundäx)))</f>
        <v>10.346</v>
      </c>
      <c r="EV13" s="43">
        <f>IF($CU13&gt;=RAM,"",IF($CU13-EV$103&lt;BeginnAlter,"",ROUND((SUM(DM13:DM$56)+SUM(GE$9:GE$56))/VLOOKUP($CU13,$AH$9:$AI$102,2)/VLOOKUP($CU13-EV$103,Frauen!$G$9:$J$102,4),Rundäx)))</f>
        <v>10.537000000000001</v>
      </c>
      <c r="EW13" s="43">
        <f>IF($CU13&gt;=RAM,"",IF($CU13-EW$103&lt;BeginnAlter,"",ROUND((SUM(DN13:DN$56)+SUM(GF$9:GF$56))/VLOOKUP($CU13,$AH$9:$AI$102,2)/VLOOKUP($CU13-EW$103,Frauen!$G$9:$J$102,4),Rundäx)))</f>
        <v>10.728</v>
      </c>
      <c r="EX13" s="43">
        <f>IF($CU13&gt;=RAM,"",IF($CU13-EX$103&lt;BeginnAlter,"",ROUND((SUM(DO13:DO$56)+SUM(GG$9:GG$56))/VLOOKUP($CU13,$AH$9:$AI$102,2)/VLOOKUP($CU13-EX$103,Frauen!$G$9:$J$102,4),Rundäx)))</f>
        <v>10.917999999999999</v>
      </c>
      <c r="EY13" s="43" t="str">
        <f>IF($CU13&gt;=RAM,"",IF($CU13-EY$103&lt;BeginnAlter,"",ROUND((SUM(DP13:DP$56)+SUM(GH$9:GH$56))/VLOOKUP($CU13,$AH$9:$AI$102,2)/VLOOKUP($CU13-EY$103,Frauen!$G$9:$J$102,4),Rundäx)))</f>
        <v/>
      </c>
      <c r="EZ13" s="43" t="str">
        <f>IF($CU13&gt;=RAM,"",IF($CU13-EZ$103&lt;BeginnAlter,"",ROUND((SUM(DQ13:DQ$56)+SUM(GI$9:GI$56))/VLOOKUP($CU13,$AH$9:$AI$102,2)/VLOOKUP($CU13-EZ$103,Frauen!$G$9:$J$102,4),Rundäx)))</f>
        <v/>
      </c>
      <c r="FA13" s="43" t="str">
        <f>IF($CU13&gt;=RAM,"",IF($CU13-FA$103&lt;BeginnAlter,"",ROUND((SUM(DR13:DR$56)+SUM(GJ$9:GJ$56))/VLOOKUP($CU13,$AH$9:$AI$102,2)/VLOOKUP($CU13-FA$103,Frauen!$G$9:$J$102,4),Rundäx)))</f>
        <v/>
      </c>
      <c r="FB13" s="43" t="str">
        <f>IF($CU13&gt;=RAM,"",IF($CU13-FB$103&lt;BeginnAlter,"",ROUND((SUM(DS13:DS$56)+SUM(GK$9:GK$56))/VLOOKUP($CU13,$AH$9:$AI$102,2)/VLOOKUP($CU13-FB$103,Frauen!$G$9:$J$102,4),Rundäx)))</f>
        <v/>
      </c>
      <c r="FC13" s="86"/>
      <c r="FD13" s="35">
        <f>1+FD12</f>
        <v>21</v>
      </c>
      <c r="FE13" s="43" t="str">
        <f>IF($CU13&gt;=RAM,"",IF($CU13-FE$103&lt;BeginnAlter,"",ROUND((SUM(DT13:DT$56)+SUM(GL$9:GL$56))/VLOOKUP($CU13,$AH$9:$AI$102,2)/VLOOKUP($CU13-FE$103,Frauen!$G$9:$J$102,4),Rundäx)))</f>
        <v/>
      </c>
      <c r="FF13" s="43" t="str">
        <f>IF($CU13&gt;=RAM,"",IF($CU13-FF$103&lt;BeginnAlter,"",ROUND((SUM(DU13:DU$56)+SUM(GM$9:GM$56))/VLOOKUP($CU13,$AH$9:$AI$102,2)/VLOOKUP($CU13-FF$103,Frauen!$G$9:$J$102,4),Rundäx)))</f>
        <v/>
      </c>
      <c r="FG13" s="43" t="str">
        <f>IF($CU13&gt;=RAM,"",IF($CU13-FG$103&lt;BeginnAlter,"",ROUND((SUM(DV13:DV$56)+SUM(GN$9:GN$56))/VLOOKUP($CU13,$AH$9:$AI$102,2)/VLOOKUP($CU13-FG$103,Frauen!$G$9:$J$102,4),Rundäx)))</f>
        <v/>
      </c>
      <c r="FH13" s="43" t="str">
        <f>IF($CU13&gt;=RAM,"",IF($CU13-FH$103&lt;BeginnAlter,"",ROUND((SUM(DW13:DW$56)+SUM(GO$9:GO$56))/VLOOKUP($CU13,$AH$9:$AI$102,2)/VLOOKUP($CU13-FH$103,Frauen!$G$9:$J$102,4),Rundäx)))</f>
        <v/>
      </c>
      <c r="FI13" s="43" t="str">
        <f>IF($CU13&gt;=RAM,"",IF($CU13-FI$103&lt;BeginnAlter,"",ROUND((SUM(DX13:DX$56)+SUM(GP$9:GP$56))/VLOOKUP($CU13,$AH$9:$AI$102,2)/VLOOKUP($CU13-FI$103,Frauen!$G$9:$J$102,4),Rundäx)))</f>
        <v/>
      </c>
      <c r="FJ13" s="43" t="str">
        <f>IF($CU13&gt;=RAM,"",IF($CU13-FJ$103&lt;BeginnAlter,"",ROUND((SUM(DY13:DY$56)+SUM(GQ$9:GQ$56))/VLOOKUP($CU13,$AH$9:$AI$102,2)/VLOOKUP($CU13-FJ$103,Frauen!$G$9:$J$102,4),Rundäx)))</f>
        <v/>
      </c>
      <c r="FK13" s="43" t="str">
        <f>IF($CU13&gt;=RAM,"",IF($CU13-FK$103&lt;BeginnAlter,"",ROUND((SUM(DZ13:DZ$56)+SUM(GR$9:GR$56))/VLOOKUP($CU13,$AH$9:$AI$102,2)/VLOOKUP($CU13-FK$103,Frauen!$G$9:$J$102,4),Rundäx)))</f>
        <v/>
      </c>
      <c r="FL13" s="86"/>
      <c r="FM13" s="35">
        <f>1+FM12</f>
        <v>69</v>
      </c>
      <c r="FN13" s="25">
        <f>ROUND(v^($FM13+FaktorAlter)*VLOOKUP($FM13,$G$9:$J$102,4)*VLOOKUP($FM13,$A$9:$E$102,5)*0.5*(VLOOKUP($FM13-FN$103,Frauen!$G$9:$J$102,4)+VLOOKUP($FM13-FN$103+1,Frauen!$G$9:$J$102,4))*0.5*(VLOOKUP($FM13-FN$103,Frauen!$AZ$9:$BD$102,5)+VLOOKUP($FM13-FN$103+1,Frauen!$AZ$9:$BD$102,5)),RundDx)</f>
        <v>122701994</v>
      </c>
      <c r="FO13" s="25">
        <f>ROUND(v^($FM13+FaktorAlter)*VLOOKUP($FM13,$G$9:$J$102,4)*VLOOKUP($FM13,$A$9:$E$102,5)*0.5*(VLOOKUP($FM13-FO$103,Frauen!$G$9:$J$102,4)+VLOOKUP($FM13-FO$103+1,Frauen!$G$9:$J$102,4))*0.5*(VLOOKUP($FM13-FO$103,Frauen!$AZ$9:$BD$102,5)+VLOOKUP($FM13-FO$103+1,Frauen!$AZ$9:$BD$102,5)),RundDx)</f>
        <v>140990078</v>
      </c>
      <c r="FP13" s="25">
        <f>ROUND(v^($FM13+FaktorAlter)*VLOOKUP($FM13,$G$9:$J$102,4)*VLOOKUP($FM13,$A$9:$E$102,5)*0.5*(VLOOKUP($FM13-FP$103,Frauen!$G$9:$J$102,4)+VLOOKUP($FM13-FP$103+1,Frauen!$G$9:$J$102,4))*0.5*(VLOOKUP($FM13-FP$103,Frauen!$AZ$9:$BD$102,5)+VLOOKUP($FM13-FP$103+1,Frauen!$AZ$9:$BD$102,5)),RundDx)</f>
        <v>160030518</v>
      </c>
      <c r="FQ13" s="25">
        <f>ROUND(v^($FM13+FaktorAlter)*VLOOKUP($FM13,$G$9:$J$102,4)*VLOOKUP($FM13,$A$9:$E$102,5)*0.5*(VLOOKUP($FM13-FQ$103,Frauen!$G$9:$J$102,4)+VLOOKUP($FM13-FQ$103+1,Frauen!$G$9:$J$102,4))*0.5*(VLOOKUP($FM13-FQ$103,Frauen!$AZ$9:$BD$102,5)+VLOOKUP($FM13-FQ$103+1,Frauen!$AZ$9:$BD$102,5)),RundDx)</f>
        <v>179633272</v>
      </c>
      <c r="FR13" s="25">
        <f>ROUND(v^($FM13+FaktorAlter)*VLOOKUP($FM13,$G$9:$J$102,4)*VLOOKUP($FM13,$A$9:$E$102,5)*0.5*(VLOOKUP($FM13-FR$103,Frauen!$G$9:$J$102,4)+VLOOKUP($FM13-FR$103+1,Frauen!$G$9:$J$102,4))*0.5*(VLOOKUP($FM13-FR$103,Frauen!$AZ$9:$BD$102,5)+VLOOKUP($FM13-FR$103+1,Frauen!$AZ$9:$BD$102,5)),RundDx)</f>
        <v>199668855</v>
      </c>
      <c r="FS13" s="25">
        <f>ROUND(v^($FM13+FaktorAlter)*VLOOKUP($FM13,$G$9:$J$102,4)*VLOOKUP($FM13,$A$9:$E$102,5)*0.5*(VLOOKUP($FM13-FS$103,Frauen!$G$9:$J$102,4)+VLOOKUP($FM13-FS$103+1,Frauen!$G$9:$J$102,4))*0.5*(VLOOKUP($FM13-FS$103,Frauen!$AZ$9:$BD$102,5)+VLOOKUP($FM13-FS$103+1,Frauen!$AZ$9:$BD$102,5)),RundDx)</f>
        <v>220073728</v>
      </c>
      <c r="FT13" s="25">
        <f>ROUND(v^($FM13+FaktorAlter)*VLOOKUP($FM13,$G$9:$J$102,4)*VLOOKUP($FM13,$A$9:$E$102,5)*0.5*(VLOOKUP($FM13-FT$103,Frauen!$G$9:$J$102,4)+VLOOKUP($FM13-FT$103+1,Frauen!$G$9:$J$102,4))*0.5*(VLOOKUP($FM13-FT$103,Frauen!$AZ$9:$BD$102,5)+VLOOKUP($FM13-FT$103+1,Frauen!$AZ$9:$BD$102,5)),RundDx)</f>
        <v>240761358</v>
      </c>
      <c r="FU13" s="25">
        <f>ROUND(v^($FM13+FaktorAlter)*VLOOKUP($FM13,$G$9:$J$102,4)*VLOOKUP($FM13,$A$9:$E$102,5)*0.5*(VLOOKUP($FM13-FU$103,Frauen!$G$9:$J$102,4)+VLOOKUP($FM13-FU$103+1,Frauen!$G$9:$J$102,4))*0.5*(VLOOKUP($FM13-FU$103,Frauen!$AZ$9:$BD$102,5)+VLOOKUP($FM13-FU$103+1,Frauen!$AZ$9:$BD$102,5)),RundDx)</f>
        <v>261714762</v>
      </c>
      <c r="FV13" s="25">
        <f>ROUND(v^($FM13+FaktorAlter)*VLOOKUP($FM13,$G$9:$J$102,4)*VLOOKUP($FM13,$A$9:$E$102,5)*0.5*(VLOOKUP($FM13-FV$103,Frauen!$G$9:$J$102,4)+VLOOKUP($FM13-FV$103+1,Frauen!$G$9:$J$102,4))*0.5*(VLOOKUP($FM13-FV$103,Frauen!$AZ$9:$BD$102,5)+VLOOKUP($FM13-FV$103+1,Frauen!$AZ$9:$BD$102,5)),RundDx)</f>
        <v>282985084</v>
      </c>
      <c r="FW13" s="25">
        <f>ROUND(v^($FM13+FaktorAlter)*VLOOKUP($FM13,$G$9:$J$102,4)*VLOOKUP($FM13,$A$9:$E$102,5)*0.5*(VLOOKUP($FM13-FW$103,Frauen!$G$9:$J$102,4)+VLOOKUP($FM13-FW$103+1,Frauen!$G$9:$J$102,4))*0.5*(VLOOKUP($FM13-FW$103,Frauen!$AZ$9:$BD$102,5)+VLOOKUP($FM13-FW$103+1,Frauen!$AZ$9:$BD$102,5)),RundDx)</f>
        <v>304593032</v>
      </c>
      <c r="FX13" s="25">
        <f>ROUND(v^($FM13+FaktorAlter)*VLOOKUP($FM13,$G$9:$J$102,4)*VLOOKUP($FM13,$A$9:$E$102,5)*0.5*(VLOOKUP($FM13-FX$103,Frauen!$G$9:$J$102,4)+VLOOKUP($FM13-FX$103+1,Frauen!$G$9:$J$102,4))*0.5*(VLOOKUP($FM13-FX$103,Frauen!$AZ$9:$BD$102,5)+VLOOKUP($FM13-FX$103+1,Frauen!$AZ$9:$BD$102,5)),RundDx)</f>
        <v>326605448</v>
      </c>
      <c r="FY13" s="25">
        <f>ROUND(v^($FM13+FaktorAlter)*VLOOKUP($FM13,$G$9:$J$102,4)*VLOOKUP($FM13,$A$9:$E$102,5)*0.5*(VLOOKUP($FM13-FY$103,Frauen!$G$9:$J$102,4)+VLOOKUP($FM13-FY$103+1,Frauen!$G$9:$J$102,4))*0.5*(VLOOKUP($FM13-FY$103,Frauen!$AZ$9:$BD$102,5)+VLOOKUP($FM13-FY$103+1,Frauen!$AZ$9:$BD$102,5)),RundDx)</f>
        <v>349034707</v>
      </c>
      <c r="FZ13" s="25">
        <f>ROUND(v^($FM13+FaktorAlter)*VLOOKUP($FM13,$G$9:$J$102,4)*VLOOKUP($FM13,$A$9:$E$102,5)*0.5*(VLOOKUP($FM13-FZ$103,Frauen!$G$9:$J$102,4)+VLOOKUP($FM13-FZ$103+1,Frauen!$G$9:$J$102,4))*0.5*(VLOOKUP($FM13-FZ$103,Frauen!$AZ$9:$BD$102,5)+VLOOKUP($FM13-FZ$103+1,Frauen!$AZ$9:$BD$102,5)),RundDx)</f>
        <v>371829245</v>
      </c>
      <c r="GA13" s="25">
        <f>ROUND(v^($FM13+FaktorAlter)*VLOOKUP($FM13,$G$9:$J$102,4)*VLOOKUP($FM13,$A$9:$E$102,5)*0.5*(VLOOKUP($FM13-GA$103,Frauen!$G$9:$J$102,4)+VLOOKUP($FM13-GA$103+1,Frauen!$G$9:$J$102,4))*0.5*(VLOOKUP($FM13-GA$103,Frauen!$AZ$9:$BD$102,5)+VLOOKUP($FM13-GA$103+1,Frauen!$AZ$9:$BD$102,5)),RundDx)</f>
        <v>394889424</v>
      </c>
      <c r="GB13" s="25">
        <f>ROUND(v^($FM13+FaktorAlter)*VLOOKUP($FM13,$G$9:$J$102,4)*VLOOKUP($FM13,$A$9:$E$102,5)*0.5*(VLOOKUP($FM13-GB$103,Frauen!$G$9:$J$102,4)+VLOOKUP($FM13-GB$103+1,Frauen!$G$9:$J$102,4))*0.5*(VLOOKUP($FM13-GB$103,Frauen!$AZ$9:$BD$102,5)+VLOOKUP($FM13-GB$103+1,Frauen!$AZ$9:$BD$102,5)),RundDx)</f>
        <v>418049691</v>
      </c>
      <c r="GC13" s="25">
        <f>ROUND(v^($FM13+FaktorAlter)*VLOOKUP($FM13,$G$9:$J$102,4)*VLOOKUP($FM13,$A$9:$E$102,5)*0.5*(VLOOKUP($FM13-GC$103,Frauen!$G$9:$J$102,4)+VLOOKUP($FM13-GC$103+1,Frauen!$G$9:$J$102,4))*0.5*(VLOOKUP($FM13-GC$103,Frauen!$AZ$9:$BD$102,5)+VLOOKUP($FM13-GC$103+1,Frauen!$AZ$9:$BD$102,5)),RundDx)</f>
        <v>441245558</v>
      </c>
      <c r="GD13" s="25">
        <f>ROUND(v^($FM13+FaktorAlter)*VLOOKUP($FM13,$G$9:$J$102,4)*VLOOKUP($FM13,$A$9:$E$102,5)*0.5*(VLOOKUP($FM13-GD$103,Frauen!$G$9:$J$102,4)+VLOOKUP($FM13-GD$103+1,Frauen!$G$9:$J$102,4))*0.5*(VLOOKUP($FM13-GD$103,Frauen!$AZ$9:$BD$102,5)+VLOOKUP($FM13-GD$103+1,Frauen!$AZ$9:$BD$102,5)),RundDx)</f>
        <v>464434374</v>
      </c>
      <c r="GE13" s="25">
        <f>ROUND(v^($FM13+FaktorAlter)*VLOOKUP($FM13,$G$9:$J$102,4)*VLOOKUP($FM13,$A$9:$E$102,5)*0.5*(VLOOKUP($FM13-GE$103,Frauen!$G$9:$J$102,4)+VLOOKUP($FM13-GE$103+1,Frauen!$G$9:$J$102,4))*0.5*(VLOOKUP($FM13-GE$103,Frauen!$AZ$9:$BD$102,5)+VLOOKUP($FM13-GE$103+1,Frauen!$AZ$9:$BD$102,5)),RundDx)</f>
        <v>487458788</v>
      </c>
      <c r="GF13" s="25">
        <f>ROUND(v^($FM13+FaktorAlter)*VLOOKUP($FM13,$G$9:$J$102,4)*VLOOKUP($FM13,$A$9:$E$102,5)*0.5*(VLOOKUP($FM13-GF$103,Frauen!$G$9:$J$102,4)+VLOOKUP($FM13-GF$103+1,Frauen!$G$9:$J$102,4))*0.5*(VLOOKUP($FM13-GF$103,Frauen!$AZ$9:$BD$102,5)+VLOOKUP($FM13-GF$103+1,Frauen!$AZ$9:$BD$102,5)),RundDx)</f>
        <v>510227760</v>
      </c>
      <c r="GG13" s="25">
        <f>ROUND(v^($FM13+FaktorAlter)*VLOOKUP($FM13,$G$9:$J$102,4)*VLOOKUP($FM13,$A$9:$E$102,5)*0.5*(VLOOKUP($FM13-GG$103,Frauen!$G$9:$J$102,4)+VLOOKUP($FM13-GG$103+1,Frauen!$G$9:$J$102,4))*0.5*(VLOOKUP($FM13-GG$103,Frauen!$AZ$9:$BD$102,5)+VLOOKUP($FM13-GG$103+1,Frauen!$AZ$9:$BD$102,5)),RundDx)</f>
        <v>532779245</v>
      </c>
      <c r="GH13" s="25">
        <f>ROUND(v^($FM13+FaktorAlter)*VLOOKUP($FM13,$G$9:$J$102,4)*VLOOKUP($FM13,$A$9:$E$102,5)*0.5*(VLOOKUP($FM13-GH$103,Frauen!$G$9:$J$102,4)+VLOOKUP($FM13-GH$103+1,Frauen!$G$9:$J$102,4))*0.5*(VLOOKUP($FM13-GH$103,Frauen!$AZ$9:$BD$102,5)+VLOOKUP($FM13-GH$103+1,Frauen!$AZ$9:$BD$102,5)),RundDx)</f>
        <v>555060164</v>
      </c>
      <c r="GI13" s="25">
        <f>ROUND(v^($FM13+FaktorAlter)*VLOOKUP($FM13,$G$9:$J$102,4)*VLOOKUP($FM13,$A$9:$E$102,5)*0.5*(VLOOKUP($FM13-GI$103,Frauen!$G$9:$J$102,4)+VLOOKUP($FM13-GI$103+1,Frauen!$G$9:$J$102,4))*0.5*(VLOOKUP($FM13-GI$103,Frauen!$AZ$9:$BD$102,5)+VLOOKUP($FM13-GI$103+1,Frauen!$AZ$9:$BD$102,5)),RundDx)</f>
        <v>576938914</v>
      </c>
      <c r="GJ13" s="25">
        <f>ROUND(v^($FM13+FaktorAlter)*VLOOKUP($FM13,$G$9:$J$102,4)*VLOOKUP($FM13,$A$9:$E$102,5)*0.5*(VLOOKUP($FM13-GJ$103,Frauen!$G$9:$J$102,4)+VLOOKUP($FM13-GJ$103+1,Frauen!$G$9:$J$102,4))*0.5*(VLOOKUP($FM13-GJ$103,Frauen!$AZ$9:$BD$102,5)+VLOOKUP($FM13-GJ$103+1,Frauen!$AZ$9:$BD$102,5)),RundDx)</f>
        <v>598403640</v>
      </c>
      <c r="GK13" s="25">
        <f>ROUND(v^($FM13+FaktorAlter)*VLOOKUP($FM13,$G$9:$J$102,4)*VLOOKUP($FM13,$A$9:$E$102,5)*0.5*(VLOOKUP($FM13-GK$103,Frauen!$G$9:$J$102,4)+VLOOKUP($FM13-GK$103+1,Frauen!$G$9:$J$102,4))*0.5*(VLOOKUP($FM13-GK$103,Frauen!$AZ$9:$BD$102,5)+VLOOKUP($FM13-GK$103+1,Frauen!$AZ$9:$BD$102,5)),RundDx)</f>
        <v>619509794</v>
      </c>
      <c r="GL13" s="25">
        <f>ROUND(v^($FM13+FaktorAlter)*VLOOKUP($FM13,$G$9:$J$102,4)*VLOOKUP($FM13,$A$9:$E$102,5)*0.5*(VLOOKUP($FM13-GL$103,Frauen!$G$9:$J$102,4)+VLOOKUP($FM13-GL$103+1,Frauen!$G$9:$J$102,4))*0.5*(VLOOKUP($FM13-GL$103,Frauen!$AZ$9:$BD$102,5)+VLOOKUP($FM13-GL$103+1,Frauen!$AZ$9:$BD$102,5)),RundDx)</f>
        <v>640229218</v>
      </c>
      <c r="GM13" s="25">
        <f>ROUND(v^($FM13+FaktorAlter)*VLOOKUP($FM13,$G$9:$J$102,4)*VLOOKUP($FM13,$A$9:$E$102,5)*0.5*(VLOOKUP($FM13-GM$103,Frauen!$G$9:$J$102,4)+VLOOKUP($FM13-GM$103+1,Frauen!$G$9:$J$102,4))*0.5*(VLOOKUP($FM13-GM$103,Frauen!$AZ$9:$BD$102,5)+VLOOKUP($FM13-GM$103+1,Frauen!$AZ$9:$BD$102,5)),RundDx)</f>
        <v>660556308</v>
      </c>
      <c r="GN13" s="25">
        <f>ROUND(v^($FM13+FaktorAlter)*VLOOKUP($FM13,$G$9:$J$102,4)*VLOOKUP($FM13,$A$9:$E$102,5)*0.5*(VLOOKUP($FM13-GN$103,Frauen!$G$9:$J$102,4)+VLOOKUP($FM13-GN$103+1,Frauen!$G$9:$J$102,4))*0.5*(VLOOKUP($FM13-GN$103,Frauen!$AZ$9:$BD$102,5)+VLOOKUP($FM13-GN$103+1,Frauen!$AZ$9:$BD$102,5)),RundDx)</f>
        <v>680533289</v>
      </c>
      <c r="GO13" s="25">
        <f>ROUND(v^($FM13+FaktorAlter)*VLOOKUP($FM13,$G$9:$J$102,4)*VLOOKUP($FM13,$A$9:$E$102,5)*0.5*(VLOOKUP($FM13-GO$103,Frauen!$G$9:$J$102,4)+VLOOKUP($FM13-GO$103+1,Frauen!$G$9:$J$102,4))*0.5*(VLOOKUP($FM13-GO$103,Frauen!$AZ$9:$BD$102,5)+VLOOKUP($FM13-GO$103+1,Frauen!$AZ$9:$BD$102,5)),RundDx)</f>
        <v>700222612</v>
      </c>
      <c r="GP13" s="25">
        <f>ROUND(v^($FM13+FaktorAlter)*VLOOKUP($FM13,$G$9:$J$102,4)*VLOOKUP($FM13,$A$9:$E$102,5)*0.5*(VLOOKUP($FM13-GP$103,Frauen!$G$9:$J$102,4)+VLOOKUP($FM13-GP$103+1,Frauen!$G$9:$J$102,4))*0.5*(VLOOKUP($FM13-GP$103,Frauen!$AZ$9:$BD$102,5)+VLOOKUP($FM13-GP$103+1,Frauen!$AZ$9:$BD$102,5)),RundDx)</f>
        <v>719675958</v>
      </c>
      <c r="GQ13" s="25">
        <f>ROUND(v^($FM13+FaktorAlter)*VLOOKUP($FM13,$G$9:$J$102,4)*VLOOKUP($FM13,$A$9:$E$102,5)*0.5*(VLOOKUP($FM13-GQ$103,Frauen!$G$9:$J$102,4)+VLOOKUP($FM13-GQ$103+1,Frauen!$G$9:$J$102,4))*0.5*(VLOOKUP($FM13-GQ$103,Frauen!$AZ$9:$BD$102,5)+VLOOKUP($FM13-GQ$103+1,Frauen!$AZ$9:$BD$102,5)),RundDx)</f>
        <v>738939642</v>
      </c>
      <c r="GR13" s="25">
        <f>ROUND(v^($FM13+FaktorAlter)*VLOOKUP($FM13,$G$9:$J$102,4)*VLOOKUP($FM13,$A$9:$E$102,5)*0.5*(VLOOKUP($FM13-GR$103,Frauen!$G$9:$J$102,4)+VLOOKUP($FM13-GR$103+1,Frauen!$G$9:$J$102,4))*0.5*(VLOOKUP($FM13-GR$103,Frauen!$AZ$9:$BD$102,5)+VLOOKUP($FM13-GR$103+1,Frauen!$AZ$9:$BD$102,5)),RundDx)</f>
        <v>758035565</v>
      </c>
      <c r="GS13" s="24">
        <f>ROUND(SUM(FN13:FN$56)/VLOOKUP($FM13,$AQ$9:$AR$102,2)/VLOOKUP($FM13-GS$103,Frauen!$G$9:$J$102,4),Rundäx)</f>
        <v>0.76800000000000002</v>
      </c>
      <c r="GT13" s="24">
        <f>ROUND(SUM(FO13:FO$56)/VLOOKUP($FM13,$AQ$9:$AR$102,2)/VLOOKUP($FM13-GT$103,Frauen!$G$9:$J$102,4),Rundäx)</f>
        <v>0.88700000000000001</v>
      </c>
      <c r="GU13" s="24">
        <f>ROUND(SUM(FP13:FP$56)/VLOOKUP($FM13,$AQ$9:$AR$102,2)/VLOOKUP($FM13-GU$103,Frauen!$G$9:$J$102,4),Rundäx)</f>
        <v>1.022</v>
      </c>
      <c r="GV13" s="24">
        <f>ROUND(SUM(FQ13:FQ$56)/VLOOKUP($FM13,$AQ$9:$AR$102,2)/VLOOKUP($FM13-GV$103,Frauen!$G$9:$J$102,4),Rundäx)</f>
        <v>1.1739999999999999</v>
      </c>
      <c r="GW13" s="24">
        <f>ROUND(SUM(FR13:FR$56)/VLOOKUP($FM13,$AQ$9:$AR$102,2)/VLOOKUP($FM13-GW$103,Frauen!$G$9:$J$102,4),Rundäx)</f>
        <v>1.3420000000000001</v>
      </c>
      <c r="GX13" s="24">
        <f>ROUND(SUM(FS13:FS$56)/VLOOKUP($FM13,$AQ$9:$AR$102,2)/VLOOKUP($FM13-GX$103,Frauen!$G$9:$J$102,4),Rundäx)</f>
        <v>1.528</v>
      </c>
      <c r="GY13" s="24">
        <f>ROUND(SUM(FT13:FT$56)/VLOOKUP($FM13,$AQ$9:$AR$102,2)/VLOOKUP($FM13-GY$103,Frauen!$G$9:$J$102,4),Rundäx)</f>
        <v>1.732</v>
      </c>
      <c r="GZ13" s="24">
        <f>ROUND(SUM(FU13:FU$56)/VLOOKUP($FM13,$AQ$9:$AR$102,2)/VLOOKUP($FM13-GZ$103,Frauen!$G$9:$J$102,4),Rundäx)</f>
        <v>1.9530000000000001</v>
      </c>
      <c r="HA13" s="86"/>
      <c r="HB13" s="35">
        <f>1+HB12</f>
        <v>69</v>
      </c>
      <c r="HC13" s="24">
        <f>ROUND(SUM(FV13:FV$56)/VLOOKUP($FM13,$AQ$9:$AR$102,2)/VLOOKUP($FM13-HC$103,Frauen!$G$9:$J$102,4),Rundäx)</f>
        <v>2.1909999999999998</v>
      </c>
      <c r="HD13" s="24">
        <f>ROUND(SUM(FW13:FW$56)/VLOOKUP($FM13,$AQ$9:$AR$102,2)/VLOOKUP($FM13-HD$103,Frauen!$G$9:$J$102,4),Rundäx)</f>
        <v>2.444</v>
      </c>
      <c r="HE13" s="24">
        <f>ROUND(SUM(FX13:FX$56)/VLOOKUP($FM13,$AQ$9:$AR$102,2)/VLOOKUP($FM13-HE$103,Frauen!$G$9:$J$102,4),Rundäx)</f>
        <v>2.7109999999999999</v>
      </c>
      <c r="HF13" s="24">
        <f>ROUND(SUM(FY13:FY$56)/VLOOKUP($FM13,$AQ$9:$AR$102,2)/VLOOKUP($FM13-HF$103,Frauen!$G$9:$J$102,4),Rundäx)</f>
        <v>2.9910000000000001</v>
      </c>
      <c r="HG13" s="24">
        <f>ROUND(SUM(FZ13:FZ$56)/VLOOKUP($FM13,$AQ$9:$AR$102,2)/VLOOKUP($FM13-HG$103,Frauen!$G$9:$J$102,4),Rundäx)</f>
        <v>3.2839999999999998</v>
      </c>
      <c r="HH13" s="24">
        <f>ROUND(SUM(GA13:GA$56)/VLOOKUP($FM13,$AQ$9:$AR$102,2)/VLOOKUP($FM13-HH$103,Frauen!$G$9:$J$102,4),Rundäx)</f>
        <v>3.589</v>
      </c>
      <c r="HI13" s="24">
        <f>ROUND(SUM(GB13:GB$56)/VLOOKUP($FM13,$AQ$9:$AR$102,2)/VLOOKUP($FM13-HI$103,Frauen!$G$9:$J$102,4),Rundäx)</f>
        <v>3.907</v>
      </c>
      <c r="HJ13" s="24">
        <f>ROUND(SUM(GC13:GC$56)/VLOOKUP($FM13,$AQ$9:$AR$102,2)/VLOOKUP($FM13-HJ$103,Frauen!$G$9:$J$102,4),Rundäx)</f>
        <v>4.2359999999999998</v>
      </c>
      <c r="HK13" s="86"/>
      <c r="HL13" s="35">
        <f>1+HL12</f>
        <v>69</v>
      </c>
      <c r="HM13" s="24">
        <f>ROUND(SUM(GD13:GD$56)/VLOOKUP($FM13,$AQ$9:$AR$102,2)/VLOOKUP($FM13-HM$103,Frauen!$G$9:$J$102,4),Rundäx)</f>
        <v>4.5750000000000002</v>
      </c>
      <c r="HN13" s="24">
        <f>ROUND(SUM(GE13:GE$56)/VLOOKUP($FM13,$AQ$9:$AR$102,2)/VLOOKUP($FM13-HN$103,Frauen!$G$9:$J$102,4),Rundäx)</f>
        <v>4.9240000000000004</v>
      </c>
      <c r="HO13" s="24">
        <f>ROUND(SUM(GF13:GF$56)/VLOOKUP($FM13,$AQ$9:$AR$102,2)/VLOOKUP($FM13-HO$103,Frauen!$G$9:$J$102,4),Rundäx)</f>
        <v>5.282</v>
      </c>
      <c r="HP13" s="24">
        <f>ROUND(SUM(GG13:GG$56)/VLOOKUP($FM13,$AQ$9:$AR$102,2)/VLOOKUP($FM13-HP$103,Frauen!$G$9:$J$102,4),Rundäx)</f>
        <v>5.6479999999999997</v>
      </c>
      <c r="HQ13" s="24">
        <f>ROUND(SUM(GH13:GH$56)/VLOOKUP($FM13,$AQ$9:$AR$102,2)/VLOOKUP($FM13-HQ$103,Frauen!$G$9:$J$102,4),Rundäx)</f>
        <v>6.0220000000000002</v>
      </c>
      <c r="HR13" s="24">
        <f>ROUND(SUM(GI13:GI$56)/VLOOKUP($FM13,$AQ$9:$AR$102,2)/VLOOKUP($FM13-HR$103,Frauen!$G$9:$J$102,4),Rundäx)</f>
        <v>6.4020000000000001</v>
      </c>
      <c r="HS13" s="24">
        <f>ROUND(SUM(GJ13:GJ$56)/VLOOKUP($FM13,$AQ$9:$AR$102,2)/VLOOKUP($FM13-HS$103,Frauen!$G$9:$J$102,4),Rundäx)</f>
        <v>6.79</v>
      </c>
      <c r="HT13" s="24">
        <f>ROUND(SUM(GK13:GK$56)/VLOOKUP($FM13,$AQ$9:$AR$102,2)/VLOOKUP($FM13-HT$103,Frauen!$G$9:$J$102,4),Rundäx)</f>
        <v>7.1829999999999998</v>
      </c>
      <c r="HU13" s="86"/>
      <c r="HV13" s="35">
        <f>1+HV12</f>
        <v>69</v>
      </c>
      <c r="HW13" s="24">
        <f>ROUND(SUM(GL13:GL$56)/VLOOKUP($FM13,$AQ$9:$AR$102,2)/VLOOKUP($FM13-HW$103,Frauen!$G$9:$J$102,4),Rundäx)</f>
        <v>7.58</v>
      </c>
      <c r="HX13" s="24">
        <f>ROUND(SUM(GM13:GM$56)/VLOOKUP($FM13,$AQ$9:$AR$102,2)/VLOOKUP($FM13-HX$103,Frauen!$G$9:$J$102,4),Rundäx)</f>
        <v>7.9829999999999997</v>
      </c>
      <c r="HY13" s="24">
        <f>ROUND(SUM(GN13:GN$56)/VLOOKUP($FM13,$AQ$9:$AR$102,2)/VLOOKUP($FM13-HY$103,Frauen!$G$9:$J$102,4),Rundäx)</f>
        <v>8.3879999999999999</v>
      </c>
      <c r="HZ13" s="24">
        <f>ROUND(SUM(GO13:GO$56)/VLOOKUP($FM13,$AQ$9:$AR$102,2)/VLOOKUP($FM13-HZ$103,Frauen!$G$9:$J$102,4),Rundäx)</f>
        <v>8.7959999999999994</v>
      </c>
      <c r="IA13" s="24">
        <f>ROUND(SUM(GP13:GP$56)/VLOOKUP($FM13,$AQ$9:$AR$102,2)/VLOOKUP($FM13-IA$103,Frauen!$G$9:$J$102,4),Rundäx)</f>
        <v>9.2059999999999995</v>
      </c>
      <c r="IB13" s="24">
        <f>ROUND(SUM(GQ13:GQ$56)/VLOOKUP($FM13,$AQ$9:$AR$102,2)/VLOOKUP($FM13-IB$103,Frauen!$G$9:$J$102,4),Rundäx)</f>
        <v>9.6159999999999997</v>
      </c>
      <c r="IC13" s="24">
        <f>ROUND(SUM(GR13:GR$56)/VLOOKUP($FM13,$AQ$9:$AR$102,2)/VLOOKUP($FM13-IC$103,Frauen!$G$9:$J$102,4),Rundäx)</f>
        <v>10.026</v>
      </c>
      <c r="ID13" s="89"/>
      <c r="IE13" s="35">
        <f>1+IE12</f>
        <v>21</v>
      </c>
      <c r="IF13" s="25">
        <f t="shared" si="31"/>
        <v>159</v>
      </c>
      <c r="IG13" s="25">
        <f>IF($IE13&lt;RAM,IF(S14&lt;=RAK,ROUND(SUM(IF13:INDEX(Dakx,RAM-BeginnAlter))+INDEX(Dax,RAM-BeginnAlter+1)*INDEX(äkx,1),RundDx),0),"")</f>
        <v>19828</v>
      </c>
      <c r="IH13" s="25">
        <f>IF($IE13&lt;RAM,IF(S14&lt;=RAK,ROUND(SUM(IG13:INDEX(Nakx,RAM-BeginnAlter))+INDEX(Dax,RAM-BeginnAlter+1)*INDEX(äkx,1),RundDx),0),"")</f>
        <v>366195</v>
      </c>
      <c r="II13" s="24">
        <f t="shared" si="32"/>
        <v>0.317</v>
      </c>
      <c r="IJ13" s="25">
        <f t="shared" si="33"/>
        <v>1219</v>
      </c>
      <c r="IK13" s="25">
        <f>IF($IE13&lt;RAM,IF(S14&lt;=RAK,SUM(IJ13:INDEX(Dikx,RAM-BeginnAlter))+INDEX(Dix,RAM-BeginnAlter+1)*INDEX(äkx,1),0),"")</f>
        <v>472052.83199999999</v>
      </c>
      <c r="IL13" s="24">
        <f t="shared" si="34"/>
        <v>3.827</v>
      </c>
      <c r="IM13" s="86"/>
      <c r="IN13" s="35">
        <f>1+IN12</f>
        <v>69</v>
      </c>
      <c r="IO13" s="25">
        <f t="shared" si="35"/>
        <v>15</v>
      </c>
      <c r="IP13" s="25">
        <f>IF(AND(VLOOKUP(IN13+1,O$9:S$102,5)&lt;=RAK,VLOOKUP(IN13+1,O$9:S$102,5)&lt;&gt;""),SUM(IO13:IO$102),0)</f>
        <v>87</v>
      </c>
      <c r="IQ13" s="24">
        <f t="shared" si="36"/>
        <v>5.0000000000000001E-3</v>
      </c>
      <c r="IR13" s="86"/>
    </row>
    <row r="14" spans="1:252" ht="15.75" customHeight="1" x14ac:dyDescent="0.25">
      <c r="A14" s="35">
        <f t="shared" ref="A14:A44" si="41">1+A13</f>
        <v>22</v>
      </c>
      <c r="B14" s="77">
        <v>6.6731630574801235E-4</v>
      </c>
      <c r="C14" s="77">
        <v>4.2804853594978774E-4</v>
      </c>
      <c r="D14" s="77">
        <v>8.1180353998582672E-3</v>
      </c>
      <c r="E14" s="77">
        <v>6.8147880901558988E-4</v>
      </c>
      <c r="F14" s="86"/>
      <c r="G14" s="35">
        <f t="shared" ref="G14:G44" si="42">1+G13</f>
        <v>22</v>
      </c>
      <c r="H14" s="25">
        <f t="shared" si="37"/>
        <v>99585</v>
      </c>
      <c r="I14" s="25">
        <f t="shared" si="38"/>
        <v>198</v>
      </c>
      <c r="J14" s="25">
        <f t="shared" si="39"/>
        <v>99783</v>
      </c>
      <c r="K14" s="30">
        <f>IF(J14&gt;0,ROUND(SUM(J14:J$102)/J14-0.5,Rundex),"")</f>
        <v>56.94</v>
      </c>
      <c r="L14" s="25">
        <f t="shared" si="0"/>
        <v>195487</v>
      </c>
      <c r="M14" s="30">
        <f>IF(L14&gt;0,ROUND(SUM(L14:L$102)/L14-0.5,Rundex),"")</f>
        <v>38.659999999999997</v>
      </c>
      <c r="N14" s="86"/>
      <c r="O14" s="35">
        <f t="shared" ref="O14:O44" si="43">1+O13</f>
        <v>22</v>
      </c>
      <c r="P14" s="43">
        <v>4.3999999999999997E-2</v>
      </c>
      <c r="Q14" s="78">
        <v>22.719427707819335</v>
      </c>
      <c r="R14" s="43">
        <v>9.5000000000000001E-2</v>
      </c>
      <c r="S14" s="78">
        <v>0.35</v>
      </c>
      <c r="T14" s="15">
        <v>6.8378481545550152E-4</v>
      </c>
      <c r="U14" s="11">
        <f t="shared" si="40"/>
        <v>99782</v>
      </c>
      <c r="V14" s="30">
        <f>IF(U14&gt;0,ROUND(SUM(U14:U$102)/U14-0.5,Rundex),"")</f>
        <v>54.58</v>
      </c>
      <c r="W14" s="86"/>
      <c r="X14" s="35">
        <f t="shared" ref="X14:X44" si="44">1+X13</f>
        <v>22</v>
      </c>
      <c r="Y14" s="25">
        <f t="shared" si="1"/>
        <v>61038</v>
      </c>
      <c r="Z14" s="25">
        <f>IF($X14&lt;RAM,SUM(Y14:INDEX(Dax,RAM-BeginnAlter))," ")</f>
        <v>1619177</v>
      </c>
      <c r="AA14" s="25">
        <f t="shared" si="2"/>
        <v>40</v>
      </c>
      <c r="AB14" s="25">
        <f>IF($X14&lt;RAM,SUM(AA14:INDEX(Cax,RAM-BeginnAlter))," ")</f>
        <v>2716</v>
      </c>
      <c r="AC14" s="25">
        <f t="shared" si="3"/>
        <v>26</v>
      </c>
      <c r="AD14" s="25">
        <f>IF($X14&lt;RAM,SUM(AC14:INDEX(Caix,RAM-BeginnAlter))," ")</f>
        <v>8025</v>
      </c>
      <c r="AE14" s="24">
        <f t="shared" si="4"/>
        <v>26.527000000000001</v>
      </c>
      <c r="AF14" s="24">
        <f t="shared" si="5"/>
        <v>26.18</v>
      </c>
      <c r="AG14" s="86"/>
      <c r="AH14" s="35">
        <f t="shared" ref="AH14:AH44" si="45">1+AH13</f>
        <v>22</v>
      </c>
      <c r="AI14" s="25">
        <f t="shared" si="6"/>
        <v>119819</v>
      </c>
      <c r="AJ14" s="25">
        <f>IF($AH14&gt;RAM," ",IF($AH14&lt;RAM,SUM(AI14:INDEX(Dix,RAM-BeginnAlter))+INDEX(Nx,RAM-BeginnAlter+1),INDEX(Nx,RAM-BeginnAlter+1)))</f>
        <v>2878691</v>
      </c>
      <c r="AK14" s="25">
        <f>IF($AH14&lt;RAM,SUM(AI14:INDEX(Dix,RAM-BeginnAlter))," ")</f>
        <v>2581444</v>
      </c>
      <c r="AL14" s="24">
        <f t="shared" si="7"/>
        <v>24.024999999999999</v>
      </c>
      <c r="AM14" s="24">
        <f t="shared" si="8"/>
        <v>23.567</v>
      </c>
      <c r="AN14" s="24">
        <f t="shared" si="9"/>
        <v>21.545000000000002</v>
      </c>
      <c r="AO14" s="24">
        <f t="shared" si="10"/>
        <v>21.164999999999999</v>
      </c>
      <c r="AP14" s="86"/>
      <c r="AQ14" s="35">
        <f t="shared" ref="AQ14:AQ44" si="46">1+AQ13</f>
        <v>22</v>
      </c>
      <c r="AR14" s="25">
        <f t="shared" si="11"/>
        <v>61159</v>
      </c>
      <c r="AS14" s="25">
        <f>SUM(AR14:AR$94)</f>
        <v>1969341</v>
      </c>
      <c r="AT14" s="25">
        <f>IF($AQ14&lt;RAM,SUM(AR14:INDEX(Dx,RAM-BeginnAlter))," ")</f>
        <v>1672094</v>
      </c>
      <c r="AU14" s="24">
        <f t="shared" si="12"/>
        <v>32.200000000000003</v>
      </c>
      <c r="AV14" s="24">
        <f t="shared" si="13"/>
        <v>31.742000000000001</v>
      </c>
      <c r="AW14" s="24">
        <f t="shared" si="14"/>
        <v>27.34</v>
      </c>
      <c r="AX14" s="24">
        <f t="shared" si="15"/>
        <v>27.035</v>
      </c>
      <c r="AY14" s="86"/>
      <c r="AZ14" s="35">
        <f t="shared" ref="AZ14:AZ44" si="47">1+AZ13</f>
        <v>22</v>
      </c>
      <c r="BA14" s="25">
        <f t="shared" si="16"/>
        <v>61159</v>
      </c>
      <c r="BB14" s="25">
        <f>SUM(BA14:BA$94)</f>
        <v>1927280</v>
      </c>
      <c r="BC14" s="24">
        <f t="shared" si="17"/>
        <v>31.513000000000002</v>
      </c>
      <c r="BD14" s="24">
        <f t="shared" si="18"/>
        <v>31.053999999999998</v>
      </c>
      <c r="BE14" s="86"/>
      <c r="BF14" s="35">
        <f t="shared" ref="BF14:BF76" si="48">1+BF13</f>
        <v>5</v>
      </c>
      <c r="BG14" s="24">
        <f t="shared" si="19"/>
        <v>16.323</v>
      </c>
      <c r="BH14" s="24">
        <f t="shared" si="20"/>
        <v>16.158000000000001</v>
      </c>
      <c r="BI14" s="86"/>
      <c r="BJ14" s="35">
        <f t="shared" ref="BJ14:BJ44" si="49">1+BJ13</f>
        <v>22</v>
      </c>
      <c r="BK14" s="25">
        <f t="shared" si="21"/>
        <v>605</v>
      </c>
      <c r="BL14" s="25">
        <f>IF(BJ14&lt;RAM,SUM(BK14:INDEX(Daix,RAM-BeginnAlter))," ")</f>
        <v>133086</v>
      </c>
      <c r="BM14" s="25">
        <f>IF(BJ14&lt;RAM,SUM(BL14:INDEX(Naix,RAM-BeginnAlter))," ")</f>
        <v>4394850</v>
      </c>
      <c r="BN14" s="24">
        <f t="shared" si="22"/>
        <v>3.4039999999999999</v>
      </c>
      <c r="BO14" s="24">
        <f t="shared" si="23"/>
        <v>2.1800000000000002</v>
      </c>
      <c r="BP14" s="86"/>
      <c r="BQ14" s="35">
        <f t="shared" ref="BQ14:BQ44" si="50">1+BQ13</f>
        <v>22</v>
      </c>
      <c r="BR14" s="25">
        <f t="shared" ref="BR14:BR77" si="51">IF(BQ14&lt;RAM,ROUND(v^(BQ14+FaktorAlter)*C14*H14*(0.5*(AM14+AM15)-v^FaktorAlter*(1-D14)/(1-0.5*D14)*INDEX(Dix,RAM-BeginnAlter+1)/AI15*INDEX(äimx,RAM-BeginnAlter+1)),RundDx)," ")</f>
        <v>542</v>
      </c>
      <c r="BS14" s="25">
        <f>IF(BQ14&lt;RAM,SUM(BR14:INDEX(Daixs,RAM-BeginnAlter))," ")</f>
        <v>53272</v>
      </c>
      <c r="BT14" s="25">
        <f>IF(BQ14&lt;RAM,SUM(BS14:INDEX(Naixs,RAM-BeginnAlter))," ")</f>
        <v>1444771</v>
      </c>
      <c r="BU14" s="24">
        <f t="shared" ref="BU14:BU77" si="52">IF(BQ14&lt;RAM,ROUND((1-I14/L14)*INDEX(ämx,RAM-BeginnAlter+1)/Y14*INDEX(Dx,RAM-BeginnAlter+1),Rundäx)," ")</f>
        <v>4.7110000000000003</v>
      </c>
      <c r="BV14" s="24">
        <f t="shared" ref="BV14:BV77" si="53">IF(BQ14&lt;RAM,ROUND(BS14/Y14,Rundäx)," ")</f>
        <v>0.873</v>
      </c>
      <c r="BW14" s="86"/>
      <c r="BX14" s="35">
        <f t="shared" ref="BX14:BX44" si="54">1+BX13</f>
        <v>22</v>
      </c>
      <c r="BY14" s="10">
        <f t="shared" si="24"/>
        <v>16.176822441269231</v>
      </c>
      <c r="BZ14" s="11">
        <f t="shared" si="25"/>
        <v>50</v>
      </c>
      <c r="CA14" s="25">
        <f>IF(S15&lt;=RAK,IF($BX14&lt;RAM,SUM(BZ14:INDEX(Dazx,RAM-BeginnAlter)),""),"")</f>
        <v>22189</v>
      </c>
      <c r="CB14" s="24">
        <f t="shared" si="26"/>
        <v>0.36399999999999999</v>
      </c>
      <c r="CC14" s="25">
        <f t="shared" si="27"/>
        <v>34434</v>
      </c>
      <c r="CD14" s="24">
        <f t="shared" si="28"/>
        <v>22.943999999999999</v>
      </c>
      <c r="CE14" s="24">
        <f t="shared" si="29"/>
        <v>1.7000000000000001E-2</v>
      </c>
      <c r="CF14" s="86"/>
      <c r="CG14" s="35">
        <f t="shared" ref="CG14:CG44" si="55">1+CG13</f>
        <v>22</v>
      </c>
      <c r="CH14" s="25">
        <f>IF(CG14&lt;RAM,ROUND(v^($CG14+FaktorAlter)*$H14*($B14*0.5*($P14+$P15)*(VLOOKUP(TRUNC(0.5*($Q14+$Q15),0),Frauen!$AZ$9:$BD$95,5)+(0.5*($Q14+$Q15)-TRUNC(0.5*($Q14+$Q15),0))*(VLOOKUP(TRUNC(0.5*($Q14+$Q15)+1,0),Frauen!$AZ$9:$BD$95,5)-VLOOKUP(TRUNC(0.5*($Q14+$Q15),0),Frauen!$AZ$9:$BD$95,5)))+$C14*0.5*($CN14+$CN15)),RundDx),"")</f>
        <v>224</v>
      </c>
      <c r="CI14" s="25">
        <f>IF(CG14&lt;RAM,ROUND(SUM(CH14:INDEX(Dawx,RAM-BeginnAlter))+INDEX(Dax,RAM-BeginnAlter+1)*INDEX(äwx,1),RundDx),"")</f>
        <v>168876</v>
      </c>
      <c r="CJ14" s="25">
        <f>IF(CG14&lt;RAM,ROUND(SUM(CI14:INDEX(Nawx,RAM-BeginnAlter))+INDEX(Dax,RAM-BeginnAlter+1)*INDEX(äwx,1),RundDx),"")</f>
        <v>6325790</v>
      </c>
      <c r="CK14" s="24">
        <f t="shared" ref="CK14:CK77" si="56">IF(CG14&lt;RAM,ROUND(CI14/$Y14,Rundäx),"")</f>
        <v>2.7669999999999999</v>
      </c>
      <c r="CL14" s="25">
        <f>IF(CG14&lt;RAM,ROUND(v^($CG14+FaktorAlter)*$L14*$D14*0.5*($P14+$P15)*(VLOOKUP(TRUNC(0.5*($Q14+$Q15),0),Frauen!$AZ$9:$BD$95,5)+(0.5*($Q14+$Q15)-TRUNC(0.5*($Q14+$Q15),0))*(VLOOKUP(TRUNC(0.5*($Q14+$Q15)+1,0),Frauen!$AZ$9:$BD$95,5)-VLOOKUP(TRUNC(0.5*($Q14+$Q15),0),Frauen!$AZ$9:$BD$95,5))),RundDx),"")</f>
        <v>1668</v>
      </c>
      <c r="CM14" s="25">
        <f>IF(CG14&lt;RAM,SUM(CL14:INDEX(Diwx,RAM-BeginnAlter))+INDEX(Dix,RAM-BeginnAlter+1)*INDEX(äwx,1),"")</f>
        <v>705985.41399999999</v>
      </c>
      <c r="CN14" s="24">
        <f t="shared" ref="CN14:CN77" si="57">IF(CG14&lt;RAM,ROUND(CM14/$AI14,Rundäx),IF(CG14&gt;RAM,"",INDEX(äwx,1)))</f>
        <v>5.8920000000000003</v>
      </c>
      <c r="CO14" s="86"/>
      <c r="CP14" s="35">
        <f t="shared" ref="CP14:CP77" si="58">1+CP13</f>
        <v>70</v>
      </c>
      <c r="CQ14" s="11">
        <f>ROUND(v^($CP14+FaktorAlter)*VLOOKUP(CP14,G$9:J$102,4)*VLOOKUP(CP14,A$9:E$102,5)*0.5*(VLOOKUP(CP14,O$9:P$102,2)+VLOOKUP(CP14+1,O$9:P$102,2))*(VLOOKUP(TRUNC(0.5*(VLOOKUP(CP14,O$9:Q$102,3)+VLOOKUP(CP14+1,O$9:Q$102,3)),0),Frauen!$AZ$9:$BD$95,5)+(0.5*(VLOOKUP(CP14,O$9:Q$102,3)+VLOOKUP(CP14+1,O$9:Q$102,3))-TRUNC(0.5*(VLOOKUP(CP14,O$9:Q$102,3)+VLOOKUP(CP14+1,O$9:Q$102,3)),0))*(VLOOKUP(TRUNC(0.5*(VLOOKUP(CP14,O$9:Q$102,3)+VLOOKUP(CP14+1,O$9:Q$102,3))+1,0),Frauen!$AZ$9:$BD$95,5)-VLOOKUP(TRUNC(0.5*(VLOOKUP(CP14,O$9:Q$102,3)+VLOOKUP(CP14+1,O$9:Q$102,3)),0),Frauen!$AZ$9:$BD$95,5))),RundDx)</f>
        <v>4792</v>
      </c>
      <c r="CR14" s="25">
        <f>SUM(CQ14:CQ$56)</f>
        <v>85426</v>
      </c>
      <c r="CS14" s="24">
        <f t="shared" si="30"/>
        <v>5.1050000000000004</v>
      </c>
      <c r="CT14" s="86"/>
      <c r="CU14" s="35">
        <f t="shared" ref="CU14:CU44" si="59">1+CU13</f>
        <v>22</v>
      </c>
      <c r="CV14" s="25">
        <f>IF($CU14&gt;=RAM,"",IF($CU14-CV$103&lt;BeginnAlter,"",ROUND(v^($CU14+FaktorAlter)*$L14*$D14*0.5*(VLOOKUP($CU14-CV$103,Frauen!$G$9:$J$102,4)+VLOOKUP($CU14-CV$103+1,Frauen!$G$9:$J$102,4))*0.5*(VLOOKUP($CU14-CV$103,Frauen!$AZ$9:$BD$102,5)+VLOOKUP($CU14-CV$103+1,Frauen!$AZ$9:$BD$102,5)),RundDx)))</f>
        <v>2704828855</v>
      </c>
      <c r="CW14" s="25">
        <f>IF($CU14&gt;=RAM,"",IF($CU14-CW$103&lt;BeginnAlter,"",ROUND(v^($CU14+FaktorAlter)*$L14*$D14*0.5*(VLOOKUP($CU14-CW$103,Frauen!$G$9:$J$102,4)+VLOOKUP($CU14-CW$103+1,Frauen!$G$9:$J$102,4))*0.5*(VLOOKUP($CU14-CW$103,Frauen!$AZ$9:$BD$102,5)+VLOOKUP($CU14-CW$103+1,Frauen!$AZ$9:$BD$102,5)),RundDx)))</f>
        <v>2739760060</v>
      </c>
      <c r="CX14" s="25">
        <f>IF($CU14&gt;=RAM,"",IF($CU14-CX$103&lt;BeginnAlter,"",ROUND(v^($CU14+FaktorAlter)*$L14*$D14*0.5*(VLOOKUP($CU14-CX$103,Frauen!$G$9:$J$102,4)+VLOOKUP($CU14-CX$103+1,Frauen!$G$9:$J$102,4))*0.5*(VLOOKUP($CU14-CX$103,Frauen!$AZ$9:$BD$102,5)+VLOOKUP($CU14-CX$103+1,Frauen!$AZ$9:$BD$102,5)),RundDx)))</f>
        <v>2774015488</v>
      </c>
      <c r="CY14" s="25">
        <f>IF($CU14&gt;=RAM,"",IF($CU14-CY$103&lt;BeginnAlter,"",ROUND(v^($CU14+FaktorAlter)*$L14*$D14*0.5*(VLOOKUP($CU14-CY$103,Frauen!$G$9:$J$102,4)+VLOOKUP($CU14-CY$103+1,Frauen!$G$9:$J$102,4))*0.5*(VLOOKUP($CU14-CY$103,Frauen!$AZ$9:$BD$102,5)+VLOOKUP($CU14-CY$103+1,Frauen!$AZ$9:$BD$102,5)),RundDx)))</f>
        <v>2807569012</v>
      </c>
      <c r="CZ14" s="25">
        <f>IF($CU14&gt;=RAM,"",IF($CU14-CZ$103&lt;BeginnAlter,"",ROUND(v^($CU14+FaktorAlter)*$L14*$D14*0.5*(VLOOKUP($CU14-CZ$103,Frauen!$G$9:$J$102,4)+VLOOKUP($CU14-CZ$103+1,Frauen!$G$9:$J$102,4))*0.5*(VLOOKUP($CU14-CZ$103,Frauen!$AZ$9:$BD$102,5)+VLOOKUP($CU14-CZ$103+1,Frauen!$AZ$9:$BD$102,5)),RundDx)))</f>
        <v>2840429354</v>
      </c>
      <c r="DA14" s="25">
        <f>IF($CU14&gt;=RAM,"",IF($CU14-DA$103&lt;BeginnAlter,"",ROUND(v^($CU14+FaktorAlter)*$L14*$D14*0.5*(VLOOKUP($CU14-DA$103,Frauen!$G$9:$J$102,4)+VLOOKUP($CU14-DA$103+1,Frauen!$G$9:$J$102,4))*0.5*(VLOOKUP($CU14-DA$103,Frauen!$AZ$9:$BD$102,5)+VLOOKUP($CU14-DA$103+1,Frauen!$AZ$9:$BD$102,5)),RundDx)))</f>
        <v>2872606021</v>
      </c>
      <c r="DB14" s="25">
        <f>IF($CU14&gt;=RAM,"",IF($CU14-DB$103&lt;BeginnAlter,"",ROUND(v^($CU14+FaktorAlter)*$L14*$D14*0.5*(VLOOKUP($CU14-DB$103,Frauen!$G$9:$J$102,4)+VLOOKUP($CU14-DB$103+1,Frauen!$G$9:$J$102,4))*0.5*(VLOOKUP($CU14-DB$103,Frauen!$AZ$9:$BD$102,5)+VLOOKUP($CU14-DB$103+1,Frauen!$AZ$9:$BD$102,5)),RundDx)))</f>
        <v>2904157139</v>
      </c>
      <c r="DC14" s="25">
        <f>IF($CU14&gt;=RAM,"",IF($CU14-DC$103&lt;BeginnAlter,"",ROUND(v^($CU14+FaktorAlter)*$L14*$D14*0.5*(VLOOKUP($CU14-DC$103,Frauen!$G$9:$J$102,4)+VLOOKUP($CU14-DC$103+1,Frauen!$G$9:$J$102,4))*0.5*(VLOOKUP($CU14-DC$103,Frauen!$AZ$9:$BD$102,5)+VLOOKUP($CU14-DC$103+1,Frauen!$AZ$9:$BD$102,5)),RundDx)))</f>
        <v>2935093762</v>
      </c>
      <c r="DD14" s="25">
        <f>IF($CU14&gt;=RAM,"",IF($CU14-DD$103&lt;BeginnAlter,"",ROUND(v^($CU14+FaktorAlter)*$L14*$D14*0.5*(VLOOKUP($CU14-DD$103,Frauen!$G$9:$J$102,4)+VLOOKUP($CU14-DD$103+1,Frauen!$G$9:$J$102,4))*0.5*(VLOOKUP($CU14-DD$103,Frauen!$AZ$9:$BD$102,5)+VLOOKUP($CU14-DD$103+1,Frauen!$AZ$9:$BD$102,5)),RundDx)))</f>
        <v>2965379702</v>
      </c>
      <c r="DE14" s="25">
        <f>IF($CU14&gt;=RAM,"",IF($CU14-DE$103&lt;BeginnAlter,"",ROUND(v^($CU14+FaktorAlter)*$L14*$D14*0.5*(VLOOKUP($CU14-DE$103,Frauen!$G$9:$J$102,4)+VLOOKUP($CU14-DE$103+1,Frauen!$G$9:$J$102,4))*0.5*(VLOOKUP($CU14-DE$103,Frauen!$AZ$9:$BD$102,5)+VLOOKUP($CU14-DE$103+1,Frauen!$AZ$9:$BD$102,5)),RundDx)))</f>
        <v>2995012252</v>
      </c>
      <c r="DF14" s="25">
        <f>IF($CU14&gt;=RAM,"",IF($CU14-DF$103&lt;BeginnAlter,"",ROUND(v^($CU14+FaktorAlter)*$L14*$D14*0.5*(VLOOKUP($CU14-DF$103,Frauen!$G$9:$J$102,4)+VLOOKUP($CU14-DF$103+1,Frauen!$G$9:$J$102,4))*0.5*(VLOOKUP($CU14-DF$103,Frauen!$AZ$9:$BD$102,5)+VLOOKUP($CU14-DF$103+1,Frauen!$AZ$9:$BD$102,5)),RundDx)))</f>
        <v>3024021589</v>
      </c>
      <c r="DG14" s="25">
        <f>IF($CU14&gt;=RAM,"",IF($CU14-DG$103&lt;BeginnAlter,"",ROUND(v^($CU14+FaktorAlter)*$L14*$D14*0.5*(VLOOKUP($CU14-DG$103,Frauen!$G$9:$J$102,4)+VLOOKUP($CU14-DG$103+1,Frauen!$G$9:$J$102,4))*0.5*(VLOOKUP($CU14-DG$103,Frauen!$AZ$9:$BD$102,5)+VLOOKUP($CU14-DG$103+1,Frauen!$AZ$9:$BD$102,5)),RundDx)))</f>
        <v>3052485502</v>
      </c>
      <c r="DH14" s="25">
        <f>IF($CU14&gt;=RAM,"",IF($CU14-DH$103&lt;BeginnAlter,"",ROUND(v^($CU14+FaktorAlter)*$L14*$D14*0.5*(VLOOKUP($CU14-DH$103,Frauen!$G$9:$J$102,4)+VLOOKUP($CU14-DH$103+1,Frauen!$G$9:$J$102,4))*0.5*(VLOOKUP($CU14-DH$103,Frauen!$AZ$9:$BD$102,5)+VLOOKUP($CU14-DH$103+1,Frauen!$AZ$9:$BD$102,5)),RundDx)))</f>
        <v>3080337464</v>
      </c>
      <c r="DI14" s="25">
        <f>IF($CU14&gt;=RAM,"",IF($CU14-DI$103&lt;BeginnAlter,"",ROUND(v^($CU14+FaktorAlter)*$L14*$D14*0.5*(VLOOKUP($CU14-DI$103,Frauen!$G$9:$J$102,4)+VLOOKUP($CU14-DI$103+1,Frauen!$G$9:$J$102,4))*0.5*(VLOOKUP($CU14-DI$103,Frauen!$AZ$9:$BD$102,5)+VLOOKUP($CU14-DI$103+1,Frauen!$AZ$9:$BD$102,5)),RundDx)))</f>
        <v>3107606494</v>
      </c>
      <c r="DJ14" s="25">
        <f>IF($CU14&gt;=RAM,"",IF($CU14-DJ$103&lt;BeginnAlter,"",ROUND(v^($CU14+FaktorAlter)*$L14*$D14*0.5*(VLOOKUP($CU14-DJ$103,Frauen!$G$9:$J$102,4)+VLOOKUP($CU14-DJ$103+1,Frauen!$G$9:$J$102,4))*0.5*(VLOOKUP($CU14-DJ$103,Frauen!$AZ$9:$BD$102,5)+VLOOKUP($CU14-DJ$103+1,Frauen!$AZ$9:$BD$102,5)),RundDx)))</f>
        <v>3134336962</v>
      </c>
      <c r="DK14" s="25">
        <f>IF($CU14&gt;=RAM,"",IF($CU14-DK$103&lt;BeginnAlter,"",ROUND(v^($CU14+FaktorAlter)*$L14*$D14*0.5*(VLOOKUP($CU14-DK$103,Frauen!$G$9:$J$102,4)+VLOOKUP($CU14-DK$103+1,Frauen!$G$9:$J$102,4))*0.5*(VLOOKUP($CU14-DK$103,Frauen!$AZ$9:$BD$102,5)+VLOOKUP($CU14-DK$103+1,Frauen!$AZ$9:$BD$102,5)),RundDx)))</f>
        <v>3160509536</v>
      </c>
      <c r="DL14" s="25">
        <f>IF($CU14&gt;=RAM,"",IF($CU14-DL$103&lt;BeginnAlter,"",ROUND(v^($CU14+FaktorAlter)*$L14*$D14*0.5*(VLOOKUP($CU14-DL$103,Frauen!$G$9:$J$102,4)+VLOOKUP($CU14-DL$103+1,Frauen!$G$9:$J$102,4))*0.5*(VLOOKUP($CU14-DL$103,Frauen!$AZ$9:$BD$102,5)+VLOOKUP($CU14-DL$103+1,Frauen!$AZ$9:$BD$102,5)),RundDx)))</f>
        <v>3186152561</v>
      </c>
      <c r="DM14" s="25">
        <f>IF($CU14&gt;=RAM,"",IF($CU14-DM$103&lt;BeginnAlter,"",ROUND(v^($CU14+FaktorAlter)*$L14*$D14*0.5*(VLOOKUP($CU14-DM$103,Frauen!$G$9:$J$102,4)+VLOOKUP($CU14-DM$103+1,Frauen!$G$9:$J$102,4))*0.5*(VLOOKUP($CU14-DM$103,Frauen!$AZ$9:$BD$102,5)+VLOOKUP($CU14-DM$103+1,Frauen!$AZ$9:$BD$102,5)),RundDx)))</f>
        <v>3211213950</v>
      </c>
      <c r="DN14" s="25">
        <f>IF($CU14&gt;=RAM,"",IF($CU14-DN$103&lt;BeginnAlter,"",ROUND(v^($CU14+FaktorAlter)*$L14*$D14*0.5*(VLOOKUP($CU14-DN$103,Frauen!$G$9:$J$102,4)+VLOOKUP($CU14-DN$103+1,Frauen!$G$9:$J$102,4))*0.5*(VLOOKUP($CU14-DN$103,Frauen!$AZ$9:$BD$102,5)+VLOOKUP($CU14-DN$103+1,Frauen!$AZ$9:$BD$102,5)),RundDx)))</f>
        <v>3235705974</v>
      </c>
      <c r="DO14" s="25">
        <f>IF($CU14&gt;=RAM,"",IF($CU14-DO$103&lt;BeginnAlter,"",ROUND(v^($CU14+FaktorAlter)*$L14*$D14*0.5*(VLOOKUP($CU14-DO$103,Frauen!$G$9:$J$102,4)+VLOOKUP($CU14-DO$103+1,Frauen!$G$9:$J$102,4))*0.5*(VLOOKUP($CU14-DO$103,Frauen!$AZ$9:$BD$102,5)+VLOOKUP($CU14-DO$103+1,Frauen!$AZ$9:$BD$102,5)),RundDx)))</f>
        <v>3259722196</v>
      </c>
      <c r="DP14" s="25">
        <f>IF($CU14&gt;=RAM,"",IF($CU14-DP$103&lt;BeginnAlter,"",ROUND(v^($CU14+FaktorAlter)*$L14*$D14*0.5*(VLOOKUP($CU14-DP$103,Frauen!$G$9:$J$102,4)+VLOOKUP($CU14-DP$103+1,Frauen!$G$9:$J$102,4))*0.5*(VLOOKUP($CU14-DP$103,Frauen!$AZ$9:$BD$102,5)+VLOOKUP($CU14-DP$103+1,Frauen!$AZ$9:$BD$102,5)),RundDx)))</f>
        <v>3283213421</v>
      </c>
      <c r="DQ14" s="25" t="str">
        <f>IF($CU14&gt;=RAM,"",IF($CU14-DQ$103&lt;BeginnAlter,"",ROUND(v^($CU14+FaktorAlter)*$L14*$D14*0.5*(VLOOKUP($CU14-DQ$103,Frauen!$G$9:$J$102,4)+VLOOKUP($CU14-DQ$103+1,Frauen!$G$9:$J$102,4))*0.5*(VLOOKUP($CU14-DQ$103,Frauen!$AZ$9:$BD$102,5)+VLOOKUP($CU14-DQ$103+1,Frauen!$AZ$9:$BD$102,5)),RundDx)))</f>
        <v/>
      </c>
      <c r="DR14" s="25" t="str">
        <f>IF($CU14&gt;=RAM,"",IF($CU14-DR$103&lt;BeginnAlter,"",ROUND(v^($CU14+FaktorAlter)*$L14*$D14*0.5*(VLOOKUP($CU14-DR$103,Frauen!$G$9:$J$102,4)+VLOOKUP($CU14-DR$103+1,Frauen!$G$9:$J$102,4))*0.5*(VLOOKUP($CU14-DR$103,Frauen!$AZ$9:$BD$102,5)+VLOOKUP($CU14-DR$103+1,Frauen!$AZ$9:$BD$102,5)),RundDx)))</f>
        <v/>
      </c>
      <c r="DS14" s="25" t="str">
        <f>IF($CU14&gt;=RAM,"",IF($CU14-DS$103&lt;BeginnAlter,"",ROUND(v^($CU14+FaktorAlter)*$L14*$D14*0.5*(VLOOKUP($CU14-DS$103,Frauen!$G$9:$J$102,4)+VLOOKUP($CU14-DS$103+1,Frauen!$G$9:$J$102,4))*0.5*(VLOOKUP($CU14-DS$103,Frauen!$AZ$9:$BD$102,5)+VLOOKUP($CU14-DS$103+1,Frauen!$AZ$9:$BD$102,5)),RundDx)))</f>
        <v/>
      </c>
      <c r="DT14" s="25" t="str">
        <f>IF($CU14&gt;=RAM,"",IF($CU14-DT$103&lt;BeginnAlter,"",ROUND(v^($CU14+FaktorAlter)*$L14*$D14*0.5*(VLOOKUP($CU14-DT$103,Frauen!$G$9:$J$102,4)+VLOOKUP($CU14-DT$103+1,Frauen!$G$9:$J$102,4))*0.5*(VLOOKUP($CU14-DT$103,Frauen!$AZ$9:$BD$102,5)+VLOOKUP($CU14-DT$103+1,Frauen!$AZ$9:$BD$102,5)),RundDx)))</f>
        <v/>
      </c>
      <c r="DU14" s="25" t="str">
        <f>IF($CU14&gt;=RAM,"",IF($CU14-DU$103&lt;BeginnAlter,"",ROUND(v^($CU14+FaktorAlter)*$L14*$D14*0.5*(VLOOKUP($CU14-DU$103,Frauen!$G$9:$J$102,4)+VLOOKUP($CU14-DU$103+1,Frauen!$G$9:$J$102,4))*0.5*(VLOOKUP($CU14-DU$103,Frauen!$AZ$9:$BD$102,5)+VLOOKUP($CU14-DU$103+1,Frauen!$AZ$9:$BD$102,5)),RundDx)))</f>
        <v/>
      </c>
      <c r="DV14" s="25" t="str">
        <f>IF($CU14&gt;=RAM,"",IF($CU14-DV$103&lt;BeginnAlter,"",ROUND(v^($CU14+FaktorAlter)*$L14*$D14*0.5*(VLOOKUP($CU14-DV$103,Frauen!$G$9:$J$102,4)+VLOOKUP($CU14-DV$103+1,Frauen!$G$9:$J$102,4))*0.5*(VLOOKUP($CU14-DV$103,Frauen!$AZ$9:$BD$102,5)+VLOOKUP($CU14-DV$103+1,Frauen!$AZ$9:$BD$102,5)),RundDx)))</f>
        <v/>
      </c>
      <c r="DW14" s="25" t="str">
        <f>IF($CU14&gt;=RAM,"",IF($CU14-DW$103&lt;BeginnAlter,"",ROUND(v^($CU14+FaktorAlter)*$L14*$D14*0.5*(VLOOKUP($CU14-DW$103,Frauen!$G$9:$J$102,4)+VLOOKUP($CU14-DW$103+1,Frauen!$G$9:$J$102,4))*0.5*(VLOOKUP($CU14-DW$103,Frauen!$AZ$9:$BD$102,5)+VLOOKUP($CU14-DW$103+1,Frauen!$AZ$9:$BD$102,5)),RundDx)))</f>
        <v/>
      </c>
      <c r="DX14" s="25" t="str">
        <f>IF($CU14&gt;=RAM,"",IF($CU14-DX$103&lt;BeginnAlter,"",ROUND(v^($CU14+FaktorAlter)*$L14*$D14*0.5*(VLOOKUP($CU14-DX$103,Frauen!$G$9:$J$102,4)+VLOOKUP($CU14-DX$103+1,Frauen!$G$9:$J$102,4))*0.5*(VLOOKUP($CU14-DX$103,Frauen!$AZ$9:$BD$102,5)+VLOOKUP($CU14-DX$103+1,Frauen!$AZ$9:$BD$102,5)),RundDx)))</f>
        <v/>
      </c>
      <c r="DY14" s="25" t="str">
        <f>IF($CU14&gt;=RAM,"",IF($CU14-DY$103&lt;BeginnAlter,"",ROUND(v^($CU14+FaktorAlter)*$L14*$D14*0.5*(VLOOKUP($CU14-DY$103,Frauen!$G$9:$J$102,4)+VLOOKUP($CU14-DY$103+1,Frauen!$G$9:$J$102,4))*0.5*(VLOOKUP($CU14-DY$103,Frauen!$AZ$9:$BD$102,5)+VLOOKUP($CU14-DY$103+1,Frauen!$AZ$9:$BD$102,5)),RundDx)))</f>
        <v/>
      </c>
      <c r="DZ14" s="25" t="str">
        <f>IF($CU14&gt;=RAM,"",IF($CU14-DZ$103&lt;BeginnAlter,"",ROUND(v^($CU14+FaktorAlter)*$L14*$D14*0.5*(VLOOKUP($CU14-DZ$103,Frauen!$G$9:$J$102,4)+VLOOKUP($CU14-DZ$103+1,Frauen!$G$9:$J$102,4))*0.5*(VLOOKUP($CU14-DZ$103,Frauen!$AZ$9:$BD$102,5)+VLOOKUP($CU14-DZ$103+1,Frauen!$AZ$9:$BD$102,5)),RundDx)))</f>
        <v/>
      </c>
      <c r="EA14" s="43">
        <f>IF($CU14&gt;=RAM,"",IF($CU14-EA$103&lt;BeginnAlter,"",ROUND((SUM(CV14:CV$56)+SUM(FN$9:FN$56))/VLOOKUP($CU14,$AH$9:$AI$102,2)/VLOOKUP($CU14-EA$103,Frauen!$G$9:$J$102,4),Rundäx)))</f>
        <v>7.2789999999999999</v>
      </c>
      <c r="EB14" s="43">
        <f>IF($CU14&gt;=RAM,"",IF($CU14-EB$103&lt;BeginnAlter,"",ROUND((SUM(CW14:CW$56)+SUM(FO$9:FO$56))/VLOOKUP($CU14,$AH$9:$AI$102,2)/VLOOKUP($CU14-EB$103,Frauen!$G$9:$J$102,4),Rundäx)))</f>
        <v>7.476</v>
      </c>
      <c r="EC14" s="43">
        <f>IF($CU14&gt;=RAM,"",IF($CU14-EC$103&lt;BeginnAlter,"",ROUND((SUM(CX14:CX$56)+SUM(FP$9:FP$56))/VLOOKUP($CU14,$AH$9:$AI$102,2)/VLOOKUP($CU14-EC$103,Frauen!$G$9:$J$102,4),Rundäx)))</f>
        <v>7.673</v>
      </c>
      <c r="ED14" s="43">
        <f>IF($CU14&gt;=RAM,"",IF($CU14-ED$103&lt;BeginnAlter,"",ROUND((SUM(CY14:CY$56)+SUM(FQ$9:FQ$56))/VLOOKUP($CU14,$AH$9:$AI$102,2)/VLOOKUP($CU14-ED$103,Frauen!$G$9:$J$102,4),Rundäx)))</f>
        <v>7.87</v>
      </c>
      <c r="EE14" s="43">
        <f>IF($CU14&gt;=RAM,"",IF($CU14-EE$103&lt;BeginnAlter,"",ROUND((SUM(CZ14:CZ$56)+SUM(FR$9:FR$56))/VLOOKUP($CU14,$AH$9:$AI$102,2)/VLOOKUP($CU14-EE$103,Frauen!$G$9:$J$102,4),Rundäx)))</f>
        <v>8.0670000000000002</v>
      </c>
      <c r="EF14" s="43">
        <f>IF($CU14&gt;=RAM,"",IF($CU14-EF$103&lt;BeginnAlter,"",ROUND((SUM(DA14:DA$56)+SUM(FS$9:FS$56))/VLOOKUP($CU14,$AH$9:$AI$102,2)/VLOOKUP($CU14-EF$103,Frauen!$G$9:$J$102,4),Rundäx)))</f>
        <v>8.2639999999999993</v>
      </c>
      <c r="EG14" s="43">
        <f>IF($CU14&gt;=RAM,"",IF($CU14-EG$103&lt;BeginnAlter,"",ROUND((SUM(DB14:DB$56)+SUM(FT$9:FT$56))/VLOOKUP($CU14,$AH$9:$AI$102,2)/VLOOKUP($CU14-EG$103,Frauen!$G$9:$J$102,4),Rundäx)))</f>
        <v>8.4610000000000003</v>
      </c>
      <c r="EH14" s="43">
        <f>IF($CU14&gt;=RAM,"",IF($CU14-EH$103&lt;BeginnAlter,"",ROUND((SUM(DC14:DC$56)+SUM(FU$9:FU$56))/VLOOKUP($CU14,$AH$9:$AI$102,2)/VLOOKUP($CU14-EH$103,Frauen!$G$9:$J$102,4),Rundäx)))</f>
        <v>8.6579999999999995</v>
      </c>
      <c r="EI14" s="86"/>
      <c r="EJ14" s="35">
        <f t="shared" ref="EJ14:EJ76" si="60">1+EJ13</f>
        <v>22</v>
      </c>
      <c r="EK14" s="43">
        <f>IF($CU14&gt;=RAM,"",IF($CU14-EK$103&lt;BeginnAlter,"",ROUND((SUM(DD14:DD$56)+SUM(FV$9:FV$56))/VLOOKUP($CU14,$AH$9:$AI$102,2)/VLOOKUP($CU14-EK$103,Frauen!$G$9:$J$102,4),Rundäx)))</f>
        <v>8.8539999999999992</v>
      </c>
      <c r="EL14" s="43">
        <f>IF($CU14&gt;=RAM,"",IF($CU14-EL$103&lt;BeginnAlter,"",ROUND((SUM(DE14:DE$56)+SUM(FW$9:FW$56))/VLOOKUP($CU14,$AH$9:$AI$102,2)/VLOOKUP($CU14-EL$103,Frauen!$G$9:$J$102,4),Rundäx)))</f>
        <v>9.0510000000000002</v>
      </c>
      <c r="EM14" s="43">
        <f>IF($CU14&gt;=RAM,"",IF($CU14-EM$103&lt;BeginnAlter,"",ROUND((SUM(DF14:DF$56)+SUM(FX$9:FX$56))/VLOOKUP($CU14,$AH$9:$AI$102,2)/VLOOKUP($CU14-EM$103,Frauen!$G$9:$J$102,4),Rundäx)))</f>
        <v>9.2469999999999999</v>
      </c>
      <c r="EN14" s="43">
        <f>IF($CU14&gt;=RAM,"",IF($CU14-EN$103&lt;BeginnAlter,"",ROUND((SUM(DG14:DG$56)+SUM(FY$9:FY$56))/VLOOKUP($CU14,$AH$9:$AI$102,2)/VLOOKUP($CU14-EN$103,Frauen!$G$9:$J$102,4),Rundäx)))</f>
        <v>9.4429999999999996</v>
      </c>
      <c r="EO14" s="43">
        <f>IF($CU14&gt;=RAM,"",IF($CU14-EO$103&lt;BeginnAlter,"",ROUND((SUM(DH14:DH$56)+SUM(FZ$9:FZ$56))/VLOOKUP($CU14,$AH$9:$AI$102,2)/VLOOKUP($CU14-EO$103,Frauen!$G$9:$J$102,4),Rundäx)))</f>
        <v>9.6389999999999993</v>
      </c>
      <c r="EP14" s="43">
        <f>IF($CU14&gt;=RAM,"",IF($CU14-EP$103&lt;BeginnAlter,"",ROUND((SUM(DI14:DI$56)+SUM(GA$9:GA$56))/VLOOKUP($CU14,$AH$9:$AI$102,2)/VLOOKUP($CU14-EP$103,Frauen!$G$9:$J$102,4),Rundäx)))</f>
        <v>9.8350000000000009</v>
      </c>
      <c r="EQ14" s="43">
        <f>IF($CU14&gt;=RAM,"",IF($CU14-EQ$103&lt;BeginnAlter,"",ROUND((SUM(DJ14:DJ$56)+SUM(GB$9:GB$56))/VLOOKUP($CU14,$AH$9:$AI$102,2)/VLOOKUP($CU14-EQ$103,Frauen!$G$9:$J$102,4),Rundäx)))</f>
        <v>10.031000000000001</v>
      </c>
      <c r="ER14" s="43">
        <f>IF($CU14&gt;=RAM,"",IF($CU14-ER$103&lt;BeginnAlter,"",ROUND((SUM(DK14:DK$56)+SUM(GC$9:GC$56))/VLOOKUP($CU14,$AH$9:$AI$102,2)/VLOOKUP($CU14-ER$103,Frauen!$G$9:$J$102,4),Rundäx)))</f>
        <v>10.227</v>
      </c>
      <c r="ES14" s="86"/>
      <c r="ET14" s="35">
        <f t="shared" ref="ET14:ET76" si="61">1+ET13</f>
        <v>22</v>
      </c>
      <c r="EU14" s="43">
        <f>IF($CU14&gt;=RAM,"",IF($CU14-EU$103&lt;BeginnAlter,"",ROUND((SUM(DL14:DL$56)+SUM(GD$9:GD$56))/VLOOKUP($CU14,$AH$9:$AI$102,2)/VLOOKUP($CU14-EU$103,Frauen!$G$9:$J$102,4),Rundäx)))</f>
        <v>10.422000000000001</v>
      </c>
      <c r="EV14" s="43">
        <f>IF($CU14&gt;=RAM,"",IF($CU14-EV$103&lt;BeginnAlter,"",ROUND((SUM(DM14:DM$56)+SUM(GE$9:GE$56))/VLOOKUP($CU14,$AH$9:$AI$102,2)/VLOOKUP($CU14-EV$103,Frauen!$G$9:$J$102,4),Rundäx)))</f>
        <v>10.617000000000001</v>
      </c>
      <c r="EW14" s="43">
        <f>IF($CU14&gt;=RAM,"",IF($CU14-EW$103&lt;BeginnAlter,"",ROUND((SUM(DN14:DN$56)+SUM(GF$9:GF$56))/VLOOKUP($CU14,$AH$9:$AI$102,2)/VLOOKUP($CU14-EW$103,Frauen!$G$9:$J$102,4),Rundäx)))</f>
        <v>10.811999999999999</v>
      </c>
      <c r="EX14" s="43">
        <f>IF($CU14&gt;=RAM,"",IF($CU14-EX$103&lt;BeginnAlter,"",ROUND((SUM(DO14:DO$56)+SUM(GG$9:GG$56))/VLOOKUP($CU14,$AH$9:$AI$102,2)/VLOOKUP($CU14-EX$103,Frauen!$G$9:$J$102,4),Rundäx)))</f>
        <v>11.005000000000001</v>
      </c>
      <c r="EY14" s="43">
        <f>IF($CU14&gt;=RAM,"",IF($CU14-EY$103&lt;BeginnAlter,"",ROUND((SUM(DP14:DP$56)+SUM(GH$9:GH$56))/VLOOKUP($CU14,$AH$9:$AI$102,2)/VLOOKUP($CU14-EY$103,Frauen!$G$9:$J$102,4),Rundäx)))</f>
        <v>11.198</v>
      </c>
      <c r="EZ14" s="43" t="str">
        <f>IF($CU14&gt;=RAM,"",IF($CU14-EZ$103&lt;BeginnAlter,"",ROUND((SUM(DQ14:DQ$56)+SUM(GI$9:GI$56))/VLOOKUP($CU14,$AH$9:$AI$102,2)/VLOOKUP($CU14-EZ$103,Frauen!$G$9:$J$102,4),Rundäx)))</f>
        <v/>
      </c>
      <c r="FA14" s="43" t="str">
        <f>IF($CU14&gt;=RAM,"",IF($CU14-FA$103&lt;BeginnAlter,"",ROUND((SUM(DR14:DR$56)+SUM(GJ$9:GJ$56))/VLOOKUP($CU14,$AH$9:$AI$102,2)/VLOOKUP($CU14-FA$103,Frauen!$G$9:$J$102,4),Rundäx)))</f>
        <v/>
      </c>
      <c r="FB14" s="43" t="str">
        <f>IF($CU14&gt;=RAM,"",IF($CU14-FB$103&lt;BeginnAlter,"",ROUND((SUM(DS14:DS$56)+SUM(GK$9:GK$56))/VLOOKUP($CU14,$AH$9:$AI$102,2)/VLOOKUP($CU14-FB$103,Frauen!$G$9:$J$102,4),Rundäx)))</f>
        <v/>
      </c>
      <c r="FC14" s="86"/>
      <c r="FD14" s="35">
        <f t="shared" ref="FD14:FD76" si="62">1+FD13</f>
        <v>22</v>
      </c>
      <c r="FE14" s="43" t="str">
        <f>IF($CU14&gt;=RAM,"",IF($CU14-FE$103&lt;BeginnAlter,"",ROUND((SUM(DT14:DT$56)+SUM(GL$9:GL$56))/VLOOKUP($CU14,$AH$9:$AI$102,2)/VLOOKUP($CU14-FE$103,Frauen!$G$9:$J$102,4),Rundäx)))</f>
        <v/>
      </c>
      <c r="FF14" s="43" t="str">
        <f>IF($CU14&gt;=RAM,"",IF($CU14-FF$103&lt;BeginnAlter,"",ROUND((SUM(DU14:DU$56)+SUM(GM$9:GM$56))/VLOOKUP($CU14,$AH$9:$AI$102,2)/VLOOKUP($CU14-FF$103,Frauen!$G$9:$J$102,4),Rundäx)))</f>
        <v/>
      </c>
      <c r="FG14" s="43" t="str">
        <f>IF($CU14&gt;=RAM,"",IF($CU14-FG$103&lt;BeginnAlter,"",ROUND((SUM(DV14:DV$56)+SUM(GN$9:GN$56))/VLOOKUP($CU14,$AH$9:$AI$102,2)/VLOOKUP($CU14-FG$103,Frauen!$G$9:$J$102,4),Rundäx)))</f>
        <v/>
      </c>
      <c r="FH14" s="43" t="str">
        <f>IF($CU14&gt;=RAM,"",IF($CU14-FH$103&lt;BeginnAlter,"",ROUND((SUM(DW14:DW$56)+SUM(GO$9:GO$56))/VLOOKUP($CU14,$AH$9:$AI$102,2)/VLOOKUP($CU14-FH$103,Frauen!$G$9:$J$102,4),Rundäx)))</f>
        <v/>
      </c>
      <c r="FI14" s="43" t="str">
        <f>IF($CU14&gt;=RAM,"",IF($CU14-FI$103&lt;BeginnAlter,"",ROUND((SUM(DX14:DX$56)+SUM(GP$9:GP$56))/VLOOKUP($CU14,$AH$9:$AI$102,2)/VLOOKUP($CU14-FI$103,Frauen!$G$9:$J$102,4),Rundäx)))</f>
        <v/>
      </c>
      <c r="FJ14" s="43" t="str">
        <f>IF($CU14&gt;=RAM,"",IF($CU14-FJ$103&lt;BeginnAlter,"",ROUND((SUM(DY14:DY$56)+SUM(GQ$9:GQ$56))/VLOOKUP($CU14,$AH$9:$AI$102,2)/VLOOKUP($CU14-FJ$103,Frauen!$G$9:$J$102,4),Rundäx)))</f>
        <v/>
      </c>
      <c r="FK14" s="43" t="str">
        <f>IF($CU14&gt;=RAM,"",IF($CU14-FK$103&lt;BeginnAlter,"",ROUND((SUM(DZ14:DZ$56)+SUM(GR$9:GR$56))/VLOOKUP($CU14,$AH$9:$AI$102,2)/VLOOKUP($CU14-FK$103,Frauen!$G$9:$J$102,4),Rundäx)))</f>
        <v/>
      </c>
      <c r="FL14" s="86"/>
      <c r="FM14" s="35">
        <f>1+FM13</f>
        <v>70</v>
      </c>
      <c r="FN14" s="25">
        <f>ROUND(v^($FM14+FaktorAlter)*VLOOKUP($FM14,$G$9:$J$102,4)*VLOOKUP($FM14,$A$9:$E$102,5)*0.5*(VLOOKUP($FM14-FN$103,Frauen!$G$9:$J$102,4)+VLOOKUP($FM14-FN$103+1,Frauen!$G$9:$J$102,4))*0.5*(VLOOKUP($FM14-FN$103,Frauen!$AZ$9:$BD$102,5)+VLOOKUP($FM14-FN$103+1,Frauen!$AZ$9:$BD$102,5)),RundDx)</f>
        <v>110797047</v>
      </c>
      <c r="FO14" s="25">
        <f>ROUND(v^($FM14+FaktorAlter)*VLOOKUP($FM14,$G$9:$J$102,4)*VLOOKUP($FM14,$A$9:$E$102,5)*0.5*(VLOOKUP($FM14-FO$103,Frauen!$G$9:$J$102,4)+VLOOKUP($FM14-FO$103+1,Frauen!$G$9:$J$102,4))*0.5*(VLOOKUP($FM14-FO$103,Frauen!$AZ$9:$BD$102,5)+VLOOKUP($FM14-FO$103+1,Frauen!$AZ$9:$BD$102,5)),RundDx)</f>
        <v>129024851</v>
      </c>
      <c r="FP14" s="25">
        <f>ROUND(v^($FM14+FaktorAlter)*VLOOKUP($FM14,$G$9:$J$102,4)*VLOOKUP($FM14,$A$9:$E$102,5)*0.5*(VLOOKUP($FM14-FP$103,Frauen!$G$9:$J$102,4)+VLOOKUP($FM14-FP$103+1,Frauen!$G$9:$J$102,4))*0.5*(VLOOKUP($FM14-FP$103,Frauen!$AZ$9:$BD$102,5)+VLOOKUP($FM14-FP$103+1,Frauen!$AZ$9:$BD$102,5)),RundDx)</f>
        <v>148255323</v>
      </c>
      <c r="FQ14" s="25">
        <f>ROUND(v^($FM14+FaktorAlter)*VLOOKUP($FM14,$G$9:$J$102,4)*VLOOKUP($FM14,$A$9:$E$102,5)*0.5*(VLOOKUP($FM14-FQ$103,Frauen!$G$9:$J$102,4)+VLOOKUP($FM14-FQ$103+1,Frauen!$G$9:$J$102,4))*0.5*(VLOOKUP($FM14-FQ$103,Frauen!$AZ$9:$BD$102,5)+VLOOKUP($FM14-FQ$103+1,Frauen!$AZ$9:$BD$102,5)),RundDx)</f>
        <v>168276920</v>
      </c>
      <c r="FR14" s="25">
        <f>ROUND(v^($FM14+FaktorAlter)*VLOOKUP($FM14,$G$9:$J$102,4)*VLOOKUP($FM14,$A$9:$E$102,5)*0.5*(VLOOKUP($FM14-FR$103,Frauen!$G$9:$J$102,4)+VLOOKUP($FM14-FR$103+1,Frauen!$G$9:$J$102,4))*0.5*(VLOOKUP($FM14-FR$103,Frauen!$AZ$9:$BD$102,5)+VLOOKUP($FM14-FR$103+1,Frauen!$AZ$9:$BD$102,5)),RundDx)</f>
        <v>188889808</v>
      </c>
      <c r="FS14" s="25">
        <f>ROUND(v^($FM14+FaktorAlter)*VLOOKUP($FM14,$G$9:$J$102,4)*VLOOKUP($FM14,$A$9:$E$102,5)*0.5*(VLOOKUP($FM14-FS$103,Frauen!$G$9:$J$102,4)+VLOOKUP($FM14-FS$103+1,Frauen!$G$9:$J$102,4))*0.5*(VLOOKUP($FM14-FS$103,Frauen!$AZ$9:$BD$102,5)+VLOOKUP($FM14-FS$103+1,Frauen!$AZ$9:$BD$102,5)),RundDx)</f>
        <v>209957828</v>
      </c>
      <c r="FT14" s="25">
        <f>ROUND(v^($FM14+FaktorAlter)*VLOOKUP($FM14,$G$9:$J$102,4)*VLOOKUP($FM14,$A$9:$E$102,5)*0.5*(VLOOKUP($FM14-FT$103,Frauen!$G$9:$J$102,4)+VLOOKUP($FM14-FT$103+1,Frauen!$G$9:$J$102,4))*0.5*(VLOOKUP($FM14-FT$103,Frauen!$AZ$9:$BD$102,5)+VLOOKUP($FM14-FT$103+1,Frauen!$AZ$9:$BD$102,5)),RundDx)</f>
        <v>231414168</v>
      </c>
      <c r="FU14" s="25">
        <f>ROUND(v^($FM14+FaktorAlter)*VLOOKUP($FM14,$G$9:$J$102,4)*VLOOKUP($FM14,$A$9:$E$102,5)*0.5*(VLOOKUP($FM14-FU$103,Frauen!$G$9:$J$102,4)+VLOOKUP($FM14-FU$103+1,Frauen!$G$9:$J$102,4))*0.5*(VLOOKUP($FM14-FU$103,Frauen!$AZ$9:$BD$102,5)+VLOOKUP($FM14-FU$103+1,Frauen!$AZ$9:$BD$102,5)),RundDx)</f>
        <v>253167836</v>
      </c>
      <c r="FV14" s="25">
        <f>ROUND(v^($FM14+FaktorAlter)*VLOOKUP($FM14,$G$9:$J$102,4)*VLOOKUP($FM14,$A$9:$E$102,5)*0.5*(VLOOKUP($FM14-FV$103,Frauen!$G$9:$J$102,4)+VLOOKUP($FM14-FV$103+1,Frauen!$G$9:$J$102,4))*0.5*(VLOOKUP($FM14-FV$103,Frauen!$AZ$9:$BD$102,5)+VLOOKUP($FM14-FV$103+1,Frauen!$AZ$9:$BD$102,5)),RundDx)</f>
        <v>275200973</v>
      </c>
      <c r="FW14" s="25">
        <f>ROUND(v^($FM14+FaktorAlter)*VLOOKUP($FM14,$G$9:$J$102,4)*VLOOKUP($FM14,$A$9:$E$102,5)*0.5*(VLOOKUP($FM14-FW$103,Frauen!$G$9:$J$102,4)+VLOOKUP($FM14-FW$103+1,Frauen!$G$9:$J$102,4))*0.5*(VLOOKUP($FM14-FW$103,Frauen!$AZ$9:$BD$102,5)+VLOOKUP($FM14-FW$103+1,Frauen!$AZ$9:$BD$102,5)),RundDx)</f>
        <v>297567358</v>
      </c>
      <c r="FX14" s="25">
        <f>ROUND(v^($FM14+FaktorAlter)*VLOOKUP($FM14,$G$9:$J$102,4)*VLOOKUP($FM14,$A$9:$E$102,5)*0.5*(VLOOKUP($FM14-FX$103,Frauen!$G$9:$J$102,4)+VLOOKUP($FM14-FX$103+1,Frauen!$G$9:$J$102,4))*0.5*(VLOOKUP($FM14-FX$103,Frauen!$AZ$9:$BD$102,5)+VLOOKUP($FM14-FX$103+1,Frauen!$AZ$9:$BD$102,5)),RundDx)</f>
        <v>320288768</v>
      </c>
      <c r="FY14" s="25">
        <f>ROUND(v^($FM14+FaktorAlter)*VLOOKUP($FM14,$G$9:$J$102,4)*VLOOKUP($FM14,$A$9:$E$102,5)*0.5*(VLOOKUP($FM14-FY$103,Frauen!$G$9:$J$102,4)+VLOOKUP($FM14-FY$103+1,Frauen!$G$9:$J$102,4))*0.5*(VLOOKUP($FM14-FY$103,Frauen!$AZ$9:$BD$102,5)+VLOOKUP($FM14-FY$103+1,Frauen!$AZ$9:$BD$102,5)),RundDx)</f>
        <v>343435488</v>
      </c>
      <c r="FZ14" s="25">
        <f>ROUND(v^($FM14+FaktorAlter)*VLOOKUP($FM14,$G$9:$J$102,4)*VLOOKUP($FM14,$A$9:$E$102,5)*0.5*(VLOOKUP($FM14-FZ$103,Frauen!$G$9:$J$102,4)+VLOOKUP($FM14-FZ$103+1,Frauen!$G$9:$J$102,4))*0.5*(VLOOKUP($FM14-FZ$103,Frauen!$AZ$9:$BD$102,5)+VLOOKUP($FM14-FZ$103+1,Frauen!$AZ$9:$BD$102,5)),RundDx)</f>
        <v>367020531</v>
      </c>
      <c r="GA14" s="25">
        <f>ROUND(v^($FM14+FaktorAlter)*VLOOKUP($FM14,$G$9:$J$102,4)*VLOOKUP($FM14,$A$9:$E$102,5)*0.5*(VLOOKUP($FM14-GA$103,Frauen!$G$9:$J$102,4)+VLOOKUP($FM14-GA$103+1,Frauen!$G$9:$J$102,4))*0.5*(VLOOKUP($FM14-GA$103,Frauen!$AZ$9:$BD$102,5)+VLOOKUP($FM14-GA$103+1,Frauen!$AZ$9:$BD$102,5)),RundDx)</f>
        <v>390989675</v>
      </c>
      <c r="GB14" s="25">
        <f>ROUND(v^($FM14+FaktorAlter)*VLOOKUP($FM14,$G$9:$J$102,4)*VLOOKUP($FM14,$A$9:$E$102,5)*0.5*(VLOOKUP($FM14-GB$103,Frauen!$G$9:$J$102,4)+VLOOKUP($FM14-GB$103+1,Frauen!$G$9:$J$102,4))*0.5*(VLOOKUP($FM14-GB$103,Frauen!$AZ$9:$BD$102,5)+VLOOKUP($FM14-GB$103+1,Frauen!$AZ$9:$BD$102,5)),RundDx)</f>
        <v>415238149</v>
      </c>
      <c r="GC14" s="25">
        <f>ROUND(v^($FM14+FaktorAlter)*VLOOKUP($FM14,$G$9:$J$102,4)*VLOOKUP($FM14,$A$9:$E$102,5)*0.5*(VLOOKUP($FM14-GC$103,Frauen!$G$9:$J$102,4)+VLOOKUP($FM14-GC$103+1,Frauen!$G$9:$J$102,4))*0.5*(VLOOKUP($FM14-GC$103,Frauen!$AZ$9:$BD$102,5)+VLOOKUP($FM14-GC$103+1,Frauen!$AZ$9:$BD$102,5)),RundDx)</f>
        <v>439591870</v>
      </c>
      <c r="GD14" s="25">
        <f>ROUND(v^($FM14+FaktorAlter)*VLOOKUP($FM14,$G$9:$J$102,4)*VLOOKUP($FM14,$A$9:$E$102,5)*0.5*(VLOOKUP($FM14-GD$103,Frauen!$G$9:$J$102,4)+VLOOKUP($FM14-GD$103+1,Frauen!$G$9:$J$102,4))*0.5*(VLOOKUP($FM14-GD$103,Frauen!$AZ$9:$BD$102,5)+VLOOKUP($FM14-GD$103+1,Frauen!$AZ$9:$BD$102,5)),RundDx)</f>
        <v>463983023</v>
      </c>
      <c r="GE14" s="25">
        <f>ROUND(v^($FM14+FaktorAlter)*VLOOKUP($FM14,$G$9:$J$102,4)*VLOOKUP($FM14,$A$9:$E$102,5)*0.5*(VLOOKUP($FM14-GE$103,Frauen!$G$9:$J$102,4)+VLOOKUP($FM14-GE$103+1,Frauen!$G$9:$J$102,4))*0.5*(VLOOKUP($FM14-GE$103,Frauen!$AZ$9:$BD$102,5)+VLOOKUP($FM14-GE$103+1,Frauen!$AZ$9:$BD$102,5)),RundDx)</f>
        <v>488366764</v>
      </c>
      <c r="GF14" s="25">
        <f>ROUND(v^($FM14+FaktorAlter)*VLOOKUP($FM14,$G$9:$J$102,4)*VLOOKUP($FM14,$A$9:$E$102,5)*0.5*(VLOOKUP($FM14-GF$103,Frauen!$G$9:$J$102,4)+VLOOKUP($FM14-GF$103+1,Frauen!$G$9:$J$102,4))*0.5*(VLOOKUP($FM14-GF$103,Frauen!$AZ$9:$BD$102,5)+VLOOKUP($FM14-GF$103+1,Frauen!$AZ$9:$BD$102,5)),RundDx)</f>
        <v>512577630</v>
      </c>
      <c r="GG14" s="25">
        <f>ROUND(v^($FM14+FaktorAlter)*VLOOKUP($FM14,$G$9:$J$102,4)*VLOOKUP($FM14,$A$9:$E$102,5)*0.5*(VLOOKUP($FM14-GG$103,Frauen!$G$9:$J$102,4)+VLOOKUP($FM14-GG$103+1,Frauen!$G$9:$J$102,4))*0.5*(VLOOKUP($FM14-GG$103,Frauen!$AZ$9:$BD$102,5)+VLOOKUP($FM14-GG$103+1,Frauen!$AZ$9:$BD$102,5)),RundDx)</f>
        <v>536519891</v>
      </c>
      <c r="GH14" s="25">
        <f>ROUND(v^($FM14+FaktorAlter)*VLOOKUP($FM14,$G$9:$J$102,4)*VLOOKUP($FM14,$A$9:$E$102,5)*0.5*(VLOOKUP($FM14-GH$103,Frauen!$G$9:$J$102,4)+VLOOKUP($FM14-GH$103+1,Frauen!$G$9:$J$102,4))*0.5*(VLOOKUP($FM14-GH$103,Frauen!$AZ$9:$BD$102,5)+VLOOKUP($FM14-GH$103+1,Frauen!$AZ$9:$BD$102,5)),RundDx)</f>
        <v>560233459</v>
      </c>
      <c r="GI14" s="25">
        <f>ROUND(v^($FM14+FaktorAlter)*VLOOKUP($FM14,$G$9:$J$102,4)*VLOOKUP($FM14,$A$9:$E$102,5)*0.5*(VLOOKUP($FM14-GI$103,Frauen!$G$9:$J$102,4)+VLOOKUP($FM14-GI$103+1,Frauen!$G$9:$J$102,4))*0.5*(VLOOKUP($FM14-GI$103,Frauen!$AZ$9:$BD$102,5)+VLOOKUP($FM14-GI$103+1,Frauen!$AZ$9:$BD$102,5)),RundDx)</f>
        <v>583662517</v>
      </c>
      <c r="GJ14" s="25">
        <f>ROUND(v^($FM14+FaktorAlter)*VLOOKUP($FM14,$G$9:$J$102,4)*VLOOKUP($FM14,$A$9:$E$102,5)*0.5*(VLOOKUP($FM14-GJ$103,Frauen!$G$9:$J$102,4)+VLOOKUP($FM14-GJ$103+1,Frauen!$G$9:$J$102,4))*0.5*(VLOOKUP($FM14-GJ$103,Frauen!$AZ$9:$BD$102,5)+VLOOKUP($FM14-GJ$103+1,Frauen!$AZ$9:$BD$102,5)),RundDx)</f>
        <v>606668683</v>
      </c>
      <c r="GK14" s="25">
        <f>ROUND(v^($FM14+FaktorAlter)*VLOOKUP($FM14,$G$9:$J$102,4)*VLOOKUP($FM14,$A$9:$E$102,5)*0.5*(VLOOKUP($FM14-GK$103,Frauen!$G$9:$J$102,4)+VLOOKUP($FM14-GK$103+1,Frauen!$G$9:$J$102,4))*0.5*(VLOOKUP($FM14-GK$103,Frauen!$AZ$9:$BD$102,5)+VLOOKUP($FM14-GK$103+1,Frauen!$AZ$9:$BD$102,5)),RundDx)</f>
        <v>629239491</v>
      </c>
      <c r="GL14" s="25">
        <f>ROUND(v^($FM14+FaktorAlter)*VLOOKUP($FM14,$G$9:$J$102,4)*VLOOKUP($FM14,$A$9:$E$102,5)*0.5*(VLOOKUP($FM14-GL$103,Frauen!$G$9:$J$102,4)+VLOOKUP($FM14-GL$103+1,Frauen!$G$9:$J$102,4))*0.5*(VLOOKUP($FM14-GL$103,Frauen!$AZ$9:$BD$102,5)+VLOOKUP($FM14-GL$103+1,Frauen!$AZ$9:$BD$102,5)),RundDx)</f>
        <v>651433249</v>
      </c>
      <c r="GM14" s="25">
        <f>ROUND(v^($FM14+FaktorAlter)*VLOOKUP($FM14,$G$9:$J$102,4)*VLOOKUP($FM14,$A$9:$E$102,5)*0.5*(VLOOKUP($FM14-GM$103,Frauen!$G$9:$J$102,4)+VLOOKUP($FM14-GM$103+1,Frauen!$G$9:$J$102,4))*0.5*(VLOOKUP($FM14-GM$103,Frauen!$AZ$9:$BD$102,5)+VLOOKUP($FM14-GM$103+1,Frauen!$AZ$9:$BD$102,5)),RundDx)</f>
        <v>673220348</v>
      </c>
      <c r="GN14" s="25">
        <f>ROUND(v^($FM14+FaktorAlter)*VLOOKUP($FM14,$G$9:$J$102,4)*VLOOKUP($FM14,$A$9:$E$102,5)*0.5*(VLOOKUP($FM14-GN$103,Frauen!$G$9:$J$102,4)+VLOOKUP($FM14-GN$103+1,Frauen!$G$9:$J$102,4))*0.5*(VLOOKUP($FM14-GN$103,Frauen!$AZ$9:$BD$102,5)+VLOOKUP($FM14-GN$103+1,Frauen!$AZ$9:$BD$102,5)),RundDx)</f>
        <v>694594898</v>
      </c>
      <c r="GO14" s="25">
        <f>ROUND(v^($FM14+FaktorAlter)*VLOOKUP($FM14,$G$9:$J$102,4)*VLOOKUP($FM14,$A$9:$E$102,5)*0.5*(VLOOKUP($FM14-GO$103,Frauen!$G$9:$J$102,4)+VLOOKUP($FM14-GO$103+1,Frauen!$G$9:$J$102,4))*0.5*(VLOOKUP($FM14-GO$103,Frauen!$AZ$9:$BD$102,5)+VLOOKUP($FM14-GO$103+1,Frauen!$AZ$9:$BD$102,5)),RundDx)</f>
        <v>715601296</v>
      </c>
      <c r="GP14" s="25">
        <f>ROUND(v^($FM14+FaktorAlter)*VLOOKUP($FM14,$G$9:$J$102,4)*VLOOKUP($FM14,$A$9:$E$102,5)*0.5*(VLOOKUP($FM14-GP$103,Frauen!$G$9:$J$102,4)+VLOOKUP($FM14-GP$103+1,Frauen!$G$9:$J$102,4))*0.5*(VLOOKUP($FM14-GP$103,Frauen!$AZ$9:$BD$102,5)+VLOOKUP($FM14-GP$103+1,Frauen!$AZ$9:$BD$102,5)),RundDx)</f>
        <v>736305213</v>
      </c>
      <c r="GQ14" s="25">
        <f>ROUND(v^($FM14+FaktorAlter)*VLOOKUP($FM14,$G$9:$J$102,4)*VLOOKUP($FM14,$A$9:$E$102,5)*0.5*(VLOOKUP($FM14-GQ$103,Frauen!$G$9:$J$102,4)+VLOOKUP($FM14-GQ$103+1,Frauen!$G$9:$J$102,4))*0.5*(VLOOKUP($FM14-GQ$103,Frauen!$AZ$9:$BD$102,5)+VLOOKUP($FM14-GQ$103+1,Frauen!$AZ$9:$BD$102,5)),RundDx)</f>
        <v>756760994</v>
      </c>
      <c r="GR14" s="25">
        <f>ROUND(v^($FM14+FaktorAlter)*VLOOKUP($FM14,$G$9:$J$102,4)*VLOOKUP($FM14,$A$9:$E$102,5)*0.5*(VLOOKUP($FM14-GR$103,Frauen!$G$9:$J$102,4)+VLOOKUP($FM14-GR$103+1,Frauen!$G$9:$J$102,4))*0.5*(VLOOKUP($FM14-GR$103,Frauen!$AZ$9:$BD$102,5)+VLOOKUP($FM14-GR$103+1,Frauen!$AZ$9:$BD$102,5)),RundDx)</f>
        <v>777017340</v>
      </c>
      <c r="GS14" s="24">
        <f>ROUND(SUM(FN14:FN$56)/VLOOKUP($FM14,$AQ$9:$AR$102,2)/VLOOKUP($FM14-GS$103,Frauen!$G$9:$J$102,4),Rundäx)</f>
        <v>0.72099999999999997</v>
      </c>
      <c r="GT14" s="24">
        <f>ROUND(SUM(FO14:FO$56)/VLOOKUP($FM14,$AQ$9:$AR$102,2)/VLOOKUP($FM14-GT$103,Frauen!$G$9:$J$102,4),Rundäx)</f>
        <v>0.83499999999999996</v>
      </c>
      <c r="GU14" s="24">
        <f>ROUND(SUM(FP14:FP$56)/VLOOKUP($FM14,$AQ$9:$AR$102,2)/VLOOKUP($FM14-GU$103,Frauen!$G$9:$J$102,4),Rundäx)</f>
        <v>0.96499999999999997</v>
      </c>
      <c r="GV14" s="24">
        <f>ROUND(SUM(FQ14:FQ$56)/VLOOKUP($FM14,$AQ$9:$AR$102,2)/VLOOKUP($FM14-GV$103,Frauen!$G$9:$J$102,4),Rundäx)</f>
        <v>1.1100000000000001</v>
      </c>
      <c r="GW14" s="24">
        <f>ROUND(SUM(FR14:FR$56)/VLOOKUP($FM14,$AQ$9:$AR$102,2)/VLOOKUP($FM14-GW$103,Frauen!$G$9:$J$102,4),Rundäx)</f>
        <v>1.2729999999999999</v>
      </c>
      <c r="GX14" s="24">
        <f>ROUND(SUM(FS14:FS$56)/VLOOKUP($FM14,$AQ$9:$AR$102,2)/VLOOKUP($FM14-GX$103,Frauen!$G$9:$J$102,4),Rundäx)</f>
        <v>1.4550000000000001</v>
      </c>
      <c r="GY14" s="24">
        <f>ROUND(SUM(FT14:FT$56)/VLOOKUP($FM14,$AQ$9:$AR$102,2)/VLOOKUP($FM14-GY$103,Frauen!$G$9:$J$102,4),Rundäx)</f>
        <v>1.655</v>
      </c>
      <c r="GZ14" s="24">
        <f>ROUND(SUM(FU14:FU$56)/VLOOKUP($FM14,$AQ$9:$AR$102,2)/VLOOKUP($FM14-GZ$103,Frauen!$G$9:$J$102,4),Rundäx)</f>
        <v>1.873</v>
      </c>
      <c r="HA14" s="86"/>
      <c r="HB14" s="35">
        <f t="shared" ref="HB14:HB76" si="63">1+HB13</f>
        <v>70</v>
      </c>
      <c r="HC14" s="24">
        <f>ROUND(SUM(FV14:FV$56)/VLOOKUP($FM14,$AQ$9:$AR$102,2)/VLOOKUP($FM14-HC$103,Frauen!$G$9:$J$102,4),Rundäx)</f>
        <v>2.109</v>
      </c>
      <c r="HD14" s="24">
        <f>ROUND(SUM(FW14:FW$56)/VLOOKUP($FM14,$AQ$9:$AR$102,2)/VLOOKUP($FM14-HD$103,Frauen!$G$9:$J$102,4),Rundäx)</f>
        <v>2.363</v>
      </c>
      <c r="HE14" s="24">
        <f>ROUND(SUM(FX14:FX$56)/VLOOKUP($FM14,$AQ$9:$AR$102,2)/VLOOKUP($FM14-HE$103,Frauen!$G$9:$J$102,4),Rundäx)</f>
        <v>2.6320000000000001</v>
      </c>
      <c r="HF14" s="24">
        <f>ROUND(SUM(FY14:FY$56)/VLOOKUP($FM14,$AQ$9:$AR$102,2)/VLOOKUP($FM14-HF$103,Frauen!$G$9:$J$102,4),Rundäx)</f>
        <v>2.9159999999999999</v>
      </c>
      <c r="HG14" s="24">
        <f>ROUND(SUM(FZ14:FZ$56)/VLOOKUP($FM14,$AQ$9:$AR$102,2)/VLOOKUP($FM14-HG$103,Frauen!$G$9:$J$102,4),Rundäx)</f>
        <v>3.2120000000000002</v>
      </c>
      <c r="HH14" s="24">
        <f>ROUND(SUM(GA14:GA$56)/VLOOKUP($FM14,$AQ$9:$AR$102,2)/VLOOKUP($FM14-HH$103,Frauen!$G$9:$J$102,4),Rundäx)</f>
        <v>3.5219999999999998</v>
      </c>
      <c r="HI14" s="24">
        <f>ROUND(SUM(GB14:GB$56)/VLOOKUP($FM14,$AQ$9:$AR$102,2)/VLOOKUP($FM14-HI$103,Frauen!$G$9:$J$102,4),Rundäx)</f>
        <v>3.843</v>
      </c>
      <c r="HJ14" s="24">
        <f>ROUND(SUM(GC14:GC$56)/VLOOKUP($FM14,$AQ$9:$AR$102,2)/VLOOKUP($FM14-HJ$103,Frauen!$G$9:$J$102,4),Rundäx)</f>
        <v>4.1769999999999996</v>
      </c>
      <c r="HK14" s="86"/>
      <c r="HL14" s="35">
        <f t="shared" ref="HL14:HL76" si="64">1+HL13</f>
        <v>70</v>
      </c>
      <c r="HM14" s="24">
        <f>ROUND(SUM(GD14:GD$56)/VLOOKUP($FM14,$AQ$9:$AR$102,2)/VLOOKUP($FM14-HM$103,Frauen!$G$9:$J$102,4),Rundäx)</f>
        <v>4.5199999999999996</v>
      </c>
      <c r="HN14" s="24">
        <f>ROUND(SUM(GE14:GE$56)/VLOOKUP($FM14,$AQ$9:$AR$102,2)/VLOOKUP($FM14-HN$103,Frauen!$G$9:$J$102,4),Rundäx)</f>
        <v>4.8739999999999997</v>
      </c>
      <c r="HO14" s="24">
        <f>ROUND(SUM(GF14:GF$56)/VLOOKUP($FM14,$AQ$9:$AR$102,2)/VLOOKUP($FM14-HO$103,Frauen!$G$9:$J$102,4),Rundäx)</f>
        <v>5.2370000000000001</v>
      </c>
      <c r="HP14" s="24">
        <f>ROUND(SUM(GG14:GG$56)/VLOOKUP($FM14,$AQ$9:$AR$102,2)/VLOOKUP($FM14-HP$103,Frauen!$G$9:$J$102,4),Rundäx)</f>
        <v>5.609</v>
      </c>
      <c r="HQ14" s="24">
        <f>ROUND(SUM(GH14:GH$56)/VLOOKUP($FM14,$AQ$9:$AR$102,2)/VLOOKUP($FM14-HQ$103,Frauen!$G$9:$J$102,4),Rundäx)</f>
        <v>5.9870000000000001</v>
      </c>
      <c r="HR14" s="24">
        <f>ROUND(SUM(GI14:GI$56)/VLOOKUP($FM14,$AQ$9:$AR$102,2)/VLOOKUP($FM14-HR$103,Frauen!$G$9:$J$102,4),Rundäx)</f>
        <v>6.3719999999999999</v>
      </c>
      <c r="HS14" s="24">
        <f>ROUND(SUM(GJ14:GJ$56)/VLOOKUP($FM14,$AQ$9:$AR$102,2)/VLOOKUP($FM14-HS$103,Frauen!$G$9:$J$102,4),Rundäx)</f>
        <v>6.7640000000000002</v>
      </c>
      <c r="HT14" s="24">
        <f>ROUND(SUM(GK14:GK$56)/VLOOKUP($FM14,$AQ$9:$AR$102,2)/VLOOKUP($FM14-HT$103,Frauen!$G$9:$J$102,4),Rundäx)</f>
        <v>7.1609999999999996</v>
      </c>
      <c r="HU14" s="86"/>
      <c r="HV14" s="35">
        <f t="shared" ref="HV14:HV76" si="65">1+HV13</f>
        <v>70</v>
      </c>
      <c r="HW14" s="24">
        <f>ROUND(SUM(GL14:GL$56)/VLOOKUP($FM14,$AQ$9:$AR$102,2)/VLOOKUP($FM14-HW$103,Frauen!$G$9:$J$102,4),Rundäx)</f>
        <v>7.5629999999999997</v>
      </c>
      <c r="HX14" s="24">
        <f>ROUND(SUM(GM14:GM$56)/VLOOKUP($FM14,$AQ$9:$AR$102,2)/VLOOKUP($FM14-HX$103,Frauen!$G$9:$J$102,4),Rundäx)</f>
        <v>7.97</v>
      </c>
      <c r="HY14" s="24">
        <f>ROUND(SUM(GN14:GN$56)/VLOOKUP($FM14,$AQ$9:$AR$102,2)/VLOOKUP($FM14-HY$103,Frauen!$G$9:$J$102,4),Rundäx)</f>
        <v>8.3800000000000008</v>
      </c>
      <c r="HZ14" s="24">
        <f>ROUND(SUM(GO14:GO$56)/VLOOKUP($FM14,$AQ$9:$AR$102,2)/VLOOKUP($FM14-HZ$103,Frauen!$G$9:$J$102,4),Rundäx)</f>
        <v>8.7929999999999993</v>
      </c>
      <c r="IA14" s="24">
        <f>ROUND(SUM(GP14:GP$56)/VLOOKUP($FM14,$AQ$9:$AR$102,2)/VLOOKUP($FM14-IA$103,Frauen!$G$9:$J$102,4),Rundäx)</f>
        <v>9.2080000000000002</v>
      </c>
      <c r="IB14" s="24">
        <f>ROUND(SUM(GQ14:GQ$56)/VLOOKUP($FM14,$AQ$9:$AR$102,2)/VLOOKUP($FM14-IB$103,Frauen!$G$9:$J$102,4),Rundäx)</f>
        <v>9.6240000000000006</v>
      </c>
      <c r="IC14" s="24">
        <f>ROUND(SUM(GR14:GR$56)/VLOOKUP($FM14,$AQ$9:$AR$102,2)/VLOOKUP($FM14-IC$103,Frauen!$G$9:$J$102,4),Rundäx)</f>
        <v>10.039999999999999</v>
      </c>
      <c r="ID14" s="89"/>
      <c r="IE14" s="35">
        <f t="shared" ref="IE14:IE44" si="66">1+IE13</f>
        <v>22</v>
      </c>
      <c r="IF14" s="25">
        <f t="shared" si="31"/>
        <v>194</v>
      </c>
      <c r="IG14" s="25">
        <f>IF($IE14&lt;RAM,IF(S15&lt;=RAK,ROUND(SUM(IF14:INDEX(Dakx,RAM-BeginnAlter))+INDEX(Dax,RAM-BeginnAlter+1)*INDEX(äkx,1),RundDx),0),"")</f>
        <v>19669</v>
      </c>
      <c r="IH14" s="25">
        <f>IF($IE14&lt;RAM,IF(S15&lt;=RAK,ROUND(SUM(IG14:INDEX(Nakx,RAM-BeginnAlter))+INDEX(Dax,RAM-BeginnAlter+1)*INDEX(äkx,1),RundDx),0),"")</f>
        <v>346367</v>
      </c>
      <c r="II14" s="24">
        <f t="shared" si="32"/>
        <v>0.32200000000000001</v>
      </c>
      <c r="IJ14" s="25">
        <f t="shared" si="33"/>
        <v>2187</v>
      </c>
      <c r="IK14" s="25">
        <f>IF($IE14&lt;RAM,IF(S15&lt;=RAK,SUM(IJ14:INDEX(Dikx,RAM-BeginnAlter))+INDEX(Dix,RAM-BeginnAlter+1)*INDEX(äkx,1),0),"")</f>
        <v>470833.83199999999</v>
      </c>
      <c r="IL14" s="24">
        <f t="shared" si="34"/>
        <v>3.93</v>
      </c>
      <c r="IM14" s="86"/>
      <c r="IN14" s="35">
        <f t="shared" ref="IN14:IN76" si="67">1+IN13</f>
        <v>70</v>
      </c>
      <c r="IO14" s="25">
        <f t="shared" si="35"/>
        <v>14</v>
      </c>
      <c r="IP14" s="25">
        <f>IF(AND(VLOOKUP(IN14+1,O$9:S$102,5)&lt;=RAK,VLOOKUP(IN14+1,O$9:S$102,5)&lt;&gt;""),SUM(IO14:IO$102),0)</f>
        <v>72</v>
      </c>
      <c r="IQ14" s="24">
        <f t="shared" si="36"/>
        <v>4.0000000000000001E-3</v>
      </c>
      <c r="IR14" s="86"/>
    </row>
    <row r="15" spans="1:252" ht="15.75" customHeight="1" x14ac:dyDescent="0.25">
      <c r="A15" s="35">
        <f t="shared" si="41"/>
        <v>23</v>
      </c>
      <c r="B15" s="77">
        <v>6.702503599282408E-4</v>
      </c>
      <c r="C15" s="77">
        <v>4.4446999021731517E-4</v>
      </c>
      <c r="D15" s="77">
        <v>9.3634831542998408E-3</v>
      </c>
      <c r="E15" s="77">
        <v>6.9197212054350477E-4</v>
      </c>
      <c r="F15" s="86"/>
      <c r="G15" s="35">
        <f t="shared" si="42"/>
        <v>23</v>
      </c>
      <c r="H15" s="25">
        <f t="shared" si="37"/>
        <v>99476</v>
      </c>
      <c r="I15" s="25">
        <f t="shared" si="38"/>
        <v>239</v>
      </c>
      <c r="J15" s="25">
        <f t="shared" si="39"/>
        <v>99715</v>
      </c>
      <c r="K15" s="30">
        <f>IF(J15&gt;0,ROUND(SUM(J15:J$102)/J15-0.5,Rundex),"")</f>
        <v>55.98</v>
      </c>
      <c r="L15" s="25">
        <f t="shared" si="0"/>
        <v>193900</v>
      </c>
      <c r="M15" s="30">
        <f>IF(L15&gt;0,ROUND(SUM(L15:L$102)/L15-0.5,Rundex),"")</f>
        <v>37.979999999999997</v>
      </c>
      <c r="N15" s="86"/>
      <c r="O15" s="35">
        <f t="shared" si="43"/>
        <v>23</v>
      </c>
      <c r="P15" s="43">
        <v>6.2E-2</v>
      </c>
      <c r="Q15" s="78">
        <v>23.616147139566131</v>
      </c>
      <c r="R15" s="43">
        <v>0.14499999999999999</v>
      </c>
      <c r="S15" s="78">
        <v>0.5</v>
      </c>
      <c r="T15" s="15">
        <v>6.9309280949236829E-4</v>
      </c>
      <c r="U15" s="11">
        <f t="shared" si="40"/>
        <v>99714</v>
      </c>
      <c r="V15" s="30">
        <f>IF(U15&gt;0,ROUND(SUM(U15:U$102)/U15-0.5,Rundex),"")</f>
        <v>53.62</v>
      </c>
      <c r="W15" s="86"/>
      <c r="X15" s="35">
        <f t="shared" si="44"/>
        <v>23</v>
      </c>
      <c r="Y15" s="25">
        <f t="shared" si="1"/>
        <v>59630</v>
      </c>
      <c r="Z15" s="25">
        <f>IF($X15&lt;RAM,SUM(Y15:INDEX(Dax,RAM-BeginnAlter))," ")</f>
        <v>1558139</v>
      </c>
      <c r="AA15" s="25">
        <f t="shared" si="2"/>
        <v>40</v>
      </c>
      <c r="AB15" s="25">
        <f>IF($X15&lt;RAM,SUM(AA15:INDEX(Cax,RAM-BeginnAlter))," ")</f>
        <v>2676</v>
      </c>
      <c r="AC15" s="25">
        <f t="shared" si="3"/>
        <v>26</v>
      </c>
      <c r="AD15" s="25">
        <f>IF($X15&lt;RAM,SUM(AC15:INDEX(Caix,RAM-BeginnAlter))," ")</f>
        <v>7999</v>
      </c>
      <c r="AE15" s="24">
        <f t="shared" si="4"/>
        <v>26.13</v>
      </c>
      <c r="AF15" s="24">
        <f t="shared" si="5"/>
        <v>25.785</v>
      </c>
      <c r="AG15" s="86"/>
      <c r="AH15" s="35">
        <f t="shared" si="45"/>
        <v>23</v>
      </c>
      <c r="AI15" s="25">
        <f t="shared" si="6"/>
        <v>116231</v>
      </c>
      <c r="AJ15" s="25">
        <f>IF($AH15&gt;RAM," ",IF($AH15&lt;RAM,SUM(AI15:INDEX(Dix,RAM-BeginnAlter))+INDEX(Nx,RAM-BeginnAlter+1),INDEX(Nx,RAM-BeginnAlter+1)))</f>
        <v>2758872</v>
      </c>
      <c r="AK15" s="25">
        <f>IF($AH15&lt;RAM,SUM(AI15:INDEX(Dix,RAM-BeginnAlter))," ")</f>
        <v>2461625</v>
      </c>
      <c r="AL15" s="24">
        <f t="shared" si="7"/>
        <v>23.736000000000001</v>
      </c>
      <c r="AM15" s="24">
        <f t="shared" si="8"/>
        <v>23.277999999999999</v>
      </c>
      <c r="AN15" s="24">
        <f t="shared" si="9"/>
        <v>21.178999999999998</v>
      </c>
      <c r="AO15" s="24">
        <f t="shared" si="10"/>
        <v>20.800999999999998</v>
      </c>
      <c r="AP15" s="86"/>
      <c r="AQ15" s="35">
        <f t="shared" si="46"/>
        <v>23</v>
      </c>
      <c r="AR15" s="25">
        <f t="shared" si="11"/>
        <v>59773</v>
      </c>
      <c r="AS15" s="25">
        <f>SUM(AR15:AR$94)</f>
        <v>1908182</v>
      </c>
      <c r="AT15" s="25">
        <f>IF($AQ15&lt;RAM,SUM(AR15:INDEX(Dx,RAM-BeginnAlter))," ")</f>
        <v>1610935</v>
      </c>
      <c r="AU15" s="24">
        <f t="shared" si="12"/>
        <v>31.923999999999999</v>
      </c>
      <c r="AV15" s="24">
        <f t="shared" si="13"/>
        <v>31.465</v>
      </c>
      <c r="AW15" s="24">
        <f t="shared" si="14"/>
        <v>26.951000000000001</v>
      </c>
      <c r="AX15" s="24">
        <f t="shared" si="15"/>
        <v>26.65</v>
      </c>
      <c r="AY15" s="86"/>
      <c r="AZ15" s="35">
        <f t="shared" si="47"/>
        <v>23</v>
      </c>
      <c r="BA15" s="25">
        <f t="shared" si="16"/>
        <v>59772</v>
      </c>
      <c r="BB15" s="25">
        <f>SUM(BA15:BA$94)</f>
        <v>1866121</v>
      </c>
      <c r="BC15" s="24">
        <f t="shared" si="17"/>
        <v>31.221</v>
      </c>
      <c r="BD15" s="24">
        <f t="shared" si="18"/>
        <v>30.762</v>
      </c>
      <c r="BE15" s="86"/>
      <c r="BF15" s="35">
        <f t="shared" si="48"/>
        <v>6</v>
      </c>
      <c r="BG15" s="24">
        <f t="shared" si="19"/>
        <v>15.667999999999999</v>
      </c>
      <c r="BH15" s="24">
        <f t="shared" si="20"/>
        <v>15.51</v>
      </c>
      <c r="BI15" s="86"/>
      <c r="BJ15" s="35">
        <f t="shared" si="49"/>
        <v>23</v>
      </c>
      <c r="BK15" s="25">
        <f t="shared" si="21"/>
        <v>607</v>
      </c>
      <c r="BL15" s="25">
        <f>IF(BJ15&lt;RAM,SUM(BK15:INDEX(Daix,RAM-BeginnAlter))," ")</f>
        <v>132481</v>
      </c>
      <c r="BM15" s="25">
        <f>IF(BJ15&lt;RAM,SUM(BL15:INDEX(Naix,RAM-BeginnAlter))," ")</f>
        <v>4261764</v>
      </c>
      <c r="BN15" s="24">
        <f t="shared" si="22"/>
        <v>3.484</v>
      </c>
      <c r="BO15" s="24">
        <f t="shared" si="23"/>
        <v>2.222</v>
      </c>
      <c r="BP15" s="86"/>
      <c r="BQ15" s="35">
        <f t="shared" si="50"/>
        <v>23</v>
      </c>
      <c r="BR15" s="25">
        <f t="shared" si="51"/>
        <v>541</v>
      </c>
      <c r="BS15" s="25">
        <f>IF(BQ15&lt;RAM,SUM(BR15:INDEX(Daixs,RAM-BeginnAlter))," ")</f>
        <v>52730</v>
      </c>
      <c r="BT15" s="25">
        <f>IF(BQ15&lt;RAM,SUM(BS15:INDEX(Naixs,RAM-BeginnAlter))," ")</f>
        <v>1391499</v>
      </c>
      <c r="BU15" s="24">
        <f t="shared" si="52"/>
        <v>4.8209999999999997</v>
      </c>
      <c r="BV15" s="24">
        <f t="shared" si="53"/>
        <v>0.88400000000000001</v>
      </c>
      <c r="BW15" s="86"/>
      <c r="BX15" s="35">
        <f t="shared" si="54"/>
        <v>23</v>
      </c>
      <c r="BY15" s="10">
        <f t="shared" si="24"/>
        <v>16.05776760475133</v>
      </c>
      <c r="BZ15" s="11">
        <f t="shared" si="25"/>
        <v>74</v>
      </c>
      <c r="CA15" s="25">
        <f>IF(S16&lt;=RAK,IF($BX15&lt;RAM,SUM(BZ15:INDEX(Dazx,RAM-BeginnAlter)),""),"")</f>
        <v>22139</v>
      </c>
      <c r="CB15" s="24">
        <f t="shared" si="26"/>
        <v>0.371</v>
      </c>
      <c r="CC15" s="25">
        <f t="shared" si="27"/>
        <v>33728</v>
      </c>
      <c r="CD15" s="24">
        <f t="shared" si="28"/>
        <v>22.565999999999999</v>
      </c>
      <c r="CE15" s="24">
        <f t="shared" si="29"/>
        <v>1.7000000000000001E-2</v>
      </c>
      <c r="CF15" s="86"/>
      <c r="CG15" s="35">
        <f t="shared" si="55"/>
        <v>23</v>
      </c>
      <c r="CH15" s="25">
        <f>IF(CG15&lt;RAM,ROUND(v^($CG15+FaktorAlter)*$H15*($B15*0.5*($P15+$P16)*(VLOOKUP(TRUNC(0.5*($Q15+$Q16),0),Frauen!$AZ$9:$BD$95,5)+(0.5*($Q15+$Q16)-TRUNC(0.5*($Q15+$Q16),0))*(VLOOKUP(TRUNC(0.5*($Q15+$Q16)+1,0),Frauen!$AZ$9:$BD$95,5)-VLOOKUP(TRUNC(0.5*($Q15+$Q16),0),Frauen!$AZ$9:$BD$95,5)))+$C15*0.5*($CN15+$CN16)),RundDx),"")</f>
        <v>255</v>
      </c>
      <c r="CI15" s="25">
        <f>IF(CG15&lt;RAM,ROUND(SUM(CH15:INDEX(Dawx,RAM-BeginnAlter))+INDEX(Dax,RAM-BeginnAlter+1)*INDEX(äwx,1),RundDx),"")</f>
        <v>168652</v>
      </c>
      <c r="CJ15" s="25">
        <f>IF(CG15&lt;RAM,ROUND(SUM(CI15:INDEX(Nawx,RAM-BeginnAlter))+INDEX(Dax,RAM-BeginnAlter+1)*INDEX(äwx,1),RundDx),"")</f>
        <v>6156914</v>
      </c>
      <c r="CK15" s="24">
        <f t="shared" si="56"/>
        <v>2.8279999999999998</v>
      </c>
      <c r="CL15" s="25">
        <f>IF(CG15&lt;RAM,ROUND(v^($CG15+FaktorAlter)*$L15*$D15*0.5*($P15+$P16)*(VLOOKUP(TRUNC(0.5*($Q15+$Q16),0),Frauen!$AZ$9:$BD$95,5)+(0.5*($Q15+$Q16)-TRUNC(0.5*($Q15+$Q16),0))*(VLOOKUP(TRUNC(0.5*($Q15+$Q16)+1,0),Frauen!$AZ$9:$BD$95,5)-VLOOKUP(TRUNC(0.5*($Q15+$Q16),0),Frauen!$AZ$9:$BD$95,5))),RundDx),"")</f>
        <v>2551</v>
      </c>
      <c r="CM15" s="25">
        <f>IF(CG15&lt;RAM,SUM(CL15:INDEX(Diwx,RAM-BeginnAlter))+INDEX(Dix,RAM-BeginnAlter+1)*INDEX(äwx,1),"")</f>
        <v>704317.41399999999</v>
      </c>
      <c r="CN15" s="24">
        <f t="shared" si="57"/>
        <v>6.06</v>
      </c>
      <c r="CO15" s="86"/>
      <c r="CP15" s="35">
        <f t="shared" si="58"/>
        <v>71</v>
      </c>
      <c r="CQ15" s="11">
        <f>ROUND(v^($CP15+FaktorAlter)*VLOOKUP(CP15,G$9:J$102,4)*VLOOKUP(CP15,A$9:E$102,5)*0.5*(VLOOKUP(CP15,O$9:P$102,2)+VLOOKUP(CP15+1,O$9:P$102,2))*(VLOOKUP(TRUNC(0.5*(VLOOKUP(CP15,O$9:Q$102,3)+VLOOKUP(CP15+1,O$9:Q$102,3)),0),Frauen!$AZ$9:$BD$95,5)+(0.5*(VLOOKUP(CP15,O$9:Q$102,3)+VLOOKUP(CP15+1,O$9:Q$102,3))-TRUNC(0.5*(VLOOKUP(CP15,O$9:Q$102,3)+VLOOKUP(CP15+1,O$9:Q$102,3)),0))*(VLOOKUP(TRUNC(0.5*(VLOOKUP(CP15,O$9:Q$102,3)+VLOOKUP(CP15+1,O$9:Q$102,3))+1,0),Frauen!$AZ$9:$BD$95,5)-VLOOKUP(TRUNC(0.5*(VLOOKUP(CP15,O$9:Q$102,3)+VLOOKUP(CP15+1,O$9:Q$102,3)),0),Frauen!$AZ$9:$BD$95,5))),RundDx)</f>
        <v>4896</v>
      </c>
      <c r="CR15" s="25">
        <f>SUM(CQ15:CQ$56)</f>
        <v>80634</v>
      </c>
      <c r="CS15" s="24">
        <f t="shared" si="30"/>
        <v>5.0449999999999999</v>
      </c>
      <c r="CT15" s="86"/>
      <c r="CU15" s="35">
        <f t="shared" si="59"/>
        <v>23</v>
      </c>
      <c r="CV15" s="25">
        <f>IF($CU15&gt;=RAM,"",IF($CU15-CV$103&lt;BeginnAlter,"",ROUND(v^($CU15+FaktorAlter)*$L15*$D15*0.5*(VLOOKUP($CU15-CV$103,Frauen!$G$9:$J$102,4)+VLOOKUP($CU15-CV$103+1,Frauen!$G$9:$J$102,4))*0.5*(VLOOKUP($CU15-CV$103,Frauen!$AZ$9:$BD$102,5)+VLOOKUP($CU15-CV$103+1,Frauen!$AZ$9:$BD$102,5)),RundDx)))</f>
        <v>2986513616</v>
      </c>
      <c r="CW15" s="25">
        <f>IF($CU15&gt;=RAM,"",IF($CU15-CW$103&lt;BeginnAlter,"",ROUND(v^($CU15+FaktorAlter)*$L15*$D15*0.5*(VLOOKUP($CU15-CW$103,Frauen!$G$9:$J$102,4)+VLOOKUP($CU15-CW$103+1,Frauen!$G$9:$J$102,4))*0.5*(VLOOKUP($CU15-CW$103,Frauen!$AZ$9:$BD$102,5)+VLOOKUP($CU15-CW$103+1,Frauen!$AZ$9:$BD$102,5)),RundDx)))</f>
        <v>3026376068</v>
      </c>
      <c r="CX15" s="25">
        <f>IF($CU15&gt;=RAM,"",IF($CU15-CX$103&lt;BeginnAlter,"",ROUND(v^($CU15+FaktorAlter)*$L15*$D15*0.5*(VLOOKUP($CU15-CX$103,Frauen!$G$9:$J$102,4)+VLOOKUP($CU15-CX$103+1,Frauen!$G$9:$J$102,4))*0.5*(VLOOKUP($CU15-CX$103,Frauen!$AZ$9:$BD$102,5)+VLOOKUP($CU15-CX$103+1,Frauen!$AZ$9:$BD$102,5)),RundDx)))</f>
        <v>3065459858</v>
      </c>
      <c r="CY15" s="25">
        <f>IF($CU15&gt;=RAM,"",IF($CU15-CY$103&lt;BeginnAlter,"",ROUND(v^($CU15+FaktorAlter)*$L15*$D15*0.5*(VLOOKUP($CU15-CY$103,Frauen!$G$9:$J$102,4)+VLOOKUP($CU15-CY$103+1,Frauen!$G$9:$J$102,4))*0.5*(VLOOKUP($CU15-CY$103,Frauen!$AZ$9:$BD$102,5)+VLOOKUP($CU15-CY$103+1,Frauen!$AZ$9:$BD$102,5)),RundDx)))</f>
        <v>3103787536</v>
      </c>
      <c r="CZ15" s="25">
        <f>IF($CU15&gt;=RAM,"",IF($CU15-CZ$103&lt;BeginnAlter,"",ROUND(v^($CU15+FaktorAlter)*$L15*$D15*0.5*(VLOOKUP($CU15-CZ$103,Frauen!$G$9:$J$102,4)+VLOOKUP($CU15-CZ$103+1,Frauen!$G$9:$J$102,4))*0.5*(VLOOKUP($CU15-CZ$103,Frauen!$AZ$9:$BD$102,5)+VLOOKUP($CU15-CZ$103+1,Frauen!$AZ$9:$BD$102,5)),RundDx)))</f>
        <v>3141329868</v>
      </c>
      <c r="DA15" s="25">
        <f>IF($CU15&gt;=RAM,"",IF($CU15-DA$103&lt;BeginnAlter,"",ROUND(v^($CU15+FaktorAlter)*$L15*$D15*0.5*(VLOOKUP($CU15-DA$103,Frauen!$G$9:$J$102,4)+VLOOKUP($CU15-DA$103+1,Frauen!$G$9:$J$102,4))*0.5*(VLOOKUP($CU15-DA$103,Frauen!$AZ$9:$BD$102,5)+VLOOKUP($CU15-DA$103+1,Frauen!$AZ$9:$BD$102,5)),RundDx)))</f>
        <v>3178096613</v>
      </c>
      <c r="DB15" s="25">
        <f>IF($CU15&gt;=RAM,"",IF($CU15-DB$103&lt;BeginnAlter,"",ROUND(v^($CU15+FaktorAlter)*$L15*$D15*0.5*(VLOOKUP($CU15-DB$103,Frauen!$G$9:$J$102,4)+VLOOKUP($CU15-DB$103+1,Frauen!$G$9:$J$102,4))*0.5*(VLOOKUP($CU15-DB$103,Frauen!$AZ$9:$BD$102,5)+VLOOKUP($CU15-DB$103+1,Frauen!$AZ$9:$BD$102,5)),RundDx)))</f>
        <v>3214098408</v>
      </c>
      <c r="DC15" s="25">
        <f>IF($CU15&gt;=RAM,"",IF($CU15-DC$103&lt;BeginnAlter,"",ROUND(v^($CU15+FaktorAlter)*$L15*$D15*0.5*(VLOOKUP($CU15-DC$103,Frauen!$G$9:$J$102,4)+VLOOKUP($CU15-DC$103+1,Frauen!$G$9:$J$102,4))*0.5*(VLOOKUP($CU15-DC$103,Frauen!$AZ$9:$BD$102,5)+VLOOKUP($CU15-DC$103+1,Frauen!$AZ$9:$BD$102,5)),RundDx)))</f>
        <v>3249400290</v>
      </c>
      <c r="DD15" s="25">
        <f>IF($CU15&gt;=RAM,"",IF($CU15-DD$103&lt;BeginnAlter,"",ROUND(v^($CU15+FaktorAlter)*$L15*$D15*0.5*(VLOOKUP($CU15-DD$103,Frauen!$G$9:$J$102,4)+VLOOKUP($CU15-DD$103+1,Frauen!$G$9:$J$102,4))*0.5*(VLOOKUP($CU15-DD$103,Frauen!$AZ$9:$BD$102,5)+VLOOKUP($CU15-DD$103+1,Frauen!$AZ$9:$BD$102,5)),RundDx)))</f>
        <v>3284014626</v>
      </c>
      <c r="DE15" s="25">
        <f>IF($CU15&gt;=RAM,"",IF($CU15-DE$103&lt;BeginnAlter,"",ROUND(v^($CU15+FaktorAlter)*$L15*$D15*0.5*(VLOOKUP($CU15-DE$103,Frauen!$G$9:$J$102,4)+VLOOKUP($CU15-DE$103+1,Frauen!$G$9:$J$102,4))*0.5*(VLOOKUP($CU15-DE$103,Frauen!$AZ$9:$BD$102,5)+VLOOKUP($CU15-DE$103+1,Frauen!$AZ$9:$BD$102,5)),RundDx)))</f>
        <v>3317900926</v>
      </c>
      <c r="DF15" s="25">
        <f>IF($CU15&gt;=RAM,"",IF($CU15-DF$103&lt;BeginnAlter,"",ROUND(v^($CU15+FaktorAlter)*$L15*$D15*0.5*(VLOOKUP($CU15-DF$103,Frauen!$G$9:$J$102,4)+VLOOKUP($CU15-DF$103+1,Frauen!$G$9:$J$102,4))*0.5*(VLOOKUP($CU15-DF$103,Frauen!$AZ$9:$BD$102,5)+VLOOKUP($CU15-DF$103+1,Frauen!$AZ$9:$BD$102,5)),RundDx)))</f>
        <v>3351056163</v>
      </c>
      <c r="DG15" s="25">
        <f>IF($CU15&gt;=RAM,"",IF($CU15-DG$103&lt;BeginnAlter,"",ROUND(v^($CU15+FaktorAlter)*$L15*$D15*0.5*(VLOOKUP($CU15-DG$103,Frauen!$G$9:$J$102,4)+VLOOKUP($CU15-DG$103+1,Frauen!$G$9:$J$102,4))*0.5*(VLOOKUP($CU15-DG$103,Frauen!$AZ$9:$BD$102,5)+VLOOKUP($CU15-DG$103+1,Frauen!$AZ$9:$BD$102,5)),RundDx)))</f>
        <v>3383514099</v>
      </c>
      <c r="DH15" s="25">
        <f>IF($CU15&gt;=RAM,"",IF($CU15-DH$103&lt;BeginnAlter,"",ROUND(v^($CU15+FaktorAlter)*$L15*$D15*0.5*(VLOOKUP($CU15-DH$103,Frauen!$G$9:$J$102,4)+VLOOKUP($CU15-DH$103+1,Frauen!$G$9:$J$102,4))*0.5*(VLOOKUP($CU15-DH$103,Frauen!$AZ$9:$BD$102,5)+VLOOKUP($CU15-DH$103+1,Frauen!$AZ$9:$BD$102,5)),RundDx)))</f>
        <v>3415361773</v>
      </c>
      <c r="DI15" s="25">
        <f>IF($CU15&gt;=RAM,"",IF($CU15-DI$103&lt;BeginnAlter,"",ROUND(v^($CU15+FaktorAlter)*$L15*$D15*0.5*(VLOOKUP($CU15-DI$103,Frauen!$G$9:$J$102,4)+VLOOKUP($CU15-DI$103+1,Frauen!$G$9:$J$102,4))*0.5*(VLOOKUP($CU15-DI$103,Frauen!$AZ$9:$BD$102,5)+VLOOKUP($CU15-DI$103+1,Frauen!$AZ$9:$BD$102,5)),RundDx)))</f>
        <v>3446524746</v>
      </c>
      <c r="DJ15" s="25">
        <f>IF($CU15&gt;=RAM,"",IF($CU15-DJ$103&lt;BeginnAlter,"",ROUND(v^($CU15+FaktorAlter)*$L15*$D15*0.5*(VLOOKUP($CU15-DJ$103,Frauen!$G$9:$J$102,4)+VLOOKUP($CU15-DJ$103+1,Frauen!$G$9:$J$102,4))*0.5*(VLOOKUP($CU15-DJ$103,Frauen!$AZ$9:$BD$102,5)+VLOOKUP($CU15-DJ$103+1,Frauen!$AZ$9:$BD$102,5)),RundDx)))</f>
        <v>3477035490</v>
      </c>
      <c r="DK15" s="25">
        <f>IF($CU15&gt;=RAM,"",IF($CU15-DK$103&lt;BeginnAlter,"",ROUND(v^($CU15+FaktorAlter)*$L15*$D15*0.5*(VLOOKUP($CU15-DK$103,Frauen!$G$9:$J$102,4)+VLOOKUP($CU15-DK$103+1,Frauen!$G$9:$J$102,4))*0.5*(VLOOKUP($CU15-DK$103,Frauen!$AZ$9:$BD$102,5)+VLOOKUP($CU15-DK$103+1,Frauen!$AZ$9:$BD$102,5)),RundDx)))</f>
        <v>3506943648</v>
      </c>
      <c r="DL15" s="25">
        <f>IF($CU15&gt;=RAM,"",IF($CU15-DL$103&lt;BeginnAlter,"",ROUND(v^($CU15+FaktorAlter)*$L15*$D15*0.5*(VLOOKUP($CU15-DL$103,Frauen!$G$9:$J$102,4)+VLOOKUP($CU15-DL$103+1,Frauen!$G$9:$J$102,4))*0.5*(VLOOKUP($CU15-DL$103,Frauen!$AZ$9:$BD$102,5)+VLOOKUP($CU15-DL$103+1,Frauen!$AZ$9:$BD$102,5)),RundDx)))</f>
        <v>3536227591</v>
      </c>
      <c r="DM15" s="25">
        <f>IF($CU15&gt;=RAM,"",IF($CU15-DM$103&lt;BeginnAlter,"",ROUND(v^($CU15+FaktorAlter)*$L15*$D15*0.5*(VLOOKUP($CU15-DM$103,Frauen!$G$9:$J$102,4)+VLOOKUP($CU15-DM$103+1,Frauen!$G$9:$J$102,4))*0.5*(VLOOKUP($CU15-DM$103,Frauen!$AZ$9:$BD$102,5)+VLOOKUP($CU15-DM$103+1,Frauen!$AZ$9:$BD$102,5)),RundDx)))</f>
        <v>3564919032</v>
      </c>
      <c r="DN15" s="25">
        <f>IF($CU15&gt;=RAM,"",IF($CU15-DN$103&lt;BeginnAlter,"",ROUND(v^($CU15+FaktorAlter)*$L15*$D15*0.5*(VLOOKUP($CU15-DN$103,Frauen!$G$9:$J$102,4)+VLOOKUP($CU15-DN$103+1,Frauen!$G$9:$J$102,4))*0.5*(VLOOKUP($CU15-DN$103,Frauen!$AZ$9:$BD$102,5)+VLOOKUP($CU15-DN$103+1,Frauen!$AZ$9:$BD$102,5)),RundDx)))</f>
        <v>3592959692</v>
      </c>
      <c r="DO15" s="25">
        <f>IF($CU15&gt;=RAM,"",IF($CU15-DO$103&lt;BeginnAlter,"",ROUND(v^($CU15+FaktorAlter)*$L15*$D15*0.5*(VLOOKUP($CU15-DO$103,Frauen!$G$9:$J$102,4)+VLOOKUP($CU15-DO$103+1,Frauen!$G$9:$J$102,4))*0.5*(VLOOKUP($CU15-DO$103,Frauen!$AZ$9:$BD$102,5)+VLOOKUP($CU15-DO$103+1,Frauen!$AZ$9:$BD$102,5)),RundDx)))</f>
        <v>3620363302</v>
      </c>
      <c r="DP15" s="25">
        <f>IF($CU15&gt;=RAM,"",IF($CU15-DP$103&lt;BeginnAlter,"",ROUND(v^($CU15+FaktorAlter)*$L15*$D15*0.5*(VLOOKUP($CU15-DP$103,Frauen!$G$9:$J$102,4)+VLOOKUP($CU15-DP$103+1,Frauen!$G$9:$J$102,4))*0.5*(VLOOKUP($CU15-DP$103,Frauen!$AZ$9:$BD$102,5)+VLOOKUP($CU15-DP$103+1,Frauen!$AZ$9:$BD$102,5)),RundDx)))</f>
        <v>3647234547</v>
      </c>
      <c r="DQ15" s="25">
        <f>IF($CU15&gt;=RAM,"",IF($CU15-DQ$103&lt;BeginnAlter,"",ROUND(v^($CU15+FaktorAlter)*$L15*$D15*0.5*(VLOOKUP($CU15-DQ$103,Frauen!$G$9:$J$102,4)+VLOOKUP($CU15-DQ$103+1,Frauen!$G$9:$J$102,4))*0.5*(VLOOKUP($CU15-DQ$103,Frauen!$AZ$9:$BD$102,5)+VLOOKUP($CU15-DQ$103+1,Frauen!$AZ$9:$BD$102,5)),RundDx)))</f>
        <v>3673518384</v>
      </c>
      <c r="DR15" s="25" t="str">
        <f>IF($CU15&gt;=RAM,"",IF($CU15-DR$103&lt;BeginnAlter,"",ROUND(v^($CU15+FaktorAlter)*$L15*$D15*0.5*(VLOOKUP($CU15-DR$103,Frauen!$G$9:$J$102,4)+VLOOKUP($CU15-DR$103+1,Frauen!$G$9:$J$102,4))*0.5*(VLOOKUP($CU15-DR$103,Frauen!$AZ$9:$BD$102,5)+VLOOKUP($CU15-DR$103+1,Frauen!$AZ$9:$BD$102,5)),RundDx)))</f>
        <v/>
      </c>
      <c r="DS15" s="25" t="str">
        <f>IF($CU15&gt;=RAM,"",IF($CU15-DS$103&lt;BeginnAlter,"",ROUND(v^($CU15+FaktorAlter)*$L15*$D15*0.5*(VLOOKUP($CU15-DS$103,Frauen!$G$9:$J$102,4)+VLOOKUP($CU15-DS$103+1,Frauen!$G$9:$J$102,4))*0.5*(VLOOKUP($CU15-DS$103,Frauen!$AZ$9:$BD$102,5)+VLOOKUP($CU15-DS$103+1,Frauen!$AZ$9:$BD$102,5)),RundDx)))</f>
        <v/>
      </c>
      <c r="DT15" s="25" t="str">
        <f>IF($CU15&gt;=RAM,"",IF($CU15-DT$103&lt;BeginnAlter,"",ROUND(v^($CU15+FaktorAlter)*$L15*$D15*0.5*(VLOOKUP($CU15-DT$103,Frauen!$G$9:$J$102,4)+VLOOKUP($CU15-DT$103+1,Frauen!$G$9:$J$102,4))*0.5*(VLOOKUP($CU15-DT$103,Frauen!$AZ$9:$BD$102,5)+VLOOKUP($CU15-DT$103+1,Frauen!$AZ$9:$BD$102,5)),RundDx)))</f>
        <v/>
      </c>
      <c r="DU15" s="25" t="str">
        <f>IF($CU15&gt;=RAM,"",IF($CU15-DU$103&lt;BeginnAlter,"",ROUND(v^($CU15+FaktorAlter)*$L15*$D15*0.5*(VLOOKUP($CU15-DU$103,Frauen!$G$9:$J$102,4)+VLOOKUP($CU15-DU$103+1,Frauen!$G$9:$J$102,4))*0.5*(VLOOKUP($CU15-DU$103,Frauen!$AZ$9:$BD$102,5)+VLOOKUP($CU15-DU$103+1,Frauen!$AZ$9:$BD$102,5)),RundDx)))</f>
        <v/>
      </c>
      <c r="DV15" s="25" t="str">
        <f>IF($CU15&gt;=RAM,"",IF($CU15-DV$103&lt;BeginnAlter,"",ROUND(v^($CU15+FaktorAlter)*$L15*$D15*0.5*(VLOOKUP($CU15-DV$103,Frauen!$G$9:$J$102,4)+VLOOKUP($CU15-DV$103+1,Frauen!$G$9:$J$102,4))*0.5*(VLOOKUP($CU15-DV$103,Frauen!$AZ$9:$BD$102,5)+VLOOKUP($CU15-DV$103+1,Frauen!$AZ$9:$BD$102,5)),RundDx)))</f>
        <v/>
      </c>
      <c r="DW15" s="25" t="str">
        <f>IF($CU15&gt;=RAM,"",IF($CU15-DW$103&lt;BeginnAlter,"",ROUND(v^($CU15+FaktorAlter)*$L15*$D15*0.5*(VLOOKUP($CU15-DW$103,Frauen!$G$9:$J$102,4)+VLOOKUP($CU15-DW$103+1,Frauen!$G$9:$J$102,4))*0.5*(VLOOKUP($CU15-DW$103,Frauen!$AZ$9:$BD$102,5)+VLOOKUP($CU15-DW$103+1,Frauen!$AZ$9:$BD$102,5)),RundDx)))</f>
        <v/>
      </c>
      <c r="DX15" s="25" t="str">
        <f>IF($CU15&gt;=RAM,"",IF($CU15-DX$103&lt;BeginnAlter,"",ROUND(v^($CU15+FaktorAlter)*$L15*$D15*0.5*(VLOOKUP($CU15-DX$103,Frauen!$G$9:$J$102,4)+VLOOKUP($CU15-DX$103+1,Frauen!$G$9:$J$102,4))*0.5*(VLOOKUP($CU15-DX$103,Frauen!$AZ$9:$BD$102,5)+VLOOKUP($CU15-DX$103+1,Frauen!$AZ$9:$BD$102,5)),RundDx)))</f>
        <v/>
      </c>
      <c r="DY15" s="25" t="str">
        <f>IF($CU15&gt;=RAM,"",IF($CU15-DY$103&lt;BeginnAlter,"",ROUND(v^($CU15+FaktorAlter)*$L15*$D15*0.5*(VLOOKUP($CU15-DY$103,Frauen!$G$9:$J$102,4)+VLOOKUP($CU15-DY$103+1,Frauen!$G$9:$J$102,4))*0.5*(VLOOKUP($CU15-DY$103,Frauen!$AZ$9:$BD$102,5)+VLOOKUP($CU15-DY$103+1,Frauen!$AZ$9:$BD$102,5)),RundDx)))</f>
        <v/>
      </c>
      <c r="DZ15" s="25" t="str">
        <f>IF($CU15&gt;=RAM,"",IF($CU15-DZ$103&lt;BeginnAlter,"",ROUND(v^($CU15+FaktorAlter)*$L15*$D15*0.5*(VLOOKUP($CU15-DZ$103,Frauen!$G$9:$J$102,4)+VLOOKUP($CU15-DZ$103+1,Frauen!$G$9:$J$102,4))*0.5*(VLOOKUP($CU15-DZ$103,Frauen!$AZ$9:$BD$102,5)+VLOOKUP($CU15-DZ$103+1,Frauen!$AZ$9:$BD$102,5)),RundDx)))</f>
        <v/>
      </c>
      <c r="EA15" s="43">
        <f>IF($CU15&gt;=RAM,"",IF($CU15-EA$103&lt;BeginnAlter,"",ROUND((SUM(CV15:CV$56)+SUM(FN$9:FN$56))/VLOOKUP($CU15,$AH$9:$AI$102,2)/VLOOKUP($CU15-EA$103,Frauen!$G$9:$J$102,4),Rundäx)))</f>
        <v>7.2750000000000004</v>
      </c>
      <c r="EB15" s="43">
        <f>IF($CU15&gt;=RAM,"",IF($CU15-EB$103&lt;BeginnAlter,"",ROUND((SUM(CW15:CW$56)+SUM(FO$9:FO$56))/VLOOKUP($CU15,$AH$9:$AI$102,2)/VLOOKUP($CU15-EB$103,Frauen!$G$9:$J$102,4),Rundäx)))</f>
        <v>7.4749999999999996</v>
      </c>
      <c r="EC15" s="43">
        <f>IF($CU15&gt;=RAM,"",IF($CU15-EC$103&lt;BeginnAlter,"",ROUND((SUM(CX15:CX$56)+SUM(FP$9:FP$56))/VLOOKUP($CU15,$AH$9:$AI$102,2)/VLOOKUP($CU15-EC$103,Frauen!$G$9:$J$102,4),Rundäx)))</f>
        <v>7.6749999999999998</v>
      </c>
      <c r="ED15" s="43">
        <f>IF($CU15&gt;=RAM,"",IF($CU15-ED$103&lt;BeginnAlter,"",ROUND((SUM(CY15:CY$56)+SUM(FQ$9:FQ$56))/VLOOKUP($CU15,$AH$9:$AI$102,2)/VLOOKUP($CU15-ED$103,Frauen!$G$9:$J$102,4),Rundäx)))</f>
        <v>7.875</v>
      </c>
      <c r="EE15" s="43">
        <f>IF($CU15&gt;=RAM,"",IF($CU15-EE$103&lt;BeginnAlter,"",ROUND((SUM(CZ15:CZ$56)+SUM(FR$9:FR$56))/VLOOKUP($CU15,$AH$9:$AI$102,2)/VLOOKUP($CU15-EE$103,Frauen!$G$9:$J$102,4),Rundäx)))</f>
        <v>8.0749999999999993</v>
      </c>
      <c r="EF15" s="43">
        <f>IF($CU15&gt;=RAM,"",IF($CU15-EF$103&lt;BeginnAlter,"",ROUND((SUM(DA15:DA$56)+SUM(FS$9:FS$56))/VLOOKUP($CU15,$AH$9:$AI$102,2)/VLOOKUP($CU15-EF$103,Frauen!$G$9:$J$102,4),Rundäx)))</f>
        <v>8.2759999999999998</v>
      </c>
      <c r="EG15" s="43">
        <f>IF($CU15&gt;=RAM,"",IF($CU15-EG$103&lt;BeginnAlter,"",ROUND((SUM(DB15:DB$56)+SUM(FT$9:FT$56))/VLOOKUP($CU15,$AH$9:$AI$102,2)/VLOOKUP($CU15-EG$103,Frauen!$G$9:$J$102,4),Rundäx)))</f>
        <v>8.4760000000000009</v>
      </c>
      <c r="EH15" s="43">
        <f>IF($CU15&gt;=RAM,"",IF($CU15-EH$103&lt;BeginnAlter,"",ROUND((SUM(DC15:DC$56)+SUM(FU$9:FU$56))/VLOOKUP($CU15,$AH$9:$AI$102,2)/VLOOKUP($CU15-EH$103,Frauen!$G$9:$J$102,4),Rundäx)))</f>
        <v>8.6760000000000002</v>
      </c>
      <c r="EI15" s="86"/>
      <c r="EJ15" s="35">
        <f t="shared" si="60"/>
        <v>23</v>
      </c>
      <c r="EK15" s="43">
        <f>IF($CU15&gt;=RAM,"",IF($CU15-EK$103&lt;BeginnAlter,"",ROUND((SUM(DD15:DD$56)+SUM(FV$9:FV$56))/VLOOKUP($CU15,$AH$9:$AI$102,2)/VLOOKUP($CU15-EK$103,Frauen!$G$9:$J$102,4),Rundäx)))</f>
        <v>8.8759999999999994</v>
      </c>
      <c r="EL15" s="43">
        <f>IF($CU15&gt;=RAM,"",IF($CU15-EL$103&lt;BeginnAlter,"",ROUND((SUM(DE15:DE$56)+SUM(FW$9:FW$56))/VLOOKUP($CU15,$AH$9:$AI$102,2)/VLOOKUP($CU15-EL$103,Frauen!$G$9:$J$102,4),Rundäx)))</f>
        <v>9.0760000000000005</v>
      </c>
      <c r="EM15" s="43">
        <f>IF($CU15&gt;=RAM,"",IF($CU15-EM$103&lt;BeginnAlter,"",ROUND((SUM(DF15:DF$56)+SUM(FX$9:FX$56))/VLOOKUP($CU15,$AH$9:$AI$102,2)/VLOOKUP($CU15-EM$103,Frauen!$G$9:$J$102,4),Rundäx)))</f>
        <v>9.2759999999999998</v>
      </c>
      <c r="EN15" s="43">
        <f>IF($CU15&gt;=RAM,"",IF($CU15-EN$103&lt;BeginnAlter,"",ROUND((SUM(DG15:DG$56)+SUM(FY$9:FY$56))/VLOOKUP($CU15,$AH$9:$AI$102,2)/VLOOKUP($CU15-EN$103,Frauen!$G$9:$J$102,4),Rundäx)))</f>
        <v>9.4760000000000009</v>
      </c>
      <c r="EO15" s="43">
        <f>IF($CU15&gt;=RAM,"",IF($CU15-EO$103&lt;BeginnAlter,"",ROUND((SUM(DH15:DH$56)+SUM(FZ$9:FZ$56))/VLOOKUP($CU15,$AH$9:$AI$102,2)/VLOOKUP($CU15-EO$103,Frauen!$G$9:$J$102,4),Rundäx)))</f>
        <v>9.6750000000000007</v>
      </c>
      <c r="EP15" s="43">
        <f>IF($CU15&gt;=RAM,"",IF($CU15-EP$103&lt;BeginnAlter,"",ROUND((SUM(DI15:DI$56)+SUM(GA$9:GA$56))/VLOOKUP($CU15,$AH$9:$AI$102,2)/VLOOKUP($CU15-EP$103,Frauen!$G$9:$J$102,4),Rundäx)))</f>
        <v>9.875</v>
      </c>
      <c r="EQ15" s="43">
        <f>IF($CU15&gt;=RAM,"",IF($CU15-EQ$103&lt;BeginnAlter,"",ROUND((SUM(DJ15:DJ$56)+SUM(GB$9:GB$56))/VLOOKUP($CU15,$AH$9:$AI$102,2)/VLOOKUP($CU15-EQ$103,Frauen!$G$9:$J$102,4),Rundäx)))</f>
        <v>10.074</v>
      </c>
      <c r="ER15" s="43">
        <f>IF($CU15&gt;=RAM,"",IF($CU15-ER$103&lt;BeginnAlter,"",ROUND((SUM(DK15:DK$56)+SUM(GC$9:GC$56))/VLOOKUP($CU15,$AH$9:$AI$102,2)/VLOOKUP($CU15-ER$103,Frauen!$G$9:$J$102,4),Rundäx)))</f>
        <v>10.273</v>
      </c>
      <c r="ES15" s="86"/>
      <c r="ET15" s="35">
        <f t="shared" si="61"/>
        <v>23</v>
      </c>
      <c r="EU15" s="43">
        <f>IF($CU15&gt;=RAM,"",IF($CU15-EU$103&lt;BeginnAlter,"",ROUND((SUM(DL15:DL$56)+SUM(GD$9:GD$56))/VLOOKUP($CU15,$AH$9:$AI$102,2)/VLOOKUP($CU15-EU$103,Frauen!$G$9:$J$102,4),Rundäx)))</f>
        <v>10.472</v>
      </c>
      <c r="EV15" s="43">
        <f>IF($CU15&gt;=RAM,"",IF($CU15-EV$103&lt;BeginnAlter,"",ROUND((SUM(DM15:DM$56)+SUM(GE$9:GE$56))/VLOOKUP($CU15,$AH$9:$AI$102,2)/VLOOKUP($CU15-EV$103,Frauen!$G$9:$J$102,4),Rundäx)))</f>
        <v>10.67</v>
      </c>
      <c r="EW15" s="43">
        <f>IF($CU15&gt;=RAM,"",IF($CU15-EW$103&lt;BeginnAlter,"",ROUND((SUM(DN15:DN$56)+SUM(GF$9:GF$56))/VLOOKUP($CU15,$AH$9:$AI$102,2)/VLOOKUP($CU15-EW$103,Frauen!$G$9:$J$102,4),Rundäx)))</f>
        <v>10.868</v>
      </c>
      <c r="EX15" s="43">
        <f>IF($CU15&gt;=RAM,"",IF($CU15-EX$103&lt;BeginnAlter,"",ROUND((SUM(DO15:DO$56)+SUM(GG$9:GG$56))/VLOOKUP($CU15,$AH$9:$AI$102,2)/VLOOKUP($CU15-EX$103,Frauen!$G$9:$J$102,4),Rundäx)))</f>
        <v>11.066000000000001</v>
      </c>
      <c r="EY15" s="43">
        <f>IF($CU15&gt;=RAM,"",IF($CU15-EY$103&lt;BeginnAlter,"",ROUND((SUM(DP15:DP$56)+SUM(GH$9:GH$56))/VLOOKUP($CU15,$AH$9:$AI$102,2)/VLOOKUP($CU15-EY$103,Frauen!$G$9:$J$102,4),Rundäx)))</f>
        <v>11.262</v>
      </c>
      <c r="EZ15" s="43">
        <f>IF($CU15&gt;=RAM,"",IF($CU15-EZ$103&lt;BeginnAlter,"",ROUND((SUM(DQ15:DQ$56)+SUM(GI$9:GI$56))/VLOOKUP($CU15,$AH$9:$AI$102,2)/VLOOKUP($CU15-EZ$103,Frauen!$G$9:$J$102,4),Rundäx)))</f>
        <v>11.457000000000001</v>
      </c>
      <c r="FA15" s="43" t="str">
        <f>IF($CU15&gt;=RAM,"",IF($CU15-FA$103&lt;BeginnAlter,"",ROUND((SUM(DR15:DR$56)+SUM(GJ$9:GJ$56))/VLOOKUP($CU15,$AH$9:$AI$102,2)/VLOOKUP($CU15-FA$103,Frauen!$G$9:$J$102,4),Rundäx)))</f>
        <v/>
      </c>
      <c r="FB15" s="43" t="str">
        <f>IF($CU15&gt;=RAM,"",IF($CU15-FB$103&lt;BeginnAlter,"",ROUND((SUM(DS15:DS$56)+SUM(GK$9:GK$56))/VLOOKUP($CU15,$AH$9:$AI$102,2)/VLOOKUP($CU15-FB$103,Frauen!$G$9:$J$102,4),Rundäx)))</f>
        <v/>
      </c>
      <c r="FC15" s="86"/>
      <c r="FD15" s="35">
        <f t="shared" si="62"/>
        <v>23</v>
      </c>
      <c r="FE15" s="43" t="str">
        <f>IF($CU15&gt;=RAM,"",IF($CU15-FE$103&lt;BeginnAlter,"",ROUND((SUM(DT15:DT$56)+SUM(GL$9:GL$56))/VLOOKUP($CU15,$AH$9:$AI$102,2)/VLOOKUP($CU15-FE$103,Frauen!$G$9:$J$102,4),Rundäx)))</f>
        <v/>
      </c>
      <c r="FF15" s="43" t="str">
        <f>IF($CU15&gt;=RAM,"",IF($CU15-FF$103&lt;BeginnAlter,"",ROUND((SUM(DU15:DU$56)+SUM(GM$9:GM$56))/VLOOKUP($CU15,$AH$9:$AI$102,2)/VLOOKUP($CU15-FF$103,Frauen!$G$9:$J$102,4),Rundäx)))</f>
        <v/>
      </c>
      <c r="FG15" s="43" t="str">
        <f>IF($CU15&gt;=RAM,"",IF($CU15-FG$103&lt;BeginnAlter,"",ROUND((SUM(DV15:DV$56)+SUM(GN$9:GN$56))/VLOOKUP($CU15,$AH$9:$AI$102,2)/VLOOKUP($CU15-FG$103,Frauen!$G$9:$J$102,4),Rundäx)))</f>
        <v/>
      </c>
      <c r="FH15" s="43" t="str">
        <f>IF($CU15&gt;=RAM,"",IF($CU15-FH$103&lt;BeginnAlter,"",ROUND((SUM(DW15:DW$56)+SUM(GO$9:GO$56))/VLOOKUP($CU15,$AH$9:$AI$102,2)/VLOOKUP($CU15-FH$103,Frauen!$G$9:$J$102,4),Rundäx)))</f>
        <v/>
      </c>
      <c r="FI15" s="43" t="str">
        <f>IF($CU15&gt;=RAM,"",IF($CU15-FI$103&lt;BeginnAlter,"",ROUND((SUM(DX15:DX$56)+SUM(GP$9:GP$56))/VLOOKUP($CU15,$AH$9:$AI$102,2)/VLOOKUP($CU15-FI$103,Frauen!$G$9:$J$102,4),Rundäx)))</f>
        <v/>
      </c>
      <c r="FJ15" s="43" t="str">
        <f>IF($CU15&gt;=RAM,"",IF($CU15-FJ$103&lt;BeginnAlter,"",ROUND((SUM(DY15:DY$56)+SUM(GQ$9:GQ$56))/VLOOKUP($CU15,$AH$9:$AI$102,2)/VLOOKUP($CU15-FJ$103,Frauen!$G$9:$J$102,4),Rundäx)))</f>
        <v/>
      </c>
      <c r="FK15" s="43" t="str">
        <f>IF($CU15&gt;=RAM,"",IF($CU15-FK$103&lt;BeginnAlter,"",ROUND((SUM(DZ15:DZ$56)+SUM(GR$9:GR$56))/VLOOKUP($CU15,$AH$9:$AI$102,2)/VLOOKUP($CU15-FK$103,Frauen!$G$9:$J$102,4),Rundäx)))</f>
        <v/>
      </c>
      <c r="FL15" s="86"/>
      <c r="FM15" s="35">
        <f t="shared" ref="FM15:FM76" si="68">1+FM14</f>
        <v>71</v>
      </c>
      <c r="FN15" s="25">
        <f>ROUND(v^($FM15+FaktorAlter)*VLOOKUP($FM15,$G$9:$J$102,4)*VLOOKUP($FM15,$A$9:$E$102,5)*0.5*(VLOOKUP($FM15-FN$103,Frauen!$G$9:$J$102,4)+VLOOKUP($FM15-FN$103+1,Frauen!$G$9:$J$102,4))*0.5*(VLOOKUP($FM15-FN$103,Frauen!$AZ$9:$BD$102,5)+VLOOKUP($FM15-FN$103+1,Frauen!$AZ$9:$BD$102,5)),RundDx)</f>
        <v>98725780</v>
      </c>
      <c r="FO15" s="25">
        <f>ROUND(v^($FM15+FaktorAlter)*VLOOKUP($FM15,$G$9:$J$102,4)*VLOOKUP($FM15,$A$9:$E$102,5)*0.5*(VLOOKUP($FM15-FO$103,Frauen!$G$9:$J$102,4)+VLOOKUP($FM15-FO$103+1,Frauen!$G$9:$J$102,4))*0.5*(VLOOKUP($FM15-FO$103,Frauen!$AZ$9:$BD$102,5)+VLOOKUP($FM15-FO$103+1,Frauen!$AZ$9:$BD$102,5)),RundDx)</f>
        <v>116676823</v>
      </c>
      <c r="FP15" s="25">
        <f>ROUND(v^($FM15+FaktorAlter)*VLOOKUP($FM15,$G$9:$J$102,4)*VLOOKUP($FM15,$A$9:$E$102,5)*0.5*(VLOOKUP($FM15-FP$103,Frauen!$G$9:$J$102,4)+VLOOKUP($FM15-FP$103+1,Frauen!$G$9:$J$102,4))*0.5*(VLOOKUP($FM15-FP$103,Frauen!$AZ$9:$BD$102,5)+VLOOKUP($FM15-FP$103+1,Frauen!$AZ$9:$BD$102,5)),RundDx)</f>
        <v>135871939</v>
      </c>
      <c r="FQ15" s="25">
        <f>ROUND(v^($FM15+FaktorAlter)*VLOOKUP($FM15,$G$9:$J$102,4)*VLOOKUP($FM15,$A$9:$E$102,5)*0.5*(VLOOKUP($FM15-FQ$103,Frauen!$G$9:$J$102,4)+VLOOKUP($FM15-FQ$103+1,Frauen!$G$9:$J$102,4))*0.5*(VLOOKUP($FM15-FQ$103,Frauen!$AZ$9:$BD$102,5)+VLOOKUP($FM15-FQ$103+1,Frauen!$AZ$9:$BD$102,5)),RundDx)</f>
        <v>156122933</v>
      </c>
      <c r="FR15" s="25">
        <f>ROUND(v^($FM15+FaktorAlter)*VLOOKUP($FM15,$G$9:$J$102,4)*VLOOKUP($FM15,$A$9:$E$102,5)*0.5*(VLOOKUP($FM15-FR$103,Frauen!$G$9:$J$102,4)+VLOOKUP($FM15-FR$103+1,Frauen!$G$9:$J$102,4))*0.5*(VLOOKUP($FM15-FR$103,Frauen!$AZ$9:$BD$102,5)+VLOOKUP($FM15-FR$103+1,Frauen!$AZ$9:$BD$102,5)),RundDx)</f>
        <v>177207036</v>
      </c>
      <c r="FS15" s="25">
        <f>ROUND(v^($FM15+FaktorAlter)*VLOOKUP($FM15,$G$9:$J$102,4)*VLOOKUP($FM15,$A$9:$E$102,5)*0.5*(VLOOKUP($FM15-FS$103,Frauen!$G$9:$J$102,4)+VLOOKUP($FM15-FS$103+1,Frauen!$G$9:$J$102,4))*0.5*(VLOOKUP($FM15-FS$103,Frauen!$AZ$9:$BD$102,5)+VLOOKUP($FM15-FS$103+1,Frauen!$AZ$9:$BD$102,5)),RundDx)</f>
        <v>198913809</v>
      </c>
      <c r="FT15" s="25">
        <f>ROUND(v^($FM15+FaktorAlter)*VLOOKUP($FM15,$G$9:$J$102,4)*VLOOKUP($FM15,$A$9:$E$102,5)*0.5*(VLOOKUP($FM15-FT$103,Frauen!$G$9:$J$102,4)+VLOOKUP($FM15-FT$103+1,Frauen!$G$9:$J$102,4))*0.5*(VLOOKUP($FM15-FT$103,Frauen!$AZ$9:$BD$102,5)+VLOOKUP($FM15-FT$103+1,Frauen!$AZ$9:$BD$102,5)),RundDx)</f>
        <v>221099866</v>
      </c>
      <c r="FU15" s="25">
        <f>ROUND(v^($FM15+FaktorAlter)*VLOOKUP($FM15,$G$9:$J$102,4)*VLOOKUP($FM15,$A$9:$E$102,5)*0.5*(VLOOKUP($FM15-FU$103,Frauen!$G$9:$J$102,4)+VLOOKUP($FM15-FU$103+1,Frauen!$G$9:$J$102,4))*0.5*(VLOOKUP($FM15-FU$103,Frauen!$AZ$9:$BD$102,5)+VLOOKUP($FM15-FU$103+1,Frauen!$AZ$9:$BD$102,5)),RundDx)</f>
        <v>243694850</v>
      </c>
      <c r="FV15" s="25">
        <f>ROUND(v^($FM15+FaktorAlter)*VLOOKUP($FM15,$G$9:$J$102,4)*VLOOKUP($FM15,$A$9:$E$102,5)*0.5*(VLOOKUP($FM15-FV$103,Frauen!$G$9:$J$102,4)+VLOOKUP($FM15-FV$103+1,Frauen!$G$9:$J$102,4))*0.5*(VLOOKUP($FM15-FV$103,Frauen!$AZ$9:$BD$102,5)+VLOOKUP($FM15-FV$103+1,Frauen!$AZ$9:$BD$102,5)),RundDx)</f>
        <v>266602942</v>
      </c>
      <c r="FW15" s="25">
        <f>ROUND(v^($FM15+FaktorAlter)*VLOOKUP($FM15,$G$9:$J$102,4)*VLOOKUP($FM15,$A$9:$E$102,5)*0.5*(VLOOKUP($FM15-FW$103,Frauen!$G$9:$J$102,4)+VLOOKUP($FM15-FW$103+1,Frauen!$G$9:$J$102,4))*0.5*(VLOOKUP($FM15-FW$103,Frauen!$AZ$9:$BD$102,5)+VLOOKUP($FM15-FW$103+1,Frauen!$AZ$9:$BD$102,5)),RundDx)</f>
        <v>289805333</v>
      </c>
      <c r="FX15" s="25">
        <f>ROUND(v^($FM15+FaktorAlter)*VLOOKUP($FM15,$G$9:$J$102,4)*VLOOKUP($FM15,$A$9:$E$102,5)*0.5*(VLOOKUP($FM15-FX$103,Frauen!$G$9:$J$102,4)+VLOOKUP($FM15-FX$103+1,Frauen!$G$9:$J$102,4))*0.5*(VLOOKUP($FM15-FX$103,Frauen!$AZ$9:$BD$102,5)+VLOOKUP($FM15-FX$103+1,Frauen!$AZ$9:$BD$102,5)),RundDx)</f>
        <v>313358657</v>
      </c>
      <c r="FY15" s="25">
        <f>ROUND(v^($FM15+FaktorAlter)*VLOOKUP($FM15,$G$9:$J$102,4)*VLOOKUP($FM15,$A$9:$E$102,5)*0.5*(VLOOKUP($FM15-FY$103,Frauen!$G$9:$J$102,4)+VLOOKUP($FM15-FY$103+1,Frauen!$G$9:$J$102,4))*0.5*(VLOOKUP($FM15-FY$103,Frauen!$AZ$9:$BD$102,5)+VLOOKUP($FM15-FY$103+1,Frauen!$AZ$9:$BD$102,5)),RundDx)</f>
        <v>337285846</v>
      </c>
      <c r="FZ15" s="25">
        <f>ROUND(v^($FM15+FaktorAlter)*VLOOKUP($FM15,$G$9:$J$102,4)*VLOOKUP($FM15,$A$9:$E$102,5)*0.5*(VLOOKUP($FM15-FZ$103,Frauen!$G$9:$J$102,4)+VLOOKUP($FM15-FZ$103+1,Frauen!$G$9:$J$102,4))*0.5*(VLOOKUP($FM15-FZ$103,Frauen!$AZ$9:$BD$102,5)+VLOOKUP($FM15-FZ$103+1,Frauen!$AZ$9:$BD$102,5)),RundDx)</f>
        <v>361660916</v>
      </c>
      <c r="GA15" s="25">
        <f>ROUND(v^($FM15+FaktorAlter)*VLOOKUP($FM15,$G$9:$J$102,4)*VLOOKUP($FM15,$A$9:$E$102,5)*0.5*(VLOOKUP($FM15-GA$103,Frauen!$G$9:$J$102,4)+VLOOKUP($FM15-GA$103+1,Frauen!$G$9:$J$102,4))*0.5*(VLOOKUP($FM15-GA$103,Frauen!$AZ$9:$BD$102,5)+VLOOKUP($FM15-GA$103+1,Frauen!$AZ$9:$BD$102,5)),RundDx)</f>
        <v>386497569</v>
      </c>
      <c r="GB15" s="25">
        <f>ROUND(v^($FM15+FaktorAlter)*VLOOKUP($FM15,$G$9:$J$102,4)*VLOOKUP($FM15,$A$9:$E$102,5)*0.5*(VLOOKUP($FM15-GB$103,Frauen!$G$9:$J$102,4)+VLOOKUP($FM15-GB$103+1,Frauen!$G$9:$J$102,4))*0.5*(VLOOKUP($FM15-GB$103,Frauen!$AZ$9:$BD$102,5)+VLOOKUP($FM15-GB$103+1,Frauen!$AZ$9:$BD$102,5)),RundDx)</f>
        <v>411738708</v>
      </c>
      <c r="GC15" s="25">
        <f>ROUND(v^($FM15+FaktorAlter)*VLOOKUP($FM15,$G$9:$J$102,4)*VLOOKUP($FM15,$A$9:$E$102,5)*0.5*(VLOOKUP($FM15-GC$103,Frauen!$G$9:$J$102,4)+VLOOKUP($FM15-GC$103+1,Frauen!$G$9:$J$102,4))*0.5*(VLOOKUP($FM15-GC$103,Frauen!$AZ$9:$BD$102,5)+VLOOKUP($FM15-GC$103+1,Frauen!$AZ$9:$BD$102,5)),RundDx)</f>
        <v>437273999</v>
      </c>
      <c r="GD15" s="25">
        <f>ROUND(v^($FM15+FaktorAlter)*VLOOKUP($FM15,$G$9:$J$102,4)*VLOOKUP($FM15,$A$9:$E$102,5)*0.5*(VLOOKUP($FM15-GD$103,Frauen!$G$9:$J$102,4)+VLOOKUP($FM15-GD$103+1,Frauen!$G$9:$J$102,4))*0.5*(VLOOKUP($FM15-GD$103,Frauen!$AZ$9:$BD$102,5)+VLOOKUP($FM15-GD$103+1,Frauen!$AZ$9:$BD$102,5)),RundDx)</f>
        <v>462920122</v>
      </c>
      <c r="GE15" s="25">
        <f>ROUND(v^($FM15+FaktorAlter)*VLOOKUP($FM15,$G$9:$J$102,4)*VLOOKUP($FM15,$A$9:$E$102,5)*0.5*(VLOOKUP($FM15-GE$103,Frauen!$G$9:$J$102,4)+VLOOKUP($FM15-GE$103+1,Frauen!$G$9:$J$102,4))*0.5*(VLOOKUP($FM15-GE$103,Frauen!$AZ$9:$BD$102,5)+VLOOKUP($FM15-GE$103+1,Frauen!$AZ$9:$BD$102,5)),RundDx)</f>
        <v>488605665</v>
      </c>
      <c r="GF15" s="25">
        <f>ROUND(v^($FM15+FaktorAlter)*VLOOKUP($FM15,$G$9:$J$102,4)*VLOOKUP($FM15,$A$9:$E$102,5)*0.5*(VLOOKUP($FM15-GF$103,Frauen!$G$9:$J$102,4)+VLOOKUP($FM15-GF$103+1,Frauen!$G$9:$J$102,4))*0.5*(VLOOKUP($FM15-GF$103,Frauen!$AZ$9:$BD$102,5)+VLOOKUP($FM15-GF$103+1,Frauen!$AZ$9:$BD$102,5)),RundDx)</f>
        <v>514283401</v>
      </c>
      <c r="GG15" s="25">
        <f>ROUND(v^($FM15+FaktorAlter)*VLOOKUP($FM15,$G$9:$J$102,4)*VLOOKUP($FM15,$A$9:$E$102,5)*0.5*(VLOOKUP($FM15-GG$103,Frauen!$G$9:$J$102,4)+VLOOKUP($FM15-GG$103+1,Frauen!$G$9:$J$102,4))*0.5*(VLOOKUP($FM15-GG$103,Frauen!$AZ$9:$BD$102,5)+VLOOKUP($FM15-GG$103+1,Frauen!$AZ$9:$BD$102,5)),RundDx)</f>
        <v>539779089</v>
      </c>
      <c r="GH15" s="25">
        <f>ROUND(v^($FM15+FaktorAlter)*VLOOKUP($FM15,$G$9:$J$102,4)*VLOOKUP($FM15,$A$9:$E$102,5)*0.5*(VLOOKUP($FM15-GH$103,Frauen!$G$9:$J$102,4)+VLOOKUP($FM15-GH$103+1,Frauen!$G$9:$J$102,4))*0.5*(VLOOKUP($FM15-GH$103,Frauen!$AZ$9:$BD$102,5)+VLOOKUP($FM15-GH$103+1,Frauen!$AZ$9:$BD$102,5)),RundDx)</f>
        <v>564991918</v>
      </c>
      <c r="GI15" s="25">
        <f>ROUND(v^($FM15+FaktorAlter)*VLOOKUP($FM15,$G$9:$J$102,4)*VLOOKUP($FM15,$A$9:$E$102,5)*0.5*(VLOOKUP($FM15-GI$103,Frauen!$G$9:$J$102,4)+VLOOKUP($FM15-GI$103+1,Frauen!$G$9:$J$102,4))*0.5*(VLOOKUP($FM15-GI$103,Frauen!$AZ$9:$BD$102,5)+VLOOKUP($FM15-GI$103+1,Frauen!$AZ$9:$BD$102,5)),RundDx)</f>
        <v>589963917</v>
      </c>
      <c r="GJ15" s="25">
        <f>ROUND(v^($FM15+FaktorAlter)*VLOOKUP($FM15,$G$9:$J$102,4)*VLOOKUP($FM15,$A$9:$E$102,5)*0.5*(VLOOKUP($FM15-GJ$103,Frauen!$G$9:$J$102,4)+VLOOKUP($FM15-GJ$103+1,Frauen!$G$9:$J$102,4))*0.5*(VLOOKUP($FM15-GJ$103,Frauen!$AZ$9:$BD$102,5)+VLOOKUP($FM15-GJ$103+1,Frauen!$AZ$9:$BD$102,5)),RundDx)</f>
        <v>614636308</v>
      </c>
      <c r="GK15" s="25">
        <f>ROUND(v^($FM15+FaktorAlter)*VLOOKUP($FM15,$G$9:$J$102,4)*VLOOKUP($FM15,$A$9:$E$102,5)*0.5*(VLOOKUP($FM15-GK$103,Frauen!$G$9:$J$102,4)+VLOOKUP($FM15-GK$103+1,Frauen!$G$9:$J$102,4))*0.5*(VLOOKUP($FM15-GK$103,Frauen!$AZ$9:$BD$102,5)+VLOOKUP($FM15-GK$103+1,Frauen!$AZ$9:$BD$102,5)),RundDx)</f>
        <v>638863365</v>
      </c>
      <c r="GL15" s="25">
        <f>ROUND(v^($FM15+FaktorAlter)*VLOOKUP($FM15,$G$9:$J$102,4)*VLOOKUP($FM15,$A$9:$E$102,5)*0.5*(VLOOKUP($FM15-GL$103,Frauen!$G$9:$J$102,4)+VLOOKUP($FM15-GL$103+1,Frauen!$G$9:$J$102,4))*0.5*(VLOOKUP($FM15-GL$103,Frauen!$AZ$9:$BD$102,5)+VLOOKUP($FM15-GL$103+1,Frauen!$AZ$9:$BD$102,5)),RundDx)</f>
        <v>662631960</v>
      </c>
      <c r="GM15" s="25">
        <f>ROUND(v^($FM15+FaktorAlter)*VLOOKUP($FM15,$G$9:$J$102,4)*VLOOKUP($FM15,$A$9:$E$102,5)*0.5*(VLOOKUP($FM15-GM$103,Frauen!$G$9:$J$102,4)+VLOOKUP($FM15-GM$103+1,Frauen!$G$9:$J$102,4))*0.5*(VLOOKUP($FM15-GM$103,Frauen!$AZ$9:$BD$102,5)+VLOOKUP($FM15-GM$103+1,Frauen!$AZ$9:$BD$102,5)),RundDx)</f>
        <v>686003496</v>
      </c>
      <c r="GN15" s="25">
        <f>ROUND(v^($FM15+FaktorAlter)*VLOOKUP($FM15,$G$9:$J$102,4)*VLOOKUP($FM15,$A$9:$E$102,5)*0.5*(VLOOKUP($FM15-GN$103,Frauen!$G$9:$J$102,4)+VLOOKUP($FM15-GN$103+1,Frauen!$G$9:$J$102,4))*0.5*(VLOOKUP($FM15-GN$103,Frauen!$AZ$9:$BD$102,5)+VLOOKUP($FM15-GN$103+1,Frauen!$AZ$9:$BD$102,5)),RundDx)</f>
        <v>708946792</v>
      </c>
      <c r="GO15" s="25">
        <f>ROUND(v^($FM15+FaktorAlter)*VLOOKUP($FM15,$G$9:$J$102,4)*VLOOKUP($FM15,$A$9:$E$102,5)*0.5*(VLOOKUP($FM15-GO$103,Frauen!$G$9:$J$102,4)+VLOOKUP($FM15-GO$103+1,Frauen!$G$9:$J$102,4))*0.5*(VLOOKUP($FM15-GO$103,Frauen!$AZ$9:$BD$102,5)+VLOOKUP($FM15-GO$103+1,Frauen!$AZ$9:$BD$102,5)),RundDx)</f>
        <v>731455646</v>
      </c>
      <c r="GP15" s="25">
        <f>ROUND(v^($FM15+FaktorAlter)*VLOOKUP($FM15,$G$9:$J$102,4)*VLOOKUP($FM15,$A$9:$E$102,5)*0.5*(VLOOKUP($FM15-GP$103,Frauen!$G$9:$J$102,4)+VLOOKUP($FM15-GP$103+1,Frauen!$G$9:$J$102,4))*0.5*(VLOOKUP($FM15-GP$103,Frauen!$AZ$9:$BD$102,5)+VLOOKUP($FM15-GP$103+1,Frauen!$AZ$9:$BD$102,5)),RundDx)</f>
        <v>753576811</v>
      </c>
      <c r="GQ15" s="25">
        <f>ROUND(v^($FM15+FaktorAlter)*VLOOKUP($FM15,$G$9:$J$102,4)*VLOOKUP($FM15,$A$9:$E$102,5)*0.5*(VLOOKUP($FM15-GQ$103,Frauen!$G$9:$J$102,4)+VLOOKUP($FM15-GQ$103+1,Frauen!$G$9:$J$102,4))*0.5*(VLOOKUP($FM15-GQ$103,Frauen!$AZ$9:$BD$102,5)+VLOOKUP($FM15-GQ$103+1,Frauen!$AZ$9:$BD$102,5)),RundDx)</f>
        <v>775379443</v>
      </c>
      <c r="GR15" s="25">
        <f>ROUND(v^($FM15+FaktorAlter)*VLOOKUP($FM15,$G$9:$J$102,4)*VLOOKUP($FM15,$A$9:$E$102,5)*0.5*(VLOOKUP($FM15-GR$103,Frauen!$G$9:$J$102,4)+VLOOKUP($FM15-GR$103+1,Frauen!$G$9:$J$102,4))*0.5*(VLOOKUP($FM15-GR$103,Frauen!$AZ$9:$BD$102,5)+VLOOKUP($FM15-GR$103+1,Frauen!$AZ$9:$BD$102,5)),RundDx)</f>
        <v>796920771</v>
      </c>
      <c r="GS15" s="24">
        <f>ROUND(SUM(FN15:FN$56)/VLOOKUP($FM15,$AQ$9:$AR$102,2)/VLOOKUP($FM15-GS$103,Frauen!$G$9:$J$102,4),Rundäx)</f>
        <v>0.67600000000000005</v>
      </c>
      <c r="GT15" s="24">
        <f>ROUND(SUM(FO15:FO$56)/VLOOKUP($FM15,$AQ$9:$AR$102,2)/VLOOKUP($FM15-GT$103,Frauen!$G$9:$J$102,4),Rundäx)</f>
        <v>0.78500000000000003</v>
      </c>
      <c r="GU15" s="24">
        <f>ROUND(SUM(FP15:FP$56)/VLOOKUP($FM15,$AQ$9:$AR$102,2)/VLOOKUP($FM15-GU$103,Frauen!$G$9:$J$102,4),Rundäx)</f>
        <v>0.90800000000000003</v>
      </c>
      <c r="GV15" s="24">
        <f>ROUND(SUM(FQ15:FQ$56)/VLOOKUP($FM15,$AQ$9:$AR$102,2)/VLOOKUP($FM15-GV$103,Frauen!$G$9:$J$102,4),Rundäx)</f>
        <v>1.048</v>
      </c>
      <c r="GW15" s="24">
        <f>ROUND(SUM(FR15:FR$56)/VLOOKUP($FM15,$AQ$9:$AR$102,2)/VLOOKUP($FM15-GW$103,Frauen!$G$9:$J$102,4),Rundäx)</f>
        <v>1.2050000000000001</v>
      </c>
      <c r="GX15" s="24">
        <f>ROUND(SUM(FS15:FS$56)/VLOOKUP($FM15,$AQ$9:$AR$102,2)/VLOOKUP($FM15-GX$103,Frauen!$G$9:$J$102,4),Rundäx)</f>
        <v>1.38</v>
      </c>
      <c r="GY15" s="24">
        <f>ROUND(SUM(FT15:FT$56)/VLOOKUP($FM15,$AQ$9:$AR$102,2)/VLOOKUP($FM15-GY$103,Frauen!$G$9:$J$102,4),Rundäx)</f>
        <v>1.575</v>
      </c>
      <c r="GZ15" s="24">
        <f>ROUND(SUM(FU15:FU$56)/VLOOKUP($FM15,$AQ$9:$AR$102,2)/VLOOKUP($FM15-GZ$103,Frauen!$G$9:$J$102,4),Rundäx)</f>
        <v>1.7889999999999999</v>
      </c>
      <c r="HA15" s="86"/>
      <c r="HB15" s="35">
        <f t="shared" si="63"/>
        <v>71</v>
      </c>
      <c r="HC15" s="24">
        <f>ROUND(SUM(FV15:FV$56)/VLOOKUP($FM15,$AQ$9:$AR$102,2)/VLOOKUP($FM15-HC$103,Frauen!$G$9:$J$102,4),Rundäx)</f>
        <v>2.0230000000000001</v>
      </c>
      <c r="HD15" s="24">
        <f>ROUND(SUM(FW15:FW$56)/VLOOKUP($FM15,$AQ$9:$AR$102,2)/VLOOKUP($FM15-HD$103,Frauen!$G$9:$J$102,4),Rundäx)</f>
        <v>2.2749999999999999</v>
      </c>
      <c r="HE15" s="24">
        <f>ROUND(SUM(FX15:FX$56)/VLOOKUP($FM15,$AQ$9:$AR$102,2)/VLOOKUP($FM15-HE$103,Frauen!$G$9:$J$102,4),Rundäx)</f>
        <v>2.5449999999999999</v>
      </c>
      <c r="HF15" s="24">
        <f>ROUND(SUM(FY15:FY$56)/VLOOKUP($FM15,$AQ$9:$AR$102,2)/VLOOKUP($FM15-HF$103,Frauen!$G$9:$J$102,4),Rundäx)</f>
        <v>2.831</v>
      </c>
      <c r="HG15" s="24">
        <f>ROUND(SUM(FZ15:FZ$56)/VLOOKUP($FM15,$AQ$9:$AR$102,2)/VLOOKUP($FM15-HG$103,Frauen!$G$9:$J$102,4),Rundäx)</f>
        <v>3.1320000000000001</v>
      </c>
      <c r="HH15" s="24">
        <f>ROUND(SUM(GA15:GA$56)/VLOOKUP($FM15,$AQ$9:$AR$102,2)/VLOOKUP($FM15-HH$103,Frauen!$G$9:$J$102,4),Rundäx)</f>
        <v>3.4449999999999998</v>
      </c>
      <c r="HI15" s="24">
        <f>ROUND(SUM(GB15:GB$56)/VLOOKUP($FM15,$AQ$9:$AR$102,2)/VLOOKUP($FM15-HI$103,Frauen!$G$9:$J$102,4),Rundäx)</f>
        <v>3.7709999999999999</v>
      </c>
      <c r="HJ15" s="24">
        <f>ROUND(SUM(GC15:GC$56)/VLOOKUP($FM15,$AQ$9:$AR$102,2)/VLOOKUP($FM15-HJ$103,Frauen!$G$9:$J$102,4),Rundäx)</f>
        <v>4.1079999999999997</v>
      </c>
      <c r="HK15" s="86"/>
      <c r="HL15" s="35">
        <f t="shared" si="64"/>
        <v>71</v>
      </c>
      <c r="HM15" s="24">
        <f>ROUND(SUM(GD15:GD$56)/VLOOKUP($FM15,$AQ$9:$AR$102,2)/VLOOKUP($FM15-HM$103,Frauen!$G$9:$J$102,4),Rundäx)</f>
        <v>4.4569999999999999</v>
      </c>
      <c r="HN15" s="24">
        <f>ROUND(SUM(GE15:GE$56)/VLOOKUP($FM15,$AQ$9:$AR$102,2)/VLOOKUP($FM15-HN$103,Frauen!$G$9:$J$102,4),Rundäx)</f>
        <v>4.8159999999999998</v>
      </c>
      <c r="HO15" s="24">
        <f>ROUND(SUM(GF15:GF$56)/VLOOKUP($FM15,$AQ$9:$AR$102,2)/VLOOKUP($FM15-HO$103,Frauen!$G$9:$J$102,4),Rundäx)</f>
        <v>5.1829999999999998</v>
      </c>
      <c r="HP15" s="24">
        <f>ROUND(SUM(GG15:GG$56)/VLOOKUP($FM15,$AQ$9:$AR$102,2)/VLOOKUP($FM15-HP$103,Frauen!$G$9:$J$102,4),Rundäx)</f>
        <v>5.5590000000000002</v>
      </c>
      <c r="HQ15" s="24">
        <f>ROUND(SUM(GH15:GH$56)/VLOOKUP($FM15,$AQ$9:$AR$102,2)/VLOOKUP($FM15-HQ$103,Frauen!$G$9:$J$102,4),Rundäx)</f>
        <v>5.944</v>
      </c>
      <c r="HR15" s="24">
        <f>ROUND(SUM(GI15:GI$56)/VLOOKUP($FM15,$AQ$9:$AR$102,2)/VLOOKUP($FM15-HR$103,Frauen!$G$9:$J$102,4),Rundäx)</f>
        <v>6.3330000000000002</v>
      </c>
      <c r="HS15" s="24">
        <f>ROUND(SUM(GJ15:GJ$56)/VLOOKUP($FM15,$AQ$9:$AR$102,2)/VLOOKUP($FM15-HS$103,Frauen!$G$9:$J$102,4),Rundäx)</f>
        <v>6.73</v>
      </c>
      <c r="HT15" s="24">
        <f>ROUND(SUM(GK15:GK$56)/VLOOKUP($FM15,$AQ$9:$AR$102,2)/VLOOKUP($FM15-HT$103,Frauen!$G$9:$J$102,4),Rundäx)</f>
        <v>7.1310000000000002</v>
      </c>
      <c r="HU15" s="86"/>
      <c r="HV15" s="35">
        <f t="shared" si="65"/>
        <v>71</v>
      </c>
      <c r="HW15" s="24">
        <f>ROUND(SUM(GL15:GL$56)/VLOOKUP($FM15,$AQ$9:$AR$102,2)/VLOOKUP($FM15-HW$103,Frauen!$G$9:$J$102,4),Rundäx)</f>
        <v>7.5380000000000003</v>
      </c>
      <c r="HX15" s="24">
        <f>ROUND(SUM(GM15:GM$56)/VLOOKUP($FM15,$AQ$9:$AR$102,2)/VLOOKUP($FM15-HX$103,Frauen!$G$9:$J$102,4),Rundäx)</f>
        <v>7.9489999999999998</v>
      </c>
      <c r="HY15" s="24">
        <f>ROUND(SUM(GN15:GN$56)/VLOOKUP($FM15,$AQ$9:$AR$102,2)/VLOOKUP($FM15-HY$103,Frauen!$G$9:$J$102,4),Rundäx)</f>
        <v>8.3640000000000008</v>
      </c>
      <c r="HZ15" s="24">
        <f>ROUND(SUM(GO15:GO$56)/VLOOKUP($FM15,$AQ$9:$AR$102,2)/VLOOKUP($FM15-HZ$103,Frauen!$G$9:$J$102,4),Rundäx)</f>
        <v>8.7810000000000006</v>
      </c>
      <c r="IA15" s="24">
        <f>ROUND(SUM(GP15:GP$56)/VLOOKUP($FM15,$AQ$9:$AR$102,2)/VLOOKUP($FM15-IA$103,Frauen!$G$9:$J$102,4),Rundäx)</f>
        <v>9.202</v>
      </c>
      <c r="IB15" s="24">
        <f>ROUND(SUM(GQ15:GQ$56)/VLOOKUP($FM15,$AQ$9:$AR$102,2)/VLOOKUP($FM15-IB$103,Frauen!$G$9:$J$102,4),Rundäx)</f>
        <v>9.6229999999999993</v>
      </c>
      <c r="IC15" s="24">
        <f>ROUND(SUM(GR15:GR$56)/VLOOKUP($FM15,$AQ$9:$AR$102,2)/VLOOKUP($FM15-IC$103,Frauen!$G$9:$J$102,4),Rundäx)</f>
        <v>10.045</v>
      </c>
      <c r="ID15" s="89"/>
      <c r="IE15" s="35">
        <f t="shared" si="66"/>
        <v>23</v>
      </c>
      <c r="IF15" s="25">
        <f t="shared" si="31"/>
        <v>237</v>
      </c>
      <c r="IG15" s="25">
        <f>IF($IE15&lt;RAM,IF(S16&lt;=RAK,ROUND(SUM(IF15:INDEX(Dakx,RAM-BeginnAlter))+INDEX(Dax,RAM-BeginnAlter+1)*INDEX(äkx,1),RundDx),0),"")</f>
        <v>19475</v>
      </c>
      <c r="IH15" s="25">
        <f>IF($IE15&lt;RAM,IF(S16&lt;=RAK,ROUND(SUM(IG15:INDEX(Nakx,RAM-BeginnAlter))+INDEX(Dax,RAM-BeginnAlter+1)*INDEX(äkx,1),RundDx),0),"")</f>
        <v>326698</v>
      </c>
      <c r="II15" s="24">
        <f t="shared" si="32"/>
        <v>0.32700000000000001</v>
      </c>
      <c r="IJ15" s="25">
        <f t="shared" si="33"/>
        <v>3549</v>
      </c>
      <c r="IK15" s="25">
        <f>IF($IE15&lt;RAM,IF(S16&lt;=RAK,SUM(IJ15:INDEX(Dikx,RAM-BeginnAlter))+INDEX(Dix,RAM-BeginnAlter+1)*INDEX(äkx,1),0),"")</f>
        <v>468646.83199999999</v>
      </c>
      <c r="IL15" s="24">
        <f t="shared" si="34"/>
        <v>4.032</v>
      </c>
      <c r="IM15" s="86"/>
      <c r="IN15" s="35">
        <f t="shared" si="67"/>
        <v>71</v>
      </c>
      <c r="IO15" s="25">
        <f t="shared" si="35"/>
        <v>12</v>
      </c>
      <c r="IP15" s="25">
        <f>IF(AND(VLOOKUP(IN15+1,O$9:S$102,5)&lt;=RAK,VLOOKUP(IN15+1,O$9:S$102,5)&lt;&gt;""),SUM(IO15:IO$102),0)</f>
        <v>58</v>
      </c>
      <c r="IQ15" s="24">
        <f t="shared" si="36"/>
        <v>4.0000000000000001E-3</v>
      </c>
      <c r="IR15" s="86"/>
    </row>
    <row r="16" spans="1:252" ht="15.75" customHeight="1" x14ac:dyDescent="0.25">
      <c r="A16" s="35">
        <f t="shared" si="41"/>
        <v>24</v>
      </c>
      <c r="B16" s="77">
        <v>6.5620751204398774E-4</v>
      </c>
      <c r="C16" s="77">
        <v>4.5967229047719818E-4</v>
      </c>
      <c r="D16" s="77">
        <v>1.0517054599898355E-2</v>
      </c>
      <c r="E16" s="77">
        <v>6.9245127752237678E-4</v>
      </c>
      <c r="F16" s="86"/>
      <c r="G16" s="35">
        <f t="shared" si="42"/>
        <v>24</v>
      </c>
      <c r="H16" s="25">
        <f t="shared" si="37"/>
        <v>99365</v>
      </c>
      <c r="I16" s="25">
        <f t="shared" si="38"/>
        <v>281</v>
      </c>
      <c r="J16" s="25">
        <f t="shared" si="39"/>
        <v>99646</v>
      </c>
      <c r="K16" s="30">
        <f>IF(J16&gt;0,ROUND(SUM(J16:J$102)/J16-0.5,Rundex),"")</f>
        <v>55.02</v>
      </c>
      <c r="L16" s="25">
        <f t="shared" si="0"/>
        <v>192084</v>
      </c>
      <c r="M16" s="30">
        <f>IF(L16&gt;0,ROUND(SUM(L16:L$102)/L16-0.5,Rundex),"")</f>
        <v>37.33</v>
      </c>
      <c r="N16" s="86"/>
      <c r="O16" s="35">
        <f t="shared" si="43"/>
        <v>24</v>
      </c>
      <c r="P16" s="43">
        <v>8.4000000000000005E-2</v>
      </c>
      <c r="Q16" s="78">
        <v>24.512866571312927</v>
      </c>
      <c r="R16" s="43">
        <v>0.20499999999999999</v>
      </c>
      <c r="S16" s="78">
        <v>0.7</v>
      </c>
      <c r="T16" s="15">
        <v>6.8632588169992292E-4</v>
      </c>
      <c r="U16" s="11">
        <f t="shared" si="40"/>
        <v>99645</v>
      </c>
      <c r="V16" s="30">
        <f>IF(U16&gt;0,ROUND(SUM(U16:U$102)/U16-0.5,Rundex),"")</f>
        <v>52.66</v>
      </c>
      <c r="W16" s="86"/>
      <c r="X16" s="35">
        <f t="shared" si="44"/>
        <v>24</v>
      </c>
      <c r="Y16" s="25">
        <f t="shared" si="1"/>
        <v>58252</v>
      </c>
      <c r="Z16" s="25">
        <f>IF($X16&lt;RAM,SUM(Y16:INDEX(Dax,RAM-BeginnAlter))," ")</f>
        <v>1498509</v>
      </c>
      <c r="AA16" s="25">
        <f t="shared" si="2"/>
        <v>38</v>
      </c>
      <c r="AB16" s="25">
        <f>IF($X16&lt;RAM,SUM(AA16:INDEX(Cax,RAM-BeginnAlter))," ")</f>
        <v>2636</v>
      </c>
      <c r="AC16" s="25">
        <f t="shared" si="3"/>
        <v>26</v>
      </c>
      <c r="AD16" s="25">
        <f>IF($X16&lt;RAM,SUM(AC16:INDEX(Caix,RAM-BeginnAlter))," ")</f>
        <v>7973</v>
      </c>
      <c r="AE16" s="24">
        <f t="shared" si="4"/>
        <v>25.725000000000001</v>
      </c>
      <c r="AF16" s="24">
        <f t="shared" si="5"/>
        <v>25.382999999999999</v>
      </c>
      <c r="AG16" s="86"/>
      <c r="AH16" s="35">
        <f t="shared" si="45"/>
        <v>24</v>
      </c>
      <c r="AI16" s="25">
        <f t="shared" si="6"/>
        <v>112609</v>
      </c>
      <c r="AJ16" s="25">
        <f>IF($AH16&gt;RAM," ",IF($AH16&lt;RAM,SUM(AI16:INDEX(Dix,RAM-BeginnAlter))+INDEX(Nx,RAM-BeginnAlter+1),INDEX(Nx,RAM-BeginnAlter+1)))</f>
        <v>2642641</v>
      </c>
      <c r="AK16" s="25">
        <f>IF($AH16&lt;RAM,SUM(AI16:INDEX(Dix,RAM-BeginnAlter))," ")</f>
        <v>2345394</v>
      </c>
      <c r="AL16" s="24">
        <f t="shared" si="7"/>
        <v>23.466999999999999</v>
      </c>
      <c r="AM16" s="24">
        <f t="shared" si="8"/>
        <v>23.009</v>
      </c>
      <c r="AN16" s="24">
        <f t="shared" si="9"/>
        <v>20.827999999999999</v>
      </c>
      <c r="AO16" s="24">
        <f t="shared" si="10"/>
        <v>20.452999999999999</v>
      </c>
      <c r="AP16" s="86"/>
      <c r="AQ16" s="35">
        <f t="shared" si="46"/>
        <v>24</v>
      </c>
      <c r="AR16" s="25">
        <f t="shared" si="11"/>
        <v>58417</v>
      </c>
      <c r="AS16" s="25">
        <f>SUM(AR16:AR$94)</f>
        <v>1848409</v>
      </c>
      <c r="AT16" s="25">
        <f>IF($AQ16&lt;RAM,SUM(AR16:INDEX(Dx,RAM-BeginnAlter))," ")</f>
        <v>1551162</v>
      </c>
      <c r="AU16" s="24">
        <f t="shared" si="12"/>
        <v>31.641999999999999</v>
      </c>
      <c r="AV16" s="24">
        <f t="shared" si="13"/>
        <v>31.183</v>
      </c>
      <c r="AW16" s="24">
        <f t="shared" si="14"/>
        <v>26.553000000000001</v>
      </c>
      <c r="AX16" s="24">
        <f t="shared" si="15"/>
        <v>26.256</v>
      </c>
      <c r="AY16" s="86"/>
      <c r="AZ16" s="35">
        <f t="shared" si="47"/>
        <v>24</v>
      </c>
      <c r="BA16" s="25">
        <f t="shared" si="16"/>
        <v>58417</v>
      </c>
      <c r="BB16" s="25">
        <f>SUM(BA16:BA$94)</f>
        <v>1806349</v>
      </c>
      <c r="BC16" s="24">
        <f t="shared" si="17"/>
        <v>30.922000000000001</v>
      </c>
      <c r="BD16" s="24">
        <f t="shared" si="18"/>
        <v>30.463000000000001</v>
      </c>
      <c r="BE16" s="86"/>
      <c r="BF16" s="35">
        <f t="shared" si="48"/>
        <v>7</v>
      </c>
      <c r="BG16" s="24">
        <f t="shared" si="19"/>
        <v>14.997999999999999</v>
      </c>
      <c r="BH16" s="24">
        <f t="shared" si="20"/>
        <v>14.846</v>
      </c>
      <c r="BI16" s="86"/>
      <c r="BJ16" s="35">
        <f t="shared" si="49"/>
        <v>24</v>
      </c>
      <c r="BK16" s="25">
        <f t="shared" si="21"/>
        <v>606</v>
      </c>
      <c r="BL16" s="25">
        <f>IF(BJ16&lt;RAM,SUM(BK16:INDEX(Daix,RAM-BeginnAlter))," ")</f>
        <v>131874</v>
      </c>
      <c r="BM16" s="25">
        <f>IF(BJ16&lt;RAM,SUM(BL16:INDEX(Naix,RAM-BeginnAlter))," ")</f>
        <v>4129283</v>
      </c>
      <c r="BN16" s="24">
        <f t="shared" si="22"/>
        <v>3.5659999999999998</v>
      </c>
      <c r="BO16" s="24">
        <f t="shared" si="23"/>
        <v>2.2639999999999998</v>
      </c>
      <c r="BP16" s="86"/>
      <c r="BQ16" s="35">
        <f t="shared" si="50"/>
        <v>24</v>
      </c>
      <c r="BR16" s="25">
        <f t="shared" si="51"/>
        <v>537</v>
      </c>
      <c r="BS16" s="25">
        <f>IF(BQ16&lt;RAM,SUM(BR16:INDEX(Daixs,RAM-BeginnAlter))," ")</f>
        <v>52189</v>
      </c>
      <c r="BT16" s="25">
        <f>IF(BQ16&lt;RAM,SUM(BS16:INDEX(Naixs,RAM-BeginnAlter))," ")</f>
        <v>1338769</v>
      </c>
      <c r="BU16" s="24">
        <f t="shared" si="52"/>
        <v>4.9340000000000002</v>
      </c>
      <c r="BV16" s="24">
        <f t="shared" si="53"/>
        <v>0.89600000000000002</v>
      </c>
      <c r="BW16" s="86"/>
      <c r="BX16" s="35">
        <f t="shared" si="54"/>
        <v>24</v>
      </c>
      <c r="BY16" s="10">
        <f t="shared" si="24"/>
        <v>15.950439505278156</v>
      </c>
      <c r="BZ16" s="11">
        <f t="shared" si="25"/>
        <v>106</v>
      </c>
      <c r="CA16" s="25">
        <f>IF(S17&lt;=RAK,IF($BX16&lt;RAM,SUM(BZ16:INDEX(Dazx,RAM-BeginnAlter)),""),"")</f>
        <v>22065</v>
      </c>
      <c r="CB16" s="24">
        <f t="shared" si="26"/>
        <v>0.379</v>
      </c>
      <c r="CC16" s="25">
        <f t="shared" si="27"/>
        <v>33072</v>
      </c>
      <c r="CD16" s="24">
        <f t="shared" si="28"/>
        <v>22.204000000000001</v>
      </c>
      <c r="CE16" s="24">
        <f t="shared" si="29"/>
        <v>1.7000000000000001E-2</v>
      </c>
      <c r="CF16" s="86"/>
      <c r="CG16" s="35">
        <f t="shared" si="55"/>
        <v>24</v>
      </c>
      <c r="CH16" s="25">
        <f>IF(CG16&lt;RAM,ROUND(v^($CG16+FaktorAlter)*$H16*($B16*0.5*($P16+$P17)*(VLOOKUP(TRUNC(0.5*($Q16+$Q17),0),Frauen!$AZ$9:$BD$95,5)+(0.5*($Q16+$Q17)-TRUNC(0.5*($Q16+$Q17),0))*(VLOOKUP(TRUNC(0.5*($Q16+$Q17)+1,0),Frauen!$AZ$9:$BD$95,5)-VLOOKUP(TRUNC(0.5*($Q16+$Q17),0),Frauen!$AZ$9:$BD$95,5)))+$C16*0.5*($CN16+$CN17)),RundDx),"")</f>
        <v>286</v>
      </c>
      <c r="CI16" s="25">
        <f>IF(CG16&lt;RAM,ROUND(SUM(CH16:INDEX(Dawx,RAM-BeginnAlter))+INDEX(Dax,RAM-BeginnAlter+1)*INDEX(äwx,1),RundDx),"")</f>
        <v>168397</v>
      </c>
      <c r="CJ16" s="25">
        <f>IF(CG16&lt;RAM,ROUND(SUM(CI16:INDEX(Nawx,RAM-BeginnAlter))+INDEX(Dax,RAM-BeginnAlter+1)*INDEX(äwx,1),RundDx),"")</f>
        <v>5988262</v>
      </c>
      <c r="CK16" s="24">
        <f t="shared" si="56"/>
        <v>2.891</v>
      </c>
      <c r="CL16" s="25">
        <f>IF(CG16&lt;RAM,ROUND(v^($CG16+FaktorAlter)*$L16*$D16*0.5*($P16+$P17)*(VLOOKUP(TRUNC(0.5*($Q16+$Q17),0),Frauen!$AZ$9:$BD$95,5)+(0.5*($Q16+$Q17)-TRUNC(0.5*($Q16+$Q17),0))*(VLOOKUP(TRUNC(0.5*($Q16+$Q17)+1,0),Frauen!$AZ$9:$BD$95,5)-VLOOKUP(TRUNC(0.5*($Q16+$Q17),0),Frauen!$AZ$9:$BD$95,5))),RundDx),"")</f>
        <v>3661</v>
      </c>
      <c r="CM16" s="25">
        <f>IF(CG16&lt;RAM,SUM(CL16:INDEX(Diwx,RAM-BeginnAlter))+INDEX(Dix,RAM-BeginnAlter+1)*INDEX(äwx,1),"")</f>
        <v>701766.41399999999</v>
      </c>
      <c r="CN16" s="24">
        <f t="shared" si="57"/>
        <v>6.2320000000000002</v>
      </c>
      <c r="CO16" s="86"/>
      <c r="CP16" s="35">
        <f t="shared" si="58"/>
        <v>72</v>
      </c>
      <c r="CQ16" s="11">
        <f>ROUND(v^($CP16+FaktorAlter)*VLOOKUP(CP16,G$9:J$102,4)*VLOOKUP(CP16,A$9:E$102,5)*0.5*(VLOOKUP(CP16,O$9:P$102,2)+VLOOKUP(CP16+1,O$9:P$102,2))*(VLOOKUP(TRUNC(0.5*(VLOOKUP(CP16,O$9:Q$102,3)+VLOOKUP(CP16+1,O$9:Q$102,3)),0),Frauen!$AZ$9:$BD$95,5)+(0.5*(VLOOKUP(CP16,O$9:Q$102,3)+VLOOKUP(CP16+1,O$9:Q$102,3))-TRUNC(0.5*(VLOOKUP(CP16,O$9:Q$102,3)+VLOOKUP(CP16+1,O$9:Q$102,3)),0))*(VLOOKUP(TRUNC(0.5*(VLOOKUP(CP16,O$9:Q$102,3)+VLOOKUP(CP16+1,O$9:Q$102,3))+1,0),Frauen!$AZ$9:$BD$95,5)-VLOOKUP(TRUNC(0.5*(VLOOKUP(CP16,O$9:Q$102,3)+VLOOKUP(CP16+1,O$9:Q$102,3)),0),Frauen!$AZ$9:$BD$95,5))),RundDx)</f>
        <v>4981</v>
      </c>
      <c r="CR16" s="25">
        <f>SUM(CQ16:CQ$56)</f>
        <v>75738</v>
      </c>
      <c r="CS16" s="24">
        <f t="shared" si="30"/>
        <v>4.9740000000000002</v>
      </c>
      <c r="CT16" s="86"/>
      <c r="CU16" s="35">
        <f t="shared" si="59"/>
        <v>24</v>
      </c>
      <c r="CV16" s="25">
        <f>IF($CU16&gt;=RAM,"",IF($CU16-CV$103&lt;BeginnAlter,"",ROUND(v^($CU16+FaktorAlter)*$L16*$D16*0.5*(VLOOKUP($CU16-CV$103,Frauen!$G$9:$J$102,4)+VLOOKUP($CU16-CV$103+1,Frauen!$G$9:$J$102,4))*0.5*(VLOOKUP($CU16-CV$103,Frauen!$AZ$9:$BD$102,5)+VLOOKUP($CU16-CV$103+1,Frauen!$AZ$9:$BD$102,5)),RundDx)))</f>
        <v>3205603389</v>
      </c>
      <c r="CW16" s="25">
        <f>IF($CU16&gt;=RAM,"",IF($CU16-CW$103&lt;BeginnAlter,"",ROUND(v^($CU16+FaktorAlter)*$L16*$D16*0.5*(VLOOKUP($CU16-CW$103,Frauen!$G$9:$J$102,4)+VLOOKUP($CU16-CW$103+1,Frauen!$G$9:$J$102,4))*0.5*(VLOOKUP($CU16-CW$103,Frauen!$AZ$9:$BD$102,5)+VLOOKUP($CU16-CW$103+1,Frauen!$AZ$9:$BD$102,5)),RundDx)))</f>
        <v>3249909441</v>
      </c>
      <c r="CX16" s="25">
        <f>IF($CU16&gt;=RAM,"",IF($CU16-CX$103&lt;BeginnAlter,"",ROUND(v^($CU16+FaktorAlter)*$L16*$D16*0.5*(VLOOKUP($CU16-CX$103,Frauen!$G$9:$J$102,4)+VLOOKUP($CU16-CX$103+1,Frauen!$G$9:$J$102,4))*0.5*(VLOOKUP($CU16-CX$103,Frauen!$AZ$9:$BD$102,5)+VLOOKUP($CU16-CX$103+1,Frauen!$AZ$9:$BD$102,5)),RundDx)))</f>
        <v>3293287565</v>
      </c>
      <c r="CY16" s="25">
        <f>IF($CU16&gt;=RAM,"",IF($CU16-CY$103&lt;BeginnAlter,"",ROUND(v^($CU16+FaktorAlter)*$L16*$D16*0.5*(VLOOKUP($CU16-CY$103,Frauen!$G$9:$J$102,4)+VLOOKUP($CU16-CY$103+1,Frauen!$G$9:$J$102,4))*0.5*(VLOOKUP($CU16-CY$103,Frauen!$AZ$9:$BD$102,5)+VLOOKUP($CU16-CY$103+1,Frauen!$AZ$9:$BD$102,5)),RundDx)))</f>
        <v>3335818354</v>
      </c>
      <c r="CZ16" s="25">
        <f>IF($CU16&gt;=RAM,"",IF($CU16-CZ$103&lt;BeginnAlter,"",ROUND(v^($CU16+FaktorAlter)*$L16*$D16*0.5*(VLOOKUP($CU16-CZ$103,Frauen!$G$9:$J$102,4)+VLOOKUP($CU16-CZ$103+1,Frauen!$G$9:$J$102,4))*0.5*(VLOOKUP($CU16-CZ$103,Frauen!$AZ$9:$BD$102,5)+VLOOKUP($CU16-CZ$103+1,Frauen!$AZ$9:$BD$102,5)),RundDx)))</f>
        <v>3377526344</v>
      </c>
      <c r="DA16" s="25">
        <f>IF($CU16&gt;=RAM,"",IF($CU16-DA$103&lt;BeginnAlter,"",ROUND(v^($CU16+FaktorAlter)*$L16*$D16*0.5*(VLOOKUP($CU16-DA$103,Frauen!$G$9:$J$102,4)+VLOOKUP($CU16-DA$103+1,Frauen!$G$9:$J$102,4))*0.5*(VLOOKUP($CU16-DA$103,Frauen!$AZ$9:$BD$102,5)+VLOOKUP($CU16-DA$103+1,Frauen!$AZ$9:$BD$102,5)),RundDx)))</f>
        <v>3418379725</v>
      </c>
      <c r="DB16" s="25">
        <f>IF($CU16&gt;=RAM,"",IF($CU16-DB$103&lt;BeginnAlter,"",ROUND(v^($CU16+FaktorAlter)*$L16*$D16*0.5*(VLOOKUP($CU16-DB$103,Frauen!$G$9:$J$102,4)+VLOOKUP($CU16-DB$103+1,Frauen!$G$9:$J$102,4))*0.5*(VLOOKUP($CU16-DB$103,Frauen!$AZ$9:$BD$102,5)+VLOOKUP($CU16-DB$103+1,Frauen!$AZ$9:$BD$102,5)),RundDx)))</f>
        <v>3458389116</v>
      </c>
      <c r="DC16" s="25">
        <f>IF($CU16&gt;=RAM,"",IF($CU16-DC$103&lt;BeginnAlter,"",ROUND(v^($CU16+FaktorAlter)*$L16*$D16*0.5*(VLOOKUP($CU16-DC$103,Frauen!$G$9:$J$102,4)+VLOOKUP($CU16-DC$103+1,Frauen!$G$9:$J$102,4))*0.5*(VLOOKUP($CU16-DC$103,Frauen!$AZ$9:$BD$102,5)+VLOOKUP($CU16-DC$103+1,Frauen!$AZ$9:$BD$102,5)),RundDx)))</f>
        <v>3497566093</v>
      </c>
      <c r="DD16" s="25">
        <f>IF($CU16&gt;=RAM,"",IF($CU16-DD$103&lt;BeginnAlter,"",ROUND(v^($CU16+FaktorAlter)*$L16*$D16*0.5*(VLOOKUP($CU16-DD$103,Frauen!$G$9:$J$102,4)+VLOOKUP($CU16-DD$103+1,Frauen!$G$9:$J$102,4))*0.5*(VLOOKUP($CU16-DD$103,Frauen!$AZ$9:$BD$102,5)+VLOOKUP($CU16-DD$103+1,Frauen!$AZ$9:$BD$102,5)),RundDx)))</f>
        <v>3535981427</v>
      </c>
      <c r="DE16" s="25">
        <f>IF($CU16&gt;=RAM,"",IF($CU16-DE$103&lt;BeginnAlter,"",ROUND(v^($CU16+FaktorAlter)*$L16*$D16*0.5*(VLOOKUP($CU16-DE$103,Frauen!$G$9:$J$102,4)+VLOOKUP($CU16-DE$103+1,Frauen!$G$9:$J$102,4))*0.5*(VLOOKUP($CU16-DE$103,Frauen!$AZ$9:$BD$102,5)+VLOOKUP($CU16-DE$103+1,Frauen!$AZ$9:$BD$102,5)),RundDx)))</f>
        <v>3573648578</v>
      </c>
      <c r="DF16" s="25">
        <f>IF($CU16&gt;=RAM,"",IF($CU16-DF$103&lt;BeginnAlter,"",ROUND(v^($CU16+FaktorAlter)*$L16*$D16*0.5*(VLOOKUP($CU16-DF$103,Frauen!$G$9:$J$102,4)+VLOOKUP($CU16-DF$103+1,Frauen!$G$9:$J$102,4))*0.5*(VLOOKUP($CU16-DF$103,Frauen!$AZ$9:$BD$102,5)+VLOOKUP($CU16-DF$103+1,Frauen!$AZ$9:$BD$102,5)),RundDx)))</f>
        <v>3610523483</v>
      </c>
      <c r="DG16" s="25">
        <f>IF($CU16&gt;=RAM,"",IF($CU16-DG$103&lt;BeginnAlter,"",ROUND(v^($CU16+FaktorAlter)*$L16*$D16*0.5*(VLOOKUP($CU16-DG$103,Frauen!$G$9:$J$102,4)+VLOOKUP($CU16-DG$103+1,Frauen!$G$9:$J$102,4))*0.5*(VLOOKUP($CU16-DG$103,Frauen!$AZ$9:$BD$102,5)+VLOOKUP($CU16-DG$103+1,Frauen!$AZ$9:$BD$102,5)),RundDx)))</f>
        <v>3646602848</v>
      </c>
      <c r="DH16" s="25">
        <f>IF($CU16&gt;=RAM,"",IF($CU16-DH$103&lt;BeginnAlter,"",ROUND(v^($CU16+FaktorAlter)*$L16*$D16*0.5*(VLOOKUP($CU16-DH$103,Frauen!$G$9:$J$102,4)+VLOOKUP($CU16-DH$103+1,Frauen!$G$9:$J$102,4))*0.5*(VLOOKUP($CU16-DH$103,Frauen!$AZ$9:$BD$102,5)+VLOOKUP($CU16-DH$103+1,Frauen!$AZ$9:$BD$102,5)),RundDx)))</f>
        <v>3681923416</v>
      </c>
      <c r="DI16" s="25">
        <f>IF($CU16&gt;=RAM,"",IF($CU16-DI$103&lt;BeginnAlter,"",ROUND(v^($CU16+FaktorAlter)*$L16*$D16*0.5*(VLOOKUP($CU16-DI$103,Frauen!$G$9:$J$102,4)+VLOOKUP($CU16-DI$103+1,Frauen!$G$9:$J$102,4))*0.5*(VLOOKUP($CU16-DI$103,Frauen!$AZ$9:$BD$102,5)+VLOOKUP($CU16-DI$103+1,Frauen!$AZ$9:$BD$102,5)),RundDx)))</f>
        <v>3716579897</v>
      </c>
      <c r="DJ16" s="25">
        <f>IF($CU16&gt;=RAM,"",IF($CU16-DJ$103&lt;BeginnAlter,"",ROUND(v^($CU16+FaktorAlter)*$L16*$D16*0.5*(VLOOKUP($CU16-DJ$103,Frauen!$G$9:$J$102,4)+VLOOKUP($CU16-DJ$103+1,Frauen!$G$9:$J$102,4))*0.5*(VLOOKUP($CU16-DJ$103,Frauen!$AZ$9:$BD$102,5)+VLOOKUP($CU16-DJ$103+1,Frauen!$AZ$9:$BD$102,5)),RundDx)))</f>
        <v>3750491292</v>
      </c>
      <c r="DK16" s="25">
        <f>IF($CU16&gt;=RAM,"",IF($CU16-DK$103&lt;BeginnAlter,"",ROUND(v^($CU16+FaktorAlter)*$L16*$D16*0.5*(VLOOKUP($CU16-DK$103,Frauen!$G$9:$J$102,4)+VLOOKUP($CU16-DK$103+1,Frauen!$G$9:$J$102,4))*0.5*(VLOOKUP($CU16-DK$103,Frauen!$AZ$9:$BD$102,5)+VLOOKUP($CU16-DK$103+1,Frauen!$AZ$9:$BD$102,5)),RundDx)))</f>
        <v>3783692933</v>
      </c>
      <c r="DL16" s="25">
        <f>IF($CU16&gt;=RAM,"",IF($CU16-DL$103&lt;BeginnAlter,"",ROUND(v^($CU16+FaktorAlter)*$L16*$D16*0.5*(VLOOKUP($CU16-DL$103,Frauen!$G$9:$J$102,4)+VLOOKUP($CU16-DL$103+1,Frauen!$G$9:$J$102,4))*0.5*(VLOOKUP($CU16-DL$103,Frauen!$AZ$9:$BD$102,5)+VLOOKUP($CU16-DL$103+1,Frauen!$AZ$9:$BD$102,5)),RundDx)))</f>
        <v>3816238844</v>
      </c>
      <c r="DM16" s="25">
        <f>IF($CU16&gt;=RAM,"",IF($CU16-DM$103&lt;BeginnAlter,"",ROUND(v^($CU16+FaktorAlter)*$L16*$D16*0.5*(VLOOKUP($CU16-DM$103,Frauen!$G$9:$J$102,4)+VLOOKUP($CU16-DM$103+1,Frauen!$G$9:$J$102,4))*0.5*(VLOOKUP($CU16-DM$103,Frauen!$AZ$9:$BD$102,5)+VLOOKUP($CU16-DM$103+1,Frauen!$AZ$9:$BD$102,5)),RundDx)))</f>
        <v>3848105486</v>
      </c>
      <c r="DN16" s="25">
        <f>IF($CU16&gt;=RAM,"",IF($CU16-DN$103&lt;BeginnAlter,"",ROUND(v^($CU16+FaktorAlter)*$L16*$D16*0.5*(VLOOKUP($CU16-DN$103,Frauen!$G$9:$J$102,4)+VLOOKUP($CU16-DN$103+1,Frauen!$G$9:$J$102,4))*0.5*(VLOOKUP($CU16-DN$103,Frauen!$AZ$9:$BD$102,5)+VLOOKUP($CU16-DN$103+1,Frauen!$AZ$9:$BD$102,5)),RundDx)))</f>
        <v>3879327371</v>
      </c>
      <c r="DO16" s="25">
        <f>IF($CU16&gt;=RAM,"",IF($CU16-DO$103&lt;BeginnAlter,"",ROUND(v^($CU16+FaktorAlter)*$L16*$D16*0.5*(VLOOKUP($CU16-DO$103,Frauen!$G$9:$J$102,4)+VLOOKUP($CU16-DO$103+1,Frauen!$G$9:$J$102,4))*0.5*(VLOOKUP($CU16-DO$103,Frauen!$AZ$9:$BD$102,5)+VLOOKUP($CU16-DO$103+1,Frauen!$AZ$9:$BD$102,5)),RundDx)))</f>
        <v>3909841081</v>
      </c>
      <c r="DP16" s="25">
        <f>IF($CU16&gt;=RAM,"",IF($CU16-DP$103&lt;BeginnAlter,"",ROUND(v^($CU16+FaktorAlter)*$L16*$D16*0.5*(VLOOKUP($CU16-DP$103,Frauen!$G$9:$J$102,4)+VLOOKUP($CU16-DP$103+1,Frauen!$G$9:$J$102,4))*0.5*(VLOOKUP($CU16-DP$103,Frauen!$AZ$9:$BD$102,5)+VLOOKUP($CU16-DP$103+1,Frauen!$AZ$9:$BD$102,5)),RundDx)))</f>
        <v>3939661554</v>
      </c>
      <c r="DQ16" s="25">
        <f>IF($CU16&gt;=RAM,"",IF($CU16-DQ$103&lt;BeginnAlter,"",ROUND(v^($CU16+FaktorAlter)*$L16*$D16*0.5*(VLOOKUP($CU16-DQ$103,Frauen!$G$9:$J$102,4)+VLOOKUP($CU16-DQ$103+1,Frauen!$G$9:$J$102,4))*0.5*(VLOOKUP($CU16-DQ$103,Frauen!$AZ$9:$BD$102,5)+VLOOKUP($CU16-DQ$103+1,Frauen!$AZ$9:$BD$102,5)),RundDx)))</f>
        <v>3968902710</v>
      </c>
      <c r="DR16" s="25">
        <f>IF($CU16&gt;=RAM,"",IF($CU16-DR$103&lt;BeginnAlter,"",ROUND(v^($CU16+FaktorAlter)*$L16*$D16*0.5*(VLOOKUP($CU16-DR$103,Frauen!$G$9:$J$102,4)+VLOOKUP($CU16-DR$103+1,Frauen!$G$9:$J$102,4))*0.5*(VLOOKUP($CU16-DR$103,Frauen!$AZ$9:$BD$102,5)+VLOOKUP($CU16-DR$103+1,Frauen!$AZ$9:$BD$102,5)),RundDx)))</f>
        <v>3997504654</v>
      </c>
      <c r="DS16" s="25" t="str">
        <f>IF($CU16&gt;=RAM,"",IF($CU16-DS$103&lt;BeginnAlter,"",ROUND(v^($CU16+FaktorAlter)*$L16*$D16*0.5*(VLOOKUP($CU16-DS$103,Frauen!$G$9:$J$102,4)+VLOOKUP($CU16-DS$103+1,Frauen!$G$9:$J$102,4))*0.5*(VLOOKUP($CU16-DS$103,Frauen!$AZ$9:$BD$102,5)+VLOOKUP($CU16-DS$103+1,Frauen!$AZ$9:$BD$102,5)),RundDx)))</f>
        <v/>
      </c>
      <c r="DT16" s="25" t="str">
        <f>IF($CU16&gt;=RAM,"",IF($CU16-DT$103&lt;BeginnAlter,"",ROUND(v^($CU16+FaktorAlter)*$L16*$D16*0.5*(VLOOKUP($CU16-DT$103,Frauen!$G$9:$J$102,4)+VLOOKUP($CU16-DT$103+1,Frauen!$G$9:$J$102,4))*0.5*(VLOOKUP($CU16-DT$103,Frauen!$AZ$9:$BD$102,5)+VLOOKUP($CU16-DT$103+1,Frauen!$AZ$9:$BD$102,5)),RundDx)))</f>
        <v/>
      </c>
      <c r="DU16" s="25" t="str">
        <f>IF($CU16&gt;=RAM,"",IF($CU16-DU$103&lt;BeginnAlter,"",ROUND(v^($CU16+FaktorAlter)*$L16*$D16*0.5*(VLOOKUP($CU16-DU$103,Frauen!$G$9:$J$102,4)+VLOOKUP($CU16-DU$103+1,Frauen!$G$9:$J$102,4))*0.5*(VLOOKUP($CU16-DU$103,Frauen!$AZ$9:$BD$102,5)+VLOOKUP($CU16-DU$103+1,Frauen!$AZ$9:$BD$102,5)),RundDx)))</f>
        <v/>
      </c>
      <c r="DV16" s="25" t="str">
        <f>IF($CU16&gt;=RAM,"",IF($CU16-DV$103&lt;BeginnAlter,"",ROUND(v^($CU16+FaktorAlter)*$L16*$D16*0.5*(VLOOKUP($CU16-DV$103,Frauen!$G$9:$J$102,4)+VLOOKUP($CU16-DV$103+1,Frauen!$G$9:$J$102,4))*0.5*(VLOOKUP($CU16-DV$103,Frauen!$AZ$9:$BD$102,5)+VLOOKUP($CU16-DV$103+1,Frauen!$AZ$9:$BD$102,5)),RundDx)))</f>
        <v/>
      </c>
      <c r="DW16" s="25" t="str">
        <f>IF($CU16&gt;=RAM,"",IF($CU16-DW$103&lt;BeginnAlter,"",ROUND(v^($CU16+FaktorAlter)*$L16*$D16*0.5*(VLOOKUP($CU16-DW$103,Frauen!$G$9:$J$102,4)+VLOOKUP($CU16-DW$103+1,Frauen!$G$9:$J$102,4))*0.5*(VLOOKUP($CU16-DW$103,Frauen!$AZ$9:$BD$102,5)+VLOOKUP($CU16-DW$103+1,Frauen!$AZ$9:$BD$102,5)),RundDx)))</f>
        <v/>
      </c>
      <c r="DX16" s="25" t="str">
        <f>IF($CU16&gt;=RAM,"",IF($CU16-DX$103&lt;BeginnAlter,"",ROUND(v^($CU16+FaktorAlter)*$L16*$D16*0.5*(VLOOKUP($CU16-DX$103,Frauen!$G$9:$J$102,4)+VLOOKUP($CU16-DX$103+1,Frauen!$G$9:$J$102,4))*0.5*(VLOOKUP($CU16-DX$103,Frauen!$AZ$9:$BD$102,5)+VLOOKUP($CU16-DX$103+1,Frauen!$AZ$9:$BD$102,5)),RundDx)))</f>
        <v/>
      </c>
      <c r="DY16" s="25" t="str">
        <f>IF($CU16&gt;=RAM,"",IF($CU16-DY$103&lt;BeginnAlter,"",ROUND(v^($CU16+FaktorAlter)*$L16*$D16*0.5*(VLOOKUP($CU16-DY$103,Frauen!$G$9:$J$102,4)+VLOOKUP($CU16-DY$103+1,Frauen!$G$9:$J$102,4))*0.5*(VLOOKUP($CU16-DY$103,Frauen!$AZ$9:$BD$102,5)+VLOOKUP($CU16-DY$103+1,Frauen!$AZ$9:$BD$102,5)),RundDx)))</f>
        <v/>
      </c>
      <c r="DZ16" s="25" t="str">
        <f>IF($CU16&gt;=RAM,"",IF($CU16-DZ$103&lt;BeginnAlter,"",ROUND(v^($CU16+FaktorAlter)*$L16*$D16*0.5*(VLOOKUP($CU16-DZ$103,Frauen!$G$9:$J$102,4)+VLOOKUP($CU16-DZ$103+1,Frauen!$G$9:$J$102,4))*0.5*(VLOOKUP($CU16-DZ$103,Frauen!$AZ$9:$BD$102,5)+VLOOKUP($CU16-DZ$103+1,Frauen!$AZ$9:$BD$102,5)),RundDx)))</f>
        <v/>
      </c>
      <c r="EA16" s="43">
        <f>IF($CU16&gt;=RAM,"",IF($CU16-EA$103&lt;BeginnAlter,"",ROUND((SUM(CV16:CV$56)+SUM(FN$9:FN$56))/VLOOKUP($CU16,$AH$9:$AI$102,2)/VLOOKUP($CU16-EA$103,Frauen!$G$9:$J$102,4),Rundäx)))</f>
        <v>7.2480000000000002</v>
      </c>
      <c r="EB16" s="43">
        <f>IF($CU16&gt;=RAM,"",IF($CU16-EB$103&lt;BeginnAlter,"",ROUND((SUM(CW16:CW$56)+SUM(FO$9:FO$56))/VLOOKUP($CU16,$AH$9:$AI$102,2)/VLOOKUP($CU16-EB$103,Frauen!$G$9:$J$102,4),Rundäx)))</f>
        <v>7.4509999999999996</v>
      </c>
      <c r="EC16" s="43">
        <f>IF($CU16&gt;=RAM,"",IF($CU16-EC$103&lt;BeginnAlter,"",ROUND((SUM(CX16:CX$56)+SUM(FP$9:FP$56))/VLOOKUP($CU16,$AH$9:$AI$102,2)/VLOOKUP($CU16-EC$103,Frauen!$G$9:$J$102,4),Rundäx)))</f>
        <v>7.6529999999999996</v>
      </c>
      <c r="ED16" s="43">
        <f>IF($CU16&gt;=RAM,"",IF($CU16-ED$103&lt;BeginnAlter,"",ROUND((SUM(CY16:CY$56)+SUM(FQ$9:FQ$56))/VLOOKUP($CU16,$AH$9:$AI$102,2)/VLOOKUP($CU16-ED$103,Frauen!$G$9:$J$102,4),Rundäx)))</f>
        <v>7.8570000000000002</v>
      </c>
      <c r="EE16" s="43">
        <f>IF($CU16&gt;=RAM,"",IF($CU16-EE$103&lt;BeginnAlter,"",ROUND((SUM(CZ16:CZ$56)+SUM(FR$9:FR$56))/VLOOKUP($CU16,$AH$9:$AI$102,2)/VLOOKUP($CU16-EE$103,Frauen!$G$9:$J$102,4),Rundäx)))</f>
        <v>8.06</v>
      </c>
      <c r="EF16" s="43">
        <f>IF($CU16&gt;=RAM,"",IF($CU16-EF$103&lt;BeginnAlter,"",ROUND((SUM(DA16:DA$56)+SUM(FS$9:FS$56))/VLOOKUP($CU16,$AH$9:$AI$102,2)/VLOOKUP($CU16-EF$103,Frauen!$G$9:$J$102,4),Rundäx)))</f>
        <v>8.2629999999999999</v>
      </c>
      <c r="EG16" s="43">
        <f>IF($CU16&gt;=RAM,"",IF($CU16-EG$103&lt;BeginnAlter,"",ROUND((SUM(DB16:DB$56)+SUM(FT$9:FT$56))/VLOOKUP($CU16,$AH$9:$AI$102,2)/VLOOKUP($CU16-EG$103,Frauen!$G$9:$J$102,4),Rundäx)))</f>
        <v>8.4670000000000005</v>
      </c>
      <c r="EH16" s="43">
        <f>IF($CU16&gt;=RAM,"",IF($CU16-EH$103&lt;BeginnAlter,"",ROUND((SUM(DC16:DC$56)+SUM(FU$9:FU$56))/VLOOKUP($CU16,$AH$9:$AI$102,2)/VLOOKUP($CU16-EH$103,Frauen!$G$9:$J$102,4),Rundäx)))</f>
        <v>8.67</v>
      </c>
      <c r="EI16" s="86"/>
      <c r="EJ16" s="35">
        <f t="shared" si="60"/>
        <v>24</v>
      </c>
      <c r="EK16" s="43">
        <f>IF($CU16&gt;=RAM,"",IF($CU16-EK$103&lt;BeginnAlter,"",ROUND((SUM(DD16:DD$56)+SUM(FV$9:FV$56))/VLOOKUP($CU16,$AH$9:$AI$102,2)/VLOOKUP($CU16-EK$103,Frauen!$G$9:$J$102,4),Rundäx)))</f>
        <v>8.8740000000000006</v>
      </c>
      <c r="EL16" s="43">
        <f>IF($CU16&gt;=RAM,"",IF($CU16-EL$103&lt;BeginnAlter,"",ROUND((SUM(DE16:DE$56)+SUM(FW$9:FW$56))/VLOOKUP($CU16,$AH$9:$AI$102,2)/VLOOKUP($CU16-EL$103,Frauen!$G$9:$J$102,4),Rundäx)))</f>
        <v>9.077</v>
      </c>
      <c r="EM16" s="43">
        <f>IF($CU16&gt;=RAM,"",IF($CU16-EM$103&lt;BeginnAlter,"",ROUND((SUM(DF16:DF$56)+SUM(FX$9:FX$56))/VLOOKUP($CU16,$AH$9:$AI$102,2)/VLOOKUP($CU16-EM$103,Frauen!$G$9:$J$102,4),Rundäx)))</f>
        <v>9.2799999999999994</v>
      </c>
      <c r="EN16" s="43">
        <f>IF($CU16&gt;=RAM,"",IF($CU16-EN$103&lt;BeginnAlter,"",ROUND((SUM(DG16:DG$56)+SUM(FY$9:FY$56))/VLOOKUP($CU16,$AH$9:$AI$102,2)/VLOOKUP($CU16-EN$103,Frauen!$G$9:$J$102,4),Rundäx)))</f>
        <v>9.484</v>
      </c>
      <c r="EO16" s="43">
        <f>IF($CU16&gt;=RAM,"",IF($CU16-EO$103&lt;BeginnAlter,"",ROUND((SUM(DH16:DH$56)+SUM(FZ$9:FZ$56))/VLOOKUP($CU16,$AH$9:$AI$102,2)/VLOOKUP($CU16-EO$103,Frauen!$G$9:$J$102,4),Rundäx)))</f>
        <v>9.6869999999999994</v>
      </c>
      <c r="EP16" s="43">
        <f>IF($CU16&gt;=RAM,"",IF($CU16-EP$103&lt;BeginnAlter,"",ROUND((SUM(DI16:DI$56)+SUM(GA$9:GA$56))/VLOOKUP($CU16,$AH$9:$AI$102,2)/VLOOKUP($CU16-EP$103,Frauen!$G$9:$J$102,4),Rundäx)))</f>
        <v>9.89</v>
      </c>
      <c r="EQ16" s="43">
        <f>IF($CU16&gt;=RAM,"",IF($CU16-EQ$103&lt;BeginnAlter,"",ROUND((SUM(DJ16:DJ$56)+SUM(GB$9:GB$56))/VLOOKUP($CU16,$AH$9:$AI$102,2)/VLOOKUP($CU16-EQ$103,Frauen!$G$9:$J$102,4),Rundäx)))</f>
        <v>10.092000000000001</v>
      </c>
      <c r="ER16" s="43">
        <f>IF($CU16&gt;=RAM,"",IF($CU16-ER$103&lt;BeginnAlter,"",ROUND((SUM(DK16:DK$56)+SUM(GC$9:GC$56))/VLOOKUP($CU16,$AH$9:$AI$102,2)/VLOOKUP($CU16-ER$103,Frauen!$G$9:$J$102,4),Rundäx)))</f>
        <v>10.295</v>
      </c>
      <c r="ES16" s="86"/>
      <c r="ET16" s="35">
        <f t="shared" si="61"/>
        <v>24</v>
      </c>
      <c r="EU16" s="43">
        <f>IF($CU16&gt;=RAM,"",IF($CU16-EU$103&lt;BeginnAlter,"",ROUND((SUM(DL16:DL$56)+SUM(GD$9:GD$56))/VLOOKUP($CU16,$AH$9:$AI$102,2)/VLOOKUP($CU16-EU$103,Frauen!$G$9:$J$102,4),Rundäx)))</f>
        <v>10.497</v>
      </c>
      <c r="EV16" s="43">
        <f>IF($CU16&gt;=RAM,"",IF($CU16-EV$103&lt;BeginnAlter,"",ROUND((SUM(DM16:DM$56)+SUM(GE$9:GE$56))/VLOOKUP($CU16,$AH$9:$AI$102,2)/VLOOKUP($CU16-EV$103,Frauen!$G$9:$J$102,4),Rundäx)))</f>
        <v>10.699</v>
      </c>
      <c r="EW16" s="43">
        <f>IF($CU16&gt;=RAM,"",IF($CU16-EW$103&lt;BeginnAlter,"",ROUND((SUM(DN16:DN$56)+SUM(GF$9:GF$56))/VLOOKUP($CU16,$AH$9:$AI$102,2)/VLOOKUP($CU16-EW$103,Frauen!$G$9:$J$102,4),Rundäx)))</f>
        <v>10.9</v>
      </c>
      <c r="EX16" s="43">
        <f>IF($CU16&gt;=RAM,"",IF($CU16-EX$103&lt;BeginnAlter,"",ROUND((SUM(DO16:DO$56)+SUM(GG$9:GG$56))/VLOOKUP($CU16,$AH$9:$AI$102,2)/VLOOKUP($CU16-EX$103,Frauen!$G$9:$J$102,4),Rundäx)))</f>
        <v>11.101000000000001</v>
      </c>
      <c r="EY16" s="43">
        <f>IF($CU16&gt;=RAM,"",IF($CU16-EY$103&lt;BeginnAlter,"",ROUND((SUM(DP16:DP$56)+SUM(GH$9:GH$56))/VLOOKUP($CU16,$AH$9:$AI$102,2)/VLOOKUP($CU16-EY$103,Frauen!$G$9:$J$102,4),Rundäx)))</f>
        <v>11.301</v>
      </c>
      <c r="EZ16" s="43">
        <f>IF($CU16&gt;=RAM,"",IF($CU16-EZ$103&lt;BeginnAlter,"",ROUND((SUM(DQ16:DQ$56)+SUM(GI$9:GI$56))/VLOOKUP($CU16,$AH$9:$AI$102,2)/VLOOKUP($CU16-EZ$103,Frauen!$G$9:$J$102,4),Rundäx)))</f>
        <v>11.5</v>
      </c>
      <c r="FA16" s="43">
        <f>IF($CU16&gt;=RAM,"",IF($CU16-FA$103&lt;BeginnAlter,"",ROUND((SUM(DR16:DR$56)+SUM(GJ$9:GJ$56))/VLOOKUP($CU16,$AH$9:$AI$102,2)/VLOOKUP($CU16-FA$103,Frauen!$G$9:$J$102,4),Rundäx)))</f>
        <v>11.698</v>
      </c>
      <c r="FB16" s="43" t="str">
        <f>IF($CU16&gt;=RAM,"",IF($CU16-FB$103&lt;BeginnAlter,"",ROUND((SUM(DS16:DS$56)+SUM(GK$9:GK$56))/VLOOKUP($CU16,$AH$9:$AI$102,2)/VLOOKUP($CU16-FB$103,Frauen!$G$9:$J$102,4),Rundäx)))</f>
        <v/>
      </c>
      <c r="FC16" s="86"/>
      <c r="FD16" s="35">
        <f t="shared" si="62"/>
        <v>24</v>
      </c>
      <c r="FE16" s="43" t="str">
        <f>IF($CU16&gt;=RAM,"",IF($CU16-FE$103&lt;BeginnAlter,"",ROUND((SUM(DT16:DT$56)+SUM(GL$9:GL$56))/VLOOKUP($CU16,$AH$9:$AI$102,2)/VLOOKUP($CU16-FE$103,Frauen!$G$9:$J$102,4),Rundäx)))</f>
        <v/>
      </c>
      <c r="FF16" s="43" t="str">
        <f>IF($CU16&gt;=RAM,"",IF($CU16-FF$103&lt;BeginnAlter,"",ROUND((SUM(DU16:DU$56)+SUM(GM$9:GM$56))/VLOOKUP($CU16,$AH$9:$AI$102,2)/VLOOKUP($CU16-FF$103,Frauen!$G$9:$J$102,4),Rundäx)))</f>
        <v/>
      </c>
      <c r="FG16" s="43" t="str">
        <f>IF($CU16&gt;=RAM,"",IF($CU16-FG$103&lt;BeginnAlter,"",ROUND((SUM(DV16:DV$56)+SUM(GN$9:GN$56))/VLOOKUP($CU16,$AH$9:$AI$102,2)/VLOOKUP($CU16-FG$103,Frauen!$G$9:$J$102,4),Rundäx)))</f>
        <v/>
      </c>
      <c r="FH16" s="43" t="str">
        <f>IF($CU16&gt;=RAM,"",IF($CU16-FH$103&lt;BeginnAlter,"",ROUND((SUM(DW16:DW$56)+SUM(GO$9:GO$56))/VLOOKUP($CU16,$AH$9:$AI$102,2)/VLOOKUP($CU16-FH$103,Frauen!$G$9:$J$102,4),Rundäx)))</f>
        <v/>
      </c>
      <c r="FI16" s="43" t="str">
        <f>IF($CU16&gt;=RAM,"",IF($CU16-FI$103&lt;BeginnAlter,"",ROUND((SUM(DX16:DX$56)+SUM(GP$9:GP$56))/VLOOKUP($CU16,$AH$9:$AI$102,2)/VLOOKUP($CU16-FI$103,Frauen!$G$9:$J$102,4),Rundäx)))</f>
        <v/>
      </c>
      <c r="FJ16" s="43" t="str">
        <f>IF($CU16&gt;=RAM,"",IF($CU16-FJ$103&lt;BeginnAlter,"",ROUND((SUM(DY16:DY$56)+SUM(GQ$9:GQ$56))/VLOOKUP($CU16,$AH$9:$AI$102,2)/VLOOKUP($CU16-FJ$103,Frauen!$G$9:$J$102,4),Rundäx)))</f>
        <v/>
      </c>
      <c r="FK16" s="43" t="str">
        <f>IF($CU16&gt;=RAM,"",IF($CU16-FK$103&lt;BeginnAlter,"",ROUND((SUM(DZ16:DZ$56)+SUM(GR$9:GR$56))/VLOOKUP($CU16,$AH$9:$AI$102,2)/VLOOKUP($CU16-FK$103,Frauen!$G$9:$J$102,4),Rundäx)))</f>
        <v/>
      </c>
      <c r="FL16" s="86"/>
      <c r="FM16" s="35">
        <f t="shared" si="68"/>
        <v>72</v>
      </c>
      <c r="FN16" s="25">
        <f>ROUND(v^($FM16+FaktorAlter)*VLOOKUP($FM16,$G$9:$J$102,4)*VLOOKUP($FM16,$A$9:$E$102,5)*0.5*(VLOOKUP($FM16-FN$103,Frauen!$G$9:$J$102,4)+VLOOKUP($FM16-FN$103+1,Frauen!$G$9:$J$102,4))*0.5*(VLOOKUP($FM16-FN$103,Frauen!$AZ$9:$BD$102,5)+VLOOKUP($FM16-FN$103+1,Frauen!$AZ$9:$BD$102,5)),RundDx)</f>
        <v>86370280</v>
      </c>
      <c r="FO16" s="25">
        <f>ROUND(v^($FM16+FaktorAlter)*VLOOKUP($FM16,$G$9:$J$102,4)*VLOOKUP($FM16,$A$9:$E$102,5)*0.5*(VLOOKUP($FM16-FO$103,Frauen!$G$9:$J$102,4)+VLOOKUP($FM16-FO$103+1,Frauen!$G$9:$J$102,4))*0.5*(VLOOKUP($FM16-FO$103,Frauen!$AZ$9:$BD$102,5)+VLOOKUP($FM16-FO$103+1,Frauen!$AZ$9:$BD$102,5)),RundDx)</f>
        <v>103723054</v>
      </c>
      <c r="FP16" s="25">
        <f>ROUND(v^($FM16+FaktorAlter)*VLOOKUP($FM16,$G$9:$J$102,4)*VLOOKUP($FM16,$A$9:$E$102,5)*0.5*(VLOOKUP($FM16-FP$103,Frauen!$G$9:$J$102,4)+VLOOKUP($FM16-FP$103+1,Frauen!$G$9:$J$102,4))*0.5*(VLOOKUP($FM16-FP$103,Frauen!$AZ$9:$BD$102,5)+VLOOKUP($FM16-FP$103+1,Frauen!$AZ$9:$BD$102,5)),RundDx)</f>
        <v>122582737</v>
      </c>
      <c r="FQ16" s="25">
        <f>ROUND(v^($FM16+FaktorAlter)*VLOOKUP($FM16,$G$9:$J$102,4)*VLOOKUP($FM16,$A$9:$E$102,5)*0.5*(VLOOKUP($FM16-FQ$103,Frauen!$G$9:$J$102,4)+VLOOKUP($FM16-FQ$103+1,Frauen!$G$9:$J$102,4))*0.5*(VLOOKUP($FM16-FQ$103,Frauen!$AZ$9:$BD$102,5)+VLOOKUP($FM16-FQ$103+1,Frauen!$AZ$9:$BD$102,5)),RundDx)</f>
        <v>142749466</v>
      </c>
      <c r="FR16" s="25">
        <f>ROUND(v^($FM16+FaktorAlter)*VLOOKUP($FM16,$G$9:$J$102,4)*VLOOKUP($FM16,$A$9:$E$102,5)*0.5*(VLOOKUP($FM16-FR$103,Frauen!$G$9:$J$102,4)+VLOOKUP($FM16-FR$103+1,Frauen!$G$9:$J$102,4))*0.5*(VLOOKUP($FM16-FR$103,Frauen!$AZ$9:$BD$102,5)+VLOOKUP($FM16-FR$103+1,Frauen!$AZ$9:$BD$102,5)),RundDx)</f>
        <v>164025519</v>
      </c>
      <c r="FS16" s="25">
        <f>ROUND(v^($FM16+FaktorAlter)*VLOOKUP($FM16,$G$9:$J$102,4)*VLOOKUP($FM16,$A$9:$E$102,5)*0.5*(VLOOKUP($FM16-FS$103,Frauen!$G$9:$J$102,4)+VLOOKUP($FM16-FS$103+1,Frauen!$G$9:$J$102,4))*0.5*(VLOOKUP($FM16-FS$103,Frauen!$AZ$9:$BD$102,5)+VLOOKUP($FM16-FS$103+1,Frauen!$AZ$9:$BD$102,5)),RundDx)</f>
        <v>186176852</v>
      </c>
      <c r="FT16" s="25">
        <f>ROUND(v^($FM16+FaktorAlter)*VLOOKUP($FM16,$G$9:$J$102,4)*VLOOKUP($FM16,$A$9:$E$102,5)*0.5*(VLOOKUP($FM16-FT$103,Frauen!$G$9:$J$102,4)+VLOOKUP($FM16-FT$103+1,Frauen!$G$9:$J$102,4))*0.5*(VLOOKUP($FM16-FT$103,Frauen!$AZ$9:$BD$102,5)+VLOOKUP($FM16-FT$103+1,Frauen!$AZ$9:$BD$102,5)),RundDx)</f>
        <v>208982371</v>
      </c>
      <c r="FU16" s="25">
        <f>ROUND(v^($FM16+FaktorAlter)*VLOOKUP($FM16,$G$9:$J$102,4)*VLOOKUP($FM16,$A$9:$E$102,5)*0.5*(VLOOKUP($FM16-FU$103,Frauen!$G$9:$J$102,4)+VLOOKUP($FM16-FU$103+1,Frauen!$G$9:$J$102,4))*0.5*(VLOOKUP($FM16-FU$103,Frauen!$AZ$9:$BD$102,5)+VLOOKUP($FM16-FU$103+1,Frauen!$AZ$9:$BD$102,5)),RundDx)</f>
        <v>232291436</v>
      </c>
      <c r="FV16" s="25">
        <f>ROUND(v^($FM16+FaktorAlter)*VLOOKUP($FM16,$G$9:$J$102,4)*VLOOKUP($FM16,$A$9:$E$102,5)*0.5*(VLOOKUP($FM16-FV$103,Frauen!$G$9:$J$102,4)+VLOOKUP($FM16-FV$103+1,Frauen!$G$9:$J$102,4))*0.5*(VLOOKUP($FM16-FV$103,Frauen!$AZ$9:$BD$102,5)+VLOOKUP($FM16-FV$103+1,Frauen!$AZ$9:$BD$102,5)),RundDx)</f>
        <v>256030127</v>
      </c>
      <c r="FW16" s="25">
        <f>ROUND(v^($FM16+FaktorAlter)*VLOOKUP($FM16,$G$9:$J$102,4)*VLOOKUP($FM16,$A$9:$E$102,5)*0.5*(VLOOKUP($FM16-FW$103,Frauen!$G$9:$J$102,4)+VLOOKUP($FM16-FW$103+1,Frauen!$G$9:$J$102,4))*0.5*(VLOOKUP($FM16-FW$103,Frauen!$AZ$9:$BD$102,5)+VLOOKUP($FM16-FW$103+1,Frauen!$AZ$9:$BD$102,5)),RundDx)</f>
        <v>280097774</v>
      </c>
      <c r="FX16" s="25">
        <f>ROUND(v^($FM16+FaktorAlter)*VLOOKUP($FM16,$G$9:$J$102,4)*VLOOKUP($FM16,$A$9:$E$102,5)*0.5*(VLOOKUP($FM16-FX$103,Frauen!$G$9:$J$102,4)+VLOOKUP($FM16-FX$103+1,Frauen!$G$9:$J$102,4))*0.5*(VLOOKUP($FM16-FX$103,Frauen!$AZ$9:$BD$102,5)+VLOOKUP($FM16-FX$103+1,Frauen!$AZ$9:$BD$102,5)),RundDx)</f>
        <v>304474616</v>
      </c>
      <c r="FY16" s="25">
        <f>ROUND(v^($FM16+FaktorAlter)*VLOOKUP($FM16,$G$9:$J$102,4)*VLOOKUP($FM16,$A$9:$E$102,5)*0.5*(VLOOKUP($FM16-FY$103,Frauen!$G$9:$J$102,4)+VLOOKUP($FM16-FY$103+1,Frauen!$G$9:$J$102,4))*0.5*(VLOOKUP($FM16-FY$103,Frauen!$AZ$9:$BD$102,5)+VLOOKUP($FM16-FY$103+1,Frauen!$AZ$9:$BD$102,5)),RundDx)</f>
        <v>329220156</v>
      </c>
      <c r="FZ16" s="25">
        <f>ROUND(v^($FM16+FaktorAlter)*VLOOKUP($FM16,$G$9:$J$102,4)*VLOOKUP($FM16,$A$9:$E$102,5)*0.5*(VLOOKUP($FM16-FZ$103,Frauen!$G$9:$J$102,4)+VLOOKUP($FM16-FZ$103+1,Frauen!$G$9:$J$102,4))*0.5*(VLOOKUP($FM16-FZ$103,Frauen!$AZ$9:$BD$102,5)+VLOOKUP($FM16-FZ$103+1,Frauen!$AZ$9:$BD$102,5)),RundDx)</f>
        <v>354358485</v>
      </c>
      <c r="GA16" s="25">
        <f>ROUND(v^($FM16+FaktorAlter)*VLOOKUP($FM16,$G$9:$J$102,4)*VLOOKUP($FM16,$A$9:$E$102,5)*0.5*(VLOOKUP($FM16-GA$103,Frauen!$G$9:$J$102,4)+VLOOKUP($FM16-GA$103+1,Frauen!$G$9:$J$102,4))*0.5*(VLOOKUP($FM16-GA$103,Frauen!$AZ$9:$BD$102,5)+VLOOKUP($FM16-GA$103+1,Frauen!$AZ$9:$BD$102,5)),RundDx)</f>
        <v>379967365</v>
      </c>
      <c r="GB16" s="25">
        <f>ROUND(v^($FM16+FaktorAlter)*VLOOKUP($FM16,$G$9:$J$102,4)*VLOOKUP($FM16,$A$9:$E$102,5)*0.5*(VLOOKUP($FM16-GB$103,Frauen!$G$9:$J$102,4)+VLOOKUP($FM16-GB$103+1,Frauen!$G$9:$J$102,4))*0.5*(VLOOKUP($FM16-GB$103,Frauen!$AZ$9:$BD$102,5)+VLOOKUP($FM16-GB$103+1,Frauen!$AZ$9:$BD$102,5)),RundDx)</f>
        <v>406061193</v>
      </c>
      <c r="GC16" s="25">
        <f>ROUND(v^($FM16+FaktorAlter)*VLOOKUP($FM16,$G$9:$J$102,4)*VLOOKUP($FM16,$A$9:$E$102,5)*0.5*(VLOOKUP($FM16-GC$103,Frauen!$G$9:$J$102,4)+VLOOKUP($FM16-GC$103+1,Frauen!$G$9:$J$102,4))*0.5*(VLOOKUP($FM16-GC$103,Frauen!$AZ$9:$BD$102,5)+VLOOKUP($FM16-GC$103+1,Frauen!$AZ$9:$BD$102,5)),RundDx)</f>
        <v>432579980</v>
      </c>
      <c r="GD16" s="25">
        <f>ROUND(v^($FM16+FaktorAlter)*VLOOKUP($FM16,$G$9:$J$102,4)*VLOOKUP($FM16,$A$9:$E$102,5)*0.5*(VLOOKUP($FM16-GD$103,Frauen!$G$9:$J$102,4)+VLOOKUP($FM16-GD$103+1,Frauen!$G$9:$J$102,4))*0.5*(VLOOKUP($FM16-GD$103,Frauen!$AZ$9:$BD$102,5)+VLOOKUP($FM16-GD$103+1,Frauen!$AZ$9:$BD$102,5)),RundDx)</f>
        <v>459407810</v>
      </c>
      <c r="GE16" s="25">
        <f>ROUND(v^($FM16+FaktorAlter)*VLOOKUP($FM16,$G$9:$J$102,4)*VLOOKUP($FM16,$A$9:$E$102,5)*0.5*(VLOOKUP($FM16-GE$103,Frauen!$G$9:$J$102,4)+VLOOKUP($FM16-GE$103+1,Frauen!$G$9:$J$102,4))*0.5*(VLOOKUP($FM16-GE$103,Frauen!$AZ$9:$BD$102,5)+VLOOKUP($FM16-GE$103+1,Frauen!$AZ$9:$BD$102,5)),RundDx)</f>
        <v>486352081</v>
      </c>
      <c r="GF16" s="25">
        <f>ROUND(v^($FM16+FaktorAlter)*VLOOKUP($FM16,$G$9:$J$102,4)*VLOOKUP($FM16,$A$9:$E$102,5)*0.5*(VLOOKUP($FM16-GF$103,Frauen!$G$9:$J$102,4)+VLOOKUP($FM16-GF$103+1,Frauen!$G$9:$J$102,4))*0.5*(VLOOKUP($FM16-GF$103,Frauen!$AZ$9:$BD$102,5)+VLOOKUP($FM16-GF$103+1,Frauen!$AZ$9:$BD$102,5)),RundDx)</f>
        <v>513337768</v>
      </c>
      <c r="GG16" s="25">
        <f>ROUND(v^($FM16+FaktorAlter)*VLOOKUP($FM16,$G$9:$J$102,4)*VLOOKUP($FM16,$A$9:$E$102,5)*0.5*(VLOOKUP($FM16-GG$103,Frauen!$G$9:$J$102,4)+VLOOKUP($FM16-GG$103+1,Frauen!$G$9:$J$102,4))*0.5*(VLOOKUP($FM16-GG$103,Frauen!$AZ$9:$BD$102,5)+VLOOKUP($FM16-GG$103+1,Frauen!$AZ$9:$BD$102,5)),RundDx)</f>
        <v>540315252</v>
      </c>
      <c r="GH16" s="25">
        <f>ROUND(v^($FM16+FaktorAlter)*VLOOKUP($FM16,$G$9:$J$102,4)*VLOOKUP($FM16,$A$9:$E$102,5)*0.5*(VLOOKUP($FM16-GH$103,Frauen!$G$9:$J$102,4)+VLOOKUP($FM16-GH$103+1,Frauen!$G$9:$J$102,4))*0.5*(VLOOKUP($FM16-GH$103,Frauen!$AZ$9:$BD$102,5)+VLOOKUP($FM16-GH$103+1,Frauen!$AZ$9:$BD$102,5)),RundDx)</f>
        <v>567101474</v>
      </c>
      <c r="GI16" s="25">
        <f>ROUND(v^($FM16+FaktorAlter)*VLOOKUP($FM16,$G$9:$J$102,4)*VLOOKUP($FM16,$A$9:$E$102,5)*0.5*(VLOOKUP($FM16-GI$103,Frauen!$G$9:$J$102,4)+VLOOKUP($FM16-GI$103+1,Frauen!$G$9:$J$102,4))*0.5*(VLOOKUP($FM16-GI$103,Frauen!$AZ$9:$BD$102,5)+VLOOKUP($FM16-GI$103+1,Frauen!$AZ$9:$BD$102,5)),RundDx)</f>
        <v>593590518</v>
      </c>
      <c r="GJ16" s="25">
        <f>ROUND(v^($FM16+FaktorAlter)*VLOOKUP($FM16,$G$9:$J$102,4)*VLOOKUP($FM16,$A$9:$E$102,5)*0.5*(VLOOKUP($FM16-GJ$103,Frauen!$G$9:$J$102,4)+VLOOKUP($FM16-GJ$103+1,Frauen!$G$9:$J$102,4))*0.5*(VLOOKUP($FM16-GJ$103,Frauen!$AZ$9:$BD$102,5)+VLOOKUP($FM16-GJ$103+1,Frauen!$AZ$9:$BD$102,5)),RundDx)</f>
        <v>619826542</v>
      </c>
      <c r="GK16" s="25">
        <f>ROUND(v^($FM16+FaktorAlter)*VLOOKUP($FM16,$G$9:$J$102,4)*VLOOKUP($FM16,$A$9:$E$102,5)*0.5*(VLOOKUP($FM16-GK$103,Frauen!$G$9:$J$102,4)+VLOOKUP($FM16-GK$103+1,Frauen!$G$9:$J$102,4))*0.5*(VLOOKUP($FM16-GK$103,Frauen!$AZ$9:$BD$102,5)+VLOOKUP($FM16-GK$103+1,Frauen!$AZ$9:$BD$102,5)),RundDx)</f>
        <v>645747794</v>
      </c>
      <c r="GL16" s="25">
        <f>ROUND(v^($FM16+FaktorAlter)*VLOOKUP($FM16,$G$9:$J$102,4)*VLOOKUP($FM16,$A$9:$E$102,5)*0.5*(VLOOKUP($FM16-GL$103,Frauen!$G$9:$J$102,4)+VLOOKUP($FM16-GL$103+1,Frauen!$G$9:$J$102,4))*0.5*(VLOOKUP($FM16-GL$103,Frauen!$AZ$9:$BD$102,5)+VLOOKUP($FM16-GL$103+1,Frauen!$AZ$9:$BD$102,5)),RundDx)</f>
        <v>671201169</v>
      </c>
      <c r="GM16" s="25">
        <f>ROUND(v^($FM16+FaktorAlter)*VLOOKUP($FM16,$G$9:$J$102,4)*VLOOKUP($FM16,$A$9:$E$102,5)*0.5*(VLOOKUP($FM16-GM$103,Frauen!$G$9:$J$102,4)+VLOOKUP($FM16-GM$103+1,Frauen!$G$9:$J$102,4))*0.5*(VLOOKUP($FM16-GM$103,Frauen!$AZ$9:$BD$102,5)+VLOOKUP($FM16-GM$103+1,Frauen!$AZ$9:$BD$102,5)),RundDx)</f>
        <v>696172876</v>
      </c>
      <c r="GN16" s="25">
        <f>ROUND(v^($FM16+FaktorAlter)*VLOOKUP($FM16,$G$9:$J$102,4)*VLOOKUP($FM16,$A$9:$E$102,5)*0.5*(VLOOKUP($FM16-GN$103,Frauen!$G$9:$J$102,4)+VLOOKUP($FM16-GN$103+1,Frauen!$G$9:$J$102,4))*0.5*(VLOOKUP($FM16-GN$103,Frauen!$AZ$9:$BD$102,5)+VLOOKUP($FM16-GN$103+1,Frauen!$AZ$9:$BD$102,5)),RundDx)</f>
        <v>720727426</v>
      </c>
      <c r="GO16" s="25">
        <f>ROUND(v^($FM16+FaktorAlter)*VLOOKUP($FM16,$G$9:$J$102,4)*VLOOKUP($FM16,$A$9:$E$102,5)*0.5*(VLOOKUP($FM16-GO$103,Frauen!$G$9:$J$102,4)+VLOOKUP($FM16-GO$103+1,Frauen!$G$9:$J$102,4))*0.5*(VLOOKUP($FM16-GO$103,Frauen!$AZ$9:$BD$102,5)+VLOOKUP($FM16-GO$103+1,Frauen!$AZ$9:$BD$102,5)),RundDx)</f>
        <v>744832060</v>
      </c>
      <c r="GP16" s="25">
        <f>ROUND(v^($FM16+FaktorAlter)*VLOOKUP($FM16,$G$9:$J$102,4)*VLOOKUP($FM16,$A$9:$E$102,5)*0.5*(VLOOKUP($FM16-GP$103,Frauen!$G$9:$J$102,4)+VLOOKUP($FM16-GP$103+1,Frauen!$G$9:$J$102,4))*0.5*(VLOOKUP($FM16-GP$103,Frauen!$AZ$9:$BD$102,5)+VLOOKUP($FM16-GP$103+1,Frauen!$AZ$9:$BD$102,5)),RundDx)</f>
        <v>768480260</v>
      </c>
      <c r="GQ16" s="25">
        <f>ROUND(v^($FM16+FaktorAlter)*VLOOKUP($FM16,$G$9:$J$102,4)*VLOOKUP($FM16,$A$9:$E$102,5)*0.5*(VLOOKUP($FM16-GQ$103,Frauen!$G$9:$J$102,4)+VLOOKUP($FM16-GQ$103+1,Frauen!$G$9:$J$102,4))*0.5*(VLOOKUP($FM16-GQ$103,Frauen!$AZ$9:$BD$102,5)+VLOOKUP($FM16-GQ$103+1,Frauen!$AZ$9:$BD$102,5)),RundDx)</f>
        <v>791721148</v>
      </c>
      <c r="GR16" s="25">
        <f>ROUND(v^($FM16+FaktorAlter)*VLOOKUP($FM16,$G$9:$J$102,4)*VLOOKUP($FM16,$A$9:$E$102,5)*0.5*(VLOOKUP($FM16-GR$103,Frauen!$G$9:$J$102,4)+VLOOKUP($FM16-GR$103+1,Frauen!$G$9:$J$102,4))*0.5*(VLOOKUP($FM16-GR$103,Frauen!$AZ$9:$BD$102,5)+VLOOKUP($FM16-GR$103+1,Frauen!$AZ$9:$BD$102,5)),RundDx)</f>
        <v>814627380</v>
      </c>
      <c r="GS16" s="24">
        <f>ROUND(SUM(FN16:FN$56)/VLOOKUP($FM16,$AQ$9:$AR$102,2)/VLOOKUP($FM16-GS$103,Frauen!$G$9:$J$102,4),Rundäx)</f>
        <v>0.63200000000000001</v>
      </c>
      <c r="GT16" s="24">
        <f>ROUND(SUM(FO16:FO$56)/VLOOKUP($FM16,$AQ$9:$AR$102,2)/VLOOKUP($FM16-GT$103,Frauen!$G$9:$J$102,4),Rundäx)</f>
        <v>0.73499999999999999</v>
      </c>
      <c r="GU16" s="24">
        <f>ROUND(SUM(FP16:FP$56)/VLOOKUP($FM16,$AQ$9:$AR$102,2)/VLOOKUP($FM16-GU$103,Frauen!$G$9:$J$102,4),Rundäx)</f>
        <v>0.85299999999999998</v>
      </c>
      <c r="GV16" s="24">
        <f>ROUND(SUM(FQ16:FQ$56)/VLOOKUP($FM16,$AQ$9:$AR$102,2)/VLOOKUP($FM16-GV$103,Frauen!$G$9:$J$102,4),Rundäx)</f>
        <v>0.98599999999999999</v>
      </c>
      <c r="GW16" s="24">
        <f>ROUND(SUM(FR16:FR$56)/VLOOKUP($FM16,$AQ$9:$AR$102,2)/VLOOKUP($FM16-GW$103,Frauen!$G$9:$J$102,4),Rundäx)</f>
        <v>1.1359999999999999</v>
      </c>
      <c r="GX16" s="24">
        <f>ROUND(SUM(FS16:FS$56)/VLOOKUP($FM16,$AQ$9:$AR$102,2)/VLOOKUP($FM16-GX$103,Frauen!$G$9:$J$102,4),Rundäx)</f>
        <v>1.3049999999999999</v>
      </c>
      <c r="GY16" s="24">
        <f>ROUND(SUM(FT16:FT$56)/VLOOKUP($FM16,$AQ$9:$AR$102,2)/VLOOKUP($FM16-GY$103,Frauen!$G$9:$J$102,4),Rundäx)</f>
        <v>1.494</v>
      </c>
      <c r="GZ16" s="24">
        <f>ROUND(SUM(FU16:FU$56)/VLOOKUP($FM16,$AQ$9:$AR$102,2)/VLOOKUP($FM16-GZ$103,Frauen!$G$9:$J$102,4),Rundäx)</f>
        <v>1.7030000000000001</v>
      </c>
      <c r="HA16" s="86"/>
      <c r="HB16" s="35">
        <f t="shared" si="63"/>
        <v>72</v>
      </c>
      <c r="HC16" s="24">
        <f>ROUND(SUM(FV16:FV$56)/VLOOKUP($FM16,$AQ$9:$AR$102,2)/VLOOKUP($FM16-HC$103,Frauen!$G$9:$J$102,4),Rundäx)</f>
        <v>1.9319999999999999</v>
      </c>
      <c r="HD16" s="24">
        <f>ROUND(SUM(FW16:FW$56)/VLOOKUP($FM16,$AQ$9:$AR$102,2)/VLOOKUP($FM16-HD$103,Frauen!$G$9:$J$102,4),Rundäx)</f>
        <v>2.1819999999999999</v>
      </c>
      <c r="HE16" s="24">
        <f>ROUND(SUM(FX16:FX$56)/VLOOKUP($FM16,$AQ$9:$AR$102,2)/VLOOKUP($FM16-HE$103,Frauen!$G$9:$J$102,4),Rundäx)</f>
        <v>2.4510000000000001</v>
      </c>
      <c r="HF16" s="24">
        <f>ROUND(SUM(FY16:FY$56)/VLOOKUP($FM16,$AQ$9:$AR$102,2)/VLOOKUP($FM16-HF$103,Frauen!$G$9:$J$102,4),Rundäx)</f>
        <v>2.7370000000000001</v>
      </c>
      <c r="HG16" s="24">
        <f>ROUND(SUM(FZ16:FZ$56)/VLOOKUP($FM16,$AQ$9:$AR$102,2)/VLOOKUP($FM16-HG$103,Frauen!$G$9:$J$102,4),Rundäx)</f>
        <v>3.04</v>
      </c>
      <c r="HH16" s="24">
        <f>ROUND(SUM(GA16:GA$56)/VLOOKUP($FM16,$AQ$9:$AR$102,2)/VLOOKUP($FM16-HH$103,Frauen!$G$9:$J$102,4),Rundäx)</f>
        <v>3.3580000000000001</v>
      </c>
      <c r="HI16" s="24">
        <f>ROUND(SUM(GB16:GB$56)/VLOOKUP($FM16,$AQ$9:$AR$102,2)/VLOOKUP($FM16-HI$103,Frauen!$G$9:$J$102,4),Rundäx)</f>
        <v>3.6880000000000002</v>
      </c>
      <c r="HJ16" s="24">
        <f>ROUND(SUM(GC16:GC$56)/VLOOKUP($FM16,$AQ$9:$AR$102,2)/VLOOKUP($FM16-HJ$103,Frauen!$G$9:$J$102,4),Rundäx)</f>
        <v>4.03</v>
      </c>
      <c r="HK16" s="86"/>
      <c r="HL16" s="35">
        <f t="shared" si="64"/>
        <v>72</v>
      </c>
      <c r="HM16" s="24">
        <f>ROUND(SUM(GD16:GD$56)/VLOOKUP($FM16,$AQ$9:$AR$102,2)/VLOOKUP($FM16-HM$103,Frauen!$G$9:$J$102,4),Rundäx)</f>
        <v>4.383</v>
      </c>
      <c r="HN16" s="24">
        <f>ROUND(SUM(GE16:GE$56)/VLOOKUP($FM16,$AQ$9:$AR$102,2)/VLOOKUP($FM16-HN$103,Frauen!$G$9:$J$102,4),Rundäx)</f>
        <v>4.7469999999999999</v>
      </c>
      <c r="HO16" s="24">
        <f>ROUND(SUM(GF16:GF$56)/VLOOKUP($FM16,$AQ$9:$AR$102,2)/VLOOKUP($FM16-HO$103,Frauen!$G$9:$J$102,4),Rundäx)</f>
        <v>5.12</v>
      </c>
      <c r="HP16" s="24">
        <f>ROUND(SUM(GG16:GG$56)/VLOOKUP($FM16,$AQ$9:$AR$102,2)/VLOOKUP($FM16-HP$103,Frauen!$G$9:$J$102,4),Rundäx)</f>
        <v>5.5010000000000003</v>
      </c>
      <c r="HQ16" s="24">
        <f>ROUND(SUM(GH16:GH$56)/VLOOKUP($FM16,$AQ$9:$AR$102,2)/VLOOKUP($FM16-HQ$103,Frauen!$G$9:$J$102,4),Rundäx)</f>
        <v>5.89</v>
      </c>
      <c r="HR16" s="24">
        <f>ROUND(SUM(GI16:GI$56)/VLOOKUP($FM16,$AQ$9:$AR$102,2)/VLOOKUP($FM16-HR$103,Frauen!$G$9:$J$102,4),Rundäx)</f>
        <v>6.2859999999999996</v>
      </c>
      <c r="HS16" s="24">
        <f>ROUND(SUM(GJ16:GJ$56)/VLOOKUP($FM16,$AQ$9:$AR$102,2)/VLOOKUP($FM16-HS$103,Frauen!$G$9:$J$102,4),Rundäx)</f>
        <v>6.6859999999999999</v>
      </c>
      <c r="HT16" s="24">
        <f>ROUND(SUM(GK16:GK$56)/VLOOKUP($FM16,$AQ$9:$AR$102,2)/VLOOKUP($FM16-HT$103,Frauen!$G$9:$J$102,4),Rundäx)</f>
        <v>7.093</v>
      </c>
      <c r="HU16" s="86"/>
      <c r="HV16" s="35">
        <f t="shared" si="65"/>
        <v>72</v>
      </c>
      <c r="HW16" s="24">
        <f>ROUND(SUM(GL16:GL$56)/VLOOKUP($FM16,$AQ$9:$AR$102,2)/VLOOKUP($FM16-HW$103,Frauen!$G$9:$J$102,4),Rundäx)</f>
        <v>7.5039999999999996</v>
      </c>
      <c r="HX16" s="24">
        <f>ROUND(SUM(GM16:GM$56)/VLOOKUP($FM16,$AQ$9:$AR$102,2)/VLOOKUP($FM16-HX$103,Frauen!$G$9:$J$102,4),Rundäx)</f>
        <v>7.92</v>
      </c>
      <c r="HY16" s="24">
        <f>ROUND(SUM(GN16:GN$56)/VLOOKUP($FM16,$AQ$9:$AR$102,2)/VLOOKUP($FM16-HY$103,Frauen!$G$9:$J$102,4),Rundäx)</f>
        <v>8.3379999999999992</v>
      </c>
      <c r="HZ16" s="24">
        <f>ROUND(SUM(GO16:GO$56)/VLOOKUP($FM16,$AQ$9:$AR$102,2)/VLOOKUP($FM16-HZ$103,Frauen!$G$9:$J$102,4),Rundäx)</f>
        <v>8.7609999999999992</v>
      </c>
      <c r="IA16" s="24">
        <f>ROUND(SUM(GP16:GP$56)/VLOOKUP($FM16,$AQ$9:$AR$102,2)/VLOOKUP($FM16-IA$103,Frauen!$G$9:$J$102,4),Rundäx)</f>
        <v>9.1850000000000005</v>
      </c>
      <c r="IB16" s="24">
        <f>ROUND(SUM(GQ16:GQ$56)/VLOOKUP($FM16,$AQ$9:$AR$102,2)/VLOOKUP($FM16-IB$103,Frauen!$G$9:$J$102,4),Rundäx)</f>
        <v>9.6120000000000001</v>
      </c>
      <c r="IC16" s="24">
        <f>ROUND(SUM(GR16:GR$56)/VLOOKUP($FM16,$AQ$9:$AR$102,2)/VLOOKUP($FM16-IC$103,Frauen!$G$9:$J$102,4),Rundäx)</f>
        <v>10.039999999999999</v>
      </c>
      <c r="ID16" s="89"/>
      <c r="IE16" s="35">
        <f t="shared" si="66"/>
        <v>24</v>
      </c>
      <c r="IF16" s="25">
        <f t="shared" si="31"/>
        <v>288</v>
      </c>
      <c r="IG16" s="25">
        <f>IF($IE16&lt;RAM,IF(S17&lt;=RAK,ROUND(SUM(IF16:INDEX(Dakx,RAM-BeginnAlter))+INDEX(Dax,RAM-BeginnAlter+1)*INDEX(äkx,1),RundDx),0),"")</f>
        <v>19238</v>
      </c>
      <c r="IH16" s="25">
        <f>IF($IE16&lt;RAM,IF(S17&lt;=RAK,ROUND(SUM(IG16:INDEX(Nakx,RAM-BeginnAlter))+INDEX(Dax,RAM-BeginnAlter+1)*INDEX(äkx,1),RundDx),0),"")</f>
        <v>307223</v>
      </c>
      <c r="II16" s="24">
        <f t="shared" si="32"/>
        <v>0.33</v>
      </c>
      <c r="IJ16" s="25">
        <f t="shared" si="33"/>
        <v>5490</v>
      </c>
      <c r="IK16" s="25">
        <f>IF($IE16&lt;RAM,IF(S17&lt;=RAK,SUM(IJ16:INDEX(Dikx,RAM-BeginnAlter))+INDEX(Dix,RAM-BeginnAlter+1)*INDEX(äkx,1),0),"")</f>
        <v>465097.83199999999</v>
      </c>
      <c r="IL16" s="24">
        <f t="shared" si="34"/>
        <v>4.13</v>
      </c>
      <c r="IM16" s="86"/>
      <c r="IN16" s="35">
        <f t="shared" si="67"/>
        <v>72</v>
      </c>
      <c r="IO16" s="25">
        <f t="shared" si="35"/>
        <v>11</v>
      </c>
      <c r="IP16" s="25">
        <f>IF(AND(VLOOKUP(IN16+1,O$9:S$102,5)&lt;=RAK,VLOOKUP(IN16+1,O$9:S$102,5)&lt;&gt;""),SUM(IO16:IO$102),0)</f>
        <v>46</v>
      </c>
      <c r="IQ16" s="24">
        <f t="shared" si="36"/>
        <v>3.0000000000000001E-3</v>
      </c>
      <c r="IR16" s="86"/>
    </row>
    <row r="17" spans="1:252" ht="15.75" customHeight="1" x14ac:dyDescent="0.25">
      <c r="A17" s="35">
        <f t="shared" si="41"/>
        <v>25</v>
      </c>
      <c r="B17" s="77">
        <v>6.3342716833492531E-4</v>
      </c>
      <c r="C17" s="77">
        <v>4.7933783296527692E-4</v>
      </c>
      <c r="D17" s="77">
        <v>1.1582493234331311E-2</v>
      </c>
      <c r="E17" s="77">
        <v>6.6280365947957165E-4</v>
      </c>
      <c r="F17" s="86"/>
      <c r="G17" s="35">
        <f t="shared" si="42"/>
        <v>25</v>
      </c>
      <c r="H17" s="25">
        <f t="shared" si="37"/>
        <v>99254</v>
      </c>
      <c r="I17" s="25">
        <f t="shared" si="38"/>
        <v>323</v>
      </c>
      <c r="J17" s="25">
        <f t="shared" si="39"/>
        <v>99577</v>
      </c>
      <c r="K17" s="30">
        <f>IF(J17&gt;0,ROUND(SUM(J17:J$102)/J17-0.5,Rundex),"")</f>
        <v>54.06</v>
      </c>
      <c r="L17" s="25">
        <f t="shared" si="0"/>
        <v>190064</v>
      </c>
      <c r="M17" s="30">
        <f>IF(L17&gt;0,ROUND(SUM(L17:L$102)/L17-0.5,Rundex),"")</f>
        <v>36.72</v>
      </c>
      <c r="N17" s="86"/>
      <c r="O17" s="35">
        <f t="shared" si="43"/>
        <v>25</v>
      </c>
      <c r="P17" s="43">
        <v>0.11</v>
      </c>
      <c r="Q17" s="78">
        <v>25.409586003059722</v>
      </c>
      <c r="R17" s="43">
        <v>0.29593576216844603</v>
      </c>
      <c r="S17" s="78">
        <v>0.95</v>
      </c>
      <c r="T17" s="15">
        <v>6.7165508248701045E-4</v>
      </c>
      <c r="U17" s="11">
        <f t="shared" si="40"/>
        <v>99577</v>
      </c>
      <c r="V17" s="30">
        <f>IF(U17&gt;0,ROUND(SUM(U17:U$102)/U17-0.5,Rundex),"")</f>
        <v>51.69</v>
      </c>
      <c r="W17" s="86"/>
      <c r="X17" s="35">
        <f t="shared" si="44"/>
        <v>25</v>
      </c>
      <c r="Y17" s="25">
        <f t="shared" si="1"/>
        <v>56907</v>
      </c>
      <c r="Z17" s="25">
        <f>IF($X17&lt;RAM,SUM(Y17:INDEX(Dax,RAM-BeginnAlter))," ")</f>
        <v>1440257</v>
      </c>
      <c r="AA17" s="25">
        <f t="shared" si="2"/>
        <v>36</v>
      </c>
      <c r="AB17" s="25">
        <f>IF($X17&lt;RAM,SUM(AA17:INDEX(Cax,RAM-BeginnAlter))," ")</f>
        <v>2598</v>
      </c>
      <c r="AC17" s="25">
        <f t="shared" si="3"/>
        <v>27</v>
      </c>
      <c r="AD17" s="25">
        <f>IF($X17&lt;RAM,SUM(AC17:INDEX(Caix,RAM-BeginnAlter))," ")</f>
        <v>7947</v>
      </c>
      <c r="AE17" s="24">
        <f t="shared" si="4"/>
        <v>25.309000000000001</v>
      </c>
      <c r="AF17" s="24">
        <f t="shared" si="5"/>
        <v>24.97</v>
      </c>
      <c r="AG17" s="86"/>
      <c r="AH17" s="35">
        <f t="shared" si="45"/>
        <v>25</v>
      </c>
      <c r="AI17" s="25">
        <f t="shared" si="6"/>
        <v>108973</v>
      </c>
      <c r="AJ17" s="25">
        <f>IF($AH17&gt;RAM," ",IF($AH17&lt;RAM,SUM(AI17:INDEX(Dix,RAM-BeginnAlter))+INDEX(Nx,RAM-BeginnAlter+1),INDEX(Nx,RAM-BeginnAlter+1)))</f>
        <v>2530032</v>
      </c>
      <c r="AK17" s="25">
        <f>IF($AH17&lt;RAM,SUM(AI17:INDEX(Dix,RAM-BeginnAlter))," ")</f>
        <v>2232785</v>
      </c>
      <c r="AL17" s="24">
        <f t="shared" si="7"/>
        <v>23.216999999999999</v>
      </c>
      <c r="AM17" s="24">
        <f t="shared" si="8"/>
        <v>22.759</v>
      </c>
      <c r="AN17" s="24">
        <f t="shared" si="9"/>
        <v>20.489000000000001</v>
      </c>
      <c r="AO17" s="24">
        <f t="shared" si="10"/>
        <v>20.117000000000001</v>
      </c>
      <c r="AP17" s="86"/>
      <c r="AQ17" s="35">
        <f t="shared" si="46"/>
        <v>25</v>
      </c>
      <c r="AR17" s="25">
        <f t="shared" si="11"/>
        <v>57092</v>
      </c>
      <c r="AS17" s="25">
        <f>SUM(AR17:AR$94)</f>
        <v>1789992</v>
      </c>
      <c r="AT17" s="25">
        <f>IF($AQ17&lt;RAM,SUM(AR17:INDEX(Dx,RAM-BeginnAlter))," ")</f>
        <v>1492745</v>
      </c>
      <c r="AU17" s="24">
        <f t="shared" si="12"/>
        <v>31.353000000000002</v>
      </c>
      <c r="AV17" s="24">
        <f t="shared" si="13"/>
        <v>30.893999999999998</v>
      </c>
      <c r="AW17" s="24">
        <f t="shared" si="14"/>
        <v>26.146000000000001</v>
      </c>
      <c r="AX17" s="24">
        <f t="shared" si="15"/>
        <v>25.852</v>
      </c>
      <c r="AY17" s="86"/>
      <c r="AZ17" s="35">
        <f t="shared" si="47"/>
        <v>25</v>
      </c>
      <c r="BA17" s="25">
        <f t="shared" si="16"/>
        <v>57092</v>
      </c>
      <c r="BB17" s="25">
        <f>SUM(BA17:BA$94)</f>
        <v>1747932</v>
      </c>
      <c r="BC17" s="24">
        <f t="shared" si="17"/>
        <v>30.616</v>
      </c>
      <c r="BD17" s="24">
        <f t="shared" si="18"/>
        <v>30.158000000000001</v>
      </c>
      <c r="BE17" s="86"/>
      <c r="BF17" s="35">
        <f t="shared" si="48"/>
        <v>8</v>
      </c>
      <c r="BG17" s="24">
        <f t="shared" si="19"/>
        <v>14.313000000000001</v>
      </c>
      <c r="BH17" s="24">
        <f t="shared" si="20"/>
        <v>14.167999999999999</v>
      </c>
      <c r="BI17" s="86"/>
      <c r="BJ17" s="35">
        <f t="shared" si="49"/>
        <v>25</v>
      </c>
      <c r="BK17" s="25">
        <f t="shared" si="21"/>
        <v>611</v>
      </c>
      <c r="BL17" s="25">
        <f>IF(BJ17&lt;RAM,SUM(BK17:INDEX(Daix,RAM-BeginnAlter))," ")</f>
        <v>131268</v>
      </c>
      <c r="BM17" s="25">
        <f>IF(BJ17&lt;RAM,SUM(BL17:INDEX(Naix,RAM-BeginnAlter))," ")</f>
        <v>3997409</v>
      </c>
      <c r="BN17" s="24">
        <f t="shared" si="22"/>
        <v>3.6509999999999998</v>
      </c>
      <c r="BO17" s="24">
        <f t="shared" si="23"/>
        <v>2.3069999999999999</v>
      </c>
      <c r="BP17" s="86"/>
      <c r="BQ17" s="35">
        <f t="shared" si="50"/>
        <v>25</v>
      </c>
      <c r="BR17" s="25">
        <f t="shared" si="51"/>
        <v>538</v>
      </c>
      <c r="BS17" s="25">
        <f>IF(BQ17&lt;RAM,SUM(BR17:INDEX(Daixs,RAM-BeginnAlter))," ")</f>
        <v>51652</v>
      </c>
      <c r="BT17" s="25">
        <f>IF(BQ17&lt;RAM,SUM(BS17:INDEX(Naixs,RAM-BeginnAlter))," ")</f>
        <v>1286580</v>
      </c>
      <c r="BU17" s="24">
        <f t="shared" si="52"/>
        <v>5.05</v>
      </c>
      <c r="BV17" s="24">
        <f t="shared" si="53"/>
        <v>0.90800000000000003</v>
      </c>
      <c r="BW17" s="86"/>
      <c r="BX17" s="35">
        <f t="shared" si="54"/>
        <v>25</v>
      </c>
      <c r="BY17" s="10">
        <f t="shared" si="24"/>
        <v>15.473196763976492</v>
      </c>
      <c r="BZ17" s="11">
        <f t="shared" si="25"/>
        <v>149</v>
      </c>
      <c r="CA17" s="25">
        <f>IF(S18&lt;=RAK,IF($BX17&lt;RAM,SUM(BZ17:INDEX(Dazx,RAM-BeginnAlter)),""),"")</f>
        <v>21959</v>
      </c>
      <c r="CB17" s="24">
        <f t="shared" si="26"/>
        <v>0.38600000000000001</v>
      </c>
      <c r="CC17" s="25">
        <f t="shared" si="27"/>
        <v>32464</v>
      </c>
      <c r="CD17" s="24">
        <f t="shared" si="28"/>
        <v>21.861999999999998</v>
      </c>
      <c r="CE17" s="24">
        <f t="shared" si="29"/>
        <v>1.7999999999999999E-2</v>
      </c>
      <c r="CF17" s="86"/>
      <c r="CG17" s="35">
        <f t="shared" si="55"/>
        <v>25</v>
      </c>
      <c r="CH17" s="25">
        <f>IF(CG17&lt;RAM,ROUND(v^($CG17+FaktorAlter)*$H17*($B17*0.5*($P17+$P18)*(VLOOKUP(TRUNC(0.5*($Q17+$Q18),0),Frauen!$AZ$9:$BD$95,5)+(0.5*($Q17+$Q18)-TRUNC(0.5*($Q17+$Q18),0))*(VLOOKUP(TRUNC(0.5*($Q17+$Q18)+1,0),Frauen!$AZ$9:$BD$95,5)-VLOOKUP(TRUNC(0.5*($Q17+$Q18),0),Frauen!$AZ$9:$BD$95,5)))+$C17*0.5*($CN17+$CN18)),RundDx),"")</f>
        <v>318</v>
      </c>
      <c r="CI17" s="25">
        <f>IF(CG17&lt;RAM,ROUND(SUM(CH17:INDEX(Dawx,RAM-BeginnAlter))+INDEX(Dax,RAM-BeginnAlter+1)*INDEX(äwx,1),RundDx),"")</f>
        <v>168111</v>
      </c>
      <c r="CJ17" s="25">
        <f>IF(CG17&lt;RAM,ROUND(SUM(CI17:INDEX(Nawx,RAM-BeginnAlter))+INDEX(Dax,RAM-BeginnAlter+1)*INDEX(äwx,1),RundDx),"")</f>
        <v>5819865</v>
      </c>
      <c r="CK17" s="24">
        <f t="shared" si="56"/>
        <v>2.9540000000000002</v>
      </c>
      <c r="CL17" s="25">
        <f>IF(CG17&lt;RAM,ROUND(v^($CG17+FaktorAlter)*$L17*$D17*0.5*($P17+$P18)*(VLOOKUP(TRUNC(0.5*($Q17+$Q18),0),Frauen!$AZ$9:$BD$95,5)+(0.5*($Q17+$Q18)-TRUNC(0.5*($Q17+$Q18),0))*(VLOOKUP(TRUNC(0.5*($Q17+$Q18)+1,0),Frauen!$AZ$9:$BD$95,5)-VLOOKUP(TRUNC(0.5*($Q17+$Q18),0),Frauen!$AZ$9:$BD$95,5))),RundDx),"")</f>
        <v>4990</v>
      </c>
      <c r="CM17" s="25">
        <f>IF(CG17&lt;RAM,SUM(CL17:INDEX(Diwx,RAM-BeginnAlter))+INDEX(Dix,RAM-BeginnAlter+1)*INDEX(äwx,1),"")</f>
        <v>698105.41399999999</v>
      </c>
      <c r="CN17" s="24">
        <f t="shared" si="57"/>
        <v>6.4059999999999997</v>
      </c>
      <c r="CO17" s="86"/>
      <c r="CP17" s="35">
        <f t="shared" si="58"/>
        <v>73</v>
      </c>
      <c r="CQ17" s="11">
        <f>ROUND(v^($CP17+FaktorAlter)*VLOOKUP(CP17,G$9:J$102,4)*VLOOKUP(CP17,A$9:E$102,5)*0.5*(VLOOKUP(CP17,O$9:P$102,2)+VLOOKUP(CP17+1,O$9:P$102,2))*(VLOOKUP(TRUNC(0.5*(VLOOKUP(CP17,O$9:Q$102,3)+VLOOKUP(CP17+1,O$9:Q$102,3)),0),Frauen!$AZ$9:$BD$95,5)+(0.5*(VLOOKUP(CP17,O$9:Q$102,3)+VLOOKUP(CP17+1,O$9:Q$102,3))-TRUNC(0.5*(VLOOKUP(CP17,O$9:Q$102,3)+VLOOKUP(CP17+1,O$9:Q$102,3)),0))*(VLOOKUP(TRUNC(0.5*(VLOOKUP(CP17,O$9:Q$102,3)+VLOOKUP(CP17+1,O$9:Q$102,3))+1,0),Frauen!$AZ$9:$BD$95,5)-VLOOKUP(TRUNC(0.5*(VLOOKUP(CP17,O$9:Q$102,3)+VLOOKUP(CP17+1,O$9:Q$102,3)),0),Frauen!$AZ$9:$BD$95,5))),RundDx)</f>
        <v>4970</v>
      </c>
      <c r="CR17" s="25">
        <f>SUM(CQ17:CQ$56)</f>
        <v>70757</v>
      </c>
      <c r="CS17" s="24">
        <f t="shared" si="30"/>
        <v>4.8899999999999997</v>
      </c>
      <c r="CT17" s="86"/>
      <c r="CU17" s="35">
        <f t="shared" si="59"/>
        <v>25</v>
      </c>
      <c r="CV17" s="25">
        <f>IF($CU17&gt;=RAM,"",IF($CU17-CV$103&lt;BeginnAlter,"",ROUND(v^($CU17+FaktorAlter)*$L17*$D17*0.5*(VLOOKUP($CU17-CV$103,Frauen!$G$9:$J$102,4)+VLOOKUP($CU17-CV$103+1,Frauen!$G$9:$J$102,4))*0.5*(VLOOKUP($CU17-CV$103,Frauen!$AZ$9:$BD$102,5)+VLOOKUP($CU17-CV$103+1,Frauen!$AZ$9:$BD$102,5)),RundDx)))</f>
        <v>3368064200</v>
      </c>
      <c r="CW17" s="25">
        <f>IF($CU17&gt;=RAM,"",IF($CU17-CW$103&lt;BeginnAlter,"",ROUND(v^($CU17+FaktorAlter)*$L17*$D17*0.5*(VLOOKUP($CU17-CW$103,Frauen!$G$9:$J$102,4)+VLOOKUP($CU17-CW$103+1,Frauen!$G$9:$J$102,4))*0.5*(VLOOKUP($CU17-CW$103,Frauen!$AZ$9:$BD$102,5)+VLOOKUP($CU17-CW$103+1,Frauen!$AZ$9:$BD$102,5)),RundDx)))</f>
        <v>3416355627</v>
      </c>
      <c r="CX17" s="25">
        <f>IF($CU17&gt;=RAM,"",IF($CU17-CX$103&lt;BeginnAlter,"",ROUND(v^($CU17+FaktorAlter)*$L17*$D17*0.5*(VLOOKUP($CU17-CX$103,Frauen!$G$9:$J$102,4)+VLOOKUP($CU17-CX$103+1,Frauen!$G$9:$J$102,4))*0.5*(VLOOKUP($CU17-CX$103,Frauen!$AZ$9:$BD$102,5)+VLOOKUP($CU17-CX$103+1,Frauen!$AZ$9:$BD$102,5)),RundDx)))</f>
        <v>3463574579</v>
      </c>
      <c r="CY17" s="25">
        <f>IF($CU17&gt;=RAM,"",IF($CU17-CY$103&lt;BeginnAlter,"",ROUND(v^($CU17+FaktorAlter)*$L17*$D17*0.5*(VLOOKUP($CU17-CY$103,Frauen!$G$9:$J$102,4)+VLOOKUP($CU17-CY$103+1,Frauen!$G$9:$J$102,4))*0.5*(VLOOKUP($CU17-CY$103,Frauen!$AZ$9:$BD$102,5)+VLOOKUP($CU17-CY$103+1,Frauen!$AZ$9:$BD$102,5)),RundDx)))</f>
        <v>3509804595</v>
      </c>
      <c r="CZ17" s="25">
        <f>IF($CU17&gt;=RAM,"",IF($CU17-CZ$103&lt;BeginnAlter,"",ROUND(v^($CU17+FaktorAlter)*$L17*$D17*0.5*(VLOOKUP($CU17-CZ$103,Frauen!$G$9:$J$102,4)+VLOOKUP($CU17-CZ$103+1,Frauen!$G$9:$J$102,4))*0.5*(VLOOKUP($CU17-CZ$103,Frauen!$AZ$9:$BD$102,5)+VLOOKUP($CU17-CZ$103+1,Frauen!$AZ$9:$BD$102,5)),RundDx)))</f>
        <v>3555131568</v>
      </c>
      <c r="DA17" s="25">
        <f>IF($CU17&gt;=RAM,"",IF($CU17-DA$103&lt;BeginnAlter,"",ROUND(v^($CU17+FaktorAlter)*$L17*$D17*0.5*(VLOOKUP($CU17-DA$103,Frauen!$G$9:$J$102,4)+VLOOKUP($CU17-DA$103+1,Frauen!$G$9:$J$102,4))*0.5*(VLOOKUP($CU17-DA$103,Frauen!$AZ$9:$BD$102,5)+VLOOKUP($CU17-DA$103+1,Frauen!$AZ$9:$BD$102,5)),RundDx)))</f>
        <v>3599581649</v>
      </c>
      <c r="DB17" s="25">
        <f>IF($CU17&gt;=RAM,"",IF($CU17-DB$103&lt;BeginnAlter,"",ROUND(v^($CU17+FaktorAlter)*$L17*$D17*0.5*(VLOOKUP($CU17-DB$103,Frauen!$G$9:$J$102,4)+VLOOKUP($CU17-DB$103+1,Frauen!$G$9:$J$102,4))*0.5*(VLOOKUP($CU17-DB$103,Frauen!$AZ$9:$BD$102,5)+VLOOKUP($CU17-DB$103+1,Frauen!$AZ$9:$BD$102,5)),RundDx)))</f>
        <v>3643120933</v>
      </c>
      <c r="DC17" s="25">
        <f>IF($CU17&gt;=RAM,"",IF($CU17-DC$103&lt;BeginnAlter,"",ROUND(v^($CU17+FaktorAlter)*$L17*$D17*0.5*(VLOOKUP($CU17-DC$103,Frauen!$G$9:$J$102,4)+VLOOKUP($CU17-DC$103+1,Frauen!$G$9:$J$102,4))*0.5*(VLOOKUP($CU17-DC$103,Frauen!$AZ$9:$BD$102,5)+VLOOKUP($CU17-DC$103+1,Frauen!$AZ$9:$BD$102,5)),RundDx)))</f>
        <v>3685760740</v>
      </c>
      <c r="DD17" s="25">
        <f>IF($CU17&gt;=RAM,"",IF($CU17-DD$103&lt;BeginnAlter,"",ROUND(v^($CU17+FaktorAlter)*$L17*$D17*0.5*(VLOOKUP($CU17-DD$103,Frauen!$G$9:$J$102,4)+VLOOKUP($CU17-DD$103+1,Frauen!$G$9:$J$102,4))*0.5*(VLOOKUP($CU17-DD$103,Frauen!$AZ$9:$BD$102,5)+VLOOKUP($CU17-DD$103+1,Frauen!$AZ$9:$BD$102,5)),RundDx)))</f>
        <v>3727513405</v>
      </c>
      <c r="DE17" s="25">
        <f>IF($CU17&gt;=RAM,"",IF($CU17-DE$103&lt;BeginnAlter,"",ROUND(v^($CU17+FaktorAlter)*$L17*$D17*0.5*(VLOOKUP($CU17-DE$103,Frauen!$G$9:$J$102,4)+VLOOKUP($CU17-DE$103+1,Frauen!$G$9:$J$102,4))*0.5*(VLOOKUP($CU17-DE$103,Frauen!$AZ$9:$BD$102,5)+VLOOKUP($CU17-DE$103+1,Frauen!$AZ$9:$BD$102,5)),RundDx)))</f>
        <v>3768454354</v>
      </c>
      <c r="DF17" s="25">
        <f>IF($CU17&gt;=RAM,"",IF($CU17-DF$103&lt;BeginnAlter,"",ROUND(v^($CU17+FaktorAlter)*$L17*$D17*0.5*(VLOOKUP($CU17-DF$103,Frauen!$G$9:$J$102,4)+VLOOKUP($CU17-DF$103+1,Frauen!$G$9:$J$102,4))*0.5*(VLOOKUP($CU17-DF$103,Frauen!$AZ$9:$BD$102,5)+VLOOKUP($CU17-DF$103+1,Frauen!$AZ$9:$BD$102,5)),RundDx)))</f>
        <v>3808597929</v>
      </c>
      <c r="DG17" s="25">
        <f>IF($CU17&gt;=RAM,"",IF($CU17-DG$103&lt;BeginnAlter,"",ROUND(v^($CU17+FaktorAlter)*$L17*$D17*0.5*(VLOOKUP($CU17-DG$103,Frauen!$G$9:$J$102,4)+VLOOKUP($CU17-DG$103+1,Frauen!$G$9:$J$102,4))*0.5*(VLOOKUP($CU17-DG$103,Frauen!$AZ$9:$BD$102,5)+VLOOKUP($CU17-DG$103+1,Frauen!$AZ$9:$BD$102,5)),RundDx)))</f>
        <v>3847897174</v>
      </c>
      <c r="DH17" s="25">
        <f>IF($CU17&gt;=RAM,"",IF($CU17-DH$103&lt;BeginnAlter,"",ROUND(v^($CU17+FaktorAlter)*$L17*$D17*0.5*(VLOOKUP($CU17-DH$103,Frauen!$G$9:$J$102,4)+VLOOKUP($CU17-DH$103+1,Frauen!$G$9:$J$102,4))*0.5*(VLOOKUP($CU17-DH$103,Frauen!$AZ$9:$BD$102,5)+VLOOKUP($CU17-DH$103+1,Frauen!$AZ$9:$BD$102,5)),RundDx)))</f>
        <v>3886348575</v>
      </c>
      <c r="DI17" s="25">
        <f>IF($CU17&gt;=RAM,"",IF($CU17-DI$103&lt;BeginnAlter,"",ROUND(v^($CU17+FaktorAlter)*$L17*$D17*0.5*(VLOOKUP($CU17-DI$103,Frauen!$G$9:$J$102,4)+VLOOKUP($CU17-DI$103+1,Frauen!$G$9:$J$102,4))*0.5*(VLOOKUP($CU17-DI$103,Frauen!$AZ$9:$BD$102,5)+VLOOKUP($CU17-DI$103+1,Frauen!$AZ$9:$BD$102,5)),RundDx)))</f>
        <v>3923991291</v>
      </c>
      <c r="DJ17" s="25">
        <f>IF($CU17&gt;=RAM,"",IF($CU17-DJ$103&lt;BeginnAlter,"",ROUND(v^($CU17+FaktorAlter)*$L17*$D17*0.5*(VLOOKUP($CU17-DJ$103,Frauen!$G$9:$J$102,4)+VLOOKUP($CU17-DJ$103+1,Frauen!$G$9:$J$102,4))*0.5*(VLOOKUP($CU17-DJ$103,Frauen!$AZ$9:$BD$102,5)+VLOOKUP($CU17-DJ$103+1,Frauen!$AZ$9:$BD$102,5)),RundDx)))</f>
        <v>3960926261</v>
      </c>
      <c r="DK17" s="25">
        <f>IF($CU17&gt;=RAM,"",IF($CU17-DK$103&lt;BeginnAlter,"",ROUND(v^($CU17+FaktorAlter)*$L17*$D17*0.5*(VLOOKUP($CU17-DK$103,Frauen!$G$9:$J$102,4)+VLOOKUP($CU17-DK$103+1,Frauen!$G$9:$J$102,4))*0.5*(VLOOKUP($CU17-DK$103,Frauen!$AZ$9:$BD$102,5)+VLOOKUP($CU17-DK$103+1,Frauen!$AZ$9:$BD$102,5)),RundDx)))</f>
        <v>3997067159</v>
      </c>
      <c r="DL17" s="25">
        <f>IF($CU17&gt;=RAM,"",IF($CU17-DL$103&lt;BeginnAlter,"",ROUND(v^($CU17+FaktorAlter)*$L17*$D17*0.5*(VLOOKUP($CU17-DL$103,Frauen!$G$9:$J$102,4)+VLOOKUP($CU17-DL$103+1,Frauen!$G$9:$J$102,4))*0.5*(VLOOKUP($CU17-DL$103,Frauen!$AZ$9:$BD$102,5)+VLOOKUP($CU17-DL$103+1,Frauen!$AZ$9:$BD$102,5)),RundDx)))</f>
        <v>4032451640</v>
      </c>
      <c r="DM17" s="25">
        <f>IF($CU17&gt;=RAM,"",IF($CU17-DM$103&lt;BeginnAlter,"",ROUND(v^($CU17+FaktorAlter)*$L17*$D17*0.5*(VLOOKUP($CU17-DM$103,Frauen!$G$9:$J$102,4)+VLOOKUP($CU17-DM$103+1,Frauen!$G$9:$J$102,4))*0.5*(VLOOKUP($CU17-DM$103,Frauen!$AZ$9:$BD$102,5)+VLOOKUP($CU17-DM$103+1,Frauen!$AZ$9:$BD$102,5)),RundDx)))</f>
        <v>4067137280</v>
      </c>
      <c r="DN17" s="25">
        <f>IF($CU17&gt;=RAM,"",IF($CU17-DN$103&lt;BeginnAlter,"",ROUND(v^($CU17+FaktorAlter)*$L17*$D17*0.5*(VLOOKUP($CU17-DN$103,Frauen!$G$9:$J$102,4)+VLOOKUP($CU17-DN$103+1,Frauen!$G$9:$J$102,4))*0.5*(VLOOKUP($CU17-DN$103,Frauen!$AZ$9:$BD$102,5)+VLOOKUP($CU17-DN$103+1,Frauen!$AZ$9:$BD$102,5)),RundDx)))</f>
        <v>4101098994</v>
      </c>
      <c r="DO17" s="25">
        <f>IF($CU17&gt;=RAM,"",IF($CU17-DO$103&lt;BeginnAlter,"",ROUND(v^($CU17+FaktorAlter)*$L17*$D17*0.5*(VLOOKUP($CU17-DO$103,Frauen!$G$9:$J$102,4)+VLOOKUP($CU17-DO$103+1,Frauen!$G$9:$J$102,4))*0.5*(VLOOKUP($CU17-DO$103,Frauen!$AZ$9:$BD$102,5)+VLOOKUP($CU17-DO$103+1,Frauen!$AZ$9:$BD$102,5)),RundDx)))</f>
        <v>4134373560</v>
      </c>
      <c r="DP17" s="25">
        <f>IF($CU17&gt;=RAM,"",IF($CU17-DP$103&lt;BeginnAlter,"",ROUND(v^($CU17+FaktorAlter)*$L17*$D17*0.5*(VLOOKUP($CU17-DP$103,Frauen!$G$9:$J$102,4)+VLOOKUP($CU17-DP$103+1,Frauen!$G$9:$J$102,4))*0.5*(VLOOKUP($CU17-DP$103,Frauen!$AZ$9:$BD$102,5)+VLOOKUP($CU17-DP$103+1,Frauen!$AZ$9:$BD$102,5)),RundDx)))</f>
        <v>4166893392</v>
      </c>
      <c r="DQ17" s="25">
        <f>IF($CU17&gt;=RAM,"",IF($CU17-DQ$103&lt;BeginnAlter,"",ROUND(v^($CU17+FaktorAlter)*$L17*$D17*0.5*(VLOOKUP($CU17-DQ$103,Frauen!$G$9:$J$102,4)+VLOOKUP($CU17-DQ$103+1,Frauen!$G$9:$J$102,4))*0.5*(VLOOKUP($CU17-DQ$103,Frauen!$AZ$9:$BD$102,5)+VLOOKUP($CU17-DQ$103+1,Frauen!$AZ$9:$BD$102,5)),RundDx)))</f>
        <v>4198674411</v>
      </c>
      <c r="DR17" s="25">
        <f>IF($CU17&gt;=RAM,"",IF($CU17-DR$103&lt;BeginnAlter,"",ROUND(v^($CU17+FaktorAlter)*$L17*$D17*0.5*(VLOOKUP($CU17-DR$103,Frauen!$G$9:$J$102,4)+VLOOKUP($CU17-DR$103+1,Frauen!$G$9:$J$102,4))*0.5*(VLOOKUP($CU17-DR$103,Frauen!$AZ$9:$BD$102,5)+VLOOKUP($CU17-DR$103+1,Frauen!$AZ$9:$BD$102,5)),RundDx)))</f>
        <v>4229838025</v>
      </c>
      <c r="DS17" s="25">
        <f>IF($CU17&gt;=RAM,"",IF($CU17-DS$103&lt;BeginnAlter,"",ROUND(v^($CU17+FaktorAlter)*$L17*$D17*0.5*(VLOOKUP($CU17-DS$103,Frauen!$G$9:$J$102,4)+VLOOKUP($CU17-DS$103+1,Frauen!$G$9:$J$102,4))*0.5*(VLOOKUP($CU17-DS$103,Frauen!$AZ$9:$BD$102,5)+VLOOKUP($CU17-DS$103+1,Frauen!$AZ$9:$BD$102,5)),RundDx)))</f>
        <v>4260320402</v>
      </c>
      <c r="DT17" s="25" t="str">
        <f>IF($CU17&gt;=RAM,"",IF($CU17-DT$103&lt;BeginnAlter,"",ROUND(v^($CU17+FaktorAlter)*$L17*$D17*0.5*(VLOOKUP($CU17-DT$103,Frauen!$G$9:$J$102,4)+VLOOKUP($CU17-DT$103+1,Frauen!$G$9:$J$102,4))*0.5*(VLOOKUP($CU17-DT$103,Frauen!$AZ$9:$BD$102,5)+VLOOKUP($CU17-DT$103+1,Frauen!$AZ$9:$BD$102,5)),RundDx)))</f>
        <v/>
      </c>
      <c r="DU17" s="25" t="str">
        <f>IF($CU17&gt;=RAM,"",IF($CU17-DU$103&lt;BeginnAlter,"",ROUND(v^($CU17+FaktorAlter)*$L17*$D17*0.5*(VLOOKUP($CU17-DU$103,Frauen!$G$9:$J$102,4)+VLOOKUP($CU17-DU$103+1,Frauen!$G$9:$J$102,4))*0.5*(VLOOKUP($CU17-DU$103,Frauen!$AZ$9:$BD$102,5)+VLOOKUP($CU17-DU$103+1,Frauen!$AZ$9:$BD$102,5)),RundDx)))</f>
        <v/>
      </c>
      <c r="DV17" s="25" t="str">
        <f>IF($CU17&gt;=RAM,"",IF($CU17-DV$103&lt;BeginnAlter,"",ROUND(v^($CU17+FaktorAlter)*$L17*$D17*0.5*(VLOOKUP($CU17-DV$103,Frauen!$G$9:$J$102,4)+VLOOKUP($CU17-DV$103+1,Frauen!$G$9:$J$102,4))*0.5*(VLOOKUP($CU17-DV$103,Frauen!$AZ$9:$BD$102,5)+VLOOKUP($CU17-DV$103+1,Frauen!$AZ$9:$BD$102,5)),RundDx)))</f>
        <v/>
      </c>
      <c r="DW17" s="25" t="str">
        <f>IF($CU17&gt;=RAM,"",IF($CU17-DW$103&lt;BeginnAlter,"",ROUND(v^($CU17+FaktorAlter)*$L17*$D17*0.5*(VLOOKUP($CU17-DW$103,Frauen!$G$9:$J$102,4)+VLOOKUP($CU17-DW$103+1,Frauen!$G$9:$J$102,4))*0.5*(VLOOKUP($CU17-DW$103,Frauen!$AZ$9:$BD$102,5)+VLOOKUP($CU17-DW$103+1,Frauen!$AZ$9:$BD$102,5)),RundDx)))</f>
        <v/>
      </c>
      <c r="DX17" s="25" t="str">
        <f>IF($CU17&gt;=RAM,"",IF($CU17-DX$103&lt;BeginnAlter,"",ROUND(v^($CU17+FaktorAlter)*$L17*$D17*0.5*(VLOOKUP($CU17-DX$103,Frauen!$G$9:$J$102,4)+VLOOKUP($CU17-DX$103+1,Frauen!$G$9:$J$102,4))*0.5*(VLOOKUP($CU17-DX$103,Frauen!$AZ$9:$BD$102,5)+VLOOKUP($CU17-DX$103+1,Frauen!$AZ$9:$BD$102,5)),RundDx)))</f>
        <v/>
      </c>
      <c r="DY17" s="25" t="str">
        <f>IF($CU17&gt;=RAM,"",IF($CU17-DY$103&lt;BeginnAlter,"",ROUND(v^($CU17+FaktorAlter)*$L17*$D17*0.5*(VLOOKUP($CU17-DY$103,Frauen!$G$9:$J$102,4)+VLOOKUP($CU17-DY$103+1,Frauen!$G$9:$J$102,4))*0.5*(VLOOKUP($CU17-DY$103,Frauen!$AZ$9:$BD$102,5)+VLOOKUP($CU17-DY$103+1,Frauen!$AZ$9:$BD$102,5)),RundDx)))</f>
        <v/>
      </c>
      <c r="DZ17" s="25" t="str">
        <f>IF($CU17&gt;=RAM,"",IF($CU17-DZ$103&lt;BeginnAlter,"",ROUND(v^($CU17+FaktorAlter)*$L17*$D17*0.5*(VLOOKUP($CU17-DZ$103,Frauen!$G$9:$J$102,4)+VLOOKUP($CU17-DZ$103+1,Frauen!$G$9:$J$102,4))*0.5*(VLOOKUP($CU17-DZ$103,Frauen!$AZ$9:$BD$102,5)+VLOOKUP($CU17-DZ$103+1,Frauen!$AZ$9:$BD$102,5)),RundDx)))</f>
        <v/>
      </c>
      <c r="EA17" s="43">
        <f>IF($CU17&gt;=RAM,"",IF($CU17-EA$103&lt;BeginnAlter,"",ROUND((SUM(CV17:CV$56)+SUM(FN$9:FN$56))/VLOOKUP($CU17,$AH$9:$AI$102,2)/VLOOKUP($CU17-EA$103,Frauen!$G$9:$J$102,4),Rundäx)))</f>
        <v>7.2</v>
      </c>
      <c r="EB17" s="43">
        <f>IF($CU17&gt;=RAM,"",IF($CU17-EB$103&lt;BeginnAlter,"",ROUND((SUM(CW17:CW$56)+SUM(FO$9:FO$56))/VLOOKUP($CU17,$AH$9:$AI$102,2)/VLOOKUP($CU17-EB$103,Frauen!$G$9:$J$102,4),Rundäx)))</f>
        <v>7.4050000000000002</v>
      </c>
      <c r="EC17" s="43">
        <f>IF($CU17&gt;=RAM,"",IF($CU17-EC$103&lt;BeginnAlter,"",ROUND((SUM(CX17:CX$56)+SUM(FP$9:FP$56))/VLOOKUP($CU17,$AH$9:$AI$102,2)/VLOOKUP($CU17-EC$103,Frauen!$G$9:$J$102,4),Rundäx)))</f>
        <v>7.61</v>
      </c>
      <c r="ED17" s="43">
        <f>IF($CU17&gt;=RAM,"",IF($CU17-ED$103&lt;BeginnAlter,"",ROUND((SUM(CY17:CY$56)+SUM(FQ$9:FQ$56))/VLOOKUP($CU17,$AH$9:$AI$102,2)/VLOOKUP($CU17-ED$103,Frauen!$G$9:$J$102,4),Rundäx)))</f>
        <v>7.8159999999999998</v>
      </c>
      <c r="EE17" s="43">
        <f>IF($CU17&gt;=RAM,"",IF($CU17-EE$103&lt;BeginnAlter,"",ROUND((SUM(CZ17:CZ$56)+SUM(FR$9:FR$56))/VLOOKUP($CU17,$AH$9:$AI$102,2)/VLOOKUP($CU17-EE$103,Frauen!$G$9:$J$102,4),Rundäx)))</f>
        <v>8.0220000000000002</v>
      </c>
      <c r="EF17" s="43">
        <f>IF($CU17&gt;=RAM,"",IF($CU17-EF$103&lt;BeginnAlter,"",ROUND((SUM(DA17:DA$56)+SUM(FS$9:FS$56))/VLOOKUP($CU17,$AH$9:$AI$102,2)/VLOOKUP($CU17-EF$103,Frauen!$G$9:$J$102,4),Rundäx)))</f>
        <v>8.2289999999999992</v>
      </c>
      <c r="EG17" s="43">
        <f>IF($CU17&gt;=RAM,"",IF($CU17-EG$103&lt;BeginnAlter,"",ROUND((SUM(DB17:DB$56)+SUM(FT$9:FT$56))/VLOOKUP($CU17,$AH$9:$AI$102,2)/VLOOKUP($CU17-EG$103,Frauen!$G$9:$J$102,4),Rundäx)))</f>
        <v>8.4350000000000005</v>
      </c>
      <c r="EH17" s="43">
        <f>IF($CU17&gt;=RAM,"",IF($CU17-EH$103&lt;BeginnAlter,"",ROUND((SUM(DC17:DC$56)+SUM(FU$9:FU$56))/VLOOKUP($CU17,$AH$9:$AI$102,2)/VLOOKUP($CU17-EH$103,Frauen!$G$9:$J$102,4),Rundäx)))</f>
        <v>8.6419999999999995</v>
      </c>
      <c r="EI17" s="86"/>
      <c r="EJ17" s="35">
        <f t="shared" si="60"/>
        <v>25</v>
      </c>
      <c r="EK17" s="43">
        <f>IF($CU17&gt;=RAM,"",IF($CU17-EK$103&lt;BeginnAlter,"",ROUND((SUM(DD17:DD$56)+SUM(FV$9:FV$56))/VLOOKUP($CU17,$AH$9:$AI$102,2)/VLOOKUP($CU17-EK$103,Frauen!$G$9:$J$102,4),Rundäx)))</f>
        <v>8.8490000000000002</v>
      </c>
      <c r="EL17" s="43">
        <f>IF($CU17&gt;=RAM,"",IF($CU17-EL$103&lt;BeginnAlter,"",ROUND((SUM(DE17:DE$56)+SUM(FW$9:FW$56))/VLOOKUP($CU17,$AH$9:$AI$102,2)/VLOOKUP($CU17-EL$103,Frauen!$G$9:$J$102,4),Rundäx)))</f>
        <v>9.0559999999999992</v>
      </c>
      <c r="EM17" s="43">
        <f>IF($CU17&gt;=RAM,"",IF($CU17-EM$103&lt;BeginnAlter,"",ROUND((SUM(DF17:DF$56)+SUM(FX$9:FX$56))/VLOOKUP($CU17,$AH$9:$AI$102,2)/VLOOKUP($CU17-EM$103,Frauen!$G$9:$J$102,4),Rundäx)))</f>
        <v>9.2620000000000005</v>
      </c>
      <c r="EN17" s="43">
        <f>IF($CU17&gt;=RAM,"",IF($CU17-EN$103&lt;BeginnAlter,"",ROUND((SUM(DG17:DG$56)+SUM(FY$9:FY$56))/VLOOKUP($CU17,$AH$9:$AI$102,2)/VLOOKUP($CU17-EN$103,Frauen!$G$9:$J$102,4),Rundäx)))</f>
        <v>9.4689999999999994</v>
      </c>
      <c r="EO17" s="43">
        <f>IF($CU17&gt;=RAM,"",IF($CU17-EO$103&lt;BeginnAlter,"",ROUND((SUM(DH17:DH$56)+SUM(FZ$9:FZ$56))/VLOOKUP($CU17,$AH$9:$AI$102,2)/VLOOKUP($CU17-EO$103,Frauen!$G$9:$J$102,4),Rundäx)))</f>
        <v>9.6760000000000002</v>
      </c>
      <c r="EP17" s="43">
        <f>IF($CU17&gt;=RAM,"",IF($CU17-EP$103&lt;BeginnAlter,"",ROUND((SUM(DI17:DI$56)+SUM(GA$9:GA$56))/VLOOKUP($CU17,$AH$9:$AI$102,2)/VLOOKUP($CU17-EP$103,Frauen!$G$9:$J$102,4),Rundäx)))</f>
        <v>9.8819999999999997</v>
      </c>
      <c r="EQ17" s="43">
        <f>IF($CU17&gt;=RAM,"",IF($CU17-EQ$103&lt;BeginnAlter,"",ROUND((SUM(DJ17:DJ$56)+SUM(GB$9:GB$56))/VLOOKUP($CU17,$AH$9:$AI$102,2)/VLOOKUP($CU17-EQ$103,Frauen!$G$9:$J$102,4),Rundäx)))</f>
        <v>10.087999999999999</v>
      </c>
      <c r="ER17" s="43">
        <f>IF($CU17&gt;=RAM,"",IF($CU17-ER$103&lt;BeginnAlter,"",ROUND((SUM(DK17:DK$56)+SUM(GC$9:GC$56))/VLOOKUP($CU17,$AH$9:$AI$102,2)/VLOOKUP($CU17-ER$103,Frauen!$G$9:$J$102,4),Rundäx)))</f>
        <v>10.294</v>
      </c>
      <c r="ES17" s="86"/>
      <c r="ET17" s="35">
        <f t="shared" si="61"/>
        <v>25</v>
      </c>
      <c r="EU17" s="43">
        <f>IF($CU17&gt;=RAM,"",IF($CU17-EU$103&lt;BeginnAlter,"",ROUND((SUM(DL17:DL$56)+SUM(GD$9:GD$56))/VLOOKUP($CU17,$AH$9:$AI$102,2)/VLOOKUP($CU17-EU$103,Frauen!$G$9:$J$102,4),Rundäx)))</f>
        <v>10.5</v>
      </c>
      <c r="EV17" s="43">
        <f>IF($CU17&gt;=RAM,"",IF($CU17-EV$103&lt;BeginnAlter,"",ROUND((SUM(DM17:DM$56)+SUM(GE$9:GE$56))/VLOOKUP($CU17,$AH$9:$AI$102,2)/VLOOKUP($CU17-EV$103,Frauen!$G$9:$J$102,4),Rundäx)))</f>
        <v>10.705</v>
      </c>
      <c r="EW17" s="43">
        <f>IF($CU17&gt;=RAM,"",IF($CU17-EW$103&lt;BeginnAlter,"",ROUND((SUM(DN17:DN$56)+SUM(GF$9:GF$56))/VLOOKUP($CU17,$AH$9:$AI$102,2)/VLOOKUP($CU17-EW$103,Frauen!$G$9:$J$102,4),Rundäx)))</f>
        <v>10.91</v>
      </c>
      <c r="EX17" s="43">
        <f>IF($CU17&gt;=RAM,"",IF($CU17-EX$103&lt;BeginnAlter,"",ROUND((SUM(DO17:DO$56)+SUM(GG$9:GG$56))/VLOOKUP($CU17,$AH$9:$AI$102,2)/VLOOKUP($CU17-EX$103,Frauen!$G$9:$J$102,4),Rundäx)))</f>
        <v>11.115</v>
      </c>
      <c r="EY17" s="43">
        <f>IF($CU17&gt;=RAM,"",IF($CU17-EY$103&lt;BeginnAlter,"",ROUND((SUM(DP17:DP$56)+SUM(GH$9:GH$56))/VLOOKUP($CU17,$AH$9:$AI$102,2)/VLOOKUP($CU17-EY$103,Frauen!$G$9:$J$102,4),Rundäx)))</f>
        <v>11.318</v>
      </c>
      <c r="EZ17" s="43">
        <f>IF($CU17&gt;=RAM,"",IF($CU17-EZ$103&lt;BeginnAlter,"",ROUND((SUM(DQ17:DQ$56)+SUM(GI$9:GI$56))/VLOOKUP($CU17,$AH$9:$AI$102,2)/VLOOKUP($CU17-EZ$103,Frauen!$G$9:$J$102,4),Rundäx)))</f>
        <v>11.521000000000001</v>
      </c>
      <c r="FA17" s="43">
        <f>IF($CU17&gt;=RAM,"",IF($CU17-FA$103&lt;BeginnAlter,"",ROUND((SUM(DR17:DR$56)+SUM(GJ$9:GJ$56))/VLOOKUP($CU17,$AH$9:$AI$102,2)/VLOOKUP($CU17-FA$103,Frauen!$G$9:$J$102,4),Rundäx)))</f>
        <v>11.722</v>
      </c>
      <c r="FB17" s="43">
        <f>IF($CU17&gt;=RAM,"",IF($CU17-FB$103&lt;BeginnAlter,"",ROUND((SUM(DS17:DS$56)+SUM(GK$9:GK$56))/VLOOKUP($CU17,$AH$9:$AI$102,2)/VLOOKUP($CU17-FB$103,Frauen!$G$9:$J$102,4),Rundäx)))</f>
        <v>11.922000000000001</v>
      </c>
      <c r="FC17" s="86"/>
      <c r="FD17" s="35">
        <f t="shared" si="62"/>
        <v>25</v>
      </c>
      <c r="FE17" s="43" t="str">
        <f>IF($CU17&gt;=RAM,"",IF($CU17-FE$103&lt;BeginnAlter,"",ROUND((SUM(DT17:DT$56)+SUM(GL$9:GL$56))/VLOOKUP($CU17,$AH$9:$AI$102,2)/VLOOKUP($CU17-FE$103,Frauen!$G$9:$J$102,4),Rundäx)))</f>
        <v/>
      </c>
      <c r="FF17" s="43" t="str">
        <f>IF($CU17&gt;=RAM,"",IF($CU17-FF$103&lt;BeginnAlter,"",ROUND((SUM(DU17:DU$56)+SUM(GM$9:GM$56))/VLOOKUP($CU17,$AH$9:$AI$102,2)/VLOOKUP($CU17-FF$103,Frauen!$G$9:$J$102,4),Rundäx)))</f>
        <v/>
      </c>
      <c r="FG17" s="43" t="str">
        <f>IF($CU17&gt;=RAM,"",IF($CU17-FG$103&lt;BeginnAlter,"",ROUND((SUM(DV17:DV$56)+SUM(GN$9:GN$56))/VLOOKUP($CU17,$AH$9:$AI$102,2)/VLOOKUP($CU17-FG$103,Frauen!$G$9:$J$102,4),Rundäx)))</f>
        <v/>
      </c>
      <c r="FH17" s="43" t="str">
        <f>IF($CU17&gt;=RAM,"",IF($CU17-FH$103&lt;BeginnAlter,"",ROUND((SUM(DW17:DW$56)+SUM(GO$9:GO$56))/VLOOKUP($CU17,$AH$9:$AI$102,2)/VLOOKUP($CU17-FH$103,Frauen!$G$9:$J$102,4),Rundäx)))</f>
        <v/>
      </c>
      <c r="FI17" s="43" t="str">
        <f>IF($CU17&gt;=RAM,"",IF($CU17-FI$103&lt;BeginnAlter,"",ROUND((SUM(DX17:DX$56)+SUM(GP$9:GP$56))/VLOOKUP($CU17,$AH$9:$AI$102,2)/VLOOKUP($CU17-FI$103,Frauen!$G$9:$J$102,4),Rundäx)))</f>
        <v/>
      </c>
      <c r="FJ17" s="43" t="str">
        <f>IF($CU17&gt;=RAM,"",IF($CU17-FJ$103&lt;BeginnAlter,"",ROUND((SUM(DY17:DY$56)+SUM(GQ$9:GQ$56))/VLOOKUP($CU17,$AH$9:$AI$102,2)/VLOOKUP($CU17-FJ$103,Frauen!$G$9:$J$102,4),Rundäx)))</f>
        <v/>
      </c>
      <c r="FK17" s="43" t="str">
        <f>IF($CU17&gt;=RAM,"",IF($CU17-FK$103&lt;BeginnAlter,"",ROUND((SUM(DZ17:DZ$56)+SUM(GR$9:GR$56))/VLOOKUP($CU17,$AH$9:$AI$102,2)/VLOOKUP($CU17-FK$103,Frauen!$G$9:$J$102,4),Rundäx)))</f>
        <v/>
      </c>
      <c r="FL17" s="86"/>
      <c r="FM17" s="35">
        <f t="shared" si="68"/>
        <v>73</v>
      </c>
      <c r="FN17" s="25">
        <f>ROUND(v^($FM17+FaktorAlter)*VLOOKUP($FM17,$G$9:$J$102,4)*VLOOKUP($FM17,$A$9:$E$102,5)*0.5*(VLOOKUP($FM17-FN$103,Frauen!$G$9:$J$102,4)+VLOOKUP($FM17-FN$103+1,Frauen!$G$9:$J$102,4))*0.5*(VLOOKUP($FM17-FN$103,Frauen!$AZ$9:$BD$102,5)+VLOOKUP($FM17-FN$103+1,Frauen!$AZ$9:$BD$102,5)),RundDx)</f>
        <v>73009888</v>
      </c>
      <c r="FO17" s="25">
        <f>ROUND(v^($FM17+FaktorAlter)*VLOOKUP($FM17,$G$9:$J$102,4)*VLOOKUP($FM17,$A$9:$E$102,5)*0.5*(VLOOKUP($FM17-FO$103,Frauen!$G$9:$J$102,4)+VLOOKUP($FM17-FO$103+1,Frauen!$G$9:$J$102,4))*0.5*(VLOOKUP($FM17-FO$103,Frauen!$AZ$9:$BD$102,5)+VLOOKUP($FM17-FO$103+1,Frauen!$AZ$9:$BD$102,5)),RundDx)</f>
        <v>89203583</v>
      </c>
      <c r="FP17" s="25">
        <f>ROUND(v^($FM17+FaktorAlter)*VLOOKUP($FM17,$G$9:$J$102,4)*VLOOKUP($FM17,$A$9:$E$102,5)*0.5*(VLOOKUP($FM17-FP$103,Frauen!$G$9:$J$102,4)+VLOOKUP($FM17-FP$103+1,Frauen!$G$9:$J$102,4))*0.5*(VLOOKUP($FM17-FP$103,Frauen!$AZ$9:$BD$102,5)+VLOOKUP($FM17-FP$103+1,Frauen!$AZ$9:$BD$102,5)),RundDx)</f>
        <v>107125599</v>
      </c>
      <c r="FQ17" s="25">
        <f>ROUND(v^($FM17+FaktorAlter)*VLOOKUP($FM17,$G$9:$J$102,4)*VLOOKUP($FM17,$A$9:$E$102,5)*0.5*(VLOOKUP($FM17-FQ$103,Frauen!$G$9:$J$102,4)+VLOOKUP($FM17-FQ$103+1,Frauen!$G$9:$J$102,4))*0.5*(VLOOKUP($FM17-FQ$103,Frauen!$AZ$9:$BD$102,5)+VLOOKUP($FM17-FQ$103+1,Frauen!$AZ$9:$BD$102,5)),RundDx)</f>
        <v>126603957</v>
      </c>
      <c r="FR17" s="25">
        <f>ROUND(v^($FM17+FaktorAlter)*VLOOKUP($FM17,$G$9:$J$102,4)*VLOOKUP($FM17,$A$9:$E$102,5)*0.5*(VLOOKUP($FM17-FR$103,Frauen!$G$9:$J$102,4)+VLOOKUP($FM17-FR$103+1,Frauen!$G$9:$J$102,4))*0.5*(VLOOKUP($FM17-FR$103,Frauen!$AZ$9:$BD$102,5)+VLOOKUP($FM17-FR$103+1,Frauen!$AZ$9:$BD$102,5)),RundDx)</f>
        <v>147432239</v>
      </c>
      <c r="FS17" s="25">
        <f>ROUND(v^($FM17+FaktorAlter)*VLOOKUP($FM17,$G$9:$J$102,4)*VLOOKUP($FM17,$A$9:$E$102,5)*0.5*(VLOOKUP($FM17-FS$103,Frauen!$G$9:$J$102,4)+VLOOKUP($FM17-FS$103+1,Frauen!$G$9:$J$102,4))*0.5*(VLOOKUP($FM17-FS$103,Frauen!$AZ$9:$BD$102,5)+VLOOKUP($FM17-FS$103+1,Frauen!$AZ$9:$BD$102,5)),RundDx)</f>
        <v>169406235</v>
      </c>
      <c r="FT17" s="25">
        <f>ROUND(v^($FM17+FaktorAlter)*VLOOKUP($FM17,$G$9:$J$102,4)*VLOOKUP($FM17,$A$9:$E$102,5)*0.5*(VLOOKUP($FM17-FT$103,Frauen!$G$9:$J$102,4)+VLOOKUP($FM17-FT$103+1,Frauen!$G$9:$J$102,4))*0.5*(VLOOKUP($FM17-FT$103,Frauen!$AZ$9:$BD$102,5)+VLOOKUP($FM17-FT$103+1,Frauen!$AZ$9:$BD$102,5)),RundDx)</f>
        <v>192284222</v>
      </c>
      <c r="FU17" s="25">
        <f>ROUND(v^($FM17+FaktorAlter)*VLOOKUP($FM17,$G$9:$J$102,4)*VLOOKUP($FM17,$A$9:$E$102,5)*0.5*(VLOOKUP($FM17-FU$103,Frauen!$G$9:$J$102,4)+VLOOKUP($FM17-FU$103+1,Frauen!$G$9:$J$102,4))*0.5*(VLOOKUP($FM17-FU$103,Frauen!$AZ$9:$BD$102,5)+VLOOKUP($FM17-FU$103+1,Frauen!$AZ$9:$BD$102,5)),RundDx)</f>
        <v>215837857</v>
      </c>
      <c r="FV17" s="25">
        <f>ROUND(v^($FM17+FaktorAlter)*VLOOKUP($FM17,$G$9:$J$102,4)*VLOOKUP($FM17,$A$9:$E$102,5)*0.5*(VLOOKUP($FM17-FV$103,Frauen!$G$9:$J$102,4)+VLOOKUP($FM17-FV$103+1,Frauen!$G$9:$J$102,4))*0.5*(VLOOKUP($FM17-FV$103,Frauen!$AZ$9:$BD$102,5)+VLOOKUP($FM17-FV$103+1,Frauen!$AZ$9:$BD$102,5)),RundDx)</f>
        <v>239911556</v>
      </c>
      <c r="FW17" s="25">
        <f>ROUND(v^($FM17+FaktorAlter)*VLOOKUP($FM17,$G$9:$J$102,4)*VLOOKUP($FM17,$A$9:$E$102,5)*0.5*(VLOOKUP($FM17-FW$103,Frauen!$G$9:$J$102,4)+VLOOKUP($FM17-FW$103+1,Frauen!$G$9:$J$102,4))*0.5*(VLOOKUP($FM17-FW$103,Frauen!$AZ$9:$BD$102,5)+VLOOKUP($FM17-FW$103+1,Frauen!$AZ$9:$BD$102,5)),RundDx)</f>
        <v>264428974</v>
      </c>
      <c r="FX17" s="25">
        <f>ROUND(v^($FM17+FaktorAlter)*VLOOKUP($FM17,$G$9:$J$102,4)*VLOOKUP($FM17,$A$9:$E$102,5)*0.5*(VLOOKUP($FM17-FX$103,Frauen!$G$9:$J$102,4)+VLOOKUP($FM17-FX$103+1,Frauen!$G$9:$J$102,4))*0.5*(VLOOKUP($FM17-FX$103,Frauen!$AZ$9:$BD$102,5)+VLOOKUP($FM17-FX$103+1,Frauen!$AZ$9:$BD$102,5)),RundDx)</f>
        <v>289286139</v>
      </c>
      <c r="FY17" s="25">
        <f>ROUND(v^($FM17+FaktorAlter)*VLOOKUP($FM17,$G$9:$J$102,4)*VLOOKUP($FM17,$A$9:$E$102,5)*0.5*(VLOOKUP($FM17-FY$103,Frauen!$G$9:$J$102,4)+VLOOKUP($FM17-FY$103+1,Frauen!$G$9:$J$102,4))*0.5*(VLOOKUP($FM17-FY$103,Frauen!$AZ$9:$BD$102,5)+VLOOKUP($FM17-FY$103+1,Frauen!$AZ$9:$BD$102,5)),RundDx)</f>
        <v>314462643</v>
      </c>
      <c r="FZ17" s="25">
        <f>ROUND(v^($FM17+FaktorAlter)*VLOOKUP($FM17,$G$9:$J$102,4)*VLOOKUP($FM17,$A$9:$E$102,5)*0.5*(VLOOKUP($FM17-FZ$103,Frauen!$G$9:$J$102,4)+VLOOKUP($FM17-FZ$103+1,Frauen!$G$9:$J$102,4))*0.5*(VLOOKUP($FM17-FZ$103,Frauen!$AZ$9:$BD$102,5)+VLOOKUP($FM17-FZ$103+1,Frauen!$AZ$9:$BD$102,5)),RundDx)</f>
        <v>340019939</v>
      </c>
      <c r="GA17" s="25">
        <f>ROUND(v^($FM17+FaktorAlter)*VLOOKUP($FM17,$G$9:$J$102,4)*VLOOKUP($FM17,$A$9:$E$102,5)*0.5*(VLOOKUP($FM17-GA$103,Frauen!$G$9:$J$102,4)+VLOOKUP($FM17-GA$103+1,Frauen!$G$9:$J$102,4))*0.5*(VLOOKUP($FM17-GA$103,Frauen!$AZ$9:$BD$102,5)+VLOOKUP($FM17-GA$103+1,Frauen!$AZ$9:$BD$102,5)),RundDx)</f>
        <v>365982908</v>
      </c>
      <c r="GB17" s="25">
        <f>ROUND(v^($FM17+FaktorAlter)*VLOOKUP($FM17,$G$9:$J$102,4)*VLOOKUP($FM17,$A$9:$E$102,5)*0.5*(VLOOKUP($FM17-GB$103,Frauen!$G$9:$J$102,4)+VLOOKUP($FM17-GB$103+1,Frauen!$G$9:$J$102,4))*0.5*(VLOOKUP($FM17-GB$103,Frauen!$AZ$9:$BD$102,5)+VLOOKUP($FM17-GB$103+1,Frauen!$AZ$9:$BD$102,5)),RundDx)</f>
        <v>392431865</v>
      </c>
      <c r="GC17" s="25">
        <f>ROUND(v^($FM17+FaktorAlter)*VLOOKUP($FM17,$G$9:$J$102,4)*VLOOKUP($FM17,$A$9:$E$102,5)*0.5*(VLOOKUP($FM17-GC$103,Frauen!$G$9:$J$102,4)+VLOOKUP($FM17-GC$103+1,Frauen!$G$9:$J$102,4))*0.5*(VLOOKUP($FM17-GC$103,Frauen!$AZ$9:$BD$102,5)+VLOOKUP($FM17-GC$103+1,Frauen!$AZ$9:$BD$102,5)),RundDx)</f>
        <v>419381679</v>
      </c>
      <c r="GD17" s="25">
        <f>ROUND(v^($FM17+FaktorAlter)*VLOOKUP($FM17,$G$9:$J$102,4)*VLOOKUP($FM17,$A$9:$E$102,5)*0.5*(VLOOKUP($FM17-GD$103,Frauen!$G$9:$J$102,4)+VLOOKUP($FM17-GD$103+1,Frauen!$G$9:$J$102,4))*0.5*(VLOOKUP($FM17-GD$103,Frauen!$AZ$9:$BD$102,5)+VLOOKUP($FM17-GD$103+1,Frauen!$AZ$9:$BD$102,5)),RundDx)</f>
        <v>446770392</v>
      </c>
      <c r="GE17" s="25">
        <f>ROUND(v^($FM17+FaktorAlter)*VLOOKUP($FM17,$G$9:$J$102,4)*VLOOKUP($FM17,$A$9:$E$102,5)*0.5*(VLOOKUP($FM17-GE$103,Frauen!$G$9:$J$102,4)+VLOOKUP($FM17-GE$103+1,Frauen!$G$9:$J$102,4))*0.5*(VLOOKUP($FM17-GE$103,Frauen!$AZ$9:$BD$102,5)+VLOOKUP($FM17-GE$103+1,Frauen!$AZ$9:$BD$102,5)),RundDx)</f>
        <v>474478285</v>
      </c>
      <c r="GF17" s="25">
        <f>ROUND(v^($FM17+FaktorAlter)*VLOOKUP($FM17,$G$9:$J$102,4)*VLOOKUP($FM17,$A$9:$E$102,5)*0.5*(VLOOKUP($FM17-GF$103,Frauen!$G$9:$J$102,4)+VLOOKUP($FM17-GF$103+1,Frauen!$G$9:$J$102,4))*0.5*(VLOOKUP($FM17-GF$103,Frauen!$AZ$9:$BD$102,5)+VLOOKUP($FM17-GF$103+1,Frauen!$AZ$9:$BD$102,5)),RundDx)</f>
        <v>502306440</v>
      </c>
      <c r="GG17" s="25">
        <f>ROUND(v^($FM17+FaktorAlter)*VLOOKUP($FM17,$G$9:$J$102,4)*VLOOKUP($FM17,$A$9:$E$102,5)*0.5*(VLOOKUP($FM17-GG$103,Frauen!$G$9:$J$102,4)+VLOOKUP($FM17-GG$103+1,Frauen!$G$9:$J$102,4))*0.5*(VLOOKUP($FM17-GG$103,Frauen!$AZ$9:$BD$102,5)+VLOOKUP($FM17-GG$103+1,Frauen!$AZ$9:$BD$102,5)),RundDx)</f>
        <v>530177369</v>
      </c>
      <c r="GH17" s="25">
        <f>ROUND(v^($FM17+FaktorAlter)*VLOOKUP($FM17,$G$9:$J$102,4)*VLOOKUP($FM17,$A$9:$E$102,5)*0.5*(VLOOKUP($FM17-GH$103,Frauen!$G$9:$J$102,4)+VLOOKUP($FM17-GH$103+1,Frauen!$G$9:$J$102,4))*0.5*(VLOOKUP($FM17-GH$103,Frauen!$AZ$9:$BD$102,5)+VLOOKUP($FM17-GH$103+1,Frauen!$AZ$9:$BD$102,5)),RundDx)</f>
        <v>558039827</v>
      </c>
      <c r="GI17" s="25">
        <f>ROUND(v^($FM17+FaktorAlter)*VLOOKUP($FM17,$G$9:$J$102,4)*VLOOKUP($FM17,$A$9:$E$102,5)*0.5*(VLOOKUP($FM17-GI$103,Frauen!$G$9:$J$102,4)+VLOOKUP($FM17-GI$103+1,Frauen!$G$9:$J$102,4))*0.5*(VLOOKUP($FM17-GI$103,Frauen!$AZ$9:$BD$102,5)+VLOOKUP($FM17-GI$103+1,Frauen!$AZ$9:$BD$102,5)),RundDx)</f>
        <v>585704747</v>
      </c>
      <c r="GJ17" s="25">
        <f>ROUND(v^($FM17+FaktorAlter)*VLOOKUP($FM17,$G$9:$J$102,4)*VLOOKUP($FM17,$A$9:$E$102,5)*0.5*(VLOOKUP($FM17-GJ$103,Frauen!$G$9:$J$102,4)+VLOOKUP($FM17-GJ$103+1,Frauen!$G$9:$J$102,4))*0.5*(VLOOKUP($FM17-GJ$103,Frauen!$AZ$9:$BD$102,5)+VLOOKUP($FM17-GJ$103+1,Frauen!$AZ$9:$BD$102,5)),RundDx)</f>
        <v>613062741</v>
      </c>
      <c r="GK17" s="25">
        <f>ROUND(v^($FM17+FaktorAlter)*VLOOKUP($FM17,$G$9:$J$102,4)*VLOOKUP($FM17,$A$9:$E$102,5)*0.5*(VLOOKUP($FM17-GK$103,Frauen!$G$9:$J$102,4)+VLOOKUP($FM17-GK$103+1,Frauen!$G$9:$J$102,4))*0.5*(VLOOKUP($FM17-GK$103,Frauen!$AZ$9:$BD$102,5)+VLOOKUP($FM17-GK$103+1,Frauen!$AZ$9:$BD$102,5)),RundDx)</f>
        <v>640159415</v>
      </c>
      <c r="GL17" s="25">
        <f>ROUND(v^($FM17+FaktorAlter)*VLOOKUP($FM17,$G$9:$J$102,4)*VLOOKUP($FM17,$A$9:$E$102,5)*0.5*(VLOOKUP($FM17-GL$103,Frauen!$G$9:$J$102,4)+VLOOKUP($FM17-GL$103+1,Frauen!$G$9:$J$102,4))*0.5*(VLOOKUP($FM17-GL$103,Frauen!$AZ$9:$BD$102,5)+VLOOKUP($FM17-GL$103+1,Frauen!$AZ$9:$BD$102,5)),RundDx)</f>
        <v>666930991</v>
      </c>
      <c r="GM17" s="25">
        <f>ROUND(v^($FM17+FaktorAlter)*VLOOKUP($FM17,$G$9:$J$102,4)*VLOOKUP($FM17,$A$9:$E$102,5)*0.5*(VLOOKUP($FM17-GM$103,Frauen!$G$9:$J$102,4)+VLOOKUP($FM17-GM$103+1,Frauen!$G$9:$J$102,4))*0.5*(VLOOKUP($FM17-GM$103,Frauen!$AZ$9:$BD$102,5)+VLOOKUP($FM17-GM$103+1,Frauen!$AZ$9:$BD$102,5)),RundDx)</f>
        <v>693219342</v>
      </c>
      <c r="GN17" s="25">
        <f>ROUND(v^($FM17+FaktorAlter)*VLOOKUP($FM17,$G$9:$J$102,4)*VLOOKUP($FM17,$A$9:$E$102,5)*0.5*(VLOOKUP($FM17-GN$103,Frauen!$G$9:$J$102,4)+VLOOKUP($FM17-GN$103+1,Frauen!$G$9:$J$102,4))*0.5*(VLOOKUP($FM17-GN$103,Frauen!$AZ$9:$BD$102,5)+VLOOKUP($FM17-GN$103+1,Frauen!$AZ$9:$BD$102,5)),RundDx)</f>
        <v>719010225</v>
      </c>
      <c r="GO17" s="25">
        <f>ROUND(v^($FM17+FaktorAlter)*VLOOKUP($FM17,$G$9:$J$102,4)*VLOOKUP($FM17,$A$9:$E$102,5)*0.5*(VLOOKUP($FM17-GO$103,Frauen!$G$9:$J$102,4)+VLOOKUP($FM17-GO$103+1,Frauen!$G$9:$J$102,4))*0.5*(VLOOKUP($FM17-GO$103,Frauen!$AZ$9:$BD$102,5)+VLOOKUP($FM17-GO$103+1,Frauen!$AZ$9:$BD$102,5)),RundDx)</f>
        <v>744370265</v>
      </c>
      <c r="GP17" s="25">
        <f>ROUND(v^($FM17+FaktorAlter)*VLOOKUP($FM17,$G$9:$J$102,4)*VLOOKUP($FM17,$A$9:$E$102,5)*0.5*(VLOOKUP($FM17-GP$103,Frauen!$G$9:$J$102,4)+VLOOKUP($FM17-GP$103+1,Frauen!$G$9:$J$102,4))*0.5*(VLOOKUP($FM17-GP$103,Frauen!$AZ$9:$BD$102,5)+VLOOKUP($FM17-GP$103+1,Frauen!$AZ$9:$BD$102,5)),RundDx)</f>
        <v>769265630</v>
      </c>
      <c r="GQ17" s="25">
        <f>ROUND(v^($FM17+FaktorAlter)*VLOOKUP($FM17,$G$9:$J$102,4)*VLOOKUP($FM17,$A$9:$E$102,5)*0.5*(VLOOKUP($FM17-GQ$103,Frauen!$G$9:$J$102,4)+VLOOKUP($FM17-GQ$103+1,Frauen!$G$9:$J$102,4))*0.5*(VLOOKUP($FM17-GQ$103,Frauen!$AZ$9:$BD$102,5)+VLOOKUP($FM17-GQ$103+1,Frauen!$AZ$9:$BD$102,5)),RundDx)</f>
        <v>793689589</v>
      </c>
      <c r="GR17" s="25">
        <f>ROUND(v^($FM17+FaktorAlter)*VLOOKUP($FM17,$G$9:$J$102,4)*VLOOKUP($FM17,$A$9:$E$102,5)*0.5*(VLOOKUP($FM17-GR$103,Frauen!$G$9:$J$102,4)+VLOOKUP($FM17-GR$103+1,Frauen!$G$9:$J$102,4))*0.5*(VLOOKUP($FM17-GR$103,Frauen!$AZ$9:$BD$102,5)+VLOOKUP($FM17-GR$103+1,Frauen!$AZ$9:$BD$102,5)),RundDx)</f>
        <v>817692875</v>
      </c>
      <c r="GS17" s="24">
        <f>ROUND(SUM(FN17:FN$56)/VLOOKUP($FM17,$AQ$9:$AR$102,2)/VLOOKUP($FM17-GS$103,Frauen!$G$9:$J$102,4),Rundäx)</f>
        <v>0.58899999999999997</v>
      </c>
      <c r="GT17" s="24">
        <f>ROUND(SUM(FO17:FO$56)/VLOOKUP($FM17,$AQ$9:$AR$102,2)/VLOOKUP($FM17-GT$103,Frauen!$G$9:$J$102,4),Rundäx)</f>
        <v>0.68700000000000006</v>
      </c>
      <c r="GU17" s="24">
        <f>ROUND(SUM(FP17:FP$56)/VLOOKUP($FM17,$AQ$9:$AR$102,2)/VLOOKUP($FM17-GU$103,Frauen!$G$9:$J$102,4),Rundäx)</f>
        <v>0.79900000000000004</v>
      </c>
      <c r="GV17" s="24">
        <f>ROUND(SUM(FQ17:FQ$56)/VLOOKUP($FM17,$AQ$9:$AR$102,2)/VLOOKUP($FM17-GV$103,Frauen!$G$9:$J$102,4),Rundäx)</f>
        <v>0.92600000000000005</v>
      </c>
      <c r="GW17" s="24">
        <f>ROUND(SUM(FR17:FR$56)/VLOOKUP($FM17,$AQ$9:$AR$102,2)/VLOOKUP($FM17-GW$103,Frauen!$G$9:$J$102,4),Rundäx)</f>
        <v>1.069</v>
      </c>
      <c r="GX17" s="24">
        <f>ROUND(SUM(FS17:FS$56)/VLOOKUP($FM17,$AQ$9:$AR$102,2)/VLOOKUP($FM17-GX$103,Frauen!$G$9:$J$102,4),Rundäx)</f>
        <v>1.2310000000000001</v>
      </c>
      <c r="GY17" s="24">
        <f>ROUND(SUM(FT17:FT$56)/VLOOKUP($FM17,$AQ$9:$AR$102,2)/VLOOKUP($FM17-GY$103,Frauen!$G$9:$J$102,4),Rundäx)</f>
        <v>1.413</v>
      </c>
      <c r="GZ17" s="24">
        <f>ROUND(SUM(FU17:FU$56)/VLOOKUP($FM17,$AQ$9:$AR$102,2)/VLOOKUP($FM17-GZ$103,Frauen!$G$9:$J$102,4),Rundäx)</f>
        <v>1.615</v>
      </c>
      <c r="HA17" s="86"/>
      <c r="HB17" s="35">
        <f t="shared" si="63"/>
        <v>73</v>
      </c>
      <c r="HC17" s="24">
        <f>ROUND(SUM(FV17:FV$56)/VLOOKUP($FM17,$AQ$9:$AR$102,2)/VLOOKUP($FM17-HC$103,Frauen!$G$9:$J$102,4),Rundäx)</f>
        <v>1.839</v>
      </c>
      <c r="HD17" s="24">
        <f>ROUND(SUM(FW17:FW$56)/VLOOKUP($FM17,$AQ$9:$AR$102,2)/VLOOKUP($FM17-HD$103,Frauen!$G$9:$J$102,4),Rundäx)</f>
        <v>2.0840000000000001</v>
      </c>
      <c r="HE17" s="24">
        <f>ROUND(SUM(FX17:FX$56)/VLOOKUP($FM17,$AQ$9:$AR$102,2)/VLOOKUP($FM17-HE$103,Frauen!$G$9:$J$102,4),Rundäx)</f>
        <v>2.3490000000000002</v>
      </c>
      <c r="HF17" s="24">
        <f>ROUND(SUM(FY17:FY$56)/VLOOKUP($FM17,$AQ$9:$AR$102,2)/VLOOKUP($FM17-HF$103,Frauen!$G$9:$J$102,4),Rundäx)</f>
        <v>2.6349999999999998</v>
      </c>
      <c r="HG17" s="24">
        <f>ROUND(SUM(FZ17:FZ$56)/VLOOKUP($FM17,$AQ$9:$AR$102,2)/VLOOKUP($FM17-HG$103,Frauen!$G$9:$J$102,4),Rundäx)</f>
        <v>2.9390000000000001</v>
      </c>
      <c r="HH17" s="24">
        <f>ROUND(SUM(GA17:GA$56)/VLOOKUP($FM17,$AQ$9:$AR$102,2)/VLOOKUP($FM17-HH$103,Frauen!$G$9:$J$102,4),Rundäx)</f>
        <v>3.2589999999999999</v>
      </c>
      <c r="HI17" s="24">
        <f>ROUND(SUM(GB17:GB$56)/VLOOKUP($FM17,$AQ$9:$AR$102,2)/VLOOKUP($FM17-HI$103,Frauen!$G$9:$J$102,4),Rundäx)</f>
        <v>3.5939999999999999</v>
      </c>
      <c r="HJ17" s="24">
        <f>ROUND(SUM(GC17:GC$56)/VLOOKUP($FM17,$AQ$9:$AR$102,2)/VLOOKUP($FM17-HJ$103,Frauen!$G$9:$J$102,4),Rundäx)</f>
        <v>3.94</v>
      </c>
      <c r="HK17" s="86"/>
      <c r="HL17" s="35">
        <f t="shared" si="64"/>
        <v>73</v>
      </c>
      <c r="HM17" s="24">
        <f>ROUND(SUM(GD17:GD$56)/VLOOKUP($FM17,$AQ$9:$AR$102,2)/VLOOKUP($FM17-HM$103,Frauen!$G$9:$J$102,4),Rundäx)</f>
        <v>4.298</v>
      </c>
      <c r="HN17" s="24">
        <f>ROUND(SUM(GE17:GE$56)/VLOOKUP($FM17,$AQ$9:$AR$102,2)/VLOOKUP($FM17-HN$103,Frauen!$G$9:$J$102,4),Rundäx)</f>
        <v>4.6660000000000004</v>
      </c>
      <c r="HO17" s="24">
        <f>ROUND(SUM(GF17:GF$56)/VLOOKUP($FM17,$AQ$9:$AR$102,2)/VLOOKUP($FM17-HO$103,Frauen!$G$9:$J$102,4),Rundäx)</f>
        <v>5.0449999999999999</v>
      </c>
      <c r="HP17" s="24">
        <f>ROUND(SUM(GG17:GG$56)/VLOOKUP($FM17,$AQ$9:$AR$102,2)/VLOOKUP($FM17-HP$103,Frauen!$G$9:$J$102,4),Rundäx)</f>
        <v>5.4320000000000004</v>
      </c>
      <c r="HQ17" s="24">
        <f>ROUND(SUM(GH17:GH$56)/VLOOKUP($FM17,$AQ$9:$AR$102,2)/VLOOKUP($FM17-HQ$103,Frauen!$G$9:$J$102,4),Rundäx)</f>
        <v>5.8250000000000002</v>
      </c>
      <c r="HR17" s="24">
        <f>ROUND(SUM(GI17:GI$56)/VLOOKUP($FM17,$AQ$9:$AR$102,2)/VLOOKUP($FM17-HR$103,Frauen!$G$9:$J$102,4),Rundäx)</f>
        <v>6.2270000000000003</v>
      </c>
      <c r="HS17" s="24">
        <f>ROUND(SUM(GJ17:GJ$56)/VLOOKUP($FM17,$AQ$9:$AR$102,2)/VLOOKUP($FM17-HS$103,Frauen!$G$9:$J$102,4),Rundäx)</f>
        <v>6.6340000000000003</v>
      </c>
      <c r="HT17" s="24">
        <f>ROUND(SUM(GK17:GK$56)/VLOOKUP($FM17,$AQ$9:$AR$102,2)/VLOOKUP($FM17-HT$103,Frauen!$G$9:$J$102,4),Rundäx)</f>
        <v>7.0449999999999999</v>
      </c>
      <c r="HU17" s="86"/>
      <c r="HV17" s="35">
        <f t="shared" si="65"/>
        <v>73</v>
      </c>
      <c r="HW17" s="24">
        <f>ROUND(SUM(GL17:GL$56)/VLOOKUP($FM17,$AQ$9:$AR$102,2)/VLOOKUP($FM17-HW$103,Frauen!$G$9:$J$102,4),Rundäx)</f>
        <v>7.46</v>
      </c>
      <c r="HX17" s="24">
        <f>ROUND(SUM(GM17:GM$56)/VLOOKUP($FM17,$AQ$9:$AR$102,2)/VLOOKUP($FM17-HX$103,Frauen!$G$9:$J$102,4),Rundäx)</f>
        <v>7.88</v>
      </c>
      <c r="HY17" s="24">
        <f>ROUND(SUM(GN17:GN$56)/VLOOKUP($FM17,$AQ$9:$AR$102,2)/VLOOKUP($FM17-HY$103,Frauen!$G$9:$J$102,4),Rundäx)</f>
        <v>8.3040000000000003</v>
      </c>
      <c r="HZ17" s="24">
        <f>ROUND(SUM(GO17:GO$56)/VLOOKUP($FM17,$AQ$9:$AR$102,2)/VLOOKUP($FM17-HZ$103,Frauen!$G$9:$J$102,4),Rundäx)</f>
        <v>8.73</v>
      </c>
      <c r="IA17" s="24">
        <f>ROUND(SUM(GP17:GP$56)/VLOOKUP($FM17,$AQ$9:$AR$102,2)/VLOOKUP($FM17-IA$103,Frauen!$G$9:$J$102,4),Rundäx)</f>
        <v>9.1590000000000007</v>
      </c>
      <c r="IB17" s="24">
        <f>ROUND(SUM(GQ17:GQ$56)/VLOOKUP($FM17,$AQ$9:$AR$102,2)/VLOOKUP($FM17-IB$103,Frauen!$G$9:$J$102,4),Rundäx)</f>
        <v>9.5909999999999993</v>
      </c>
      <c r="IC17" s="24">
        <f>ROUND(SUM(GR17:GR$56)/VLOOKUP($FM17,$AQ$9:$AR$102,2)/VLOOKUP($FM17-IC$103,Frauen!$G$9:$J$102,4),Rundäx)</f>
        <v>10.023</v>
      </c>
      <c r="ID17" s="89"/>
      <c r="IE17" s="35">
        <f t="shared" si="66"/>
        <v>25</v>
      </c>
      <c r="IF17" s="25">
        <f t="shared" si="31"/>
        <v>350</v>
      </c>
      <c r="IG17" s="25">
        <f>IF($IE17&lt;RAM,IF(S18&lt;=RAK,ROUND(SUM(IF17:INDEX(Dakx,RAM-BeginnAlter))+INDEX(Dax,RAM-BeginnAlter+1)*INDEX(äkx,1),RundDx),0),"")</f>
        <v>18950</v>
      </c>
      <c r="IH17" s="25">
        <f>IF($IE17&lt;RAM,IF(S18&lt;=RAK,ROUND(SUM(IG17:INDEX(Nakx,RAM-BeginnAlter))+INDEX(Dax,RAM-BeginnAlter+1)*INDEX(äkx,1),RundDx),0),"")</f>
        <v>287985</v>
      </c>
      <c r="II17" s="24">
        <f t="shared" si="32"/>
        <v>0.33300000000000002</v>
      </c>
      <c r="IJ17" s="25">
        <f t="shared" si="33"/>
        <v>8250</v>
      </c>
      <c r="IK17" s="25">
        <f>IF($IE17&lt;RAM,IF(S18&lt;=RAK,SUM(IJ17:INDEX(Dikx,RAM-BeginnAlter))+INDEX(Dix,RAM-BeginnAlter+1)*INDEX(äkx,1),0),"")</f>
        <v>459607.83199999999</v>
      </c>
      <c r="IL17" s="24">
        <f t="shared" si="34"/>
        <v>4.218</v>
      </c>
      <c r="IM17" s="86"/>
      <c r="IN17" s="35">
        <f t="shared" si="67"/>
        <v>73</v>
      </c>
      <c r="IO17" s="25">
        <f t="shared" si="35"/>
        <v>9</v>
      </c>
      <c r="IP17" s="25">
        <f>IF(AND(VLOOKUP(IN17+1,O$9:S$102,5)&lt;=RAK,VLOOKUP(IN17+1,O$9:S$102,5)&lt;&gt;""),SUM(IO17:IO$102),0)</f>
        <v>35</v>
      </c>
      <c r="IQ17" s="24">
        <f t="shared" si="36"/>
        <v>2E-3</v>
      </c>
      <c r="IR17" s="86"/>
    </row>
    <row r="18" spans="1:252" ht="15.75" customHeight="1" x14ac:dyDescent="0.25">
      <c r="A18" s="35">
        <f t="shared" si="41"/>
        <v>26</v>
      </c>
      <c r="B18" s="77">
        <v>6.0845707405889028E-4</v>
      </c>
      <c r="C18" s="77">
        <v>5.0736509135772311E-4</v>
      </c>
      <c r="D18" s="77">
        <v>1.2563542555276207E-2</v>
      </c>
      <c r="E18" s="77">
        <v>6.6324325953914798E-4</v>
      </c>
      <c r="F18" s="86"/>
      <c r="G18" s="35">
        <f t="shared" si="42"/>
        <v>26</v>
      </c>
      <c r="H18" s="25">
        <f t="shared" si="37"/>
        <v>99144</v>
      </c>
      <c r="I18" s="25">
        <f t="shared" si="38"/>
        <v>367</v>
      </c>
      <c r="J18" s="25">
        <f t="shared" si="39"/>
        <v>99511</v>
      </c>
      <c r="K18" s="30">
        <f>IF(J18&gt;0,ROUND(SUM(J18:J$102)/J18-0.5,Rundex),"")</f>
        <v>53.09</v>
      </c>
      <c r="L18" s="25">
        <f t="shared" si="0"/>
        <v>187863</v>
      </c>
      <c r="M18" s="30">
        <f>IF(L18&gt;0,ROUND(SUM(L18:L$102)/L18-0.5,Rundex),"")</f>
        <v>36.15</v>
      </c>
      <c r="N18" s="86"/>
      <c r="O18" s="35">
        <f t="shared" si="43"/>
        <v>26</v>
      </c>
      <c r="P18" s="43">
        <v>0.14000000000000001</v>
      </c>
      <c r="Q18" s="78">
        <v>26.306305434806518</v>
      </c>
      <c r="R18" s="43">
        <v>0.4171795670482541</v>
      </c>
      <c r="S18" s="78">
        <v>1.31</v>
      </c>
      <c r="T18" s="15">
        <v>6.5561409879644206E-4</v>
      </c>
      <c r="U18" s="11">
        <f t="shared" si="40"/>
        <v>99510</v>
      </c>
      <c r="V18" s="30">
        <f>IF(U18&gt;0,ROUND(SUM(U18:U$102)/U18-0.5,Rundex),"")</f>
        <v>50.73</v>
      </c>
      <c r="W18" s="86"/>
      <c r="X18" s="35">
        <f t="shared" si="44"/>
        <v>26</v>
      </c>
      <c r="Y18" s="25">
        <f t="shared" si="1"/>
        <v>55593</v>
      </c>
      <c r="Z18" s="25">
        <f>IF($X18&lt;RAM,SUM(Y18:INDEX(Dax,RAM-BeginnAlter))," ")</f>
        <v>1383350</v>
      </c>
      <c r="AA18" s="25">
        <f t="shared" si="2"/>
        <v>33</v>
      </c>
      <c r="AB18" s="25">
        <f>IF($X18&lt;RAM,SUM(AA18:INDEX(Cax,RAM-BeginnAlter))," ")</f>
        <v>2562</v>
      </c>
      <c r="AC18" s="25">
        <f t="shared" si="3"/>
        <v>28</v>
      </c>
      <c r="AD18" s="25">
        <f>IF($X18&lt;RAM,SUM(AC18:INDEX(Caix,RAM-BeginnAlter))," ")</f>
        <v>7920</v>
      </c>
      <c r="AE18" s="24">
        <f t="shared" si="4"/>
        <v>24.884</v>
      </c>
      <c r="AF18" s="24">
        <f t="shared" si="5"/>
        <v>24.547999999999998</v>
      </c>
      <c r="AG18" s="86"/>
      <c r="AH18" s="35">
        <f t="shared" si="45"/>
        <v>26</v>
      </c>
      <c r="AI18" s="25">
        <f t="shared" si="6"/>
        <v>105340</v>
      </c>
      <c r="AJ18" s="25">
        <f>IF($AH18&gt;RAM," ",IF($AH18&lt;RAM,SUM(AI18:INDEX(Dix,RAM-BeginnAlter))+INDEX(Nx,RAM-BeginnAlter+1),INDEX(Nx,RAM-BeginnAlter+1)))</f>
        <v>2421059</v>
      </c>
      <c r="AK18" s="25">
        <f>IF($AH18&lt;RAM,SUM(AI18:INDEX(Dix,RAM-BeginnAlter))," ")</f>
        <v>2123812</v>
      </c>
      <c r="AL18" s="24">
        <f t="shared" si="7"/>
        <v>22.983000000000001</v>
      </c>
      <c r="AM18" s="24">
        <f t="shared" si="8"/>
        <v>22.524999999999999</v>
      </c>
      <c r="AN18" s="24">
        <f t="shared" si="9"/>
        <v>20.161000000000001</v>
      </c>
      <c r="AO18" s="24">
        <f t="shared" si="10"/>
        <v>19.792000000000002</v>
      </c>
      <c r="AP18" s="86"/>
      <c r="AQ18" s="35">
        <f t="shared" si="46"/>
        <v>26</v>
      </c>
      <c r="AR18" s="25">
        <f t="shared" si="11"/>
        <v>55799</v>
      </c>
      <c r="AS18" s="25">
        <f>SUM(AR18:AR$94)</f>
        <v>1732900</v>
      </c>
      <c r="AT18" s="25">
        <f>IF($AQ18&lt;RAM,SUM(AR18:INDEX(Dx,RAM-BeginnAlter))," ")</f>
        <v>1435653</v>
      </c>
      <c r="AU18" s="24">
        <f t="shared" si="12"/>
        <v>31.056000000000001</v>
      </c>
      <c r="AV18" s="24">
        <f t="shared" si="13"/>
        <v>30.597999999999999</v>
      </c>
      <c r="AW18" s="24">
        <f t="shared" si="14"/>
        <v>25.728999999999999</v>
      </c>
      <c r="AX18" s="24">
        <f t="shared" si="15"/>
        <v>25.439</v>
      </c>
      <c r="AY18" s="86"/>
      <c r="AZ18" s="35">
        <f t="shared" si="47"/>
        <v>26</v>
      </c>
      <c r="BA18" s="25">
        <f t="shared" si="16"/>
        <v>55798</v>
      </c>
      <c r="BB18" s="25">
        <f>SUM(BA18:BA$94)</f>
        <v>1690840</v>
      </c>
      <c r="BC18" s="24">
        <f t="shared" si="17"/>
        <v>30.303000000000001</v>
      </c>
      <c r="BD18" s="24">
        <f t="shared" si="18"/>
        <v>29.844999999999999</v>
      </c>
      <c r="BE18" s="86"/>
      <c r="BF18" s="35">
        <f t="shared" si="48"/>
        <v>9</v>
      </c>
      <c r="BG18" s="24">
        <f t="shared" si="19"/>
        <v>13.612</v>
      </c>
      <c r="BH18" s="24">
        <f t="shared" si="20"/>
        <v>13.475</v>
      </c>
      <c r="BI18" s="86"/>
      <c r="BJ18" s="35">
        <f t="shared" si="49"/>
        <v>26</v>
      </c>
      <c r="BK18" s="25">
        <f t="shared" si="21"/>
        <v>625</v>
      </c>
      <c r="BL18" s="25">
        <f>IF(BJ18&lt;RAM,SUM(BK18:INDEX(Daix,RAM-BeginnAlter))," ")</f>
        <v>130657</v>
      </c>
      <c r="BM18" s="25">
        <f>IF(BJ18&lt;RAM,SUM(BL18:INDEX(Naix,RAM-BeginnAlter))," ")</f>
        <v>3866141</v>
      </c>
      <c r="BN18" s="24">
        <f t="shared" si="22"/>
        <v>3.7370000000000001</v>
      </c>
      <c r="BO18" s="24">
        <f t="shared" si="23"/>
        <v>2.35</v>
      </c>
      <c r="BP18" s="86"/>
      <c r="BQ18" s="35">
        <f t="shared" si="50"/>
        <v>26</v>
      </c>
      <c r="BR18" s="25">
        <f t="shared" si="51"/>
        <v>548</v>
      </c>
      <c r="BS18" s="25">
        <f>IF(BQ18&lt;RAM,SUM(BR18:INDEX(Daixs,RAM-BeginnAlter))," ")</f>
        <v>51114</v>
      </c>
      <c r="BT18" s="25">
        <f>IF(BQ18&lt;RAM,SUM(BS18:INDEX(Naixs,RAM-BeginnAlter))," ")</f>
        <v>1234928</v>
      </c>
      <c r="BU18" s="24">
        <f t="shared" si="52"/>
        <v>5.1680000000000001</v>
      </c>
      <c r="BV18" s="24">
        <f t="shared" si="53"/>
        <v>0.91900000000000004</v>
      </c>
      <c r="BW18" s="86"/>
      <c r="BX18" s="35">
        <f t="shared" si="54"/>
        <v>26</v>
      </c>
      <c r="BY18" s="10">
        <f t="shared" si="24"/>
        <v>15.389602174218949</v>
      </c>
      <c r="BZ18" s="11">
        <f t="shared" si="25"/>
        <v>207</v>
      </c>
      <c r="CA18" s="25">
        <f>IF(S19&lt;=RAK,IF($BX18&lt;RAM,SUM(BZ18:INDEX(Dazx,RAM-BeginnAlter)),""),"")</f>
        <v>21810</v>
      </c>
      <c r="CB18" s="24">
        <f t="shared" si="26"/>
        <v>0.39200000000000002</v>
      </c>
      <c r="CC18" s="25">
        <f t="shared" si="27"/>
        <v>31955</v>
      </c>
      <c r="CD18" s="24">
        <f t="shared" si="28"/>
        <v>21.565000000000001</v>
      </c>
      <c r="CE18" s="24">
        <f t="shared" si="29"/>
        <v>1.7999999999999999E-2</v>
      </c>
      <c r="CF18" s="86"/>
      <c r="CG18" s="35">
        <f t="shared" si="55"/>
        <v>26</v>
      </c>
      <c r="CH18" s="25">
        <f>IF(CG18&lt;RAM,ROUND(v^($CG18+FaktorAlter)*$H18*($B18*0.5*($P18+$P19)*(VLOOKUP(TRUNC(0.5*($Q18+$Q19),0),Frauen!$AZ$9:$BD$95,5)+(0.5*($Q18+$Q19)-TRUNC(0.5*($Q18+$Q19),0))*(VLOOKUP(TRUNC(0.5*($Q18+$Q19)+1,0),Frauen!$AZ$9:$BD$95,5)-VLOOKUP(TRUNC(0.5*($Q18+$Q19),0),Frauen!$AZ$9:$BD$95,5)))+$C18*0.5*($CN18+$CN19)),RundDx),"")</f>
        <v>353</v>
      </c>
      <c r="CI18" s="25">
        <f>IF(CG18&lt;RAM,ROUND(SUM(CH18:INDEX(Dawx,RAM-BeginnAlter))+INDEX(Dax,RAM-BeginnAlter+1)*INDEX(äwx,1),RundDx),"")</f>
        <v>167793</v>
      </c>
      <c r="CJ18" s="25">
        <f>IF(CG18&lt;RAM,ROUND(SUM(CI18:INDEX(Nawx,RAM-BeginnAlter))+INDEX(Dax,RAM-BeginnAlter+1)*INDEX(äwx,1),RundDx),"")</f>
        <v>5651754</v>
      </c>
      <c r="CK18" s="24">
        <f t="shared" si="56"/>
        <v>3.0179999999999998</v>
      </c>
      <c r="CL18" s="25">
        <f>IF(CG18&lt;RAM,ROUND(v^($CG18+FaktorAlter)*$L18*$D18*0.5*($P18+$P19)*(VLOOKUP(TRUNC(0.5*($Q18+$Q19),0),Frauen!$AZ$9:$BD$95,5)+(0.5*($Q18+$Q19)-TRUNC(0.5*($Q18+$Q19),0))*(VLOOKUP(TRUNC(0.5*($Q18+$Q19)+1,0),Frauen!$AZ$9:$BD$95,5)-VLOOKUP(TRUNC(0.5*($Q18+$Q19),0),Frauen!$AZ$9:$BD$95,5))),RundDx),"")</f>
        <v>6541</v>
      </c>
      <c r="CM18" s="25">
        <f>IF(CG18&lt;RAM,SUM(CL18:INDEX(Diwx,RAM-BeginnAlter))+INDEX(Dix,RAM-BeginnAlter+1)*INDEX(äwx,1),"")</f>
        <v>693115.41399999999</v>
      </c>
      <c r="CN18" s="24">
        <f t="shared" si="57"/>
        <v>6.58</v>
      </c>
      <c r="CO18" s="86"/>
      <c r="CP18" s="35">
        <f t="shared" si="58"/>
        <v>74</v>
      </c>
      <c r="CQ18" s="11">
        <f>ROUND(v^($CP18+FaktorAlter)*VLOOKUP(CP18,G$9:J$102,4)*VLOOKUP(CP18,A$9:E$102,5)*0.5*(VLOOKUP(CP18,O$9:P$102,2)+VLOOKUP(CP18+1,O$9:P$102,2))*(VLOOKUP(TRUNC(0.5*(VLOOKUP(CP18,O$9:Q$102,3)+VLOOKUP(CP18+1,O$9:Q$102,3)),0),Frauen!$AZ$9:$BD$95,5)+(0.5*(VLOOKUP(CP18,O$9:Q$102,3)+VLOOKUP(CP18+1,O$9:Q$102,3))-TRUNC(0.5*(VLOOKUP(CP18,O$9:Q$102,3)+VLOOKUP(CP18+1,O$9:Q$102,3)),0))*(VLOOKUP(TRUNC(0.5*(VLOOKUP(CP18,O$9:Q$102,3)+VLOOKUP(CP18+1,O$9:Q$102,3))+1,0),Frauen!$AZ$9:$BD$95,5)-VLOOKUP(TRUNC(0.5*(VLOOKUP(CP18,O$9:Q$102,3)+VLOOKUP(CP18+1,O$9:Q$102,3)),0),Frauen!$AZ$9:$BD$95,5))),RundDx)</f>
        <v>5017</v>
      </c>
      <c r="CR18" s="25">
        <f>SUM(CQ18:CQ$56)</f>
        <v>65787</v>
      </c>
      <c r="CS18" s="24">
        <f t="shared" si="30"/>
        <v>4.7969999999999997</v>
      </c>
      <c r="CT18" s="86"/>
      <c r="CU18" s="35">
        <f t="shared" si="59"/>
        <v>26</v>
      </c>
      <c r="CV18" s="25">
        <f>IF($CU18&gt;=RAM,"",IF($CU18-CV$103&lt;BeginnAlter,"",ROUND(v^($CU18+FaktorAlter)*$L18*$D18*0.5*(VLOOKUP($CU18-CV$103,Frauen!$G$9:$J$102,4)+VLOOKUP($CU18-CV$103+1,Frauen!$G$9:$J$102,4))*0.5*(VLOOKUP($CU18-CV$103,Frauen!$AZ$9:$BD$102,5)+VLOOKUP($CU18-CV$103+1,Frauen!$AZ$9:$BD$102,5)),RundDx)))</f>
        <v>3479794708</v>
      </c>
      <c r="CW18" s="25">
        <f>IF($CU18&gt;=RAM,"",IF($CU18-CW$103&lt;BeginnAlter,"",ROUND(v^($CU18+FaktorAlter)*$L18*$D18*0.5*(VLOOKUP($CU18-CW$103,Frauen!$G$9:$J$102,4)+VLOOKUP($CU18-CW$103+1,Frauen!$G$9:$J$102,4))*0.5*(VLOOKUP($CU18-CW$103,Frauen!$AZ$9:$BD$102,5)+VLOOKUP($CU18-CW$103+1,Frauen!$AZ$9:$BD$102,5)),RundDx)))</f>
        <v>3531575480</v>
      </c>
      <c r="CX18" s="25">
        <f>IF($CU18&gt;=RAM,"",IF($CU18-CX$103&lt;BeginnAlter,"",ROUND(v^($CU18+FaktorAlter)*$L18*$D18*0.5*(VLOOKUP($CU18-CX$103,Frauen!$G$9:$J$102,4)+VLOOKUP($CU18-CX$103+1,Frauen!$G$9:$J$102,4))*0.5*(VLOOKUP($CU18-CX$103,Frauen!$AZ$9:$BD$102,5)+VLOOKUP($CU18-CX$103+1,Frauen!$AZ$9:$BD$102,5)),RundDx)))</f>
        <v>3582211338</v>
      </c>
      <c r="CY18" s="25">
        <f>IF($CU18&gt;=RAM,"",IF($CU18-CY$103&lt;BeginnAlter,"",ROUND(v^($CU18+FaktorAlter)*$L18*$D18*0.5*(VLOOKUP($CU18-CY$103,Frauen!$G$9:$J$102,4)+VLOOKUP($CU18-CY$103+1,Frauen!$G$9:$J$102,4))*0.5*(VLOOKUP($CU18-CY$103,Frauen!$AZ$9:$BD$102,5)+VLOOKUP($CU18-CY$103+1,Frauen!$AZ$9:$BD$102,5)),RundDx)))</f>
        <v>3631722654</v>
      </c>
      <c r="CZ18" s="25">
        <f>IF($CU18&gt;=RAM,"",IF($CU18-CZ$103&lt;BeginnAlter,"",ROUND(v^($CU18+FaktorAlter)*$L18*$D18*0.5*(VLOOKUP($CU18-CZ$103,Frauen!$G$9:$J$102,4)+VLOOKUP($CU18-CZ$103+1,Frauen!$G$9:$J$102,4))*0.5*(VLOOKUP($CU18-CZ$103,Frauen!$AZ$9:$BD$102,5)+VLOOKUP($CU18-CZ$103+1,Frauen!$AZ$9:$BD$102,5)),RundDx)))</f>
        <v>3680197025</v>
      </c>
      <c r="DA18" s="25">
        <f>IF($CU18&gt;=RAM,"",IF($CU18-DA$103&lt;BeginnAlter,"",ROUND(v^($CU18+FaktorAlter)*$L18*$D18*0.5*(VLOOKUP($CU18-DA$103,Frauen!$G$9:$J$102,4)+VLOOKUP($CU18-DA$103+1,Frauen!$G$9:$J$102,4))*0.5*(VLOOKUP($CU18-DA$103,Frauen!$AZ$9:$BD$102,5)+VLOOKUP($CU18-DA$103+1,Frauen!$AZ$9:$BD$102,5)),RundDx)))</f>
        <v>3727724511</v>
      </c>
      <c r="DB18" s="25">
        <f>IF($CU18&gt;=RAM,"",IF($CU18-DB$103&lt;BeginnAlter,"",ROUND(v^($CU18+FaktorAlter)*$L18*$D18*0.5*(VLOOKUP($CU18-DB$103,Frauen!$G$9:$J$102,4)+VLOOKUP($CU18-DB$103+1,Frauen!$G$9:$J$102,4))*0.5*(VLOOKUP($CU18-DB$103,Frauen!$AZ$9:$BD$102,5)+VLOOKUP($CU18-DB$103+1,Frauen!$AZ$9:$BD$102,5)),RundDx)))</f>
        <v>3774332535</v>
      </c>
      <c r="DC18" s="25">
        <f>IF($CU18&gt;=RAM,"",IF($CU18-DC$103&lt;BeginnAlter,"",ROUND(v^($CU18+FaktorAlter)*$L18*$D18*0.5*(VLOOKUP($CU18-DC$103,Frauen!$G$9:$J$102,4)+VLOOKUP($CU18-DC$103+1,Frauen!$G$9:$J$102,4))*0.5*(VLOOKUP($CU18-DC$103,Frauen!$AZ$9:$BD$102,5)+VLOOKUP($CU18-DC$103+1,Frauen!$AZ$9:$BD$102,5)),RundDx)))</f>
        <v>3819985544</v>
      </c>
      <c r="DD18" s="25">
        <f>IF($CU18&gt;=RAM,"",IF($CU18-DD$103&lt;BeginnAlter,"",ROUND(v^($CU18+FaktorAlter)*$L18*$D18*0.5*(VLOOKUP($CU18-DD$103,Frauen!$G$9:$J$102,4)+VLOOKUP($CU18-DD$103+1,Frauen!$G$9:$J$102,4))*0.5*(VLOOKUP($CU18-DD$103,Frauen!$AZ$9:$BD$102,5)+VLOOKUP($CU18-DD$103+1,Frauen!$AZ$9:$BD$102,5)),RundDx)))</f>
        <v>3864695410</v>
      </c>
      <c r="DE18" s="25">
        <f>IF($CU18&gt;=RAM,"",IF($CU18-DE$103&lt;BeginnAlter,"",ROUND(v^($CU18+FaktorAlter)*$L18*$D18*0.5*(VLOOKUP($CU18-DE$103,Frauen!$G$9:$J$102,4)+VLOOKUP($CU18-DE$103+1,Frauen!$G$9:$J$102,4))*0.5*(VLOOKUP($CU18-DE$103,Frauen!$AZ$9:$BD$102,5)+VLOOKUP($CU18-DE$103+1,Frauen!$AZ$9:$BD$102,5)),RundDx)))</f>
        <v>3908475064</v>
      </c>
      <c r="DF18" s="25">
        <f>IF($CU18&gt;=RAM,"",IF($CU18-DF$103&lt;BeginnAlter,"",ROUND(v^($CU18+FaktorAlter)*$L18*$D18*0.5*(VLOOKUP($CU18-DF$103,Frauen!$G$9:$J$102,4)+VLOOKUP($CU18-DF$103+1,Frauen!$G$9:$J$102,4))*0.5*(VLOOKUP($CU18-DF$103,Frauen!$AZ$9:$BD$102,5)+VLOOKUP($CU18-DF$103+1,Frauen!$AZ$9:$BD$102,5)),RundDx)))</f>
        <v>3951403596</v>
      </c>
      <c r="DG18" s="25">
        <f>IF($CU18&gt;=RAM,"",IF($CU18-DG$103&lt;BeginnAlter,"",ROUND(v^($CU18+FaktorAlter)*$L18*$D18*0.5*(VLOOKUP($CU18-DG$103,Frauen!$G$9:$J$102,4)+VLOOKUP($CU18-DG$103+1,Frauen!$G$9:$J$102,4))*0.5*(VLOOKUP($CU18-DG$103,Frauen!$AZ$9:$BD$102,5)+VLOOKUP($CU18-DG$103+1,Frauen!$AZ$9:$BD$102,5)),RundDx)))</f>
        <v>3993496044</v>
      </c>
      <c r="DH18" s="25">
        <f>IF($CU18&gt;=RAM,"",IF($CU18-DH$103&lt;BeginnAlter,"",ROUND(v^($CU18+FaktorAlter)*$L18*$D18*0.5*(VLOOKUP($CU18-DH$103,Frauen!$G$9:$J$102,4)+VLOOKUP($CU18-DH$103+1,Frauen!$G$9:$J$102,4))*0.5*(VLOOKUP($CU18-DH$103,Frauen!$AZ$9:$BD$102,5)+VLOOKUP($CU18-DH$103+1,Frauen!$AZ$9:$BD$102,5)),RundDx)))</f>
        <v>4034703171</v>
      </c>
      <c r="DI18" s="25">
        <f>IF($CU18&gt;=RAM,"",IF($CU18-DI$103&lt;BeginnAlter,"",ROUND(v^($CU18+FaktorAlter)*$L18*$D18*0.5*(VLOOKUP($CU18-DI$103,Frauen!$G$9:$J$102,4)+VLOOKUP($CU18-DI$103+1,Frauen!$G$9:$J$102,4))*0.5*(VLOOKUP($CU18-DI$103,Frauen!$AZ$9:$BD$102,5)+VLOOKUP($CU18-DI$103+1,Frauen!$AZ$9:$BD$102,5)),RundDx)))</f>
        <v>4075021293</v>
      </c>
      <c r="DJ18" s="25">
        <f>IF($CU18&gt;=RAM,"",IF($CU18-DJ$103&lt;BeginnAlter,"",ROUND(v^($CU18+FaktorAlter)*$L18*$D18*0.5*(VLOOKUP($CU18-DJ$103,Frauen!$G$9:$J$102,4)+VLOOKUP($CU18-DJ$103+1,Frauen!$G$9:$J$102,4))*0.5*(VLOOKUP($CU18-DJ$103,Frauen!$AZ$9:$BD$102,5)+VLOOKUP($CU18-DJ$103+1,Frauen!$AZ$9:$BD$102,5)),RundDx)))</f>
        <v>4114491471</v>
      </c>
      <c r="DK18" s="25">
        <f>IF($CU18&gt;=RAM,"",IF($CU18-DK$103&lt;BeginnAlter,"",ROUND(v^($CU18+FaktorAlter)*$L18*$D18*0.5*(VLOOKUP($CU18-DK$103,Frauen!$G$9:$J$102,4)+VLOOKUP($CU18-DK$103+1,Frauen!$G$9:$J$102,4))*0.5*(VLOOKUP($CU18-DK$103,Frauen!$AZ$9:$BD$102,5)+VLOOKUP($CU18-DK$103+1,Frauen!$AZ$9:$BD$102,5)),RundDx)))</f>
        <v>4153219544</v>
      </c>
      <c r="DL18" s="25">
        <f>IF($CU18&gt;=RAM,"",IF($CU18-DL$103&lt;BeginnAlter,"",ROUND(v^($CU18+FaktorAlter)*$L18*$D18*0.5*(VLOOKUP($CU18-DL$103,Frauen!$G$9:$J$102,4)+VLOOKUP($CU18-DL$103+1,Frauen!$G$9:$J$102,4))*0.5*(VLOOKUP($CU18-DL$103,Frauen!$AZ$9:$BD$102,5)+VLOOKUP($CU18-DL$103+1,Frauen!$AZ$9:$BD$102,5)),RundDx)))</f>
        <v>4191114994</v>
      </c>
      <c r="DM18" s="25">
        <f>IF($CU18&gt;=RAM,"",IF($CU18-DM$103&lt;BeginnAlter,"",ROUND(v^($CU18+FaktorAlter)*$L18*$D18*0.5*(VLOOKUP($CU18-DM$103,Frauen!$G$9:$J$102,4)+VLOOKUP($CU18-DM$103+1,Frauen!$G$9:$J$102,4))*0.5*(VLOOKUP($CU18-DM$103,Frauen!$AZ$9:$BD$102,5)+VLOOKUP($CU18-DM$103+1,Frauen!$AZ$9:$BD$102,5)),RundDx)))</f>
        <v>4228217305</v>
      </c>
      <c r="DN18" s="25">
        <f>IF($CU18&gt;=RAM,"",IF($CU18-DN$103&lt;BeginnAlter,"",ROUND(v^($CU18+FaktorAlter)*$L18*$D18*0.5*(VLOOKUP($CU18-DN$103,Frauen!$G$9:$J$102,4)+VLOOKUP($CU18-DN$103+1,Frauen!$G$9:$J$102,4))*0.5*(VLOOKUP($CU18-DN$103,Frauen!$AZ$9:$BD$102,5)+VLOOKUP($CU18-DN$103+1,Frauen!$AZ$9:$BD$102,5)),RundDx)))</f>
        <v>4264586848</v>
      </c>
      <c r="DO18" s="25">
        <f>IF($CU18&gt;=RAM,"",IF($CU18-DO$103&lt;BeginnAlter,"",ROUND(v^($CU18+FaktorAlter)*$L18*$D18*0.5*(VLOOKUP($CU18-DO$103,Frauen!$G$9:$J$102,4)+VLOOKUP($CU18-DO$103+1,Frauen!$G$9:$J$102,4))*0.5*(VLOOKUP($CU18-DO$103,Frauen!$AZ$9:$BD$102,5)+VLOOKUP($CU18-DO$103+1,Frauen!$AZ$9:$BD$102,5)),RundDx)))</f>
        <v>4300197320</v>
      </c>
      <c r="DP18" s="25">
        <f>IF($CU18&gt;=RAM,"",IF($CU18-DP$103&lt;BeginnAlter,"",ROUND(v^($CU18+FaktorAlter)*$L18*$D18*0.5*(VLOOKUP($CU18-DP$103,Frauen!$G$9:$J$102,4)+VLOOKUP($CU18-DP$103+1,Frauen!$G$9:$J$102,4))*0.5*(VLOOKUP($CU18-DP$103,Frauen!$AZ$9:$BD$102,5)+VLOOKUP($CU18-DP$103+1,Frauen!$AZ$9:$BD$102,5)),RundDx)))</f>
        <v>4335087285</v>
      </c>
      <c r="DQ18" s="25">
        <f>IF($CU18&gt;=RAM,"",IF($CU18-DQ$103&lt;BeginnAlter,"",ROUND(v^($CU18+FaktorAlter)*$L18*$D18*0.5*(VLOOKUP($CU18-DQ$103,Frauen!$G$9:$J$102,4)+VLOOKUP($CU18-DQ$103+1,Frauen!$G$9:$J$102,4))*0.5*(VLOOKUP($CU18-DQ$103,Frauen!$AZ$9:$BD$102,5)+VLOOKUP($CU18-DQ$103+1,Frauen!$AZ$9:$BD$102,5)),RundDx)))</f>
        <v>4369185875</v>
      </c>
      <c r="DR18" s="25">
        <f>IF($CU18&gt;=RAM,"",IF($CU18-DR$103&lt;BeginnAlter,"",ROUND(v^($CU18+FaktorAlter)*$L18*$D18*0.5*(VLOOKUP($CU18-DR$103,Frauen!$G$9:$J$102,4)+VLOOKUP($CU18-DR$103+1,Frauen!$G$9:$J$102,4))*0.5*(VLOOKUP($CU18-DR$103,Frauen!$AZ$9:$BD$102,5)+VLOOKUP($CU18-DR$103+1,Frauen!$AZ$9:$BD$102,5)),RundDx)))</f>
        <v>4402509785</v>
      </c>
      <c r="DS18" s="25">
        <f>IF($CU18&gt;=RAM,"",IF($CU18-DS$103&lt;BeginnAlter,"",ROUND(v^($CU18+FaktorAlter)*$L18*$D18*0.5*(VLOOKUP($CU18-DS$103,Frauen!$G$9:$J$102,4)+VLOOKUP($CU18-DS$103+1,Frauen!$G$9:$J$102,4))*0.5*(VLOOKUP($CU18-DS$103,Frauen!$AZ$9:$BD$102,5)+VLOOKUP($CU18-DS$103+1,Frauen!$AZ$9:$BD$102,5)),RundDx)))</f>
        <v>4435186317</v>
      </c>
      <c r="DT18" s="25">
        <f>IF($CU18&gt;=RAM,"",IF($CU18-DT$103&lt;BeginnAlter,"",ROUND(v^($CU18+FaktorAlter)*$L18*$D18*0.5*(VLOOKUP($CU18-DT$103,Frauen!$G$9:$J$102,4)+VLOOKUP($CU18-DT$103+1,Frauen!$G$9:$J$102,4))*0.5*(VLOOKUP($CU18-DT$103,Frauen!$AZ$9:$BD$102,5)+VLOOKUP($CU18-DT$103+1,Frauen!$AZ$9:$BD$102,5)),RundDx)))</f>
        <v>4467148538</v>
      </c>
      <c r="DU18" s="25" t="str">
        <f>IF($CU18&gt;=RAM,"",IF($CU18-DU$103&lt;BeginnAlter,"",ROUND(v^($CU18+FaktorAlter)*$L18*$D18*0.5*(VLOOKUP($CU18-DU$103,Frauen!$G$9:$J$102,4)+VLOOKUP($CU18-DU$103+1,Frauen!$G$9:$J$102,4))*0.5*(VLOOKUP($CU18-DU$103,Frauen!$AZ$9:$BD$102,5)+VLOOKUP($CU18-DU$103+1,Frauen!$AZ$9:$BD$102,5)),RundDx)))</f>
        <v/>
      </c>
      <c r="DV18" s="25" t="str">
        <f>IF($CU18&gt;=RAM,"",IF($CU18-DV$103&lt;BeginnAlter,"",ROUND(v^($CU18+FaktorAlter)*$L18*$D18*0.5*(VLOOKUP($CU18-DV$103,Frauen!$G$9:$J$102,4)+VLOOKUP($CU18-DV$103+1,Frauen!$G$9:$J$102,4))*0.5*(VLOOKUP($CU18-DV$103,Frauen!$AZ$9:$BD$102,5)+VLOOKUP($CU18-DV$103+1,Frauen!$AZ$9:$BD$102,5)),RundDx)))</f>
        <v/>
      </c>
      <c r="DW18" s="25" t="str">
        <f>IF($CU18&gt;=RAM,"",IF($CU18-DW$103&lt;BeginnAlter,"",ROUND(v^($CU18+FaktorAlter)*$L18*$D18*0.5*(VLOOKUP($CU18-DW$103,Frauen!$G$9:$J$102,4)+VLOOKUP($CU18-DW$103+1,Frauen!$G$9:$J$102,4))*0.5*(VLOOKUP($CU18-DW$103,Frauen!$AZ$9:$BD$102,5)+VLOOKUP($CU18-DW$103+1,Frauen!$AZ$9:$BD$102,5)),RundDx)))</f>
        <v/>
      </c>
      <c r="DX18" s="25" t="str">
        <f>IF($CU18&gt;=RAM,"",IF($CU18-DX$103&lt;BeginnAlter,"",ROUND(v^($CU18+FaktorAlter)*$L18*$D18*0.5*(VLOOKUP($CU18-DX$103,Frauen!$G$9:$J$102,4)+VLOOKUP($CU18-DX$103+1,Frauen!$G$9:$J$102,4))*0.5*(VLOOKUP($CU18-DX$103,Frauen!$AZ$9:$BD$102,5)+VLOOKUP($CU18-DX$103+1,Frauen!$AZ$9:$BD$102,5)),RundDx)))</f>
        <v/>
      </c>
      <c r="DY18" s="25" t="str">
        <f>IF($CU18&gt;=RAM,"",IF($CU18-DY$103&lt;BeginnAlter,"",ROUND(v^($CU18+FaktorAlter)*$L18*$D18*0.5*(VLOOKUP($CU18-DY$103,Frauen!$G$9:$J$102,4)+VLOOKUP($CU18-DY$103+1,Frauen!$G$9:$J$102,4))*0.5*(VLOOKUP($CU18-DY$103,Frauen!$AZ$9:$BD$102,5)+VLOOKUP($CU18-DY$103+1,Frauen!$AZ$9:$BD$102,5)),RundDx)))</f>
        <v/>
      </c>
      <c r="DZ18" s="25" t="str">
        <f>IF($CU18&gt;=RAM,"",IF($CU18-DZ$103&lt;BeginnAlter,"",ROUND(v^($CU18+FaktorAlter)*$L18*$D18*0.5*(VLOOKUP($CU18-DZ$103,Frauen!$G$9:$J$102,4)+VLOOKUP($CU18-DZ$103+1,Frauen!$G$9:$J$102,4))*0.5*(VLOOKUP($CU18-DZ$103,Frauen!$AZ$9:$BD$102,5)+VLOOKUP($CU18-DZ$103+1,Frauen!$AZ$9:$BD$102,5)),RundDx)))</f>
        <v/>
      </c>
      <c r="EA18" s="43">
        <f>IF($CU18&gt;=RAM,"",IF($CU18-EA$103&lt;BeginnAlter,"",ROUND((SUM(CV18:CV$56)+SUM(FN$9:FN$56))/VLOOKUP($CU18,$AH$9:$AI$102,2)/VLOOKUP($CU18-EA$103,Frauen!$G$9:$J$102,4),Rundäx)))</f>
        <v>7.1319999999999997</v>
      </c>
      <c r="EB18" s="43">
        <f>IF($CU18&gt;=RAM,"",IF($CU18-EB$103&lt;BeginnAlter,"",ROUND((SUM(CW18:CW$56)+SUM(FO$9:FO$56))/VLOOKUP($CU18,$AH$9:$AI$102,2)/VLOOKUP($CU18-EB$103,Frauen!$G$9:$J$102,4),Rundäx)))</f>
        <v>7.34</v>
      </c>
      <c r="EC18" s="43">
        <f>IF($CU18&gt;=RAM,"",IF($CU18-EC$103&lt;BeginnAlter,"",ROUND((SUM(CX18:CX$56)+SUM(FP$9:FP$56))/VLOOKUP($CU18,$AH$9:$AI$102,2)/VLOOKUP($CU18-EC$103,Frauen!$G$9:$J$102,4),Rundäx)))</f>
        <v>7.548</v>
      </c>
      <c r="ED18" s="43">
        <f>IF($CU18&gt;=RAM,"",IF($CU18-ED$103&lt;BeginnAlter,"",ROUND((SUM(CY18:CY$56)+SUM(FQ$9:FQ$56))/VLOOKUP($CU18,$AH$9:$AI$102,2)/VLOOKUP($CU18-ED$103,Frauen!$G$9:$J$102,4),Rundäx)))</f>
        <v>7.7560000000000002</v>
      </c>
      <c r="EE18" s="43">
        <f>IF($CU18&gt;=RAM,"",IF($CU18-EE$103&lt;BeginnAlter,"",ROUND((SUM(CZ18:CZ$56)+SUM(FR$9:FR$56))/VLOOKUP($CU18,$AH$9:$AI$102,2)/VLOOKUP($CU18-EE$103,Frauen!$G$9:$J$102,4),Rundäx)))</f>
        <v>7.9649999999999999</v>
      </c>
      <c r="EF18" s="43">
        <f>IF($CU18&gt;=RAM,"",IF($CU18-EF$103&lt;BeginnAlter,"",ROUND((SUM(DA18:DA$56)+SUM(FS$9:FS$56))/VLOOKUP($CU18,$AH$9:$AI$102,2)/VLOOKUP($CU18-EF$103,Frauen!$G$9:$J$102,4),Rundäx)))</f>
        <v>8.1739999999999995</v>
      </c>
      <c r="EG18" s="43">
        <f>IF($CU18&gt;=RAM,"",IF($CU18-EG$103&lt;BeginnAlter,"",ROUND((SUM(DB18:DB$56)+SUM(FT$9:FT$56))/VLOOKUP($CU18,$AH$9:$AI$102,2)/VLOOKUP($CU18-EG$103,Frauen!$G$9:$J$102,4),Rundäx)))</f>
        <v>8.3840000000000003</v>
      </c>
      <c r="EH18" s="43">
        <f>IF($CU18&gt;=RAM,"",IF($CU18-EH$103&lt;BeginnAlter,"",ROUND((SUM(DC18:DC$56)+SUM(FU$9:FU$56))/VLOOKUP($CU18,$AH$9:$AI$102,2)/VLOOKUP($CU18-EH$103,Frauen!$G$9:$J$102,4),Rundäx)))</f>
        <v>8.593</v>
      </c>
      <c r="EI18" s="86"/>
      <c r="EJ18" s="35">
        <f t="shared" si="60"/>
        <v>26</v>
      </c>
      <c r="EK18" s="43">
        <f>IF($CU18&gt;=RAM,"",IF($CU18-EK$103&lt;BeginnAlter,"",ROUND((SUM(DD18:DD$56)+SUM(FV$9:FV$56))/VLOOKUP($CU18,$AH$9:$AI$102,2)/VLOOKUP($CU18-EK$103,Frauen!$G$9:$J$102,4),Rundäx)))</f>
        <v>8.8030000000000008</v>
      </c>
      <c r="EL18" s="43">
        <f>IF($CU18&gt;=RAM,"",IF($CU18-EL$103&lt;BeginnAlter,"",ROUND((SUM(DE18:DE$56)+SUM(FW$9:FW$56))/VLOOKUP($CU18,$AH$9:$AI$102,2)/VLOOKUP($CU18-EL$103,Frauen!$G$9:$J$102,4),Rundäx)))</f>
        <v>9.0139999999999993</v>
      </c>
      <c r="EM18" s="43">
        <f>IF($CU18&gt;=RAM,"",IF($CU18-EM$103&lt;BeginnAlter,"",ROUND((SUM(DF18:DF$56)+SUM(FX$9:FX$56))/VLOOKUP($CU18,$AH$9:$AI$102,2)/VLOOKUP($CU18-EM$103,Frauen!$G$9:$J$102,4),Rundäx)))</f>
        <v>9.2240000000000002</v>
      </c>
      <c r="EN18" s="43">
        <f>IF($CU18&gt;=RAM,"",IF($CU18-EN$103&lt;BeginnAlter,"",ROUND((SUM(DG18:DG$56)+SUM(FY$9:FY$56))/VLOOKUP($CU18,$AH$9:$AI$102,2)/VLOOKUP($CU18-EN$103,Frauen!$G$9:$J$102,4),Rundäx)))</f>
        <v>9.4339999999999993</v>
      </c>
      <c r="EO18" s="43">
        <f>IF($CU18&gt;=RAM,"",IF($CU18-EO$103&lt;BeginnAlter,"",ROUND((SUM(DH18:DH$56)+SUM(FZ$9:FZ$56))/VLOOKUP($CU18,$AH$9:$AI$102,2)/VLOOKUP($CU18-EO$103,Frauen!$G$9:$J$102,4),Rundäx)))</f>
        <v>9.6440000000000001</v>
      </c>
      <c r="EP18" s="43">
        <f>IF($CU18&gt;=RAM,"",IF($CU18-EP$103&lt;BeginnAlter,"",ROUND((SUM(DI18:DI$56)+SUM(GA$9:GA$56))/VLOOKUP($CU18,$AH$9:$AI$102,2)/VLOOKUP($CU18-EP$103,Frauen!$G$9:$J$102,4),Rundäx)))</f>
        <v>9.8539999999999992</v>
      </c>
      <c r="EQ18" s="43">
        <f>IF($CU18&gt;=RAM,"",IF($CU18-EQ$103&lt;BeginnAlter,"",ROUND((SUM(DJ18:DJ$56)+SUM(GB$9:GB$56))/VLOOKUP($CU18,$AH$9:$AI$102,2)/VLOOKUP($CU18-EQ$103,Frauen!$G$9:$J$102,4),Rundäx)))</f>
        <v>10.064</v>
      </c>
      <c r="ER18" s="43">
        <f>IF($CU18&gt;=RAM,"",IF($CU18-ER$103&lt;BeginnAlter,"",ROUND((SUM(DK18:DK$56)+SUM(GC$9:GC$56))/VLOOKUP($CU18,$AH$9:$AI$102,2)/VLOOKUP($CU18-ER$103,Frauen!$G$9:$J$102,4),Rundäx)))</f>
        <v>10.273</v>
      </c>
      <c r="ES18" s="86"/>
      <c r="ET18" s="35">
        <f t="shared" si="61"/>
        <v>26</v>
      </c>
      <c r="EU18" s="43">
        <f>IF($CU18&gt;=RAM,"",IF($CU18-EU$103&lt;BeginnAlter,"",ROUND((SUM(DL18:DL$56)+SUM(GD$9:GD$56))/VLOOKUP($CU18,$AH$9:$AI$102,2)/VLOOKUP($CU18-EU$103,Frauen!$G$9:$J$102,4),Rundäx)))</f>
        <v>10.483000000000001</v>
      </c>
      <c r="EV18" s="43">
        <f>IF($CU18&gt;=RAM,"",IF($CU18-EV$103&lt;BeginnAlter,"",ROUND((SUM(DM18:DM$56)+SUM(GE$9:GE$56))/VLOOKUP($CU18,$AH$9:$AI$102,2)/VLOOKUP($CU18-EV$103,Frauen!$G$9:$J$102,4),Rundäx)))</f>
        <v>10.691000000000001</v>
      </c>
      <c r="EW18" s="43">
        <f>IF($CU18&gt;=RAM,"",IF($CU18-EW$103&lt;BeginnAlter,"",ROUND((SUM(DN18:DN$56)+SUM(GF$9:GF$56))/VLOOKUP($CU18,$AH$9:$AI$102,2)/VLOOKUP($CU18-EW$103,Frauen!$G$9:$J$102,4),Rundäx)))</f>
        <v>10.9</v>
      </c>
      <c r="EX18" s="43">
        <f>IF($CU18&gt;=RAM,"",IF($CU18-EX$103&lt;BeginnAlter,"",ROUND((SUM(DO18:DO$56)+SUM(GG$9:GG$56))/VLOOKUP($CU18,$AH$9:$AI$102,2)/VLOOKUP($CU18-EX$103,Frauen!$G$9:$J$102,4),Rundäx)))</f>
        <v>11.108000000000001</v>
      </c>
      <c r="EY18" s="43">
        <f>IF($CU18&gt;=RAM,"",IF($CU18-EY$103&lt;BeginnAlter,"",ROUND((SUM(DP18:DP$56)+SUM(GH$9:GH$56))/VLOOKUP($CU18,$AH$9:$AI$102,2)/VLOOKUP($CU18-EY$103,Frauen!$G$9:$J$102,4),Rundäx)))</f>
        <v>11.315</v>
      </c>
      <c r="EZ18" s="43">
        <f>IF($CU18&gt;=RAM,"",IF($CU18-EZ$103&lt;BeginnAlter,"",ROUND((SUM(DQ18:DQ$56)+SUM(GI$9:GI$56))/VLOOKUP($CU18,$AH$9:$AI$102,2)/VLOOKUP($CU18-EZ$103,Frauen!$G$9:$J$102,4),Rundäx)))</f>
        <v>11.521000000000001</v>
      </c>
      <c r="FA18" s="43">
        <f>IF($CU18&gt;=RAM,"",IF($CU18-FA$103&lt;BeginnAlter,"",ROUND((SUM(DR18:DR$56)+SUM(GJ$9:GJ$56))/VLOOKUP($CU18,$AH$9:$AI$102,2)/VLOOKUP($CU18-FA$103,Frauen!$G$9:$J$102,4),Rundäx)))</f>
        <v>11.726000000000001</v>
      </c>
      <c r="FB18" s="43">
        <f>IF($CU18&gt;=RAM,"",IF($CU18-FB$103&lt;BeginnAlter,"",ROUND((SUM(DS18:DS$56)+SUM(GK$9:GK$56))/VLOOKUP($CU18,$AH$9:$AI$102,2)/VLOOKUP($CU18-FB$103,Frauen!$G$9:$J$102,4),Rundäx)))</f>
        <v>11.93</v>
      </c>
      <c r="FC18" s="86"/>
      <c r="FD18" s="35">
        <f t="shared" si="62"/>
        <v>26</v>
      </c>
      <c r="FE18" s="43">
        <f>IF($CU18&gt;=RAM,"",IF($CU18-FE$103&lt;BeginnAlter,"",ROUND((SUM(DT18:DT$56)+SUM(GL$9:GL$56))/VLOOKUP($CU18,$AH$9:$AI$102,2)/VLOOKUP($CU18-FE$103,Frauen!$G$9:$J$102,4),Rundäx)))</f>
        <v>12.132</v>
      </c>
      <c r="FF18" s="43" t="str">
        <f>IF($CU18&gt;=RAM,"",IF($CU18-FF$103&lt;BeginnAlter,"",ROUND((SUM(DU18:DU$56)+SUM(GM$9:GM$56))/VLOOKUP($CU18,$AH$9:$AI$102,2)/VLOOKUP($CU18-FF$103,Frauen!$G$9:$J$102,4),Rundäx)))</f>
        <v/>
      </c>
      <c r="FG18" s="43" t="str">
        <f>IF($CU18&gt;=RAM,"",IF($CU18-FG$103&lt;BeginnAlter,"",ROUND((SUM(DV18:DV$56)+SUM(GN$9:GN$56))/VLOOKUP($CU18,$AH$9:$AI$102,2)/VLOOKUP($CU18-FG$103,Frauen!$G$9:$J$102,4),Rundäx)))</f>
        <v/>
      </c>
      <c r="FH18" s="43" t="str">
        <f>IF($CU18&gt;=RAM,"",IF($CU18-FH$103&lt;BeginnAlter,"",ROUND((SUM(DW18:DW$56)+SUM(GO$9:GO$56))/VLOOKUP($CU18,$AH$9:$AI$102,2)/VLOOKUP($CU18-FH$103,Frauen!$G$9:$J$102,4),Rundäx)))</f>
        <v/>
      </c>
      <c r="FI18" s="43" t="str">
        <f>IF($CU18&gt;=RAM,"",IF($CU18-FI$103&lt;BeginnAlter,"",ROUND((SUM(DX18:DX$56)+SUM(GP$9:GP$56))/VLOOKUP($CU18,$AH$9:$AI$102,2)/VLOOKUP($CU18-FI$103,Frauen!$G$9:$J$102,4),Rundäx)))</f>
        <v/>
      </c>
      <c r="FJ18" s="43" t="str">
        <f>IF($CU18&gt;=RAM,"",IF($CU18-FJ$103&lt;BeginnAlter,"",ROUND((SUM(DY18:DY$56)+SUM(GQ$9:GQ$56))/VLOOKUP($CU18,$AH$9:$AI$102,2)/VLOOKUP($CU18-FJ$103,Frauen!$G$9:$J$102,4),Rundäx)))</f>
        <v/>
      </c>
      <c r="FK18" s="43" t="str">
        <f>IF($CU18&gt;=RAM,"",IF($CU18-FK$103&lt;BeginnAlter,"",ROUND((SUM(DZ18:DZ$56)+SUM(GR$9:GR$56))/VLOOKUP($CU18,$AH$9:$AI$102,2)/VLOOKUP($CU18-FK$103,Frauen!$G$9:$J$102,4),Rundäx)))</f>
        <v/>
      </c>
      <c r="FL18" s="86"/>
      <c r="FM18" s="35">
        <f t="shared" si="68"/>
        <v>74</v>
      </c>
      <c r="FN18" s="25">
        <f>ROUND(v^($FM18+FaktorAlter)*VLOOKUP($FM18,$G$9:$J$102,4)*VLOOKUP($FM18,$A$9:$E$102,5)*0.5*(VLOOKUP($FM18-FN$103,Frauen!$G$9:$J$102,4)+VLOOKUP($FM18-FN$103+1,Frauen!$G$9:$J$102,4))*0.5*(VLOOKUP($FM18-FN$103,Frauen!$AZ$9:$BD$102,5)+VLOOKUP($FM18-FN$103+1,Frauen!$AZ$9:$BD$102,5)),RundDx)</f>
        <v>61429726</v>
      </c>
      <c r="FO18" s="25">
        <f>ROUND(v^($FM18+FaktorAlter)*VLOOKUP($FM18,$G$9:$J$102,4)*VLOOKUP($FM18,$A$9:$E$102,5)*0.5*(VLOOKUP($FM18-FO$103,Frauen!$G$9:$J$102,4)+VLOOKUP($FM18-FO$103+1,Frauen!$G$9:$J$102,4))*0.5*(VLOOKUP($FM18-FO$103,Frauen!$AZ$9:$BD$102,5)+VLOOKUP($FM18-FO$103+1,Frauen!$AZ$9:$BD$102,5)),RundDx)</f>
        <v>76500295</v>
      </c>
      <c r="FP18" s="25">
        <f>ROUND(v^($FM18+FaktorAlter)*VLOOKUP($FM18,$G$9:$J$102,4)*VLOOKUP($FM18,$A$9:$E$102,5)*0.5*(VLOOKUP($FM18-FP$103,Frauen!$G$9:$J$102,4)+VLOOKUP($FM18-FP$103+1,Frauen!$G$9:$J$102,4))*0.5*(VLOOKUP($FM18-FP$103,Frauen!$AZ$9:$BD$102,5)+VLOOKUP($FM18-FP$103+1,Frauen!$AZ$9:$BD$102,5)),RundDx)</f>
        <v>93468167</v>
      </c>
      <c r="FQ18" s="25">
        <f>ROUND(v^($FM18+FaktorAlter)*VLOOKUP($FM18,$G$9:$J$102,4)*VLOOKUP($FM18,$A$9:$E$102,5)*0.5*(VLOOKUP($FM18-FQ$103,Frauen!$G$9:$J$102,4)+VLOOKUP($FM18-FQ$103+1,Frauen!$G$9:$J$102,4))*0.5*(VLOOKUP($FM18-FQ$103,Frauen!$AZ$9:$BD$102,5)+VLOOKUP($FM18-FQ$103+1,Frauen!$AZ$9:$BD$102,5)),RundDx)</f>
        <v>112246987</v>
      </c>
      <c r="FR18" s="25">
        <f>ROUND(v^($FM18+FaktorAlter)*VLOOKUP($FM18,$G$9:$J$102,4)*VLOOKUP($FM18,$A$9:$E$102,5)*0.5*(VLOOKUP($FM18-FR$103,Frauen!$G$9:$J$102,4)+VLOOKUP($FM18-FR$103+1,Frauen!$G$9:$J$102,4))*0.5*(VLOOKUP($FM18-FR$103,Frauen!$AZ$9:$BD$102,5)+VLOOKUP($FM18-FR$103+1,Frauen!$AZ$9:$BD$102,5)),RundDx)</f>
        <v>132656553</v>
      </c>
      <c r="FS18" s="25">
        <f>ROUND(v^($FM18+FaktorAlter)*VLOOKUP($FM18,$G$9:$J$102,4)*VLOOKUP($FM18,$A$9:$E$102,5)*0.5*(VLOOKUP($FM18-FS$103,Frauen!$G$9:$J$102,4)+VLOOKUP($FM18-FS$103+1,Frauen!$G$9:$J$102,4))*0.5*(VLOOKUP($FM18-FS$103,Frauen!$AZ$9:$BD$102,5)+VLOOKUP($FM18-FS$103+1,Frauen!$AZ$9:$BD$102,5)),RundDx)</f>
        <v>154480579</v>
      </c>
      <c r="FT18" s="25">
        <f>ROUND(v^($FM18+FaktorAlter)*VLOOKUP($FM18,$G$9:$J$102,4)*VLOOKUP($FM18,$A$9:$E$102,5)*0.5*(VLOOKUP($FM18-FT$103,Frauen!$G$9:$J$102,4)+VLOOKUP($FM18-FT$103+1,Frauen!$G$9:$J$102,4))*0.5*(VLOOKUP($FM18-FT$103,Frauen!$AZ$9:$BD$102,5)+VLOOKUP($FM18-FT$103+1,Frauen!$AZ$9:$BD$102,5)),RundDx)</f>
        <v>177505093</v>
      </c>
      <c r="FU18" s="25">
        <f>ROUND(v^($FM18+FaktorAlter)*VLOOKUP($FM18,$G$9:$J$102,4)*VLOOKUP($FM18,$A$9:$E$102,5)*0.5*(VLOOKUP($FM18-FU$103,Frauen!$G$9:$J$102,4)+VLOOKUP($FM18-FU$103+1,Frauen!$G$9:$J$102,4))*0.5*(VLOOKUP($FM18-FU$103,Frauen!$AZ$9:$BD$102,5)+VLOOKUP($FM18-FU$103+1,Frauen!$AZ$9:$BD$102,5)),RundDx)</f>
        <v>201476815</v>
      </c>
      <c r="FV18" s="25">
        <f>ROUND(v^($FM18+FaktorAlter)*VLOOKUP($FM18,$G$9:$J$102,4)*VLOOKUP($FM18,$A$9:$E$102,5)*0.5*(VLOOKUP($FM18-FV$103,Frauen!$G$9:$J$102,4)+VLOOKUP($FM18-FV$103+1,Frauen!$G$9:$J$102,4))*0.5*(VLOOKUP($FM18-FV$103,Frauen!$AZ$9:$BD$102,5)+VLOOKUP($FM18-FV$103+1,Frauen!$AZ$9:$BD$102,5)),RundDx)</f>
        <v>226156486</v>
      </c>
      <c r="FW18" s="25">
        <f>ROUND(v^($FM18+FaktorAlter)*VLOOKUP($FM18,$G$9:$J$102,4)*VLOOKUP($FM18,$A$9:$E$102,5)*0.5*(VLOOKUP($FM18-FW$103,Frauen!$G$9:$J$102,4)+VLOOKUP($FM18-FW$103+1,Frauen!$G$9:$J$102,4))*0.5*(VLOOKUP($FM18-FW$103,Frauen!$AZ$9:$BD$102,5)+VLOOKUP($FM18-FW$103+1,Frauen!$AZ$9:$BD$102,5)),RundDx)</f>
        <v>251381085</v>
      </c>
      <c r="FX18" s="25">
        <f>ROUND(v^($FM18+FaktorAlter)*VLOOKUP($FM18,$G$9:$J$102,4)*VLOOKUP($FM18,$A$9:$E$102,5)*0.5*(VLOOKUP($FM18-FX$103,Frauen!$G$9:$J$102,4)+VLOOKUP($FM18-FX$103+1,Frauen!$G$9:$J$102,4))*0.5*(VLOOKUP($FM18-FX$103,Frauen!$AZ$9:$BD$102,5)+VLOOKUP($FM18-FX$103+1,Frauen!$AZ$9:$BD$102,5)),RundDx)</f>
        <v>277070614</v>
      </c>
      <c r="FY18" s="25">
        <f>ROUND(v^($FM18+FaktorAlter)*VLOOKUP($FM18,$G$9:$J$102,4)*VLOOKUP($FM18,$A$9:$E$102,5)*0.5*(VLOOKUP($FM18-FY$103,Frauen!$G$9:$J$102,4)+VLOOKUP($FM18-FY$103+1,Frauen!$G$9:$J$102,4))*0.5*(VLOOKUP($FM18-FY$103,Frauen!$AZ$9:$BD$102,5)+VLOOKUP($FM18-FY$103+1,Frauen!$AZ$9:$BD$102,5)),RundDx)</f>
        <v>303116134</v>
      </c>
      <c r="FZ18" s="25">
        <f>ROUND(v^($FM18+FaktorAlter)*VLOOKUP($FM18,$G$9:$J$102,4)*VLOOKUP($FM18,$A$9:$E$102,5)*0.5*(VLOOKUP($FM18-FZ$103,Frauen!$G$9:$J$102,4)+VLOOKUP($FM18-FZ$103+1,Frauen!$G$9:$J$102,4))*0.5*(VLOOKUP($FM18-FZ$103,Frauen!$AZ$9:$BD$102,5)+VLOOKUP($FM18-FZ$103+1,Frauen!$AZ$9:$BD$102,5)),RundDx)</f>
        <v>329496259</v>
      </c>
      <c r="GA18" s="25">
        <f>ROUND(v^($FM18+FaktorAlter)*VLOOKUP($FM18,$G$9:$J$102,4)*VLOOKUP($FM18,$A$9:$E$102,5)*0.5*(VLOOKUP($FM18-GA$103,Frauen!$G$9:$J$102,4)+VLOOKUP($FM18-GA$103+1,Frauen!$G$9:$J$102,4))*0.5*(VLOOKUP($FM18-GA$103,Frauen!$AZ$9:$BD$102,5)+VLOOKUP($FM18-GA$103+1,Frauen!$AZ$9:$BD$102,5)),RundDx)</f>
        <v>356275381</v>
      </c>
      <c r="GB18" s="25">
        <f>ROUND(v^($FM18+FaktorAlter)*VLOOKUP($FM18,$G$9:$J$102,4)*VLOOKUP($FM18,$A$9:$E$102,5)*0.5*(VLOOKUP($FM18-GB$103,Frauen!$G$9:$J$102,4)+VLOOKUP($FM18-GB$103+1,Frauen!$G$9:$J$102,4))*0.5*(VLOOKUP($FM18-GB$103,Frauen!$AZ$9:$BD$102,5)+VLOOKUP($FM18-GB$103+1,Frauen!$AZ$9:$BD$102,5)),RundDx)</f>
        <v>383479571</v>
      </c>
      <c r="GC18" s="25">
        <f>ROUND(v^($FM18+FaktorAlter)*VLOOKUP($FM18,$G$9:$J$102,4)*VLOOKUP($FM18,$A$9:$E$102,5)*0.5*(VLOOKUP($FM18-GC$103,Frauen!$G$9:$J$102,4)+VLOOKUP($FM18-GC$103+1,Frauen!$G$9:$J$102,4))*0.5*(VLOOKUP($FM18-GC$103,Frauen!$AZ$9:$BD$102,5)+VLOOKUP($FM18-GC$103+1,Frauen!$AZ$9:$BD$102,5)),RundDx)</f>
        <v>411192981</v>
      </c>
      <c r="GD18" s="25">
        <f>ROUND(v^($FM18+FaktorAlter)*VLOOKUP($FM18,$G$9:$J$102,4)*VLOOKUP($FM18,$A$9:$E$102,5)*0.5*(VLOOKUP($FM18-GD$103,Frauen!$G$9:$J$102,4)+VLOOKUP($FM18-GD$103+1,Frauen!$G$9:$J$102,4))*0.5*(VLOOKUP($FM18-GD$103,Frauen!$AZ$9:$BD$102,5)+VLOOKUP($FM18-GD$103+1,Frauen!$AZ$9:$BD$102,5)),RundDx)</f>
        <v>439431193</v>
      </c>
      <c r="GE18" s="25">
        <f>ROUND(v^($FM18+FaktorAlter)*VLOOKUP($FM18,$G$9:$J$102,4)*VLOOKUP($FM18,$A$9:$E$102,5)*0.5*(VLOOKUP($FM18-GE$103,Frauen!$G$9:$J$102,4)+VLOOKUP($FM18-GE$103+1,Frauen!$G$9:$J$102,4))*0.5*(VLOOKUP($FM18-GE$103,Frauen!$AZ$9:$BD$102,5)+VLOOKUP($FM18-GE$103+1,Frauen!$AZ$9:$BD$102,5)),RundDx)</f>
        <v>468129287</v>
      </c>
      <c r="GF18" s="25">
        <f>ROUND(v^($FM18+FaktorAlter)*VLOOKUP($FM18,$G$9:$J$102,4)*VLOOKUP($FM18,$A$9:$E$102,5)*0.5*(VLOOKUP($FM18-GF$103,Frauen!$G$9:$J$102,4)+VLOOKUP($FM18-GF$103+1,Frauen!$G$9:$J$102,4))*0.5*(VLOOKUP($FM18-GF$103,Frauen!$AZ$9:$BD$102,5)+VLOOKUP($FM18-GF$103+1,Frauen!$AZ$9:$BD$102,5)),RundDx)</f>
        <v>497161820</v>
      </c>
      <c r="GG18" s="25">
        <f>ROUND(v^($FM18+FaktorAlter)*VLOOKUP($FM18,$G$9:$J$102,4)*VLOOKUP($FM18,$A$9:$E$102,5)*0.5*(VLOOKUP($FM18-GG$103,Frauen!$G$9:$J$102,4)+VLOOKUP($FM18-GG$103+1,Frauen!$G$9:$J$102,4))*0.5*(VLOOKUP($FM18-GG$103,Frauen!$AZ$9:$BD$102,5)+VLOOKUP($FM18-GG$103+1,Frauen!$AZ$9:$BD$102,5)),RundDx)</f>
        <v>526320365</v>
      </c>
      <c r="GH18" s="25">
        <f>ROUND(v^($FM18+FaktorAlter)*VLOOKUP($FM18,$G$9:$J$102,4)*VLOOKUP($FM18,$A$9:$E$102,5)*0.5*(VLOOKUP($FM18-GH$103,Frauen!$G$9:$J$102,4)+VLOOKUP($FM18-GH$103+1,Frauen!$G$9:$J$102,4))*0.5*(VLOOKUP($FM18-GH$103,Frauen!$AZ$9:$BD$102,5)+VLOOKUP($FM18-GH$103+1,Frauen!$AZ$9:$BD$102,5)),RundDx)</f>
        <v>555523728</v>
      </c>
      <c r="GI18" s="25">
        <f>ROUND(v^($FM18+FaktorAlter)*VLOOKUP($FM18,$G$9:$J$102,4)*VLOOKUP($FM18,$A$9:$E$102,5)*0.5*(VLOOKUP($FM18-GI$103,Frauen!$G$9:$J$102,4)+VLOOKUP($FM18-GI$103+1,Frauen!$G$9:$J$102,4))*0.5*(VLOOKUP($FM18-GI$103,Frauen!$AZ$9:$BD$102,5)+VLOOKUP($FM18-GI$103+1,Frauen!$AZ$9:$BD$102,5)),RundDx)</f>
        <v>584718215</v>
      </c>
      <c r="GJ18" s="25">
        <f>ROUND(v^($FM18+FaktorAlter)*VLOOKUP($FM18,$G$9:$J$102,4)*VLOOKUP($FM18,$A$9:$E$102,5)*0.5*(VLOOKUP($FM18-GJ$103,Frauen!$G$9:$J$102,4)+VLOOKUP($FM18-GJ$103+1,Frauen!$G$9:$J$102,4))*0.5*(VLOOKUP($FM18-GJ$103,Frauen!$AZ$9:$BD$102,5)+VLOOKUP($FM18-GJ$103+1,Frauen!$AZ$9:$BD$102,5)),RundDx)</f>
        <v>613705721</v>
      </c>
      <c r="GK18" s="25">
        <f>ROUND(v^($FM18+FaktorAlter)*VLOOKUP($FM18,$G$9:$J$102,4)*VLOOKUP($FM18,$A$9:$E$102,5)*0.5*(VLOOKUP($FM18-GK$103,Frauen!$G$9:$J$102,4)+VLOOKUP($FM18-GK$103+1,Frauen!$G$9:$J$102,4))*0.5*(VLOOKUP($FM18-GK$103,Frauen!$AZ$9:$BD$102,5)+VLOOKUP($FM18-GK$103+1,Frauen!$AZ$9:$BD$102,5)),RundDx)</f>
        <v>642371628</v>
      </c>
      <c r="GL18" s="25">
        <f>ROUND(v^($FM18+FaktorAlter)*VLOOKUP($FM18,$G$9:$J$102,4)*VLOOKUP($FM18,$A$9:$E$102,5)*0.5*(VLOOKUP($FM18-GL$103,Frauen!$G$9:$J$102,4)+VLOOKUP($FM18-GL$103+1,Frauen!$G$9:$J$102,4))*0.5*(VLOOKUP($FM18-GL$103,Frauen!$AZ$9:$BD$102,5)+VLOOKUP($FM18-GL$103+1,Frauen!$AZ$9:$BD$102,5)),RundDx)</f>
        <v>670763722</v>
      </c>
      <c r="GM18" s="25">
        <f>ROUND(v^($FM18+FaktorAlter)*VLOOKUP($FM18,$G$9:$J$102,4)*VLOOKUP($FM18,$A$9:$E$102,5)*0.5*(VLOOKUP($FM18-GM$103,Frauen!$G$9:$J$102,4)+VLOOKUP($FM18-GM$103+1,Frauen!$G$9:$J$102,4))*0.5*(VLOOKUP($FM18-GM$103,Frauen!$AZ$9:$BD$102,5)+VLOOKUP($FM18-GM$103+1,Frauen!$AZ$9:$BD$102,5)),RundDx)</f>
        <v>698815175</v>
      </c>
      <c r="GN18" s="25">
        <f>ROUND(v^($FM18+FaktorAlter)*VLOOKUP($FM18,$G$9:$J$102,4)*VLOOKUP($FM18,$A$9:$E$102,5)*0.5*(VLOOKUP($FM18-GN$103,Frauen!$G$9:$J$102,4)+VLOOKUP($FM18-GN$103+1,Frauen!$G$9:$J$102,4))*0.5*(VLOOKUP($FM18-GN$103,Frauen!$AZ$9:$BD$102,5)+VLOOKUP($FM18-GN$103+1,Frauen!$AZ$9:$BD$102,5)),RundDx)</f>
        <v>726360301</v>
      </c>
      <c r="GO18" s="25">
        <f>ROUND(v^($FM18+FaktorAlter)*VLOOKUP($FM18,$G$9:$J$102,4)*VLOOKUP($FM18,$A$9:$E$102,5)*0.5*(VLOOKUP($FM18-GO$103,Frauen!$G$9:$J$102,4)+VLOOKUP($FM18-GO$103+1,Frauen!$G$9:$J$102,4))*0.5*(VLOOKUP($FM18-GO$103,Frauen!$AZ$9:$BD$102,5)+VLOOKUP($FM18-GO$103+1,Frauen!$AZ$9:$BD$102,5)),RundDx)</f>
        <v>753384177</v>
      </c>
      <c r="GP18" s="25">
        <f>ROUND(v^($FM18+FaktorAlter)*VLOOKUP($FM18,$G$9:$J$102,4)*VLOOKUP($FM18,$A$9:$E$102,5)*0.5*(VLOOKUP($FM18-GP$103,Frauen!$G$9:$J$102,4)+VLOOKUP($FM18-GP$103+1,Frauen!$G$9:$J$102,4))*0.5*(VLOOKUP($FM18-GP$103,Frauen!$AZ$9:$BD$102,5)+VLOOKUP($FM18-GP$103+1,Frauen!$AZ$9:$BD$102,5)),RundDx)</f>
        <v>779956613</v>
      </c>
      <c r="GQ18" s="25">
        <f>ROUND(v^($FM18+FaktorAlter)*VLOOKUP($FM18,$G$9:$J$102,4)*VLOOKUP($FM18,$A$9:$E$102,5)*0.5*(VLOOKUP($FM18-GQ$103,Frauen!$G$9:$J$102,4)+VLOOKUP($FM18-GQ$103+1,Frauen!$G$9:$J$102,4))*0.5*(VLOOKUP($FM18-GQ$103,Frauen!$AZ$9:$BD$102,5)+VLOOKUP($FM18-GQ$103+1,Frauen!$AZ$9:$BD$102,5)),RundDx)</f>
        <v>806042159</v>
      </c>
      <c r="GR18" s="25">
        <f>ROUND(v^($FM18+FaktorAlter)*VLOOKUP($FM18,$G$9:$J$102,4)*VLOOKUP($FM18,$A$9:$E$102,5)*0.5*(VLOOKUP($FM18-GR$103,Frauen!$G$9:$J$102,4)+VLOOKUP($FM18-GR$103+1,Frauen!$G$9:$J$102,4))*0.5*(VLOOKUP($FM18-GR$103,Frauen!$AZ$9:$BD$102,5)+VLOOKUP($FM18-GR$103+1,Frauen!$AZ$9:$BD$102,5)),RundDx)</f>
        <v>831633762</v>
      </c>
      <c r="GS18" s="24">
        <f>ROUND(SUM(FN18:FN$56)/VLOOKUP($FM18,$AQ$9:$AR$102,2)/VLOOKUP($FM18-GS$103,Frauen!$G$9:$J$102,4),Rundäx)</f>
        <v>0.54900000000000004</v>
      </c>
      <c r="GT18" s="24">
        <f>ROUND(SUM(FO18:FO$56)/VLOOKUP($FM18,$AQ$9:$AR$102,2)/VLOOKUP($FM18-GT$103,Frauen!$G$9:$J$102,4),Rundäx)</f>
        <v>0.64200000000000002</v>
      </c>
      <c r="GU18" s="24">
        <f>ROUND(SUM(FP18:FP$56)/VLOOKUP($FM18,$AQ$9:$AR$102,2)/VLOOKUP($FM18-GU$103,Frauen!$G$9:$J$102,4),Rundäx)</f>
        <v>0.748</v>
      </c>
      <c r="GV18" s="24">
        <f>ROUND(SUM(FQ18:FQ$56)/VLOOKUP($FM18,$AQ$9:$AR$102,2)/VLOOKUP($FM18-GV$103,Frauen!$G$9:$J$102,4),Rundäx)</f>
        <v>0.86899999999999999</v>
      </c>
      <c r="GW18" s="24">
        <f>ROUND(SUM(FR18:FR$56)/VLOOKUP($FM18,$AQ$9:$AR$102,2)/VLOOKUP($FM18-GW$103,Frauen!$G$9:$J$102,4),Rundäx)</f>
        <v>1.006</v>
      </c>
      <c r="GX18" s="24">
        <f>ROUND(SUM(FS18:FS$56)/VLOOKUP($FM18,$AQ$9:$AR$102,2)/VLOOKUP($FM18-GX$103,Frauen!$G$9:$J$102,4),Rundäx)</f>
        <v>1.1599999999999999</v>
      </c>
      <c r="GY18" s="24">
        <f>ROUND(SUM(FT18:FT$56)/VLOOKUP($FM18,$AQ$9:$AR$102,2)/VLOOKUP($FM18-GY$103,Frauen!$G$9:$J$102,4),Rundäx)</f>
        <v>1.335</v>
      </c>
      <c r="GZ18" s="24">
        <f>ROUND(SUM(FU18:FU$56)/VLOOKUP($FM18,$AQ$9:$AR$102,2)/VLOOKUP($FM18-GZ$103,Frauen!$G$9:$J$102,4),Rundäx)</f>
        <v>1.53</v>
      </c>
      <c r="HA18" s="86"/>
      <c r="HB18" s="35">
        <f t="shared" si="63"/>
        <v>74</v>
      </c>
      <c r="HC18" s="24">
        <f>ROUND(SUM(FV18:FV$56)/VLOOKUP($FM18,$AQ$9:$AR$102,2)/VLOOKUP($FM18-HC$103,Frauen!$G$9:$J$102,4),Rundäx)</f>
        <v>1.746</v>
      </c>
      <c r="HD18" s="24">
        <f>ROUND(SUM(FW18:FW$56)/VLOOKUP($FM18,$AQ$9:$AR$102,2)/VLOOKUP($FM18-HD$103,Frauen!$G$9:$J$102,4),Rundäx)</f>
        <v>1.9850000000000001</v>
      </c>
      <c r="HE18" s="24">
        <f>ROUND(SUM(FX18:FX$56)/VLOOKUP($FM18,$AQ$9:$AR$102,2)/VLOOKUP($FM18-HE$103,Frauen!$G$9:$J$102,4),Rundäx)</f>
        <v>2.2469999999999999</v>
      </c>
      <c r="HF18" s="24">
        <f>ROUND(SUM(FY18:FY$56)/VLOOKUP($FM18,$AQ$9:$AR$102,2)/VLOOKUP($FM18-HF$103,Frauen!$G$9:$J$102,4),Rundäx)</f>
        <v>2.5289999999999999</v>
      </c>
      <c r="HG18" s="24">
        <f>ROUND(SUM(FZ18:FZ$56)/VLOOKUP($FM18,$AQ$9:$AR$102,2)/VLOOKUP($FM18-HG$103,Frauen!$G$9:$J$102,4),Rundäx)</f>
        <v>2.8319999999999999</v>
      </c>
      <c r="HH18" s="24">
        <f>ROUND(SUM(GA18:GA$56)/VLOOKUP($FM18,$AQ$9:$AR$102,2)/VLOOKUP($FM18-HH$103,Frauen!$G$9:$J$102,4),Rundäx)</f>
        <v>3.1539999999999999</v>
      </c>
      <c r="HI18" s="24">
        <f>ROUND(SUM(GB18:GB$56)/VLOOKUP($FM18,$AQ$9:$AR$102,2)/VLOOKUP($FM18-HI$103,Frauen!$G$9:$J$102,4),Rundäx)</f>
        <v>3.492</v>
      </c>
      <c r="HJ18" s="24">
        <f>ROUND(SUM(GC18:GC$56)/VLOOKUP($FM18,$AQ$9:$AR$102,2)/VLOOKUP($FM18-HJ$103,Frauen!$G$9:$J$102,4),Rundäx)</f>
        <v>3.843</v>
      </c>
      <c r="HK18" s="86"/>
      <c r="HL18" s="35">
        <f t="shared" si="64"/>
        <v>74</v>
      </c>
      <c r="HM18" s="24">
        <f>ROUND(SUM(GD18:GD$56)/VLOOKUP($FM18,$AQ$9:$AR$102,2)/VLOOKUP($FM18-HM$103,Frauen!$G$9:$J$102,4),Rundäx)</f>
        <v>4.2060000000000004</v>
      </c>
      <c r="HN18" s="24">
        <f>ROUND(SUM(GE18:GE$56)/VLOOKUP($FM18,$AQ$9:$AR$102,2)/VLOOKUP($FM18-HN$103,Frauen!$G$9:$J$102,4),Rundäx)</f>
        <v>4.5789999999999997</v>
      </c>
      <c r="HO18" s="24">
        <f>ROUND(SUM(GF18:GF$56)/VLOOKUP($FM18,$AQ$9:$AR$102,2)/VLOOKUP($FM18-HO$103,Frauen!$G$9:$J$102,4),Rundäx)</f>
        <v>4.9619999999999997</v>
      </c>
      <c r="HP18" s="24">
        <f>ROUND(SUM(GG18:GG$56)/VLOOKUP($FM18,$AQ$9:$AR$102,2)/VLOOKUP($FM18-HP$103,Frauen!$G$9:$J$102,4),Rundäx)</f>
        <v>5.3550000000000004</v>
      </c>
      <c r="HQ18" s="24">
        <f>ROUND(SUM(GH18:GH$56)/VLOOKUP($FM18,$AQ$9:$AR$102,2)/VLOOKUP($FM18-HQ$103,Frauen!$G$9:$J$102,4),Rundäx)</f>
        <v>5.7549999999999999</v>
      </c>
      <c r="HR18" s="24">
        <f>ROUND(SUM(GI18:GI$56)/VLOOKUP($FM18,$AQ$9:$AR$102,2)/VLOOKUP($FM18-HR$103,Frauen!$G$9:$J$102,4),Rundäx)</f>
        <v>6.1609999999999996</v>
      </c>
      <c r="HS18" s="24">
        <f>ROUND(SUM(GJ18:GJ$56)/VLOOKUP($FM18,$AQ$9:$AR$102,2)/VLOOKUP($FM18-HS$103,Frauen!$G$9:$J$102,4),Rundäx)</f>
        <v>6.5730000000000004</v>
      </c>
      <c r="HT18" s="24">
        <f>ROUND(SUM(GK18:GK$56)/VLOOKUP($FM18,$AQ$9:$AR$102,2)/VLOOKUP($FM18-HT$103,Frauen!$G$9:$J$102,4),Rundäx)</f>
        <v>6.9909999999999997</v>
      </c>
      <c r="HU18" s="86"/>
      <c r="HV18" s="35">
        <f t="shared" si="65"/>
        <v>74</v>
      </c>
      <c r="HW18" s="24">
        <f>ROUND(SUM(GL18:GL$56)/VLOOKUP($FM18,$AQ$9:$AR$102,2)/VLOOKUP($FM18-HW$103,Frauen!$G$9:$J$102,4),Rundäx)</f>
        <v>7.4109999999999996</v>
      </c>
      <c r="HX18" s="24">
        <f>ROUND(SUM(GM18:GM$56)/VLOOKUP($FM18,$AQ$9:$AR$102,2)/VLOOKUP($FM18-HX$103,Frauen!$G$9:$J$102,4),Rundäx)</f>
        <v>7.835</v>
      </c>
      <c r="HY18" s="24">
        <f>ROUND(SUM(GN18:GN$56)/VLOOKUP($FM18,$AQ$9:$AR$102,2)/VLOOKUP($FM18-HY$103,Frauen!$G$9:$J$102,4),Rundäx)</f>
        <v>8.2629999999999999</v>
      </c>
      <c r="HZ18" s="24">
        <f>ROUND(SUM(GO18:GO$56)/VLOOKUP($FM18,$AQ$9:$AR$102,2)/VLOOKUP($FM18-HZ$103,Frauen!$G$9:$J$102,4),Rundäx)</f>
        <v>8.6940000000000008</v>
      </c>
      <c r="IA18" s="24">
        <f>ROUND(SUM(GP18:GP$56)/VLOOKUP($FM18,$AQ$9:$AR$102,2)/VLOOKUP($FM18-IA$103,Frauen!$G$9:$J$102,4),Rundäx)</f>
        <v>9.1280000000000001</v>
      </c>
      <c r="IB18" s="24">
        <f>ROUND(SUM(GQ18:GQ$56)/VLOOKUP($FM18,$AQ$9:$AR$102,2)/VLOOKUP($FM18-IB$103,Frauen!$G$9:$J$102,4),Rundäx)</f>
        <v>9.5630000000000006</v>
      </c>
      <c r="IC18" s="24">
        <f>ROUND(SUM(GR18:GR$56)/VLOOKUP($FM18,$AQ$9:$AR$102,2)/VLOOKUP($FM18-IC$103,Frauen!$G$9:$J$102,4),Rundäx)</f>
        <v>10.000999999999999</v>
      </c>
      <c r="ID18" s="89"/>
      <c r="IE18" s="35">
        <f t="shared" si="66"/>
        <v>26</v>
      </c>
      <c r="IF18" s="25">
        <f t="shared" si="31"/>
        <v>415</v>
      </c>
      <c r="IG18" s="25">
        <f>IF($IE18&lt;RAM,IF(S19&lt;=RAK,ROUND(SUM(IF18:INDEX(Dakx,RAM-BeginnAlter))+INDEX(Dax,RAM-BeginnAlter+1)*INDEX(äkx,1),RundDx),0),"")</f>
        <v>18600</v>
      </c>
      <c r="IH18" s="25">
        <f>IF($IE18&lt;RAM,IF(S19&lt;=RAK,ROUND(SUM(IG18:INDEX(Nakx,RAM-BeginnAlter))+INDEX(Dax,RAM-BeginnAlter+1)*INDEX(äkx,1),RundDx),0),"")</f>
        <v>269035</v>
      </c>
      <c r="II18" s="24">
        <f t="shared" si="32"/>
        <v>0.33500000000000002</v>
      </c>
      <c r="IJ18" s="25">
        <f t="shared" si="33"/>
        <v>11545</v>
      </c>
      <c r="IK18" s="25">
        <f>IF($IE18&lt;RAM,IF(S19&lt;=RAK,SUM(IJ18:INDEX(Dikx,RAM-BeginnAlter))+INDEX(Dix,RAM-BeginnAlter+1)*INDEX(äkx,1),0),"")</f>
        <v>451357.83199999999</v>
      </c>
      <c r="IL18" s="24">
        <f t="shared" si="34"/>
        <v>4.2850000000000001</v>
      </c>
      <c r="IM18" s="86"/>
      <c r="IN18" s="35">
        <f t="shared" si="67"/>
        <v>74</v>
      </c>
      <c r="IO18" s="25">
        <f t="shared" si="35"/>
        <v>8</v>
      </c>
      <c r="IP18" s="25">
        <f>IF(AND(VLOOKUP(IN18+1,O$9:S$102,5)&lt;=RAK,VLOOKUP(IN18+1,O$9:S$102,5)&lt;&gt;""),SUM(IO18:IO$102),0)</f>
        <v>26</v>
      </c>
      <c r="IQ18" s="24">
        <f t="shared" si="36"/>
        <v>2E-3</v>
      </c>
      <c r="IR18" s="86"/>
    </row>
    <row r="19" spans="1:252" ht="15.75" customHeight="1" x14ac:dyDescent="0.25">
      <c r="A19" s="35">
        <f t="shared" si="41"/>
        <v>27</v>
      </c>
      <c r="B19" s="77">
        <v>5.8633529420501897E-4</v>
      </c>
      <c r="C19" s="77">
        <v>5.460929805306844E-4</v>
      </c>
      <c r="D19" s="77">
        <v>1.3463946060410546E-2</v>
      </c>
      <c r="E19" s="77">
        <v>6.4357182362106968E-4</v>
      </c>
      <c r="F19" s="86"/>
      <c r="G19" s="35">
        <f t="shared" si="42"/>
        <v>27</v>
      </c>
      <c r="H19" s="25">
        <f t="shared" si="37"/>
        <v>99033</v>
      </c>
      <c r="I19" s="25">
        <f t="shared" si="38"/>
        <v>412</v>
      </c>
      <c r="J19" s="25">
        <f t="shared" si="39"/>
        <v>99445</v>
      </c>
      <c r="K19" s="30">
        <f>IF(J19&gt;0,ROUND(SUM(J19:J$102)/J19-0.5,Rundex),"")</f>
        <v>52.13</v>
      </c>
      <c r="L19" s="25">
        <f t="shared" si="0"/>
        <v>185503</v>
      </c>
      <c r="M19" s="30">
        <f>IF(L19&gt;0,ROUND(SUM(L19:L$102)/L19-0.5,Rundex),"")</f>
        <v>35.6</v>
      </c>
      <c r="N19" s="86"/>
      <c r="O19" s="35">
        <f t="shared" si="43"/>
        <v>27</v>
      </c>
      <c r="P19" s="43">
        <v>0.17499999999999999</v>
      </c>
      <c r="Q19" s="78">
        <v>27.20302486655331</v>
      </c>
      <c r="R19" s="43">
        <v>0.54695040655516847</v>
      </c>
      <c r="S19" s="78">
        <v>1.75</v>
      </c>
      <c r="T19" s="15">
        <v>6.4328349814046781E-4</v>
      </c>
      <c r="U19" s="11">
        <f t="shared" si="40"/>
        <v>99445</v>
      </c>
      <c r="V19" s="30">
        <f>IF(U19&gt;0,ROUND(SUM(U19:U$102)/U19-0.5,Rundex),"")</f>
        <v>49.76</v>
      </c>
      <c r="W19" s="86"/>
      <c r="X19" s="35">
        <f t="shared" si="44"/>
        <v>27</v>
      </c>
      <c r="Y19" s="25">
        <f t="shared" si="1"/>
        <v>54309</v>
      </c>
      <c r="Z19" s="25">
        <f>IF($X19&lt;RAM,SUM(Y19:INDEX(Dax,RAM-BeginnAlter))," ")</f>
        <v>1327757</v>
      </c>
      <c r="AA19" s="25">
        <f t="shared" si="2"/>
        <v>31</v>
      </c>
      <c r="AB19" s="25">
        <f>IF($X19&lt;RAM,SUM(AA19:INDEX(Cax,RAM-BeginnAlter))," ")</f>
        <v>2529</v>
      </c>
      <c r="AC19" s="25">
        <f t="shared" si="3"/>
        <v>29</v>
      </c>
      <c r="AD19" s="25">
        <f>IF($X19&lt;RAM,SUM(AC19:INDEX(Caix,RAM-BeginnAlter))," ")</f>
        <v>7892</v>
      </c>
      <c r="AE19" s="24">
        <f t="shared" si="4"/>
        <v>24.448</v>
      </c>
      <c r="AF19" s="24">
        <f t="shared" si="5"/>
        <v>24.114000000000001</v>
      </c>
      <c r="AG19" s="86"/>
      <c r="AH19" s="35">
        <f t="shared" si="45"/>
        <v>27</v>
      </c>
      <c r="AI19" s="25">
        <f t="shared" si="6"/>
        <v>101728</v>
      </c>
      <c r="AJ19" s="25">
        <f>IF($AH19&gt;RAM," ",IF($AH19&lt;RAM,SUM(AI19:INDEX(Dix,RAM-BeginnAlter))+INDEX(Nx,RAM-BeginnAlter+1),INDEX(Nx,RAM-BeginnAlter+1)))</f>
        <v>2315719</v>
      </c>
      <c r="AK19" s="25">
        <f>IF($AH19&lt;RAM,SUM(AI19:INDEX(Dix,RAM-BeginnAlter))," ")</f>
        <v>2018472</v>
      </c>
      <c r="AL19" s="24">
        <f t="shared" si="7"/>
        <v>22.763999999999999</v>
      </c>
      <c r="AM19" s="24">
        <f t="shared" si="8"/>
        <v>22.305</v>
      </c>
      <c r="AN19" s="24">
        <f t="shared" si="9"/>
        <v>19.841999999999999</v>
      </c>
      <c r="AO19" s="24">
        <f t="shared" si="10"/>
        <v>19.475999999999999</v>
      </c>
      <c r="AP19" s="86"/>
      <c r="AQ19" s="35">
        <f t="shared" si="46"/>
        <v>27</v>
      </c>
      <c r="AR19" s="25">
        <f t="shared" si="11"/>
        <v>54535</v>
      </c>
      <c r="AS19" s="25">
        <f>SUM(AR19:AR$94)</f>
        <v>1677101</v>
      </c>
      <c r="AT19" s="25">
        <f>IF($AQ19&lt;RAM,SUM(AR19:INDEX(Dx,RAM-BeginnAlter))," ")</f>
        <v>1379854</v>
      </c>
      <c r="AU19" s="24">
        <f t="shared" si="12"/>
        <v>30.753</v>
      </c>
      <c r="AV19" s="24">
        <f t="shared" si="13"/>
        <v>30.294</v>
      </c>
      <c r="AW19" s="24">
        <f t="shared" si="14"/>
        <v>25.302</v>
      </c>
      <c r="AX19" s="24">
        <f t="shared" si="15"/>
        <v>25.015999999999998</v>
      </c>
      <c r="AY19" s="86"/>
      <c r="AZ19" s="35">
        <f t="shared" si="47"/>
        <v>27</v>
      </c>
      <c r="BA19" s="25">
        <f t="shared" si="16"/>
        <v>54535</v>
      </c>
      <c r="BB19" s="25">
        <f>SUM(BA19:BA$94)</f>
        <v>1635042</v>
      </c>
      <c r="BC19" s="24">
        <f t="shared" si="17"/>
        <v>29.981999999999999</v>
      </c>
      <c r="BD19" s="24">
        <f t="shared" si="18"/>
        <v>29.523</v>
      </c>
      <c r="BE19" s="86"/>
      <c r="BF19" s="35">
        <f t="shared" si="48"/>
        <v>10</v>
      </c>
      <c r="BG19" s="24">
        <f t="shared" si="19"/>
        <v>12.896000000000001</v>
      </c>
      <c r="BH19" s="24">
        <f t="shared" si="20"/>
        <v>12.766</v>
      </c>
      <c r="BI19" s="86"/>
      <c r="BJ19" s="35">
        <f t="shared" si="49"/>
        <v>27</v>
      </c>
      <c r="BK19" s="25">
        <f t="shared" si="21"/>
        <v>651</v>
      </c>
      <c r="BL19" s="25">
        <f>IF(BJ19&lt;RAM,SUM(BK19:INDEX(Daix,RAM-BeginnAlter))," ")</f>
        <v>130032</v>
      </c>
      <c r="BM19" s="25">
        <f>IF(BJ19&lt;RAM,SUM(BL19:INDEX(Naix,RAM-BeginnAlter))," ")</f>
        <v>3735484</v>
      </c>
      <c r="BN19" s="24">
        <f t="shared" si="22"/>
        <v>3.8250000000000002</v>
      </c>
      <c r="BO19" s="24">
        <f t="shared" si="23"/>
        <v>2.3940000000000001</v>
      </c>
      <c r="BP19" s="86"/>
      <c r="BQ19" s="35">
        <f t="shared" si="50"/>
        <v>27</v>
      </c>
      <c r="BR19" s="25">
        <f t="shared" si="51"/>
        <v>567</v>
      </c>
      <c r="BS19" s="25">
        <f>IF(BQ19&lt;RAM,SUM(BR19:INDEX(Daixs,RAM-BeginnAlter))," ")</f>
        <v>50566</v>
      </c>
      <c r="BT19" s="25">
        <f>IF(BQ19&lt;RAM,SUM(BS19:INDEX(Naixs,RAM-BeginnAlter))," ")</f>
        <v>1183814</v>
      </c>
      <c r="BU19" s="24">
        <f t="shared" si="52"/>
        <v>5.2889999999999997</v>
      </c>
      <c r="BV19" s="24">
        <f t="shared" si="53"/>
        <v>0.93100000000000005</v>
      </c>
      <c r="BW19" s="86"/>
      <c r="BX19" s="35">
        <f t="shared" si="54"/>
        <v>27</v>
      </c>
      <c r="BY19" s="10">
        <f t="shared" si="24"/>
        <v>14.92383782180373</v>
      </c>
      <c r="BZ19" s="11">
        <f t="shared" si="25"/>
        <v>268</v>
      </c>
      <c r="CA19" s="25">
        <f>IF(S20&lt;=RAK,IF($BX19&lt;RAM,SUM(BZ19:INDEX(Dazx,RAM-BeginnAlter)),""),"")</f>
        <v>21603</v>
      </c>
      <c r="CB19" s="24">
        <f t="shared" si="26"/>
        <v>0.39800000000000002</v>
      </c>
      <c r="CC19" s="25">
        <f t="shared" si="27"/>
        <v>31512</v>
      </c>
      <c r="CD19" s="24">
        <f t="shared" si="28"/>
        <v>21.303000000000001</v>
      </c>
      <c r="CE19" s="24">
        <f t="shared" si="29"/>
        <v>1.9E-2</v>
      </c>
      <c r="CF19" s="86"/>
      <c r="CG19" s="35">
        <f t="shared" si="55"/>
        <v>27</v>
      </c>
      <c r="CH19" s="25">
        <f>IF(CG19&lt;RAM,ROUND(v^($CG19+FaktorAlter)*$H19*($B19*0.5*($P19+$P20)*(VLOOKUP(TRUNC(0.5*($Q19+$Q20),0),Frauen!$AZ$9:$BD$95,5)+(0.5*($Q19+$Q20)-TRUNC(0.5*($Q19+$Q20),0))*(VLOOKUP(TRUNC(0.5*($Q19+$Q20)+1,0),Frauen!$AZ$9:$BD$95,5)-VLOOKUP(TRUNC(0.5*($Q19+$Q20),0),Frauen!$AZ$9:$BD$95,5)))+$C19*0.5*($CN19+$CN20)),RundDx),"")</f>
        <v>393</v>
      </c>
      <c r="CI19" s="25">
        <f>IF(CG19&lt;RAM,ROUND(SUM(CH19:INDEX(Dawx,RAM-BeginnAlter))+INDEX(Dax,RAM-BeginnAlter+1)*INDEX(äwx,1),RundDx),"")</f>
        <v>167440</v>
      </c>
      <c r="CJ19" s="25">
        <f>IF(CG19&lt;RAM,ROUND(SUM(CI19:INDEX(Nawx,RAM-BeginnAlter))+INDEX(Dax,RAM-BeginnAlter+1)*INDEX(äwx,1),RundDx),"")</f>
        <v>5483961</v>
      </c>
      <c r="CK19" s="24">
        <f t="shared" si="56"/>
        <v>3.0830000000000002</v>
      </c>
      <c r="CL19" s="25">
        <f>IF(CG19&lt;RAM,ROUND(v^($CG19+FaktorAlter)*$L19*$D19*0.5*($P19+$P20)*(VLOOKUP(TRUNC(0.5*($Q19+$Q20),0),Frauen!$AZ$9:$BD$95,5)+(0.5*($Q19+$Q20)-TRUNC(0.5*($Q19+$Q20),0))*(VLOOKUP(TRUNC(0.5*($Q19+$Q20)+1,0),Frauen!$AZ$9:$BD$95,5)-VLOOKUP(TRUNC(0.5*($Q19+$Q20),0),Frauen!$AZ$9:$BD$95,5))),RundDx),"")</f>
        <v>8271</v>
      </c>
      <c r="CM19" s="25">
        <f>IF(CG19&lt;RAM,SUM(CL19:INDEX(Diwx,RAM-BeginnAlter))+INDEX(Dix,RAM-BeginnAlter+1)*INDEX(äwx,1),"")</f>
        <v>686574.41399999999</v>
      </c>
      <c r="CN19" s="24">
        <f t="shared" si="57"/>
        <v>6.7489999999999997</v>
      </c>
      <c r="CO19" s="86"/>
      <c r="CP19" s="35">
        <f t="shared" si="58"/>
        <v>75</v>
      </c>
      <c r="CQ19" s="11">
        <f>ROUND(v^($CP19+FaktorAlter)*VLOOKUP(CP19,G$9:J$102,4)*VLOOKUP(CP19,A$9:E$102,5)*0.5*(VLOOKUP(CP19,O$9:P$102,2)+VLOOKUP(CP19+1,O$9:P$102,2))*(VLOOKUP(TRUNC(0.5*(VLOOKUP(CP19,O$9:Q$102,3)+VLOOKUP(CP19+1,O$9:Q$102,3)),0),Frauen!$AZ$9:$BD$95,5)+(0.5*(VLOOKUP(CP19,O$9:Q$102,3)+VLOOKUP(CP19+1,O$9:Q$102,3))-TRUNC(0.5*(VLOOKUP(CP19,O$9:Q$102,3)+VLOOKUP(CP19+1,O$9:Q$102,3)),0))*(VLOOKUP(TRUNC(0.5*(VLOOKUP(CP19,O$9:Q$102,3)+VLOOKUP(CP19+1,O$9:Q$102,3))+1,0),Frauen!$AZ$9:$BD$95,5)-VLOOKUP(TRUNC(0.5*(VLOOKUP(CP19,O$9:Q$102,3)+VLOOKUP(CP19+1,O$9:Q$102,3)),0),Frauen!$AZ$9:$BD$95,5))),RundDx)</f>
        <v>5015</v>
      </c>
      <c r="CR19" s="25">
        <f>SUM(CQ19:CQ$56)</f>
        <v>60770</v>
      </c>
      <c r="CS19" s="24">
        <f t="shared" si="30"/>
        <v>4.6920000000000002</v>
      </c>
      <c r="CT19" s="86"/>
      <c r="CU19" s="35">
        <f t="shared" si="59"/>
        <v>27</v>
      </c>
      <c r="CV19" s="25">
        <f>IF($CU19&gt;=RAM,"",IF($CU19-CV$103&lt;BeginnAlter,"",ROUND(v^($CU19+FaktorAlter)*$L19*$D19*0.5*(VLOOKUP($CU19-CV$103,Frauen!$G$9:$J$102,4)+VLOOKUP($CU19-CV$103+1,Frauen!$G$9:$J$102,4))*0.5*(VLOOKUP($CU19-CV$103,Frauen!$AZ$9:$BD$102,5)+VLOOKUP($CU19-CV$103+1,Frauen!$AZ$9:$BD$102,5)),RundDx)))</f>
        <v>3546497416</v>
      </c>
      <c r="CW19" s="25">
        <f>IF($CU19&gt;=RAM,"",IF($CU19-CW$103&lt;BeginnAlter,"",ROUND(v^($CU19+FaktorAlter)*$L19*$D19*0.5*(VLOOKUP($CU19-CW$103,Frauen!$G$9:$J$102,4)+VLOOKUP($CU19-CW$103+1,Frauen!$G$9:$J$102,4))*0.5*(VLOOKUP($CU19-CW$103,Frauen!$AZ$9:$BD$102,5)+VLOOKUP($CU19-CW$103+1,Frauen!$AZ$9:$BD$102,5)),RundDx)))</f>
        <v>3601307776</v>
      </c>
      <c r="CX19" s="25">
        <f>IF($CU19&gt;=RAM,"",IF($CU19-CX$103&lt;BeginnAlter,"",ROUND(v^($CU19+FaktorAlter)*$L19*$D19*0.5*(VLOOKUP($CU19-CX$103,Frauen!$G$9:$J$102,4)+VLOOKUP($CU19-CX$103+1,Frauen!$G$9:$J$102,4))*0.5*(VLOOKUP($CU19-CX$103,Frauen!$AZ$9:$BD$102,5)+VLOOKUP($CU19-CX$103+1,Frauen!$AZ$9:$BD$102,5)),RundDx)))</f>
        <v>3654896712</v>
      </c>
      <c r="CY19" s="25">
        <f>IF($CU19&gt;=RAM,"",IF($CU19-CY$103&lt;BeginnAlter,"",ROUND(v^($CU19+FaktorAlter)*$L19*$D19*0.5*(VLOOKUP($CU19-CY$103,Frauen!$G$9:$J$102,4)+VLOOKUP($CU19-CY$103+1,Frauen!$G$9:$J$102,4))*0.5*(VLOOKUP($CU19-CY$103,Frauen!$AZ$9:$BD$102,5)+VLOOKUP($CU19-CY$103+1,Frauen!$AZ$9:$BD$102,5)),RundDx)))</f>
        <v>3707300755</v>
      </c>
      <c r="CZ19" s="25">
        <f>IF($CU19&gt;=RAM,"",IF($CU19-CZ$103&lt;BeginnAlter,"",ROUND(v^($CU19+FaktorAlter)*$L19*$D19*0.5*(VLOOKUP($CU19-CZ$103,Frauen!$G$9:$J$102,4)+VLOOKUP($CU19-CZ$103+1,Frauen!$G$9:$J$102,4))*0.5*(VLOOKUP($CU19-CZ$103,Frauen!$AZ$9:$BD$102,5)+VLOOKUP($CU19-CZ$103+1,Frauen!$AZ$9:$BD$102,5)),RundDx)))</f>
        <v>3758540986</v>
      </c>
      <c r="DA19" s="25">
        <f>IF($CU19&gt;=RAM,"",IF($CU19-DA$103&lt;BeginnAlter,"",ROUND(v^($CU19+FaktorAlter)*$L19*$D19*0.5*(VLOOKUP($CU19-DA$103,Frauen!$G$9:$J$102,4)+VLOOKUP($CU19-DA$103+1,Frauen!$G$9:$J$102,4))*0.5*(VLOOKUP($CU19-DA$103,Frauen!$AZ$9:$BD$102,5)+VLOOKUP($CU19-DA$103+1,Frauen!$AZ$9:$BD$102,5)),RundDx)))</f>
        <v>3808708063</v>
      </c>
      <c r="DB19" s="25">
        <f>IF($CU19&gt;=RAM,"",IF($CU19-DB$103&lt;BeginnAlter,"",ROUND(v^($CU19+FaktorAlter)*$L19*$D19*0.5*(VLOOKUP($CU19-DB$103,Frauen!$G$9:$J$102,4)+VLOOKUP($CU19-DB$103+1,Frauen!$G$9:$J$102,4))*0.5*(VLOOKUP($CU19-DB$103,Frauen!$AZ$9:$BD$102,5)+VLOOKUP($CU19-DB$103+1,Frauen!$AZ$9:$BD$102,5)),RundDx)))</f>
        <v>3857895191</v>
      </c>
      <c r="DC19" s="25">
        <f>IF($CU19&gt;=RAM,"",IF($CU19-DC$103&lt;BeginnAlter,"",ROUND(v^($CU19+FaktorAlter)*$L19*$D19*0.5*(VLOOKUP($CU19-DC$103,Frauen!$G$9:$J$102,4)+VLOOKUP($CU19-DC$103+1,Frauen!$G$9:$J$102,4))*0.5*(VLOOKUP($CU19-DC$103,Frauen!$AZ$9:$BD$102,5)+VLOOKUP($CU19-DC$103+1,Frauen!$AZ$9:$BD$102,5)),RundDx)))</f>
        <v>3906130748</v>
      </c>
      <c r="DD19" s="25">
        <f>IF($CU19&gt;=RAM,"",IF($CU19-DD$103&lt;BeginnAlter,"",ROUND(v^($CU19+FaktorAlter)*$L19*$D19*0.5*(VLOOKUP($CU19-DD$103,Frauen!$G$9:$J$102,4)+VLOOKUP($CU19-DD$103+1,Frauen!$G$9:$J$102,4))*0.5*(VLOOKUP($CU19-DD$103,Frauen!$AZ$9:$BD$102,5)+VLOOKUP($CU19-DD$103+1,Frauen!$AZ$9:$BD$102,5)),RundDx)))</f>
        <v>3953377943</v>
      </c>
      <c r="DE19" s="25">
        <f>IF($CU19&gt;=RAM,"",IF($CU19-DE$103&lt;BeginnAlter,"",ROUND(v^($CU19+FaktorAlter)*$L19*$D19*0.5*(VLOOKUP($CU19-DE$103,Frauen!$G$9:$J$102,4)+VLOOKUP($CU19-DE$103+1,Frauen!$G$9:$J$102,4))*0.5*(VLOOKUP($CU19-DE$103,Frauen!$AZ$9:$BD$102,5)+VLOOKUP($CU19-DE$103+1,Frauen!$AZ$9:$BD$102,5)),RundDx)))</f>
        <v>3999649060</v>
      </c>
      <c r="DF19" s="25">
        <f>IF($CU19&gt;=RAM,"",IF($CU19-DF$103&lt;BeginnAlter,"",ROUND(v^($CU19+FaktorAlter)*$L19*$D19*0.5*(VLOOKUP($CU19-DF$103,Frauen!$G$9:$J$102,4)+VLOOKUP($CU19-DF$103+1,Frauen!$G$9:$J$102,4))*0.5*(VLOOKUP($CU19-DF$103,Frauen!$AZ$9:$BD$102,5)+VLOOKUP($CU19-DF$103+1,Frauen!$AZ$9:$BD$102,5)),RundDx)))</f>
        <v>4044957483</v>
      </c>
      <c r="DG19" s="25">
        <f>IF($CU19&gt;=RAM,"",IF($CU19-DG$103&lt;BeginnAlter,"",ROUND(v^($CU19+FaktorAlter)*$L19*$D19*0.5*(VLOOKUP($CU19-DG$103,Frauen!$G$9:$J$102,4)+VLOOKUP($CU19-DG$103+1,Frauen!$G$9:$J$102,4))*0.5*(VLOOKUP($CU19-DG$103,Frauen!$AZ$9:$BD$102,5)+VLOOKUP($CU19-DG$103+1,Frauen!$AZ$9:$BD$102,5)),RundDx)))</f>
        <v>4089385062</v>
      </c>
      <c r="DH19" s="25">
        <f>IF($CU19&gt;=RAM,"",IF($CU19-DH$103&lt;BeginnAlter,"",ROUND(v^($CU19+FaktorAlter)*$L19*$D19*0.5*(VLOOKUP($CU19-DH$103,Frauen!$G$9:$J$102,4)+VLOOKUP($CU19-DH$103+1,Frauen!$G$9:$J$102,4))*0.5*(VLOOKUP($CU19-DH$103,Frauen!$AZ$9:$BD$102,5)+VLOOKUP($CU19-DH$103+1,Frauen!$AZ$9:$BD$102,5)),RundDx)))</f>
        <v>4132947361</v>
      </c>
      <c r="DI19" s="25">
        <f>IF($CU19&gt;=RAM,"",IF($CU19-DI$103&lt;BeginnAlter,"",ROUND(v^($CU19+FaktorAlter)*$L19*$D19*0.5*(VLOOKUP($CU19-DI$103,Frauen!$G$9:$J$102,4)+VLOOKUP($CU19-DI$103+1,Frauen!$G$9:$J$102,4))*0.5*(VLOOKUP($CU19-DI$103,Frauen!$AZ$9:$BD$102,5)+VLOOKUP($CU19-DI$103+1,Frauen!$AZ$9:$BD$102,5)),RundDx)))</f>
        <v>4175593425</v>
      </c>
      <c r="DJ19" s="25">
        <f>IF($CU19&gt;=RAM,"",IF($CU19-DJ$103&lt;BeginnAlter,"",ROUND(v^($CU19+FaktorAlter)*$L19*$D19*0.5*(VLOOKUP($CU19-DJ$103,Frauen!$G$9:$J$102,4)+VLOOKUP($CU19-DJ$103+1,Frauen!$G$9:$J$102,4))*0.5*(VLOOKUP($CU19-DJ$103,Frauen!$AZ$9:$BD$102,5)+VLOOKUP($CU19-DJ$103+1,Frauen!$AZ$9:$BD$102,5)),RundDx)))</f>
        <v>4217319441</v>
      </c>
      <c r="DK19" s="25">
        <f>IF($CU19&gt;=RAM,"",IF($CU19-DK$103&lt;BeginnAlter,"",ROUND(v^($CU19+FaktorAlter)*$L19*$D19*0.5*(VLOOKUP($CU19-DK$103,Frauen!$G$9:$J$102,4)+VLOOKUP($CU19-DK$103+1,Frauen!$G$9:$J$102,4))*0.5*(VLOOKUP($CU19-DK$103,Frauen!$AZ$9:$BD$102,5)+VLOOKUP($CU19-DK$103+1,Frauen!$AZ$9:$BD$102,5)),RundDx)))</f>
        <v>4258167902</v>
      </c>
      <c r="DL19" s="25">
        <f>IF($CU19&gt;=RAM,"",IF($CU19-DL$103&lt;BeginnAlter,"",ROUND(v^($CU19+FaktorAlter)*$L19*$D19*0.5*(VLOOKUP($CU19-DL$103,Frauen!$G$9:$J$102,4)+VLOOKUP($CU19-DL$103+1,Frauen!$G$9:$J$102,4))*0.5*(VLOOKUP($CU19-DL$103,Frauen!$AZ$9:$BD$102,5)+VLOOKUP($CU19-DL$103+1,Frauen!$AZ$9:$BD$102,5)),RundDx)))</f>
        <v>4298248344</v>
      </c>
      <c r="DM19" s="25">
        <f>IF($CU19&gt;=RAM,"",IF($CU19-DM$103&lt;BeginnAlter,"",ROUND(v^($CU19+FaktorAlter)*$L19*$D19*0.5*(VLOOKUP($CU19-DM$103,Frauen!$G$9:$J$102,4)+VLOOKUP($CU19-DM$103+1,Frauen!$G$9:$J$102,4))*0.5*(VLOOKUP($CU19-DM$103,Frauen!$AZ$9:$BD$102,5)+VLOOKUP($CU19-DM$103+1,Frauen!$AZ$9:$BD$102,5)),RundDx)))</f>
        <v>4337467088</v>
      </c>
      <c r="DN19" s="25">
        <f>IF($CU19&gt;=RAM,"",IF($CU19-DN$103&lt;BeginnAlter,"",ROUND(v^($CU19+FaktorAlter)*$L19*$D19*0.5*(VLOOKUP($CU19-DN$103,Frauen!$G$9:$J$102,4)+VLOOKUP($CU19-DN$103+1,Frauen!$G$9:$J$102,4))*0.5*(VLOOKUP($CU19-DN$103,Frauen!$AZ$9:$BD$102,5)+VLOOKUP($CU19-DN$103+1,Frauen!$AZ$9:$BD$102,5)),RundDx)))</f>
        <v>4375864997</v>
      </c>
      <c r="DO19" s="25">
        <f>IF($CU19&gt;=RAM,"",IF($CU19-DO$103&lt;BeginnAlter,"",ROUND(v^($CU19+FaktorAlter)*$L19*$D19*0.5*(VLOOKUP($CU19-DO$103,Frauen!$G$9:$J$102,4)+VLOOKUP($CU19-DO$103+1,Frauen!$G$9:$J$102,4))*0.5*(VLOOKUP($CU19-DO$103,Frauen!$AZ$9:$BD$102,5)+VLOOKUP($CU19-DO$103+1,Frauen!$AZ$9:$BD$102,5)),RundDx)))</f>
        <v>4413504550</v>
      </c>
      <c r="DP19" s="25">
        <f>IF($CU19&gt;=RAM,"",IF($CU19-DP$103&lt;BeginnAlter,"",ROUND(v^($CU19+FaktorAlter)*$L19*$D19*0.5*(VLOOKUP($CU19-DP$103,Frauen!$G$9:$J$102,4)+VLOOKUP($CU19-DP$103+1,Frauen!$G$9:$J$102,4))*0.5*(VLOOKUP($CU19-DP$103,Frauen!$AZ$9:$BD$102,5)+VLOOKUP($CU19-DP$103+1,Frauen!$AZ$9:$BD$102,5)),RundDx)))</f>
        <v>4450358526</v>
      </c>
      <c r="DQ19" s="25">
        <f>IF($CU19&gt;=RAM,"",IF($CU19-DQ$103&lt;BeginnAlter,"",ROUND(v^($CU19+FaktorAlter)*$L19*$D19*0.5*(VLOOKUP($CU19-DQ$103,Frauen!$G$9:$J$102,4)+VLOOKUP($CU19-DQ$103+1,Frauen!$G$9:$J$102,4))*0.5*(VLOOKUP($CU19-DQ$103,Frauen!$AZ$9:$BD$102,5)+VLOOKUP($CU19-DQ$103+1,Frauen!$AZ$9:$BD$102,5)),RundDx)))</f>
        <v>4486466835</v>
      </c>
      <c r="DR19" s="25">
        <f>IF($CU19&gt;=RAM,"",IF($CU19-DR$103&lt;BeginnAlter,"",ROUND(v^($CU19+FaktorAlter)*$L19*$D19*0.5*(VLOOKUP($CU19-DR$103,Frauen!$G$9:$J$102,4)+VLOOKUP($CU19-DR$103+1,Frauen!$G$9:$J$102,4))*0.5*(VLOOKUP($CU19-DR$103,Frauen!$AZ$9:$BD$102,5)+VLOOKUP($CU19-DR$103+1,Frauen!$AZ$9:$BD$102,5)),RundDx)))</f>
        <v>4521756134</v>
      </c>
      <c r="DS19" s="25">
        <f>IF($CU19&gt;=RAM,"",IF($CU19-DS$103&lt;BeginnAlter,"",ROUND(v^($CU19+FaktorAlter)*$L19*$D19*0.5*(VLOOKUP($CU19-DS$103,Frauen!$G$9:$J$102,4)+VLOOKUP($CU19-DS$103+1,Frauen!$G$9:$J$102,4))*0.5*(VLOOKUP($CU19-DS$103,Frauen!$AZ$9:$BD$102,5)+VLOOKUP($CU19-DS$103+1,Frauen!$AZ$9:$BD$102,5)),RundDx)))</f>
        <v>4556243702</v>
      </c>
      <c r="DT19" s="25">
        <f>IF($CU19&gt;=RAM,"",IF($CU19-DT$103&lt;BeginnAlter,"",ROUND(v^($CU19+FaktorAlter)*$L19*$D19*0.5*(VLOOKUP($CU19-DT$103,Frauen!$G$9:$J$102,4)+VLOOKUP($CU19-DT$103+1,Frauen!$G$9:$J$102,4))*0.5*(VLOOKUP($CU19-DT$103,Frauen!$AZ$9:$BD$102,5)+VLOOKUP($CU19-DT$103+1,Frauen!$AZ$9:$BD$102,5)),RundDx)))</f>
        <v>4590061286</v>
      </c>
      <c r="DU19" s="25">
        <f>IF($CU19&gt;=RAM,"",IF($CU19-DU$103&lt;BeginnAlter,"",ROUND(v^($CU19+FaktorAlter)*$L19*$D19*0.5*(VLOOKUP($CU19-DU$103,Frauen!$G$9:$J$102,4)+VLOOKUP($CU19-DU$103+1,Frauen!$G$9:$J$102,4))*0.5*(VLOOKUP($CU19-DU$103,Frauen!$AZ$9:$BD$102,5)+VLOOKUP($CU19-DU$103+1,Frauen!$AZ$9:$BD$102,5)),RundDx)))</f>
        <v>4623139615</v>
      </c>
      <c r="DV19" s="25" t="str">
        <f>IF($CU19&gt;=RAM,"",IF($CU19-DV$103&lt;BeginnAlter,"",ROUND(v^($CU19+FaktorAlter)*$L19*$D19*0.5*(VLOOKUP($CU19-DV$103,Frauen!$G$9:$J$102,4)+VLOOKUP($CU19-DV$103+1,Frauen!$G$9:$J$102,4))*0.5*(VLOOKUP($CU19-DV$103,Frauen!$AZ$9:$BD$102,5)+VLOOKUP($CU19-DV$103+1,Frauen!$AZ$9:$BD$102,5)),RundDx)))</f>
        <v/>
      </c>
      <c r="DW19" s="25" t="str">
        <f>IF($CU19&gt;=RAM,"",IF($CU19-DW$103&lt;BeginnAlter,"",ROUND(v^($CU19+FaktorAlter)*$L19*$D19*0.5*(VLOOKUP($CU19-DW$103,Frauen!$G$9:$J$102,4)+VLOOKUP($CU19-DW$103+1,Frauen!$G$9:$J$102,4))*0.5*(VLOOKUP($CU19-DW$103,Frauen!$AZ$9:$BD$102,5)+VLOOKUP($CU19-DW$103+1,Frauen!$AZ$9:$BD$102,5)),RundDx)))</f>
        <v/>
      </c>
      <c r="DX19" s="25" t="str">
        <f>IF($CU19&gt;=RAM,"",IF($CU19-DX$103&lt;BeginnAlter,"",ROUND(v^($CU19+FaktorAlter)*$L19*$D19*0.5*(VLOOKUP($CU19-DX$103,Frauen!$G$9:$J$102,4)+VLOOKUP($CU19-DX$103+1,Frauen!$G$9:$J$102,4))*0.5*(VLOOKUP($CU19-DX$103,Frauen!$AZ$9:$BD$102,5)+VLOOKUP($CU19-DX$103+1,Frauen!$AZ$9:$BD$102,5)),RundDx)))</f>
        <v/>
      </c>
      <c r="DY19" s="25" t="str">
        <f>IF($CU19&gt;=RAM,"",IF($CU19-DY$103&lt;BeginnAlter,"",ROUND(v^($CU19+FaktorAlter)*$L19*$D19*0.5*(VLOOKUP($CU19-DY$103,Frauen!$G$9:$J$102,4)+VLOOKUP($CU19-DY$103+1,Frauen!$G$9:$J$102,4))*0.5*(VLOOKUP($CU19-DY$103,Frauen!$AZ$9:$BD$102,5)+VLOOKUP($CU19-DY$103+1,Frauen!$AZ$9:$BD$102,5)),RundDx)))</f>
        <v/>
      </c>
      <c r="DZ19" s="25" t="str">
        <f>IF($CU19&gt;=RAM,"",IF($CU19-DZ$103&lt;BeginnAlter,"",ROUND(v^($CU19+FaktorAlter)*$L19*$D19*0.5*(VLOOKUP($CU19-DZ$103,Frauen!$G$9:$J$102,4)+VLOOKUP($CU19-DZ$103+1,Frauen!$G$9:$J$102,4))*0.5*(VLOOKUP($CU19-DZ$103,Frauen!$AZ$9:$BD$102,5)+VLOOKUP($CU19-DZ$103+1,Frauen!$AZ$9:$BD$102,5)),RundDx)))</f>
        <v/>
      </c>
      <c r="EA19" s="43">
        <f>IF($CU19&gt;=RAM,"",IF($CU19-EA$103&lt;BeginnAlter,"",ROUND((SUM(CV19:CV$56)+SUM(FN$9:FN$56))/VLOOKUP($CU19,$AH$9:$AI$102,2)/VLOOKUP($CU19-EA$103,Frauen!$G$9:$J$102,4),Rundäx)))</f>
        <v>7.0469999999999997</v>
      </c>
      <c r="EB19" s="43">
        <f>IF($CU19&gt;=RAM,"",IF($CU19-EB$103&lt;BeginnAlter,"",ROUND((SUM(CW19:CW$56)+SUM(FO$9:FO$56))/VLOOKUP($CU19,$AH$9:$AI$102,2)/VLOOKUP($CU19-EB$103,Frauen!$G$9:$J$102,4),Rundäx)))</f>
        <v>7.2569999999999997</v>
      </c>
      <c r="EC19" s="43">
        <f>IF($CU19&gt;=RAM,"",IF($CU19-EC$103&lt;BeginnAlter,"",ROUND((SUM(CX19:CX$56)+SUM(FP$9:FP$56))/VLOOKUP($CU19,$AH$9:$AI$102,2)/VLOOKUP($CU19-EC$103,Frauen!$G$9:$J$102,4),Rundäx)))</f>
        <v>7.4669999999999996</v>
      </c>
      <c r="ED19" s="43">
        <f>IF($CU19&gt;=RAM,"",IF($CU19-ED$103&lt;BeginnAlter,"",ROUND((SUM(CY19:CY$56)+SUM(FQ$9:FQ$56))/VLOOKUP($CU19,$AH$9:$AI$102,2)/VLOOKUP($CU19-ED$103,Frauen!$G$9:$J$102,4),Rundäx)))</f>
        <v>7.6779999999999999</v>
      </c>
      <c r="EE19" s="43">
        <f>IF($CU19&gt;=RAM,"",IF($CU19-EE$103&lt;BeginnAlter,"",ROUND((SUM(CZ19:CZ$56)+SUM(FR$9:FR$56))/VLOOKUP($CU19,$AH$9:$AI$102,2)/VLOOKUP($CU19-EE$103,Frauen!$G$9:$J$102,4),Rundäx)))</f>
        <v>7.8890000000000002</v>
      </c>
      <c r="EF19" s="43">
        <f>IF($CU19&gt;=RAM,"",IF($CU19-EF$103&lt;BeginnAlter,"",ROUND((SUM(DA19:DA$56)+SUM(FS$9:FS$56))/VLOOKUP($CU19,$AH$9:$AI$102,2)/VLOOKUP($CU19-EF$103,Frauen!$G$9:$J$102,4),Rundäx)))</f>
        <v>8.1010000000000009</v>
      </c>
      <c r="EG19" s="43">
        <f>IF($CU19&gt;=RAM,"",IF($CU19-EG$103&lt;BeginnAlter,"",ROUND((SUM(DB19:DB$56)+SUM(FT$9:FT$56))/VLOOKUP($CU19,$AH$9:$AI$102,2)/VLOOKUP($CU19-EG$103,Frauen!$G$9:$J$102,4),Rundäx)))</f>
        <v>8.3130000000000006</v>
      </c>
      <c r="EH19" s="43">
        <f>IF($CU19&gt;=RAM,"",IF($CU19-EH$103&lt;BeginnAlter,"",ROUND((SUM(DC19:DC$56)+SUM(FU$9:FU$56))/VLOOKUP($CU19,$AH$9:$AI$102,2)/VLOOKUP($CU19-EH$103,Frauen!$G$9:$J$102,4),Rundäx)))</f>
        <v>8.5259999999999998</v>
      </c>
      <c r="EI19" s="86"/>
      <c r="EJ19" s="35">
        <f t="shared" si="60"/>
        <v>27</v>
      </c>
      <c r="EK19" s="43">
        <f>IF($CU19&gt;=RAM,"",IF($CU19-EK$103&lt;BeginnAlter,"",ROUND((SUM(DD19:DD$56)+SUM(FV$9:FV$56))/VLOOKUP($CU19,$AH$9:$AI$102,2)/VLOOKUP($CU19-EK$103,Frauen!$G$9:$J$102,4),Rundäx)))</f>
        <v>8.7390000000000008</v>
      </c>
      <c r="EL19" s="43">
        <f>IF($CU19&gt;=RAM,"",IF($CU19-EL$103&lt;BeginnAlter,"",ROUND((SUM(DE19:DE$56)+SUM(FW$9:FW$56))/VLOOKUP($CU19,$AH$9:$AI$102,2)/VLOOKUP($CU19-EL$103,Frauen!$G$9:$J$102,4),Rundäx)))</f>
        <v>8.9529999999999994</v>
      </c>
      <c r="EM19" s="43">
        <f>IF($CU19&gt;=RAM,"",IF($CU19-EM$103&lt;BeginnAlter,"",ROUND((SUM(DF19:DF$56)+SUM(FX$9:FX$56))/VLOOKUP($CU19,$AH$9:$AI$102,2)/VLOOKUP($CU19-EM$103,Frauen!$G$9:$J$102,4),Rundäx)))</f>
        <v>9.1660000000000004</v>
      </c>
      <c r="EN19" s="43">
        <f>IF($CU19&gt;=RAM,"",IF($CU19-EN$103&lt;BeginnAlter,"",ROUND((SUM(DG19:DG$56)+SUM(FY$9:FY$56))/VLOOKUP($CU19,$AH$9:$AI$102,2)/VLOOKUP($CU19-EN$103,Frauen!$G$9:$J$102,4),Rundäx)))</f>
        <v>9.3800000000000008</v>
      </c>
      <c r="EO19" s="43">
        <f>IF($CU19&gt;=RAM,"",IF($CU19-EO$103&lt;BeginnAlter,"",ROUND((SUM(DH19:DH$56)+SUM(FZ$9:FZ$56))/VLOOKUP($CU19,$AH$9:$AI$102,2)/VLOOKUP($CU19-EO$103,Frauen!$G$9:$J$102,4),Rundäx)))</f>
        <v>9.593</v>
      </c>
      <c r="EP19" s="43">
        <f>IF($CU19&gt;=RAM,"",IF($CU19-EP$103&lt;BeginnAlter,"",ROUND((SUM(DI19:DI$56)+SUM(GA$9:GA$56))/VLOOKUP($CU19,$AH$9:$AI$102,2)/VLOOKUP($CU19-EP$103,Frauen!$G$9:$J$102,4),Rundäx)))</f>
        <v>9.8070000000000004</v>
      </c>
      <c r="EQ19" s="43">
        <f>IF($CU19&gt;=RAM,"",IF($CU19-EQ$103&lt;BeginnAlter,"",ROUND((SUM(DJ19:DJ$56)+SUM(GB$9:GB$56))/VLOOKUP($CU19,$AH$9:$AI$102,2)/VLOOKUP($CU19-EQ$103,Frauen!$G$9:$J$102,4),Rundäx)))</f>
        <v>10.02</v>
      </c>
      <c r="ER19" s="43">
        <f>IF($CU19&gt;=RAM,"",IF($CU19-ER$103&lt;BeginnAlter,"",ROUND((SUM(DK19:DK$56)+SUM(GC$9:GC$56))/VLOOKUP($CU19,$AH$9:$AI$102,2)/VLOOKUP($CU19-ER$103,Frauen!$G$9:$J$102,4),Rundäx)))</f>
        <v>10.233000000000001</v>
      </c>
      <c r="ES19" s="86"/>
      <c r="ET19" s="35">
        <f t="shared" si="61"/>
        <v>27</v>
      </c>
      <c r="EU19" s="43">
        <f>IF($CU19&gt;=RAM,"",IF($CU19-EU$103&lt;BeginnAlter,"",ROUND((SUM(DL19:DL$56)+SUM(GD$9:GD$56))/VLOOKUP($CU19,$AH$9:$AI$102,2)/VLOOKUP($CU19-EU$103,Frauen!$G$9:$J$102,4),Rundäx)))</f>
        <v>10.446</v>
      </c>
      <c r="EV19" s="43">
        <f>IF($CU19&gt;=RAM,"",IF($CU19-EV$103&lt;BeginnAlter,"",ROUND((SUM(DM19:DM$56)+SUM(GE$9:GE$56))/VLOOKUP($CU19,$AH$9:$AI$102,2)/VLOOKUP($CU19-EV$103,Frauen!$G$9:$J$102,4),Rundäx)))</f>
        <v>10.659000000000001</v>
      </c>
      <c r="EW19" s="43">
        <f>IF($CU19&gt;=RAM,"",IF($CU19-EW$103&lt;BeginnAlter,"",ROUND((SUM(DN19:DN$56)+SUM(GF$9:GF$56))/VLOOKUP($CU19,$AH$9:$AI$102,2)/VLOOKUP($CU19-EW$103,Frauen!$G$9:$J$102,4),Rundäx)))</f>
        <v>10.871</v>
      </c>
      <c r="EX19" s="43">
        <f>IF($CU19&gt;=RAM,"",IF($CU19-EX$103&lt;BeginnAlter,"",ROUND((SUM(DO19:DO$56)+SUM(GG$9:GG$56))/VLOOKUP($CU19,$AH$9:$AI$102,2)/VLOOKUP($CU19-EX$103,Frauen!$G$9:$J$102,4),Rundäx)))</f>
        <v>11.082000000000001</v>
      </c>
      <c r="EY19" s="43">
        <f>IF($CU19&gt;=RAM,"",IF($CU19-EY$103&lt;BeginnAlter,"",ROUND((SUM(DP19:DP$56)+SUM(GH$9:GH$56))/VLOOKUP($CU19,$AH$9:$AI$102,2)/VLOOKUP($CU19-EY$103,Frauen!$G$9:$J$102,4),Rundäx)))</f>
        <v>11.292999999999999</v>
      </c>
      <c r="EZ19" s="43">
        <f>IF($CU19&gt;=RAM,"",IF($CU19-EZ$103&lt;BeginnAlter,"",ROUND((SUM(DQ19:DQ$56)+SUM(GI$9:GI$56))/VLOOKUP($CU19,$AH$9:$AI$102,2)/VLOOKUP($CU19-EZ$103,Frauen!$G$9:$J$102,4),Rundäx)))</f>
        <v>11.502000000000001</v>
      </c>
      <c r="FA19" s="43">
        <f>IF($CU19&gt;=RAM,"",IF($CU19-FA$103&lt;BeginnAlter,"",ROUND((SUM(DR19:DR$56)+SUM(GJ$9:GJ$56))/VLOOKUP($CU19,$AH$9:$AI$102,2)/VLOOKUP($CU19-FA$103,Frauen!$G$9:$J$102,4),Rundäx)))</f>
        <v>11.711</v>
      </c>
      <c r="FB19" s="43">
        <f>IF($CU19&gt;=RAM,"",IF($CU19-FB$103&lt;BeginnAlter,"",ROUND((SUM(DS19:DS$56)+SUM(GK$9:GK$56))/VLOOKUP($CU19,$AH$9:$AI$102,2)/VLOOKUP($CU19-FB$103,Frauen!$G$9:$J$102,4),Rundäx)))</f>
        <v>11.919</v>
      </c>
      <c r="FC19" s="86"/>
      <c r="FD19" s="35">
        <f t="shared" si="62"/>
        <v>27</v>
      </c>
      <c r="FE19" s="43">
        <f>IF($CU19&gt;=RAM,"",IF($CU19-FE$103&lt;BeginnAlter,"",ROUND((SUM(DT19:DT$56)+SUM(GL$9:GL$56))/VLOOKUP($CU19,$AH$9:$AI$102,2)/VLOOKUP($CU19-FE$103,Frauen!$G$9:$J$102,4),Rundäx)))</f>
        <v>12.125</v>
      </c>
      <c r="FF19" s="43">
        <f>IF($CU19&gt;=RAM,"",IF($CU19-FF$103&lt;BeginnAlter,"",ROUND((SUM(DU19:DU$56)+SUM(GM$9:GM$56))/VLOOKUP($CU19,$AH$9:$AI$102,2)/VLOOKUP($CU19-FF$103,Frauen!$G$9:$J$102,4),Rundäx)))</f>
        <v>12.329000000000001</v>
      </c>
      <c r="FG19" s="43" t="str">
        <f>IF($CU19&gt;=RAM,"",IF($CU19-FG$103&lt;BeginnAlter,"",ROUND((SUM(DV19:DV$56)+SUM(GN$9:GN$56))/VLOOKUP($CU19,$AH$9:$AI$102,2)/VLOOKUP($CU19-FG$103,Frauen!$G$9:$J$102,4),Rundäx)))</f>
        <v/>
      </c>
      <c r="FH19" s="43" t="str">
        <f>IF($CU19&gt;=RAM,"",IF($CU19-FH$103&lt;BeginnAlter,"",ROUND((SUM(DW19:DW$56)+SUM(GO$9:GO$56))/VLOOKUP($CU19,$AH$9:$AI$102,2)/VLOOKUP($CU19-FH$103,Frauen!$G$9:$J$102,4),Rundäx)))</f>
        <v/>
      </c>
      <c r="FI19" s="43" t="str">
        <f>IF($CU19&gt;=RAM,"",IF($CU19-FI$103&lt;BeginnAlter,"",ROUND((SUM(DX19:DX$56)+SUM(GP$9:GP$56))/VLOOKUP($CU19,$AH$9:$AI$102,2)/VLOOKUP($CU19-FI$103,Frauen!$G$9:$J$102,4),Rundäx)))</f>
        <v/>
      </c>
      <c r="FJ19" s="43" t="str">
        <f>IF($CU19&gt;=RAM,"",IF($CU19-FJ$103&lt;BeginnAlter,"",ROUND((SUM(DY19:DY$56)+SUM(GQ$9:GQ$56))/VLOOKUP($CU19,$AH$9:$AI$102,2)/VLOOKUP($CU19-FJ$103,Frauen!$G$9:$J$102,4),Rundäx)))</f>
        <v/>
      </c>
      <c r="FK19" s="43" t="str">
        <f>IF($CU19&gt;=RAM,"",IF($CU19-FK$103&lt;BeginnAlter,"",ROUND((SUM(DZ19:DZ$56)+SUM(GR$9:GR$56))/VLOOKUP($CU19,$AH$9:$AI$102,2)/VLOOKUP($CU19-FK$103,Frauen!$G$9:$J$102,4),Rundäx)))</f>
        <v/>
      </c>
      <c r="FL19" s="86"/>
      <c r="FM19" s="35">
        <f t="shared" si="68"/>
        <v>75</v>
      </c>
      <c r="FN19" s="25">
        <f>ROUND(v^($FM19+FaktorAlter)*VLOOKUP($FM19,$G$9:$J$102,4)*VLOOKUP($FM19,$A$9:$E$102,5)*0.5*(VLOOKUP($FM19-FN$103,Frauen!$G$9:$J$102,4)+VLOOKUP($FM19-FN$103+1,Frauen!$G$9:$J$102,4))*0.5*(VLOOKUP($FM19-FN$103,Frauen!$AZ$9:$BD$102,5)+VLOOKUP($FM19-FN$103+1,Frauen!$AZ$9:$BD$102,5)),RundDx)</f>
        <v>50256434</v>
      </c>
      <c r="FO19" s="25">
        <f>ROUND(v^($FM19+FaktorAlter)*VLOOKUP($FM19,$G$9:$J$102,4)*VLOOKUP($FM19,$A$9:$E$102,5)*0.5*(VLOOKUP($FM19-FO$103,Frauen!$G$9:$J$102,4)+VLOOKUP($FM19-FO$103+1,Frauen!$G$9:$J$102,4))*0.5*(VLOOKUP($FM19-FO$103,Frauen!$AZ$9:$BD$102,5)+VLOOKUP($FM19-FO$103+1,Frauen!$AZ$9:$BD$102,5)),RundDx)</f>
        <v>63914037</v>
      </c>
      <c r="FP19" s="25">
        <f>ROUND(v^($FM19+FaktorAlter)*VLOOKUP($FM19,$G$9:$J$102,4)*VLOOKUP($FM19,$A$9:$E$102,5)*0.5*(VLOOKUP($FM19-FP$103,Frauen!$G$9:$J$102,4)+VLOOKUP($FM19-FP$103+1,Frauen!$G$9:$J$102,4))*0.5*(VLOOKUP($FM19-FP$103,Frauen!$AZ$9:$BD$102,5)+VLOOKUP($FM19-FP$103+1,Frauen!$AZ$9:$BD$102,5)),RundDx)</f>
        <v>79594083</v>
      </c>
      <c r="FQ19" s="25">
        <f>ROUND(v^($FM19+FaktorAlter)*VLOOKUP($FM19,$G$9:$J$102,4)*VLOOKUP($FM19,$A$9:$E$102,5)*0.5*(VLOOKUP($FM19-FQ$103,Frauen!$G$9:$J$102,4)+VLOOKUP($FM19-FQ$103+1,Frauen!$G$9:$J$102,4))*0.5*(VLOOKUP($FM19-FQ$103,Frauen!$AZ$9:$BD$102,5)+VLOOKUP($FM19-FQ$103+1,Frauen!$AZ$9:$BD$102,5)),RundDx)</f>
        <v>97248162</v>
      </c>
      <c r="FR19" s="25">
        <f>ROUND(v^($FM19+FaktorAlter)*VLOOKUP($FM19,$G$9:$J$102,4)*VLOOKUP($FM19,$A$9:$E$102,5)*0.5*(VLOOKUP($FM19-FR$103,Frauen!$G$9:$J$102,4)+VLOOKUP($FM19-FR$103+1,Frauen!$G$9:$J$102,4))*0.5*(VLOOKUP($FM19-FR$103,Frauen!$AZ$9:$BD$102,5)+VLOOKUP($FM19-FR$103+1,Frauen!$AZ$9:$BD$102,5)),RundDx)</f>
        <v>116786425</v>
      </c>
      <c r="FS19" s="25">
        <f>ROUND(v^($FM19+FaktorAlter)*VLOOKUP($FM19,$G$9:$J$102,4)*VLOOKUP($FM19,$A$9:$E$102,5)*0.5*(VLOOKUP($FM19-FS$103,Frauen!$G$9:$J$102,4)+VLOOKUP($FM19-FS$103+1,Frauen!$G$9:$J$102,4))*0.5*(VLOOKUP($FM19-FS$103,Frauen!$AZ$9:$BD$102,5)+VLOOKUP($FM19-FS$103+1,Frauen!$AZ$9:$BD$102,5)),RundDx)</f>
        <v>138021386</v>
      </c>
      <c r="FT19" s="25">
        <f>ROUND(v^($FM19+FaktorAlter)*VLOOKUP($FM19,$G$9:$J$102,4)*VLOOKUP($FM19,$A$9:$E$102,5)*0.5*(VLOOKUP($FM19-FT$103,Frauen!$G$9:$J$102,4)+VLOOKUP($FM19-FT$103+1,Frauen!$G$9:$J$102,4))*0.5*(VLOOKUP($FM19-FT$103,Frauen!$AZ$9:$BD$102,5)+VLOOKUP($FM19-FT$103+1,Frauen!$AZ$9:$BD$102,5)),RundDx)</f>
        <v>160728009</v>
      </c>
      <c r="FU19" s="25">
        <f>ROUND(v^($FM19+FaktorAlter)*VLOOKUP($FM19,$G$9:$J$102,4)*VLOOKUP($FM19,$A$9:$E$102,5)*0.5*(VLOOKUP($FM19-FU$103,Frauen!$G$9:$J$102,4)+VLOOKUP($FM19-FU$103+1,Frauen!$G$9:$J$102,4))*0.5*(VLOOKUP($FM19-FU$103,Frauen!$AZ$9:$BD$102,5)+VLOOKUP($FM19-FU$103+1,Frauen!$AZ$9:$BD$102,5)),RundDx)</f>
        <v>184683668</v>
      </c>
      <c r="FV19" s="25">
        <f>ROUND(v^($FM19+FaktorAlter)*VLOOKUP($FM19,$G$9:$J$102,4)*VLOOKUP($FM19,$A$9:$E$102,5)*0.5*(VLOOKUP($FM19-FV$103,Frauen!$G$9:$J$102,4)+VLOOKUP($FM19-FV$103+1,Frauen!$G$9:$J$102,4))*0.5*(VLOOKUP($FM19-FV$103,Frauen!$AZ$9:$BD$102,5)+VLOOKUP($FM19-FV$103+1,Frauen!$AZ$9:$BD$102,5)),RundDx)</f>
        <v>209624844</v>
      </c>
      <c r="FW19" s="25">
        <f>ROUND(v^($FM19+FaktorAlter)*VLOOKUP($FM19,$G$9:$J$102,4)*VLOOKUP($FM19,$A$9:$E$102,5)*0.5*(VLOOKUP($FM19-FW$103,Frauen!$G$9:$J$102,4)+VLOOKUP($FM19-FW$103+1,Frauen!$G$9:$J$102,4))*0.5*(VLOOKUP($FM19-FW$103,Frauen!$AZ$9:$BD$102,5)+VLOOKUP($FM19-FW$103+1,Frauen!$AZ$9:$BD$102,5)),RundDx)</f>
        <v>235302598</v>
      </c>
      <c r="FX19" s="25">
        <f>ROUND(v^($FM19+FaktorAlter)*VLOOKUP($FM19,$G$9:$J$102,4)*VLOOKUP($FM19,$A$9:$E$102,5)*0.5*(VLOOKUP($FM19-FX$103,Frauen!$G$9:$J$102,4)+VLOOKUP($FM19-FX$103+1,Frauen!$G$9:$J$102,4))*0.5*(VLOOKUP($FM19-FX$103,Frauen!$AZ$9:$BD$102,5)+VLOOKUP($FM19-FX$103+1,Frauen!$AZ$9:$BD$102,5)),RundDx)</f>
        <v>261547318</v>
      </c>
      <c r="FY19" s="25">
        <f>ROUND(v^($FM19+FaktorAlter)*VLOOKUP($FM19,$G$9:$J$102,4)*VLOOKUP($FM19,$A$9:$E$102,5)*0.5*(VLOOKUP($FM19-FY$103,Frauen!$G$9:$J$102,4)+VLOOKUP($FM19-FY$103+1,Frauen!$G$9:$J$102,4))*0.5*(VLOOKUP($FM19-FY$103,Frauen!$AZ$9:$BD$102,5)+VLOOKUP($FM19-FY$103+1,Frauen!$AZ$9:$BD$102,5)),RundDx)</f>
        <v>288275771</v>
      </c>
      <c r="FZ19" s="25">
        <f>ROUND(v^($FM19+FaktorAlter)*VLOOKUP($FM19,$G$9:$J$102,4)*VLOOKUP($FM19,$A$9:$E$102,5)*0.5*(VLOOKUP($FM19-FZ$103,Frauen!$G$9:$J$102,4)+VLOOKUP($FM19-FZ$103+1,Frauen!$G$9:$J$102,4))*0.5*(VLOOKUP($FM19-FZ$103,Frauen!$AZ$9:$BD$102,5)+VLOOKUP($FM19-FZ$103+1,Frauen!$AZ$9:$BD$102,5)),RundDx)</f>
        <v>315374611</v>
      </c>
      <c r="GA19" s="25">
        <f>ROUND(v^($FM19+FaktorAlter)*VLOOKUP($FM19,$G$9:$J$102,4)*VLOOKUP($FM19,$A$9:$E$102,5)*0.5*(VLOOKUP($FM19-GA$103,Frauen!$G$9:$J$102,4)+VLOOKUP($FM19-GA$103+1,Frauen!$G$9:$J$102,4))*0.5*(VLOOKUP($FM19-GA$103,Frauen!$AZ$9:$BD$102,5)+VLOOKUP($FM19-GA$103+1,Frauen!$AZ$9:$BD$102,5)),RundDx)</f>
        <v>342821588</v>
      </c>
      <c r="GB19" s="25">
        <f>ROUND(v^($FM19+FaktorAlter)*VLOOKUP($FM19,$G$9:$J$102,4)*VLOOKUP($FM19,$A$9:$E$102,5)*0.5*(VLOOKUP($FM19-GB$103,Frauen!$G$9:$J$102,4)+VLOOKUP($FM19-GB$103+1,Frauen!$G$9:$J$102,4))*0.5*(VLOOKUP($FM19-GB$103,Frauen!$AZ$9:$BD$102,5)+VLOOKUP($FM19-GB$103+1,Frauen!$AZ$9:$BD$102,5)),RundDx)</f>
        <v>370683699</v>
      </c>
      <c r="GC19" s="25">
        <f>ROUND(v^($FM19+FaktorAlter)*VLOOKUP($FM19,$G$9:$J$102,4)*VLOOKUP($FM19,$A$9:$E$102,5)*0.5*(VLOOKUP($FM19-GC$103,Frauen!$G$9:$J$102,4)+VLOOKUP($FM19-GC$103+1,Frauen!$G$9:$J$102,4))*0.5*(VLOOKUP($FM19-GC$103,Frauen!$AZ$9:$BD$102,5)+VLOOKUP($FM19-GC$103+1,Frauen!$AZ$9:$BD$102,5)),RundDx)</f>
        <v>398988067</v>
      </c>
      <c r="GD19" s="25">
        <f>ROUND(v^($FM19+FaktorAlter)*VLOOKUP($FM19,$G$9:$J$102,4)*VLOOKUP($FM19,$A$9:$E$102,5)*0.5*(VLOOKUP($FM19-GD$103,Frauen!$G$9:$J$102,4)+VLOOKUP($FM19-GD$103+1,Frauen!$G$9:$J$102,4))*0.5*(VLOOKUP($FM19-GD$103,Frauen!$AZ$9:$BD$102,5)+VLOOKUP($FM19-GD$103+1,Frauen!$AZ$9:$BD$102,5)),RundDx)</f>
        <v>427822250</v>
      </c>
      <c r="GE19" s="25">
        <f>ROUND(v^($FM19+FaktorAlter)*VLOOKUP($FM19,$G$9:$J$102,4)*VLOOKUP($FM19,$A$9:$E$102,5)*0.5*(VLOOKUP($FM19-GE$103,Frauen!$G$9:$J$102,4)+VLOOKUP($FM19-GE$103+1,Frauen!$G$9:$J$102,4))*0.5*(VLOOKUP($FM19-GE$103,Frauen!$AZ$9:$BD$102,5)+VLOOKUP($FM19-GE$103+1,Frauen!$AZ$9:$BD$102,5)),RundDx)</f>
        <v>457202458</v>
      </c>
      <c r="GF19" s="25">
        <f>ROUND(v^($FM19+FaktorAlter)*VLOOKUP($FM19,$G$9:$J$102,4)*VLOOKUP($FM19,$A$9:$E$102,5)*0.5*(VLOOKUP($FM19-GF$103,Frauen!$G$9:$J$102,4)+VLOOKUP($FM19-GF$103+1,Frauen!$G$9:$J$102,4))*0.5*(VLOOKUP($FM19-GF$103,Frauen!$AZ$9:$BD$102,5)+VLOOKUP($FM19-GF$103+1,Frauen!$AZ$9:$BD$102,5)),RundDx)</f>
        <v>487061147</v>
      </c>
      <c r="GG19" s="25">
        <f>ROUND(v^($FM19+FaktorAlter)*VLOOKUP($FM19,$G$9:$J$102,4)*VLOOKUP($FM19,$A$9:$E$102,5)*0.5*(VLOOKUP($FM19-GG$103,Frauen!$G$9:$J$102,4)+VLOOKUP($FM19-GG$103+1,Frauen!$G$9:$J$102,4))*0.5*(VLOOKUP($FM19-GG$103,Frauen!$AZ$9:$BD$102,5)+VLOOKUP($FM19-GG$103+1,Frauen!$AZ$9:$BD$102,5)),RundDx)</f>
        <v>517267800</v>
      </c>
      <c r="GH19" s="25">
        <f>ROUND(v^($FM19+FaktorAlter)*VLOOKUP($FM19,$G$9:$J$102,4)*VLOOKUP($FM19,$A$9:$E$102,5)*0.5*(VLOOKUP($FM19-GH$103,Frauen!$G$9:$J$102,4)+VLOOKUP($FM19-GH$103+1,Frauen!$G$9:$J$102,4))*0.5*(VLOOKUP($FM19-GH$103,Frauen!$AZ$9:$BD$102,5)+VLOOKUP($FM19-GH$103+1,Frauen!$AZ$9:$BD$102,5)),RundDx)</f>
        <v>547605561</v>
      </c>
      <c r="GI19" s="25">
        <f>ROUND(v^($FM19+FaktorAlter)*VLOOKUP($FM19,$G$9:$J$102,4)*VLOOKUP($FM19,$A$9:$E$102,5)*0.5*(VLOOKUP($FM19-GI$103,Frauen!$G$9:$J$102,4)+VLOOKUP($FM19-GI$103+1,Frauen!$G$9:$J$102,4))*0.5*(VLOOKUP($FM19-GI$103,Frauen!$AZ$9:$BD$102,5)+VLOOKUP($FM19-GI$103+1,Frauen!$AZ$9:$BD$102,5)),RundDx)</f>
        <v>577989952</v>
      </c>
      <c r="GJ19" s="25">
        <f>ROUND(v^($FM19+FaktorAlter)*VLOOKUP($FM19,$G$9:$J$102,4)*VLOOKUP($FM19,$A$9:$E$102,5)*0.5*(VLOOKUP($FM19-GJ$103,Frauen!$G$9:$J$102,4)+VLOOKUP($FM19-GJ$103+1,Frauen!$G$9:$J$102,4))*0.5*(VLOOKUP($FM19-GJ$103,Frauen!$AZ$9:$BD$102,5)+VLOOKUP($FM19-GJ$103+1,Frauen!$AZ$9:$BD$102,5)),RundDx)</f>
        <v>608365109</v>
      </c>
      <c r="GK19" s="25">
        <f>ROUND(v^($FM19+FaktorAlter)*VLOOKUP($FM19,$G$9:$J$102,4)*VLOOKUP($FM19,$A$9:$E$102,5)*0.5*(VLOOKUP($FM19-GK$103,Frauen!$G$9:$J$102,4)+VLOOKUP($FM19-GK$103+1,Frauen!$G$9:$J$102,4))*0.5*(VLOOKUP($FM19-GK$103,Frauen!$AZ$9:$BD$102,5)+VLOOKUP($FM19-GK$103+1,Frauen!$AZ$9:$BD$102,5)),RundDx)</f>
        <v>638524913</v>
      </c>
      <c r="GL19" s="25">
        <f>ROUND(v^($FM19+FaktorAlter)*VLOOKUP($FM19,$G$9:$J$102,4)*VLOOKUP($FM19,$A$9:$E$102,5)*0.5*(VLOOKUP($FM19-GL$103,Frauen!$G$9:$J$102,4)+VLOOKUP($FM19-GL$103+1,Frauen!$G$9:$J$102,4))*0.5*(VLOOKUP($FM19-GL$103,Frauen!$AZ$9:$BD$102,5)+VLOOKUP($FM19-GL$103+1,Frauen!$AZ$9:$BD$102,5)),RundDx)</f>
        <v>668350113</v>
      </c>
      <c r="GM19" s="25">
        <f>ROUND(v^($FM19+FaktorAlter)*VLOOKUP($FM19,$G$9:$J$102,4)*VLOOKUP($FM19,$A$9:$E$102,5)*0.5*(VLOOKUP($FM19-GM$103,Frauen!$G$9:$J$102,4)+VLOOKUP($FM19-GM$103+1,Frauen!$G$9:$J$102,4))*0.5*(VLOOKUP($FM19-GM$103,Frauen!$AZ$9:$BD$102,5)+VLOOKUP($FM19-GM$103+1,Frauen!$AZ$9:$BD$102,5)),RundDx)</f>
        <v>697890426</v>
      </c>
      <c r="GN19" s="25">
        <f>ROUND(v^($FM19+FaktorAlter)*VLOOKUP($FM19,$G$9:$J$102,4)*VLOOKUP($FM19,$A$9:$E$102,5)*0.5*(VLOOKUP($FM19-GN$103,Frauen!$G$9:$J$102,4)+VLOOKUP($FM19-GN$103+1,Frauen!$G$9:$J$102,4))*0.5*(VLOOKUP($FM19-GN$103,Frauen!$AZ$9:$BD$102,5)+VLOOKUP($FM19-GN$103+1,Frauen!$AZ$9:$BD$102,5)),RundDx)</f>
        <v>727076322</v>
      </c>
      <c r="GO19" s="25">
        <f>ROUND(v^($FM19+FaktorAlter)*VLOOKUP($FM19,$G$9:$J$102,4)*VLOOKUP($FM19,$A$9:$E$102,5)*0.5*(VLOOKUP($FM19-GO$103,Frauen!$G$9:$J$102,4)+VLOOKUP($FM19-GO$103+1,Frauen!$G$9:$J$102,4))*0.5*(VLOOKUP($FM19-GO$103,Frauen!$AZ$9:$BD$102,5)+VLOOKUP($FM19-GO$103+1,Frauen!$AZ$9:$BD$102,5)),RundDx)</f>
        <v>755735416</v>
      </c>
      <c r="GP19" s="25">
        <f>ROUND(v^($FM19+FaktorAlter)*VLOOKUP($FM19,$G$9:$J$102,4)*VLOOKUP($FM19,$A$9:$E$102,5)*0.5*(VLOOKUP($FM19-GP$103,Frauen!$G$9:$J$102,4)+VLOOKUP($FM19-GP$103+1,Frauen!$G$9:$J$102,4))*0.5*(VLOOKUP($FM19-GP$103,Frauen!$AZ$9:$BD$102,5)+VLOOKUP($FM19-GP$103+1,Frauen!$AZ$9:$BD$102,5)),RundDx)</f>
        <v>783852178</v>
      </c>
      <c r="GQ19" s="25">
        <f>ROUND(v^($FM19+FaktorAlter)*VLOOKUP($FM19,$G$9:$J$102,4)*VLOOKUP($FM19,$A$9:$E$102,5)*0.5*(VLOOKUP($FM19-GQ$103,Frauen!$G$9:$J$102,4)+VLOOKUP($FM19-GQ$103+1,Frauen!$G$9:$J$102,4))*0.5*(VLOOKUP($FM19-GQ$103,Frauen!$AZ$9:$BD$102,5)+VLOOKUP($FM19-GQ$103+1,Frauen!$AZ$9:$BD$102,5)),RundDx)</f>
        <v>811499243</v>
      </c>
      <c r="GR19" s="25">
        <f>ROUND(v^($FM19+FaktorAlter)*VLOOKUP($FM19,$G$9:$J$102,4)*VLOOKUP($FM19,$A$9:$E$102,5)*0.5*(VLOOKUP($FM19-GR$103,Frauen!$G$9:$J$102,4)+VLOOKUP($FM19-GR$103+1,Frauen!$G$9:$J$102,4))*0.5*(VLOOKUP($FM19-GR$103,Frauen!$AZ$9:$BD$102,5)+VLOOKUP($FM19-GR$103+1,Frauen!$AZ$9:$BD$102,5)),RundDx)</f>
        <v>838639729</v>
      </c>
      <c r="GS19" s="24">
        <f>ROUND(SUM(FN19:FN$56)/VLOOKUP($FM19,$AQ$9:$AR$102,2)/VLOOKUP($FM19-GS$103,Frauen!$G$9:$J$102,4),Rundäx)</f>
        <v>0.51</v>
      </c>
      <c r="GT19" s="24">
        <f>ROUND(SUM(FO19:FO$56)/VLOOKUP($FM19,$AQ$9:$AR$102,2)/VLOOKUP($FM19-GT$103,Frauen!$G$9:$J$102,4),Rundäx)</f>
        <v>0.59799999999999998</v>
      </c>
      <c r="GU19" s="24">
        <f>ROUND(SUM(FP19:FP$56)/VLOOKUP($FM19,$AQ$9:$AR$102,2)/VLOOKUP($FM19-GU$103,Frauen!$G$9:$J$102,4),Rundäx)</f>
        <v>0.69899999999999995</v>
      </c>
      <c r="GV19" s="24">
        <f>ROUND(SUM(FQ19:FQ$56)/VLOOKUP($FM19,$AQ$9:$AR$102,2)/VLOOKUP($FM19-GV$103,Frauen!$G$9:$J$102,4),Rundäx)</f>
        <v>0.81299999999999994</v>
      </c>
      <c r="GW19" s="24">
        <f>ROUND(SUM(FR19:FR$56)/VLOOKUP($FM19,$AQ$9:$AR$102,2)/VLOOKUP($FM19-GW$103,Frauen!$G$9:$J$102,4),Rundäx)</f>
        <v>0.94299999999999995</v>
      </c>
      <c r="GX19" s="24">
        <f>ROUND(SUM(FS19:FS$56)/VLOOKUP($FM19,$AQ$9:$AR$102,2)/VLOOKUP($FM19-GX$103,Frauen!$G$9:$J$102,4),Rundäx)</f>
        <v>1.091</v>
      </c>
      <c r="GY19" s="24">
        <f>ROUND(SUM(FT19:FT$56)/VLOOKUP($FM19,$AQ$9:$AR$102,2)/VLOOKUP($FM19-GY$103,Frauen!$G$9:$J$102,4),Rundäx)</f>
        <v>1.2569999999999999</v>
      </c>
      <c r="GZ19" s="24">
        <f>ROUND(SUM(FU19:FU$56)/VLOOKUP($FM19,$AQ$9:$AR$102,2)/VLOOKUP($FM19-GZ$103,Frauen!$G$9:$J$102,4),Rundäx)</f>
        <v>1.444</v>
      </c>
      <c r="HA19" s="86"/>
      <c r="HB19" s="35">
        <f t="shared" si="63"/>
        <v>75</v>
      </c>
      <c r="HC19" s="24">
        <f>ROUND(SUM(FV19:FV$56)/VLOOKUP($FM19,$AQ$9:$AR$102,2)/VLOOKUP($FM19-HC$103,Frauen!$G$9:$J$102,4),Rundäx)</f>
        <v>1.653</v>
      </c>
      <c r="HD19" s="24">
        <f>ROUND(SUM(FW19:FW$56)/VLOOKUP($FM19,$AQ$9:$AR$102,2)/VLOOKUP($FM19-HD$103,Frauen!$G$9:$J$102,4),Rundäx)</f>
        <v>1.885</v>
      </c>
      <c r="HE19" s="24">
        <f>ROUND(SUM(FX19:FX$56)/VLOOKUP($FM19,$AQ$9:$AR$102,2)/VLOOKUP($FM19-HE$103,Frauen!$G$9:$J$102,4),Rundäx)</f>
        <v>2.14</v>
      </c>
      <c r="HF19" s="24">
        <f>ROUND(SUM(FY19:FY$56)/VLOOKUP($FM19,$AQ$9:$AR$102,2)/VLOOKUP($FM19-HF$103,Frauen!$G$9:$J$102,4),Rundäx)</f>
        <v>2.4180000000000001</v>
      </c>
      <c r="HG19" s="24">
        <f>ROUND(SUM(FZ19:FZ$56)/VLOOKUP($FM19,$AQ$9:$AR$102,2)/VLOOKUP($FM19-HG$103,Frauen!$G$9:$J$102,4),Rundäx)</f>
        <v>2.718</v>
      </c>
      <c r="HH19" s="24">
        <f>ROUND(SUM(GA19:GA$56)/VLOOKUP($FM19,$AQ$9:$AR$102,2)/VLOOKUP($FM19-HH$103,Frauen!$G$9:$J$102,4),Rundäx)</f>
        <v>3.0390000000000001</v>
      </c>
      <c r="HI19" s="24">
        <f>ROUND(SUM(GB19:GB$56)/VLOOKUP($FM19,$AQ$9:$AR$102,2)/VLOOKUP($FM19-HI$103,Frauen!$G$9:$J$102,4),Rundäx)</f>
        <v>3.3780000000000001</v>
      </c>
      <c r="HJ19" s="24">
        <f>ROUND(SUM(GC19:GC$56)/VLOOKUP($FM19,$AQ$9:$AR$102,2)/VLOOKUP($FM19-HJ$103,Frauen!$G$9:$J$102,4),Rundäx)</f>
        <v>3.7330000000000001</v>
      </c>
      <c r="HK19" s="86"/>
      <c r="HL19" s="35">
        <f t="shared" si="64"/>
        <v>75</v>
      </c>
      <c r="HM19" s="24">
        <f>ROUND(SUM(GD19:GD$56)/VLOOKUP($FM19,$AQ$9:$AR$102,2)/VLOOKUP($FM19-HM$103,Frauen!$G$9:$J$102,4),Rundäx)</f>
        <v>4.101</v>
      </c>
      <c r="HN19" s="24">
        <f>ROUND(SUM(GE19:GE$56)/VLOOKUP($FM19,$AQ$9:$AR$102,2)/VLOOKUP($FM19-HN$103,Frauen!$G$9:$J$102,4),Rundäx)</f>
        <v>4.4800000000000004</v>
      </c>
      <c r="HO19" s="24">
        <f>ROUND(SUM(GF19:GF$56)/VLOOKUP($FM19,$AQ$9:$AR$102,2)/VLOOKUP($FM19-HO$103,Frauen!$G$9:$J$102,4),Rundäx)</f>
        <v>4.8680000000000003</v>
      </c>
      <c r="HP19" s="24">
        <f>ROUND(SUM(GG19:GG$56)/VLOOKUP($FM19,$AQ$9:$AR$102,2)/VLOOKUP($FM19-HP$103,Frauen!$G$9:$J$102,4),Rundäx)</f>
        <v>5.266</v>
      </c>
      <c r="HQ19" s="24">
        <f>ROUND(SUM(GH19:GH$56)/VLOOKUP($FM19,$AQ$9:$AR$102,2)/VLOOKUP($FM19-HQ$103,Frauen!$G$9:$J$102,4),Rundäx)</f>
        <v>5.6719999999999997</v>
      </c>
      <c r="HR19" s="24">
        <f>ROUND(SUM(GI19:GI$56)/VLOOKUP($FM19,$AQ$9:$AR$102,2)/VLOOKUP($FM19-HR$103,Frauen!$G$9:$J$102,4),Rundäx)</f>
        <v>6.0839999999999996</v>
      </c>
      <c r="HS19" s="24">
        <f>ROUND(SUM(GJ19:GJ$56)/VLOOKUP($FM19,$AQ$9:$AR$102,2)/VLOOKUP($FM19-HS$103,Frauen!$G$9:$J$102,4),Rundäx)</f>
        <v>6.5010000000000003</v>
      </c>
      <c r="HT19" s="24">
        <f>ROUND(SUM(GK19:GK$56)/VLOOKUP($FM19,$AQ$9:$AR$102,2)/VLOOKUP($FM19-HT$103,Frauen!$G$9:$J$102,4),Rundäx)</f>
        <v>6.9240000000000004</v>
      </c>
      <c r="HU19" s="86"/>
      <c r="HV19" s="35">
        <f t="shared" si="65"/>
        <v>75</v>
      </c>
      <c r="HW19" s="24">
        <f>ROUND(SUM(GL19:GL$56)/VLOOKUP($FM19,$AQ$9:$AR$102,2)/VLOOKUP($FM19-HW$103,Frauen!$G$9:$J$102,4),Rundäx)</f>
        <v>7.351</v>
      </c>
      <c r="HX19" s="24">
        <f>ROUND(SUM(GM19:GM$56)/VLOOKUP($FM19,$AQ$9:$AR$102,2)/VLOOKUP($FM19-HX$103,Frauen!$G$9:$J$102,4),Rundäx)</f>
        <v>7.78</v>
      </c>
      <c r="HY19" s="24">
        <f>ROUND(SUM(GN19:GN$56)/VLOOKUP($FM19,$AQ$9:$AR$102,2)/VLOOKUP($FM19-HY$103,Frauen!$G$9:$J$102,4),Rundäx)</f>
        <v>8.2119999999999997</v>
      </c>
      <c r="HZ19" s="24">
        <f>ROUND(SUM(GO19:GO$56)/VLOOKUP($FM19,$AQ$9:$AR$102,2)/VLOOKUP($FM19-HZ$103,Frauen!$G$9:$J$102,4),Rundäx)</f>
        <v>8.6479999999999997</v>
      </c>
      <c r="IA19" s="24">
        <f>ROUND(SUM(GP19:GP$56)/VLOOKUP($FM19,$AQ$9:$AR$102,2)/VLOOKUP($FM19-IA$103,Frauen!$G$9:$J$102,4),Rundäx)</f>
        <v>9.0860000000000003</v>
      </c>
      <c r="IB19" s="24">
        <f>ROUND(SUM(GQ19:GQ$56)/VLOOKUP($FM19,$AQ$9:$AR$102,2)/VLOOKUP($FM19-IB$103,Frauen!$G$9:$J$102,4),Rundäx)</f>
        <v>9.5259999999999998</v>
      </c>
      <c r="IC19" s="24">
        <f>ROUND(SUM(GR19:GR$56)/VLOOKUP($FM19,$AQ$9:$AR$102,2)/VLOOKUP($FM19-IC$103,Frauen!$G$9:$J$102,4),Rundäx)</f>
        <v>9.9670000000000005</v>
      </c>
      <c r="ID19" s="89"/>
      <c r="IE19" s="35">
        <f t="shared" si="66"/>
        <v>27</v>
      </c>
      <c r="IF19" s="25">
        <f t="shared" si="31"/>
        <v>474</v>
      </c>
      <c r="IG19" s="25">
        <f>IF($IE19&lt;RAM,IF(S20&lt;=RAK,ROUND(SUM(IF19:INDEX(Dakx,RAM-BeginnAlter))+INDEX(Dax,RAM-BeginnAlter+1)*INDEX(äkx,1),RundDx),0),"")</f>
        <v>18185</v>
      </c>
      <c r="IH19" s="25">
        <f>IF($IE19&lt;RAM,IF(S20&lt;=RAK,ROUND(SUM(IG19:INDEX(Nakx,RAM-BeginnAlter))+INDEX(Dax,RAM-BeginnAlter+1)*INDEX(äkx,1),RundDx),0),"")</f>
        <v>250435</v>
      </c>
      <c r="II19" s="24">
        <f t="shared" si="32"/>
        <v>0.33500000000000002</v>
      </c>
      <c r="IJ19" s="25">
        <f t="shared" si="33"/>
        <v>14948</v>
      </c>
      <c r="IK19" s="25">
        <f>IF($IE19&lt;RAM,IF(S20&lt;=RAK,SUM(IJ19:INDEX(Dikx,RAM-BeginnAlter))+INDEX(Dix,RAM-BeginnAlter+1)*INDEX(äkx,1),0),"")</f>
        <v>439812.83199999999</v>
      </c>
      <c r="IL19" s="24">
        <f t="shared" si="34"/>
        <v>4.3230000000000004</v>
      </c>
      <c r="IM19" s="86"/>
      <c r="IN19" s="35">
        <f t="shared" si="67"/>
        <v>75</v>
      </c>
      <c r="IO19" s="25">
        <f t="shared" si="35"/>
        <v>7</v>
      </c>
      <c r="IP19" s="25">
        <f>IF(AND(VLOOKUP(IN19+1,O$9:S$102,5)&lt;=RAK,VLOOKUP(IN19+1,O$9:S$102,5)&lt;&gt;""),SUM(IO19:IO$102),0)</f>
        <v>18</v>
      </c>
      <c r="IQ19" s="24">
        <f t="shared" si="36"/>
        <v>1E-3</v>
      </c>
      <c r="IR19" s="86"/>
    </row>
    <row r="20" spans="1:252" ht="15.75" customHeight="1" x14ac:dyDescent="0.25">
      <c r="A20" s="35">
        <f t="shared" si="41"/>
        <v>28</v>
      </c>
      <c r="B20" s="77">
        <v>5.7076544364169791E-4</v>
      </c>
      <c r="C20" s="77">
        <v>5.9652508843807195E-4</v>
      </c>
      <c r="D20" s="77">
        <v>1.4287447247411824E-2</v>
      </c>
      <c r="E20" s="77">
        <v>6.3392398949502216E-4</v>
      </c>
      <c r="F20" s="86"/>
      <c r="G20" s="35">
        <f t="shared" si="42"/>
        <v>28</v>
      </c>
      <c r="H20" s="25">
        <f t="shared" si="37"/>
        <v>98921</v>
      </c>
      <c r="I20" s="25">
        <f t="shared" si="38"/>
        <v>460</v>
      </c>
      <c r="J20" s="25">
        <f t="shared" si="39"/>
        <v>99381</v>
      </c>
      <c r="K20" s="30">
        <f>IF(J20&gt;0,ROUND(SUM(J20:J$102)/J20-0.5,Rundex),"")</f>
        <v>51.16</v>
      </c>
      <c r="L20" s="25">
        <f t="shared" si="0"/>
        <v>183005</v>
      </c>
      <c r="M20" s="30">
        <f>IF(L20&gt;0,ROUND(SUM(L20:L$102)/L20-0.5,Rundex),"")</f>
        <v>35.08</v>
      </c>
      <c r="N20" s="86"/>
      <c r="O20" s="35">
        <f t="shared" si="43"/>
        <v>28</v>
      </c>
      <c r="P20" s="43">
        <v>0.21299999999999999</v>
      </c>
      <c r="Q20" s="78">
        <v>28.099744298300106</v>
      </c>
      <c r="R20" s="43">
        <v>0.67895148844450759</v>
      </c>
      <c r="S20" s="78">
        <v>2.2999999999999998</v>
      </c>
      <c r="T20" s="15">
        <v>6.3845640880433319E-4</v>
      </c>
      <c r="U20" s="11">
        <f t="shared" si="40"/>
        <v>99381</v>
      </c>
      <c r="V20" s="30">
        <f>IF(U20&gt;0,ROUND(SUM(U20:U$102)/U20-0.5,Rundex),"")</f>
        <v>48.79</v>
      </c>
      <c r="W20" s="86"/>
      <c r="X20" s="35">
        <f t="shared" si="44"/>
        <v>28</v>
      </c>
      <c r="Y20" s="25">
        <f t="shared" si="1"/>
        <v>53054</v>
      </c>
      <c r="Z20" s="25">
        <f>IF($X20&lt;RAM,SUM(Y20:INDEX(Dax,RAM-BeginnAlter))," ")</f>
        <v>1273448</v>
      </c>
      <c r="AA20" s="25">
        <f t="shared" si="2"/>
        <v>30</v>
      </c>
      <c r="AB20" s="25">
        <f>IF($X20&lt;RAM,SUM(AA20:INDEX(Cax,RAM-BeginnAlter))," ")</f>
        <v>2498</v>
      </c>
      <c r="AC20" s="25">
        <f t="shared" si="3"/>
        <v>31</v>
      </c>
      <c r="AD20" s="25">
        <f>IF($X20&lt;RAM,SUM(AC20:INDEX(Caix,RAM-BeginnAlter))," ")</f>
        <v>7863</v>
      </c>
      <c r="AE20" s="24">
        <f t="shared" si="4"/>
        <v>24.003</v>
      </c>
      <c r="AF20" s="24">
        <f t="shared" si="5"/>
        <v>23.672000000000001</v>
      </c>
      <c r="AG20" s="86"/>
      <c r="AH20" s="35">
        <f t="shared" si="45"/>
        <v>28</v>
      </c>
      <c r="AI20" s="25">
        <f t="shared" si="6"/>
        <v>98150</v>
      </c>
      <c r="AJ20" s="25">
        <f>IF($AH20&gt;RAM," ",IF($AH20&lt;RAM,SUM(AI20:INDEX(Dix,RAM-BeginnAlter))+INDEX(Nx,RAM-BeginnAlter+1),INDEX(Nx,RAM-BeginnAlter+1)))</f>
        <v>2213991</v>
      </c>
      <c r="AK20" s="25">
        <f>IF($AH20&lt;RAM,SUM(AI20:INDEX(Dix,RAM-BeginnAlter))," ")</f>
        <v>1916744</v>
      </c>
      <c r="AL20" s="24">
        <f t="shared" si="7"/>
        <v>22.556999999999999</v>
      </c>
      <c r="AM20" s="24">
        <f t="shared" si="8"/>
        <v>22.099</v>
      </c>
      <c r="AN20" s="24">
        <f t="shared" si="9"/>
        <v>19.529</v>
      </c>
      <c r="AO20" s="24">
        <f t="shared" si="10"/>
        <v>19.166</v>
      </c>
      <c r="AP20" s="86"/>
      <c r="AQ20" s="35">
        <f t="shared" si="46"/>
        <v>28</v>
      </c>
      <c r="AR20" s="25">
        <f t="shared" si="11"/>
        <v>53300</v>
      </c>
      <c r="AS20" s="25">
        <f>SUM(AR20:AR$94)</f>
        <v>1622566</v>
      </c>
      <c r="AT20" s="25">
        <f>IF($AQ20&lt;RAM,SUM(AR20:INDEX(Dx,RAM-BeginnAlter))," ")</f>
        <v>1325319</v>
      </c>
      <c r="AU20" s="24">
        <f t="shared" si="12"/>
        <v>30.442</v>
      </c>
      <c r="AV20" s="24">
        <f t="shared" si="13"/>
        <v>29.984000000000002</v>
      </c>
      <c r="AW20" s="24">
        <f t="shared" si="14"/>
        <v>24.864999999999998</v>
      </c>
      <c r="AX20" s="24">
        <f t="shared" si="15"/>
        <v>24.582999999999998</v>
      </c>
      <c r="AY20" s="86"/>
      <c r="AZ20" s="35">
        <f t="shared" si="47"/>
        <v>28</v>
      </c>
      <c r="BA20" s="25">
        <f t="shared" si="16"/>
        <v>53300</v>
      </c>
      <c r="BB20" s="25">
        <f>SUM(BA20:BA$94)</f>
        <v>1580507</v>
      </c>
      <c r="BC20" s="24">
        <f t="shared" si="17"/>
        <v>29.652999999999999</v>
      </c>
      <c r="BD20" s="24">
        <f t="shared" si="18"/>
        <v>29.195</v>
      </c>
      <c r="BE20" s="86"/>
      <c r="BF20" s="35">
        <f t="shared" si="48"/>
        <v>11</v>
      </c>
      <c r="BG20" s="24">
        <f t="shared" si="19"/>
        <v>12.164</v>
      </c>
      <c r="BH20" s="24">
        <f t="shared" si="20"/>
        <v>12.041</v>
      </c>
      <c r="BI20" s="86"/>
      <c r="BJ20" s="35">
        <f t="shared" si="49"/>
        <v>28</v>
      </c>
      <c r="BK20" s="25">
        <f t="shared" si="21"/>
        <v>689</v>
      </c>
      <c r="BL20" s="25">
        <f>IF(BJ20&lt;RAM,SUM(BK20:INDEX(Daix,RAM-BeginnAlter))," ")</f>
        <v>129381</v>
      </c>
      <c r="BM20" s="25">
        <f>IF(BJ20&lt;RAM,SUM(BL20:INDEX(Naix,RAM-BeginnAlter))," ")</f>
        <v>3605452</v>
      </c>
      <c r="BN20" s="24">
        <f t="shared" si="22"/>
        <v>3.9159999999999999</v>
      </c>
      <c r="BO20" s="24">
        <f t="shared" si="23"/>
        <v>2.4390000000000001</v>
      </c>
      <c r="BP20" s="86"/>
      <c r="BQ20" s="35">
        <f t="shared" si="50"/>
        <v>28</v>
      </c>
      <c r="BR20" s="25">
        <f t="shared" si="51"/>
        <v>595</v>
      </c>
      <c r="BS20" s="25">
        <f>IF(BQ20&lt;RAM,SUM(BR20:INDEX(Daixs,RAM-BeginnAlter))," ")</f>
        <v>49999</v>
      </c>
      <c r="BT20" s="25">
        <f>IF(BQ20&lt;RAM,SUM(BS20:INDEX(Naixs,RAM-BeginnAlter))," ")</f>
        <v>1133248</v>
      </c>
      <c r="BU20" s="24">
        <f t="shared" si="52"/>
        <v>5.4119999999999999</v>
      </c>
      <c r="BV20" s="24">
        <f t="shared" si="53"/>
        <v>0.94199999999999995</v>
      </c>
      <c r="BW20" s="86"/>
      <c r="BX20" s="35">
        <f t="shared" si="54"/>
        <v>28</v>
      </c>
      <c r="BY20" s="10">
        <f t="shared" si="24"/>
        <v>14.859955691541888</v>
      </c>
      <c r="BZ20" s="11">
        <f t="shared" si="25"/>
        <v>346</v>
      </c>
      <c r="CA20" s="25">
        <f>IF(S21&lt;=RAK,IF($BX20&lt;RAM,SUM(BZ20:INDEX(Dazx,RAM-BeginnAlter)),""),"")</f>
        <v>21335</v>
      </c>
      <c r="CB20" s="24">
        <f t="shared" si="26"/>
        <v>0.40200000000000002</v>
      </c>
      <c r="CC20" s="25">
        <f t="shared" si="27"/>
        <v>31159</v>
      </c>
      <c r="CD20" s="24">
        <f t="shared" si="28"/>
        <v>21.091000000000001</v>
      </c>
      <c r="CE20" s="24">
        <f t="shared" si="29"/>
        <v>1.9E-2</v>
      </c>
      <c r="CF20" s="86"/>
      <c r="CG20" s="35">
        <f t="shared" si="55"/>
        <v>28</v>
      </c>
      <c r="CH20" s="25">
        <f>IF(CG20&lt;RAM,ROUND(v^($CG20+FaktorAlter)*$H20*($B20*0.5*($P20+$P21)*(VLOOKUP(TRUNC(0.5*($Q20+$Q21),0),Frauen!$AZ$9:$BD$95,5)+(0.5*($Q20+$Q21)-TRUNC(0.5*($Q20+$Q21),0))*(VLOOKUP(TRUNC(0.5*($Q20+$Q21)+1,0),Frauen!$AZ$9:$BD$95,5)-VLOOKUP(TRUNC(0.5*($Q20+$Q21),0),Frauen!$AZ$9:$BD$95,5)))+$C20*0.5*($CN20+$CN21)),RundDx),"")</f>
        <v>437</v>
      </c>
      <c r="CI20" s="25">
        <f>IF(CG20&lt;RAM,ROUND(SUM(CH20:INDEX(Dawx,RAM-BeginnAlter))+INDEX(Dax,RAM-BeginnAlter+1)*INDEX(äwx,1),RundDx),"")</f>
        <v>167047</v>
      </c>
      <c r="CJ20" s="25">
        <f>IF(CG20&lt;RAM,ROUND(SUM(CI20:INDEX(Nawx,RAM-BeginnAlter))+INDEX(Dax,RAM-BeginnAlter+1)*INDEX(äwx,1),RundDx),"")</f>
        <v>5316521</v>
      </c>
      <c r="CK20" s="24">
        <f t="shared" si="56"/>
        <v>3.149</v>
      </c>
      <c r="CL20" s="25">
        <f>IF(CG20&lt;RAM,ROUND(v^($CG20+FaktorAlter)*$L20*$D20*0.5*($P20+$P21)*(VLOOKUP(TRUNC(0.5*($Q20+$Q21),0),Frauen!$AZ$9:$BD$95,5)+(0.5*($Q20+$Q21)-TRUNC(0.5*($Q20+$Q21),0))*(VLOOKUP(TRUNC(0.5*($Q20+$Q21)+1,0),Frauen!$AZ$9:$BD$95,5)-VLOOKUP(TRUNC(0.5*($Q20+$Q21),0),Frauen!$AZ$9:$BD$95,5))),RundDx),"")</f>
        <v>10114</v>
      </c>
      <c r="CM20" s="25">
        <f>IF(CG20&lt;RAM,SUM(CL20:INDEX(Diwx,RAM-BeginnAlter))+INDEX(Dix,RAM-BeginnAlter+1)*INDEX(äwx,1),"")</f>
        <v>678303.41399999999</v>
      </c>
      <c r="CN20" s="24">
        <f t="shared" si="57"/>
        <v>6.9109999999999996</v>
      </c>
      <c r="CO20" s="86"/>
      <c r="CP20" s="35">
        <f t="shared" si="58"/>
        <v>76</v>
      </c>
      <c r="CQ20" s="11">
        <f>ROUND(v^($CP20+FaktorAlter)*VLOOKUP(CP20,G$9:J$102,4)*VLOOKUP(CP20,A$9:E$102,5)*0.5*(VLOOKUP(CP20,O$9:P$102,2)+VLOOKUP(CP20+1,O$9:P$102,2))*(VLOOKUP(TRUNC(0.5*(VLOOKUP(CP20,O$9:Q$102,3)+VLOOKUP(CP20+1,O$9:Q$102,3)),0),Frauen!$AZ$9:$BD$95,5)+(0.5*(VLOOKUP(CP20,O$9:Q$102,3)+VLOOKUP(CP20+1,O$9:Q$102,3))-TRUNC(0.5*(VLOOKUP(CP20,O$9:Q$102,3)+VLOOKUP(CP20+1,O$9:Q$102,3)),0))*(VLOOKUP(TRUNC(0.5*(VLOOKUP(CP20,O$9:Q$102,3)+VLOOKUP(CP20+1,O$9:Q$102,3))+1,0),Frauen!$AZ$9:$BD$95,5)-VLOOKUP(TRUNC(0.5*(VLOOKUP(CP20,O$9:Q$102,3)+VLOOKUP(CP20+1,O$9:Q$102,3)),0),Frauen!$AZ$9:$BD$95,5))),RundDx)</f>
        <v>4968</v>
      </c>
      <c r="CR20" s="25">
        <f>SUM(CQ20:CQ$56)</f>
        <v>55755</v>
      </c>
      <c r="CS20" s="24">
        <f t="shared" si="30"/>
        <v>4.5739999999999998</v>
      </c>
      <c r="CT20" s="86"/>
      <c r="CU20" s="35">
        <f t="shared" si="59"/>
        <v>28</v>
      </c>
      <c r="CV20" s="25">
        <f>IF($CU20&gt;=RAM,"",IF($CU20-CV$103&lt;BeginnAlter,"",ROUND(v^($CU20+FaktorAlter)*$L20*$D20*0.5*(VLOOKUP($CU20-CV$103,Frauen!$G$9:$J$102,4)+VLOOKUP($CU20-CV$103+1,Frauen!$G$9:$J$102,4))*0.5*(VLOOKUP($CU20-CV$103,Frauen!$AZ$9:$BD$102,5)+VLOOKUP($CU20-CV$103+1,Frauen!$AZ$9:$BD$102,5)),RundDx)))</f>
        <v>3573671790</v>
      </c>
      <c r="CW20" s="25">
        <f>IF($CU20&gt;=RAM,"",IF($CU20-CW$103&lt;BeginnAlter,"",ROUND(v^($CU20+FaktorAlter)*$L20*$D20*0.5*(VLOOKUP($CU20-CW$103,Frauen!$G$9:$J$102,4)+VLOOKUP($CU20-CW$103+1,Frauen!$G$9:$J$102,4))*0.5*(VLOOKUP($CU20-CW$103,Frauen!$AZ$9:$BD$102,5)+VLOOKUP($CU20-CW$103+1,Frauen!$AZ$9:$BD$102,5)),RundDx)))</f>
        <v>3631036594</v>
      </c>
      <c r="CX20" s="25">
        <f>IF($CU20&gt;=RAM,"",IF($CU20-CX$103&lt;BeginnAlter,"",ROUND(v^($CU20+FaktorAlter)*$L20*$D20*0.5*(VLOOKUP($CU20-CX$103,Frauen!$G$9:$J$102,4)+VLOOKUP($CU20-CX$103+1,Frauen!$G$9:$J$102,4))*0.5*(VLOOKUP($CU20-CX$103,Frauen!$AZ$9:$BD$102,5)+VLOOKUP($CU20-CX$103+1,Frauen!$AZ$9:$BD$102,5)),RundDx)))</f>
        <v>3687153490</v>
      </c>
      <c r="CY20" s="25">
        <f>IF($CU20&gt;=RAM,"",IF($CU20-CY$103&lt;BeginnAlter,"",ROUND(v^($CU20+FaktorAlter)*$L20*$D20*0.5*(VLOOKUP($CU20-CY$103,Frauen!$G$9:$J$102,4)+VLOOKUP($CU20-CY$103+1,Frauen!$G$9:$J$102,4))*0.5*(VLOOKUP($CU20-CY$103,Frauen!$AZ$9:$BD$102,5)+VLOOKUP($CU20-CY$103+1,Frauen!$AZ$9:$BD$102,5)),RundDx)))</f>
        <v>3742019845</v>
      </c>
      <c r="CZ20" s="25">
        <f>IF($CU20&gt;=RAM,"",IF($CU20-CZ$103&lt;BeginnAlter,"",ROUND(v^($CU20+FaktorAlter)*$L20*$D20*0.5*(VLOOKUP($CU20-CZ$103,Frauen!$G$9:$J$102,4)+VLOOKUP($CU20-CZ$103+1,Frauen!$G$9:$J$102,4))*0.5*(VLOOKUP($CU20-CZ$103,Frauen!$AZ$9:$BD$102,5)+VLOOKUP($CU20-CZ$103+1,Frauen!$AZ$9:$BD$102,5)),RundDx)))</f>
        <v>3795673062</v>
      </c>
      <c r="DA20" s="25">
        <f>IF($CU20&gt;=RAM,"",IF($CU20-DA$103&lt;BeginnAlter,"",ROUND(v^($CU20+FaktorAlter)*$L20*$D20*0.5*(VLOOKUP($CU20-DA$103,Frauen!$G$9:$J$102,4)+VLOOKUP($CU20-DA$103+1,Frauen!$G$9:$J$102,4))*0.5*(VLOOKUP($CU20-DA$103,Frauen!$AZ$9:$BD$102,5)+VLOOKUP($CU20-DA$103+1,Frauen!$AZ$9:$BD$102,5)),RundDx)))</f>
        <v>3848134726</v>
      </c>
      <c r="DB20" s="25">
        <f>IF($CU20&gt;=RAM,"",IF($CU20-DB$103&lt;BeginnAlter,"",ROUND(v^($CU20+FaktorAlter)*$L20*$D20*0.5*(VLOOKUP($CU20-DB$103,Frauen!$G$9:$J$102,4)+VLOOKUP($CU20-DB$103+1,Frauen!$G$9:$J$102,4))*0.5*(VLOOKUP($CU20-DB$103,Frauen!$AZ$9:$BD$102,5)+VLOOKUP($CU20-DB$103+1,Frauen!$AZ$9:$BD$102,5)),RundDx)))</f>
        <v>3899497655</v>
      </c>
      <c r="DC20" s="25">
        <f>IF($CU20&gt;=RAM,"",IF($CU20-DC$103&lt;BeginnAlter,"",ROUND(v^($CU20+FaktorAlter)*$L20*$D20*0.5*(VLOOKUP($CU20-DC$103,Frauen!$G$9:$J$102,4)+VLOOKUP($CU20-DC$103+1,Frauen!$G$9:$J$102,4))*0.5*(VLOOKUP($CU20-DC$103,Frauen!$AZ$9:$BD$102,5)+VLOOKUP($CU20-DC$103+1,Frauen!$AZ$9:$BD$102,5)),RundDx)))</f>
        <v>3949857274</v>
      </c>
      <c r="DD20" s="25">
        <f>IF($CU20&gt;=RAM,"",IF($CU20-DD$103&lt;BeginnAlter,"",ROUND(v^($CU20+FaktorAlter)*$L20*$D20*0.5*(VLOOKUP($CU20-DD$103,Frauen!$G$9:$J$102,4)+VLOOKUP($CU20-DD$103+1,Frauen!$G$9:$J$102,4))*0.5*(VLOOKUP($CU20-DD$103,Frauen!$AZ$9:$BD$102,5)+VLOOKUP($CU20-DD$103+1,Frauen!$AZ$9:$BD$102,5)),RundDx)))</f>
        <v>3999242641</v>
      </c>
      <c r="DE20" s="25">
        <f>IF($CU20&gt;=RAM,"",IF($CU20-DE$103&lt;BeginnAlter,"",ROUND(v^($CU20+FaktorAlter)*$L20*$D20*0.5*(VLOOKUP($CU20-DE$103,Frauen!$G$9:$J$102,4)+VLOOKUP($CU20-DE$103+1,Frauen!$G$9:$J$102,4))*0.5*(VLOOKUP($CU20-DE$103,Frauen!$AZ$9:$BD$102,5)+VLOOKUP($CU20-DE$103+1,Frauen!$AZ$9:$BD$102,5)),RundDx)))</f>
        <v>4047616084</v>
      </c>
      <c r="DF20" s="25">
        <f>IF($CU20&gt;=RAM,"",IF($CU20-DF$103&lt;BeginnAlter,"",ROUND(v^($CU20+FaktorAlter)*$L20*$D20*0.5*(VLOOKUP($CU20-DF$103,Frauen!$G$9:$J$102,4)+VLOOKUP($CU20-DF$103+1,Frauen!$G$9:$J$102,4))*0.5*(VLOOKUP($CU20-DF$103,Frauen!$AZ$9:$BD$102,5)+VLOOKUP($CU20-DF$103+1,Frauen!$AZ$9:$BD$102,5)),RundDx)))</f>
        <v>4094990183</v>
      </c>
      <c r="DG20" s="25">
        <f>IF($CU20&gt;=RAM,"",IF($CU20-DG$103&lt;BeginnAlter,"",ROUND(v^($CU20+FaktorAlter)*$L20*$D20*0.5*(VLOOKUP($CU20-DG$103,Frauen!$G$9:$J$102,4)+VLOOKUP($CU20-DG$103+1,Frauen!$G$9:$J$102,4))*0.5*(VLOOKUP($CU20-DG$103,Frauen!$AZ$9:$BD$102,5)+VLOOKUP($CU20-DG$103+1,Frauen!$AZ$9:$BD$102,5)),RundDx)))</f>
        <v>4141378639</v>
      </c>
      <c r="DH20" s="25">
        <f>IF($CU20&gt;=RAM,"",IF($CU20-DH$103&lt;BeginnAlter,"",ROUND(v^($CU20+FaktorAlter)*$L20*$D20*0.5*(VLOOKUP($CU20-DH$103,Frauen!$G$9:$J$102,4)+VLOOKUP($CU20-DH$103+1,Frauen!$G$9:$J$102,4))*0.5*(VLOOKUP($CU20-DH$103,Frauen!$AZ$9:$BD$102,5)+VLOOKUP($CU20-DH$103+1,Frauen!$AZ$9:$BD$102,5)),RundDx)))</f>
        <v>4186865256</v>
      </c>
      <c r="DI20" s="25">
        <f>IF($CU20&gt;=RAM,"",IF($CU20-DI$103&lt;BeginnAlter,"",ROUND(v^($CU20+FaktorAlter)*$L20*$D20*0.5*(VLOOKUP($CU20-DI$103,Frauen!$G$9:$J$102,4)+VLOOKUP($CU20-DI$103+1,Frauen!$G$9:$J$102,4))*0.5*(VLOOKUP($CU20-DI$103,Frauen!$AZ$9:$BD$102,5)+VLOOKUP($CU20-DI$103+1,Frauen!$AZ$9:$BD$102,5)),RundDx)))</f>
        <v>4231465966</v>
      </c>
      <c r="DJ20" s="25">
        <f>IF($CU20&gt;=RAM,"",IF($CU20-DJ$103&lt;BeginnAlter,"",ROUND(v^($CU20+FaktorAlter)*$L20*$D20*0.5*(VLOOKUP($CU20-DJ$103,Frauen!$G$9:$J$102,4)+VLOOKUP($CU20-DJ$103+1,Frauen!$G$9:$J$102,4))*0.5*(VLOOKUP($CU20-DJ$103,Frauen!$AZ$9:$BD$102,5)+VLOOKUP($CU20-DJ$103+1,Frauen!$AZ$9:$BD$102,5)),RundDx)))</f>
        <v>4275128599</v>
      </c>
      <c r="DK20" s="25">
        <f>IF($CU20&gt;=RAM,"",IF($CU20-DK$103&lt;BeginnAlter,"",ROUND(v^($CU20+FaktorAlter)*$L20*$D20*0.5*(VLOOKUP($CU20-DK$103,Frauen!$G$9:$J$102,4)+VLOOKUP($CU20-DK$103+1,Frauen!$G$9:$J$102,4))*0.5*(VLOOKUP($CU20-DK$103,Frauen!$AZ$9:$BD$102,5)+VLOOKUP($CU20-DK$103+1,Frauen!$AZ$9:$BD$102,5)),RundDx)))</f>
        <v>4317849254</v>
      </c>
      <c r="DL20" s="25">
        <f>IF($CU20&gt;=RAM,"",IF($CU20-DL$103&lt;BeginnAlter,"",ROUND(v^($CU20+FaktorAlter)*$L20*$D20*0.5*(VLOOKUP($CU20-DL$103,Frauen!$G$9:$J$102,4)+VLOOKUP($CU20-DL$103+1,Frauen!$G$9:$J$102,4))*0.5*(VLOOKUP($CU20-DL$103,Frauen!$AZ$9:$BD$102,5)+VLOOKUP($CU20-DL$103+1,Frauen!$AZ$9:$BD$102,5)),RundDx)))</f>
        <v>4359671435</v>
      </c>
      <c r="DM20" s="25">
        <f>IF($CU20&gt;=RAM,"",IF($CU20-DM$103&lt;BeginnAlter,"",ROUND(v^($CU20+FaktorAlter)*$L20*$D20*0.5*(VLOOKUP($CU20-DM$103,Frauen!$G$9:$J$102,4)+VLOOKUP($CU20-DM$103+1,Frauen!$G$9:$J$102,4))*0.5*(VLOOKUP($CU20-DM$103,Frauen!$AZ$9:$BD$102,5)+VLOOKUP($CU20-DM$103+1,Frauen!$AZ$9:$BD$102,5)),RundDx)))</f>
        <v>4400707289</v>
      </c>
      <c r="DN20" s="25">
        <f>IF($CU20&gt;=RAM,"",IF($CU20-DN$103&lt;BeginnAlter,"",ROUND(v^($CU20+FaktorAlter)*$L20*$D20*0.5*(VLOOKUP($CU20-DN$103,Frauen!$G$9:$J$102,4)+VLOOKUP($CU20-DN$103+1,Frauen!$G$9:$J$102,4))*0.5*(VLOOKUP($CU20-DN$103,Frauen!$AZ$9:$BD$102,5)+VLOOKUP($CU20-DN$103+1,Frauen!$AZ$9:$BD$102,5)),RundDx)))</f>
        <v>4440860905</v>
      </c>
      <c r="DO20" s="25">
        <f>IF($CU20&gt;=RAM,"",IF($CU20-DO$103&lt;BeginnAlter,"",ROUND(v^($CU20+FaktorAlter)*$L20*$D20*0.5*(VLOOKUP($CU20-DO$103,Frauen!$G$9:$J$102,4)+VLOOKUP($CU20-DO$103+1,Frauen!$G$9:$J$102,4))*0.5*(VLOOKUP($CU20-DO$103,Frauen!$AZ$9:$BD$102,5)+VLOOKUP($CU20-DO$103+1,Frauen!$AZ$9:$BD$102,5)),RundDx)))</f>
        <v>4480174120</v>
      </c>
      <c r="DP20" s="25">
        <f>IF($CU20&gt;=RAM,"",IF($CU20-DP$103&lt;BeginnAlter,"",ROUND(v^($CU20+FaktorAlter)*$L20*$D20*0.5*(VLOOKUP($CU20-DP$103,Frauen!$G$9:$J$102,4)+VLOOKUP($CU20-DP$103+1,Frauen!$G$9:$J$102,4))*0.5*(VLOOKUP($CU20-DP$103,Frauen!$AZ$9:$BD$102,5)+VLOOKUP($CU20-DP$103+1,Frauen!$AZ$9:$BD$102,5)),RundDx)))</f>
        <v>4518710901</v>
      </c>
      <c r="DQ20" s="25">
        <f>IF($CU20&gt;=RAM,"",IF($CU20-DQ$103&lt;BeginnAlter,"",ROUND(v^($CU20+FaktorAlter)*$L20*$D20*0.5*(VLOOKUP($CU20-DQ$103,Frauen!$G$9:$J$102,4)+VLOOKUP($CU20-DQ$103+1,Frauen!$G$9:$J$102,4))*0.5*(VLOOKUP($CU20-DQ$103,Frauen!$AZ$9:$BD$102,5)+VLOOKUP($CU20-DQ$103+1,Frauen!$AZ$9:$BD$102,5)),RundDx)))</f>
        <v>4556443378</v>
      </c>
      <c r="DR20" s="25">
        <f>IF($CU20&gt;=RAM,"",IF($CU20-DR$103&lt;BeginnAlter,"",ROUND(v^($CU20+FaktorAlter)*$L20*$D20*0.5*(VLOOKUP($CU20-DR$103,Frauen!$G$9:$J$102,4)+VLOOKUP($CU20-DR$103+1,Frauen!$G$9:$J$102,4))*0.5*(VLOOKUP($CU20-DR$103,Frauen!$AZ$9:$BD$102,5)+VLOOKUP($CU20-DR$103+1,Frauen!$AZ$9:$BD$102,5)),RundDx)))</f>
        <v>4593412414</v>
      </c>
      <c r="DS20" s="25">
        <f>IF($CU20&gt;=RAM,"",IF($CU20-DS$103&lt;BeginnAlter,"",ROUND(v^($CU20+FaktorAlter)*$L20*$D20*0.5*(VLOOKUP($CU20-DS$103,Frauen!$G$9:$J$102,4)+VLOOKUP($CU20-DS$103+1,Frauen!$G$9:$J$102,4))*0.5*(VLOOKUP($CU20-DS$103,Frauen!$AZ$9:$BD$102,5)+VLOOKUP($CU20-DS$103+1,Frauen!$AZ$9:$BD$102,5)),RundDx)))</f>
        <v>4629542918</v>
      </c>
      <c r="DT20" s="25">
        <f>IF($CU20&gt;=RAM,"",IF($CU20-DT$103&lt;BeginnAlter,"",ROUND(v^($CU20+FaktorAlter)*$L20*$D20*0.5*(VLOOKUP($CU20-DT$103,Frauen!$G$9:$J$102,4)+VLOOKUP($CU20-DT$103+1,Frauen!$G$9:$J$102,4))*0.5*(VLOOKUP($CU20-DT$103,Frauen!$AZ$9:$BD$102,5)+VLOOKUP($CU20-DT$103+1,Frauen!$AZ$9:$BD$102,5)),RundDx)))</f>
        <v>4664852578</v>
      </c>
      <c r="DU20" s="25">
        <f>IF($CU20&gt;=RAM,"",IF($CU20-DU$103&lt;BeginnAlter,"",ROUND(v^($CU20+FaktorAlter)*$L20*$D20*0.5*(VLOOKUP($CU20-DU$103,Frauen!$G$9:$J$102,4)+VLOOKUP($CU20-DU$103+1,Frauen!$G$9:$J$102,4))*0.5*(VLOOKUP($CU20-DU$103,Frauen!$AZ$9:$BD$102,5)+VLOOKUP($CU20-DU$103+1,Frauen!$AZ$9:$BD$102,5)),RundDx)))</f>
        <v>4699476285</v>
      </c>
      <c r="DV20" s="25">
        <f>IF($CU20&gt;=RAM,"",IF($CU20-DV$103&lt;BeginnAlter,"",ROUND(v^($CU20+FaktorAlter)*$L20*$D20*0.5*(VLOOKUP($CU20-DV$103,Frauen!$G$9:$J$102,4)+VLOOKUP($CU20-DV$103+1,Frauen!$G$9:$J$102,4))*0.5*(VLOOKUP($CU20-DV$103,Frauen!$AZ$9:$BD$102,5)+VLOOKUP($CU20-DV$103+1,Frauen!$AZ$9:$BD$102,5)),RundDx)))</f>
        <v>4733343115</v>
      </c>
      <c r="DW20" s="25" t="str">
        <f>IF($CU20&gt;=RAM,"",IF($CU20-DW$103&lt;BeginnAlter,"",ROUND(v^($CU20+FaktorAlter)*$L20*$D20*0.5*(VLOOKUP($CU20-DW$103,Frauen!$G$9:$J$102,4)+VLOOKUP($CU20-DW$103+1,Frauen!$G$9:$J$102,4))*0.5*(VLOOKUP($CU20-DW$103,Frauen!$AZ$9:$BD$102,5)+VLOOKUP($CU20-DW$103+1,Frauen!$AZ$9:$BD$102,5)),RundDx)))</f>
        <v/>
      </c>
      <c r="DX20" s="25" t="str">
        <f>IF($CU20&gt;=RAM,"",IF($CU20-DX$103&lt;BeginnAlter,"",ROUND(v^($CU20+FaktorAlter)*$L20*$D20*0.5*(VLOOKUP($CU20-DX$103,Frauen!$G$9:$J$102,4)+VLOOKUP($CU20-DX$103+1,Frauen!$G$9:$J$102,4))*0.5*(VLOOKUP($CU20-DX$103,Frauen!$AZ$9:$BD$102,5)+VLOOKUP($CU20-DX$103+1,Frauen!$AZ$9:$BD$102,5)),RundDx)))</f>
        <v/>
      </c>
      <c r="DY20" s="25" t="str">
        <f>IF($CU20&gt;=RAM,"",IF($CU20-DY$103&lt;BeginnAlter,"",ROUND(v^($CU20+FaktorAlter)*$L20*$D20*0.5*(VLOOKUP($CU20-DY$103,Frauen!$G$9:$J$102,4)+VLOOKUP($CU20-DY$103+1,Frauen!$G$9:$J$102,4))*0.5*(VLOOKUP($CU20-DY$103,Frauen!$AZ$9:$BD$102,5)+VLOOKUP($CU20-DY$103+1,Frauen!$AZ$9:$BD$102,5)),RundDx)))</f>
        <v/>
      </c>
      <c r="DZ20" s="25" t="str">
        <f>IF($CU20&gt;=RAM,"",IF($CU20-DZ$103&lt;BeginnAlter,"",ROUND(v^($CU20+FaktorAlter)*$L20*$D20*0.5*(VLOOKUP($CU20-DZ$103,Frauen!$G$9:$J$102,4)+VLOOKUP($CU20-DZ$103+1,Frauen!$G$9:$J$102,4))*0.5*(VLOOKUP($CU20-DZ$103,Frauen!$AZ$9:$BD$102,5)+VLOOKUP($CU20-DZ$103+1,Frauen!$AZ$9:$BD$102,5)),RundDx)))</f>
        <v/>
      </c>
      <c r="EA20" s="43">
        <f>IF($CU20&gt;=RAM,"",IF($CU20-EA$103&lt;BeginnAlter,"",ROUND((SUM(CV20:CV$56)+SUM(FN$9:FN$56))/VLOOKUP($CU20,$AH$9:$AI$102,2)/VLOOKUP($CU20-EA$103,Frauen!$G$9:$J$102,4),Rundäx)))</f>
        <v>6.9470000000000001</v>
      </c>
      <c r="EB20" s="43">
        <f>IF($CU20&gt;=RAM,"",IF($CU20-EB$103&lt;BeginnAlter,"",ROUND((SUM(CW20:CW$56)+SUM(FO$9:FO$56))/VLOOKUP($CU20,$AH$9:$AI$102,2)/VLOOKUP($CU20-EB$103,Frauen!$G$9:$J$102,4),Rundäx)))</f>
        <v>7.1580000000000004</v>
      </c>
      <c r="EC20" s="43">
        <f>IF($CU20&gt;=RAM,"",IF($CU20-EC$103&lt;BeginnAlter,"",ROUND((SUM(CX20:CX$56)+SUM(FP$9:FP$56))/VLOOKUP($CU20,$AH$9:$AI$102,2)/VLOOKUP($CU20-EC$103,Frauen!$G$9:$J$102,4),Rundäx)))</f>
        <v>7.37</v>
      </c>
      <c r="ED20" s="43">
        <f>IF($CU20&gt;=RAM,"",IF($CU20-ED$103&lt;BeginnAlter,"",ROUND((SUM(CY20:CY$56)+SUM(FQ$9:FQ$56))/VLOOKUP($CU20,$AH$9:$AI$102,2)/VLOOKUP($CU20-ED$103,Frauen!$G$9:$J$102,4),Rundäx)))</f>
        <v>7.5830000000000002</v>
      </c>
      <c r="EE20" s="43">
        <f>IF($CU20&gt;=RAM,"",IF($CU20-EE$103&lt;BeginnAlter,"",ROUND((SUM(CZ20:CZ$56)+SUM(FR$9:FR$56))/VLOOKUP($CU20,$AH$9:$AI$102,2)/VLOOKUP($CU20-EE$103,Frauen!$G$9:$J$102,4),Rundäx)))</f>
        <v>7.7969999999999997</v>
      </c>
      <c r="EF20" s="43">
        <f>IF($CU20&gt;=RAM,"",IF($CU20-EF$103&lt;BeginnAlter,"",ROUND((SUM(DA20:DA$56)+SUM(FS$9:FS$56))/VLOOKUP($CU20,$AH$9:$AI$102,2)/VLOOKUP($CU20-EF$103,Frauen!$G$9:$J$102,4),Rundäx)))</f>
        <v>8.0120000000000005</v>
      </c>
      <c r="EG20" s="43">
        <f>IF($CU20&gt;=RAM,"",IF($CU20-EG$103&lt;BeginnAlter,"",ROUND((SUM(DB20:DB$56)+SUM(FT$9:FT$56))/VLOOKUP($CU20,$AH$9:$AI$102,2)/VLOOKUP($CU20-EG$103,Frauen!$G$9:$J$102,4),Rundäx)))</f>
        <v>8.2270000000000003</v>
      </c>
      <c r="EH20" s="43">
        <f>IF($CU20&gt;=RAM,"",IF($CU20-EH$103&lt;BeginnAlter,"",ROUND((SUM(DC20:DC$56)+SUM(FU$9:FU$56))/VLOOKUP($CU20,$AH$9:$AI$102,2)/VLOOKUP($CU20-EH$103,Frauen!$G$9:$J$102,4),Rundäx)))</f>
        <v>8.4420000000000002</v>
      </c>
      <c r="EI20" s="86"/>
      <c r="EJ20" s="35">
        <f t="shared" si="60"/>
        <v>28</v>
      </c>
      <c r="EK20" s="43">
        <f>IF($CU20&gt;=RAM,"",IF($CU20-EK$103&lt;BeginnAlter,"",ROUND((SUM(DD20:DD$56)+SUM(FV$9:FV$56))/VLOOKUP($CU20,$AH$9:$AI$102,2)/VLOOKUP($CU20-EK$103,Frauen!$G$9:$J$102,4),Rundäx)))</f>
        <v>8.6579999999999995</v>
      </c>
      <c r="EL20" s="43">
        <f>IF($CU20&gt;=RAM,"",IF($CU20-EL$103&lt;BeginnAlter,"",ROUND((SUM(DE20:DE$56)+SUM(FW$9:FW$56))/VLOOKUP($CU20,$AH$9:$AI$102,2)/VLOOKUP($CU20-EL$103,Frauen!$G$9:$J$102,4),Rundäx)))</f>
        <v>8.875</v>
      </c>
      <c r="EM20" s="43">
        <f>IF($CU20&gt;=RAM,"",IF($CU20-EM$103&lt;BeginnAlter,"",ROUND((SUM(DF20:DF$56)+SUM(FX$9:FX$56))/VLOOKUP($CU20,$AH$9:$AI$102,2)/VLOOKUP($CU20-EM$103,Frauen!$G$9:$J$102,4),Rundäx)))</f>
        <v>9.0909999999999993</v>
      </c>
      <c r="EN20" s="43">
        <f>IF($CU20&gt;=RAM,"",IF($CU20-EN$103&lt;BeginnAlter,"",ROUND((SUM(DG20:DG$56)+SUM(FY$9:FY$56))/VLOOKUP($CU20,$AH$9:$AI$102,2)/VLOOKUP($CU20-EN$103,Frauen!$G$9:$J$102,4),Rundäx)))</f>
        <v>9.3079999999999998</v>
      </c>
      <c r="EO20" s="43">
        <f>IF($CU20&gt;=RAM,"",IF($CU20-EO$103&lt;BeginnAlter,"",ROUND((SUM(DH20:DH$56)+SUM(FZ$9:FZ$56))/VLOOKUP($CU20,$AH$9:$AI$102,2)/VLOOKUP($CU20-EO$103,Frauen!$G$9:$J$102,4),Rundäx)))</f>
        <v>9.5259999999999998</v>
      </c>
      <c r="EP20" s="43">
        <f>IF($CU20&gt;=RAM,"",IF($CU20-EP$103&lt;BeginnAlter,"",ROUND((SUM(DI20:DI$56)+SUM(GA$9:GA$56))/VLOOKUP($CU20,$AH$9:$AI$102,2)/VLOOKUP($CU20-EP$103,Frauen!$G$9:$J$102,4),Rundäx)))</f>
        <v>9.7430000000000003</v>
      </c>
      <c r="EQ20" s="43">
        <f>IF($CU20&gt;=RAM,"",IF($CU20-EQ$103&lt;BeginnAlter,"",ROUND((SUM(DJ20:DJ$56)+SUM(GB$9:GB$56))/VLOOKUP($CU20,$AH$9:$AI$102,2)/VLOOKUP($CU20-EQ$103,Frauen!$G$9:$J$102,4),Rundäx)))</f>
        <v>9.9600000000000009</v>
      </c>
      <c r="ER20" s="43">
        <f>IF($CU20&gt;=RAM,"",IF($CU20-ER$103&lt;BeginnAlter,"",ROUND((SUM(DK20:DK$56)+SUM(GC$9:GC$56))/VLOOKUP($CU20,$AH$9:$AI$102,2)/VLOOKUP($CU20-ER$103,Frauen!$G$9:$J$102,4),Rundäx)))</f>
        <v>10.176</v>
      </c>
      <c r="ES20" s="86"/>
      <c r="ET20" s="35">
        <f t="shared" si="61"/>
        <v>28</v>
      </c>
      <c r="EU20" s="43">
        <f>IF($CU20&gt;=RAM,"",IF($CU20-EU$103&lt;BeginnAlter,"",ROUND((SUM(DL20:DL$56)+SUM(GD$9:GD$56))/VLOOKUP($CU20,$AH$9:$AI$102,2)/VLOOKUP($CU20-EU$103,Frauen!$G$9:$J$102,4),Rundäx)))</f>
        <v>10.393000000000001</v>
      </c>
      <c r="EV20" s="43">
        <f>IF($CU20&gt;=RAM,"",IF($CU20-EV$103&lt;BeginnAlter,"",ROUND((SUM(DM20:DM$56)+SUM(GE$9:GE$56))/VLOOKUP($CU20,$AH$9:$AI$102,2)/VLOOKUP($CU20-EV$103,Frauen!$G$9:$J$102,4),Rundäx)))</f>
        <v>10.609</v>
      </c>
      <c r="EW20" s="43">
        <f>IF($CU20&gt;=RAM,"",IF($CU20-EW$103&lt;BeginnAlter,"",ROUND((SUM(DN20:DN$56)+SUM(GF$9:GF$56))/VLOOKUP($CU20,$AH$9:$AI$102,2)/VLOOKUP($CU20-EW$103,Frauen!$G$9:$J$102,4),Rundäx)))</f>
        <v>10.824</v>
      </c>
      <c r="EX20" s="43">
        <f>IF($CU20&gt;=RAM,"",IF($CU20-EX$103&lt;BeginnAlter,"",ROUND((SUM(DO20:DO$56)+SUM(GG$9:GG$56))/VLOOKUP($CU20,$AH$9:$AI$102,2)/VLOOKUP($CU20-EX$103,Frauen!$G$9:$J$102,4),Rundäx)))</f>
        <v>11.039</v>
      </c>
      <c r="EY20" s="43">
        <f>IF($CU20&gt;=RAM,"",IF($CU20-EY$103&lt;BeginnAlter,"",ROUND((SUM(DP20:DP$56)+SUM(GH$9:GH$56))/VLOOKUP($CU20,$AH$9:$AI$102,2)/VLOOKUP($CU20-EY$103,Frauen!$G$9:$J$102,4),Rundäx)))</f>
        <v>11.253</v>
      </c>
      <c r="EZ20" s="43">
        <f>IF($CU20&gt;=RAM,"",IF($CU20-EZ$103&lt;BeginnAlter,"",ROUND((SUM(DQ20:DQ$56)+SUM(GI$9:GI$56))/VLOOKUP($CU20,$AH$9:$AI$102,2)/VLOOKUP($CU20-EZ$103,Frauen!$G$9:$J$102,4),Rundäx)))</f>
        <v>11.467000000000001</v>
      </c>
      <c r="FA20" s="43">
        <f>IF($CU20&gt;=RAM,"",IF($CU20-FA$103&lt;BeginnAlter,"",ROUND((SUM(DR20:DR$56)+SUM(GJ$9:GJ$56))/VLOOKUP($CU20,$AH$9:$AI$102,2)/VLOOKUP($CU20-FA$103,Frauen!$G$9:$J$102,4),Rundäx)))</f>
        <v>11.679</v>
      </c>
      <c r="FB20" s="43">
        <f>IF($CU20&gt;=RAM,"",IF($CU20-FB$103&lt;BeginnAlter,"",ROUND((SUM(DS20:DS$56)+SUM(GK$9:GK$56))/VLOOKUP($CU20,$AH$9:$AI$102,2)/VLOOKUP($CU20-FB$103,Frauen!$G$9:$J$102,4),Rundäx)))</f>
        <v>11.89</v>
      </c>
      <c r="FC20" s="86"/>
      <c r="FD20" s="35">
        <f t="shared" si="62"/>
        <v>28</v>
      </c>
      <c r="FE20" s="43">
        <f>IF($CU20&gt;=RAM,"",IF($CU20-FE$103&lt;BeginnAlter,"",ROUND((SUM(DT20:DT$56)+SUM(GL$9:GL$56))/VLOOKUP($CU20,$AH$9:$AI$102,2)/VLOOKUP($CU20-FE$103,Frauen!$G$9:$J$102,4),Rundäx)))</f>
        <v>12.1</v>
      </c>
      <c r="FF20" s="43">
        <f>IF($CU20&gt;=RAM,"",IF($CU20-FF$103&lt;BeginnAlter,"",ROUND((SUM(DU20:DU$56)+SUM(GM$9:GM$56))/VLOOKUP($CU20,$AH$9:$AI$102,2)/VLOOKUP($CU20-FF$103,Frauen!$G$9:$J$102,4),Rundäx)))</f>
        <v>12.308</v>
      </c>
      <c r="FG20" s="43">
        <f>IF($CU20&gt;=RAM,"",IF($CU20-FG$103&lt;BeginnAlter,"",ROUND((SUM(DV20:DV$56)+SUM(GN$9:GN$56))/VLOOKUP($CU20,$AH$9:$AI$102,2)/VLOOKUP($CU20-FG$103,Frauen!$G$9:$J$102,4),Rundäx)))</f>
        <v>12.513999999999999</v>
      </c>
      <c r="FH20" s="43" t="str">
        <f>IF($CU20&gt;=RAM,"",IF($CU20-FH$103&lt;BeginnAlter,"",ROUND((SUM(DW20:DW$56)+SUM(GO$9:GO$56))/VLOOKUP($CU20,$AH$9:$AI$102,2)/VLOOKUP($CU20-FH$103,Frauen!$G$9:$J$102,4),Rundäx)))</f>
        <v/>
      </c>
      <c r="FI20" s="43" t="str">
        <f>IF($CU20&gt;=RAM,"",IF($CU20-FI$103&lt;BeginnAlter,"",ROUND((SUM(DX20:DX$56)+SUM(GP$9:GP$56))/VLOOKUP($CU20,$AH$9:$AI$102,2)/VLOOKUP($CU20-FI$103,Frauen!$G$9:$J$102,4),Rundäx)))</f>
        <v/>
      </c>
      <c r="FJ20" s="43" t="str">
        <f>IF($CU20&gt;=RAM,"",IF($CU20-FJ$103&lt;BeginnAlter,"",ROUND((SUM(DY20:DY$56)+SUM(GQ$9:GQ$56))/VLOOKUP($CU20,$AH$9:$AI$102,2)/VLOOKUP($CU20-FJ$103,Frauen!$G$9:$J$102,4),Rundäx)))</f>
        <v/>
      </c>
      <c r="FK20" s="43" t="str">
        <f>IF($CU20&gt;=RAM,"",IF($CU20-FK$103&lt;BeginnAlter,"",ROUND((SUM(DZ20:DZ$56)+SUM(GR$9:GR$56))/VLOOKUP($CU20,$AH$9:$AI$102,2)/VLOOKUP($CU20-FK$103,Frauen!$G$9:$J$102,4),Rundäx)))</f>
        <v/>
      </c>
      <c r="FL20" s="86"/>
      <c r="FM20" s="35">
        <f t="shared" si="68"/>
        <v>76</v>
      </c>
      <c r="FN20" s="25">
        <f>ROUND(v^($FM20+FaktorAlter)*VLOOKUP($FM20,$G$9:$J$102,4)*VLOOKUP($FM20,$A$9:$E$102,5)*0.5*(VLOOKUP($FM20-FN$103,Frauen!$G$9:$J$102,4)+VLOOKUP($FM20-FN$103+1,Frauen!$G$9:$J$102,4))*0.5*(VLOOKUP($FM20-FN$103,Frauen!$AZ$9:$BD$102,5)+VLOOKUP($FM20-FN$103+1,Frauen!$AZ$9:$BD$102,5)),RundDx)</f>
        <v>39929722</v>
      </c>
      <c r="FO20" s="25">
        <f>ROUND(v^($FM20+FaktorAlter)*VLOOKUP($FM20,$G$9:$J$102,4)*VLOOKUP($FM20,$A$9:$E$102,5)*0.5*(VLOOKUP($FM20-FO$103,Frauen!$G$9:$J$102,4)+VLOOKUP($FM20-FO$103+1,Frauen!$G$9:$J$102,4))*0.5*(VLOOKUP($FM20-FO$103,Frauen!$AZ$9:$BD$102,5)+VLOOKUP($FM20-FO$103+1,Frauen!$AZ$9:$BD$102,5)),RundDx)</f>
        <v>51982655</v>
      </c>
      <c r="FP20" s="25">
        <f>ROUND(v^($FM20+FaktorAlter)*VLOOKUP($FM20,$G$9:$J$102,4)*VLOOKUP($FM20,$A$9:$E$102,5)*0.5*(VLOOKUP($FM20-FP$103,Frauen!$G$9:$J$102,4)+VLOOKUP($FM20-FP$103+1,Frauen!$G$9:$J$102,4))*0.5*(VLOOKUP($FM20-FP$103,Frauen!$AZ$9:$BD$102,5)+VLOOKUP($FM20-FP$103+1,Frauen!$AZ$9:$BD$102,5)),RundDx)</f>
        <v>66109372</v>
      </c>
      <c r="FQ20" s="25">
        <f>ROUND(v^($FM20+FaktorAlter)*VLOOKUP($FM20,$G$9:$J$102,4)*VLOOKUP($FM20,$A$9:$E$102,5)*0.5*(VLOOKUP($FM20-FQ$103,Frauen!$G$9:$J$102,4)+VLOOKUP($FM20-FQ$103+1,Frauen!$G$9:$J$102,4))*0.5*(VLOOKUP($FM20-FQ$103,Frauen!$AZ$9:$BD$102,5)+VLOOKUP($FM20-FQ$103+1,Frauen!$AZ$9:$BD$102,5)),RundDx)</f>
        <v>82328000</v>
      </c>
      <c r="FR20" s="25">
        <f>ROUND(v^($FM20+FaktorAlter)*VLOOKUP($FM20,$G$9:$J$102,4)*VLOOKUP($FM20,$A$9:$E$102,5)*0.5*(VLOOKUP($FM20-FR$103,Frauen!$G$9:$J$102,4)+VLOOKUP($FM20-FR$103+1,Frauen!$G$9:$J$102,4))*0.5*(VLOOKUP($FM20-FR$103,Frauen!$AZ$9:$BD$102,5)+VLOOKUP($FM20-FR$103+1,Frauen!$AZ$9:$BD$102,5)),RundDx)</f>
        <v>100588465</v>
      </c>
      <c r="FS20" s="25">
        <f>ROUND(v^($FM20+FaktorAlter)*VLOOKUP($FM20,$G$9:$J$102,4)*VLOOKUP($FM20,$A$9:$E$102,5)*0.5*(VLOOKUP($FM20-FS$103,Frauen!$G$9:$J$102,4)+VLOOKUP($FM20-FS$103+1,Frauen!$G$9:$J$102,4))*0.5*(VLOOKUP($FM20-FS$103,Frauen!$AZ$9:$BD$102,5)+VLOOKUP($FM20-FS$103+1,Frauen!$AZ$9:$BD$102,5)),RundDx)</f>
        <v>120797833</v>
      </c>
      <c r="FT20" s="25">
        <f>ROUND(v^($FM20+FaktorAlter)*VLOOKUP($FM20,$G$9:$J$102,4)*VLOOKUP($FM20,$A$9:$E$102,5)*0.5*(VLOOKUP($FM20-FT$103,Frauen!$G$9:$J$102,4)+VLOOKUP($FM20-FT$103+1,Frauen!$G$9:$J$102,4))*0.5*(VLOOKUP($FM20-FT$103,Frauen!$AZ$9:$BD$102,5)+VLOOKUP($FM20-FT$103+1,Frauen!$AZ$9:$BD$102,5)),RundDx)</f>
        <v>142762178</v>
      </c>
      <c r="FU20" s="25">
        <f>ROUND(v^($FM20+FaktorAlter)*VLOOKUP($FM20,$G$9:$J$102,4)*VLOOKUP($FM20,$A$9:$E$102,5)*0.5*(VLOOKUP($FM20-FU$103,Frauen!$G$9:$J$102,4)+VLOOKUP($FM20-FU$103+1,Frauen!$G$9:$J$102,4))*0.5*(VLOOKUP($FM20-FU$103,Frauen!$AZ$9:$BD$102,5)+VLOOKUP($FM20-FU$103+1,Frauen!$AZ$9:$BD$102,5)),RundDx)</f>
        <v>166248733</v>
      </c>
      <c r="FV20" s="25">
        <f>ROUND(v^($FM20+FaktorAlter)*VLOOKUP($FM20,$G$9:$J$102,4)*VLOOKUP($FM20,$A$9:$E$102,5)*0.5*(VLOOKUP($FM20-FV$103,Frauen!$G$9:$J$102,4)+VLOOKUP($FM20-FV$103+1,Frauen!$G$9:$J$102,4))*0.5*(VLOOKUP($FM20-FV$103,Frauen!$AZ$9:$BD$102,5)+VLOOKUP($FM20-FV$103+1,Frauen!$AZ$9:$BD$102,5)),RundDx)</f>
        <v>191027228</v>
      </c>
      <c r="FW20" s="25">
        <f>ROUND(v^($FM20+FaktorAlter)*VLOOKUP($FM20,$G$9:$J$102,4)*VLOOKUP($FM20,$A$9:$E$102,5)*0.5*(VLOOKUP($FM20-FW$103,Frauen!$G$9:$J$102,4)+VLOOKUP($FM20-FW$103+1,Frauen!$G$9:$J$102,4))*0.5*(VLOOKUP($FM20-FW$103,Frauen!$AZ$9:$BD$102,5)+VLOOKUP($FM20-FW$103+1,Frauen!$AZ$9:$BD$102,5)),RundDx)</f>
        <v>216825089</v>
      </c>
      <c r="FX20" s="25">
        <f>ROUND(v^($FM20+FaktorAlter)*VLOOKUP($FM20,$G$9:$J$102,4)*VLOOKUP($FM20,$A$9:$E$102,5)*0.5*(VLOOKUP($FM20-FX$103,Frauen!$G$9:$J$102,4)+VLOOKUP($FM20-FX$103+1,Frauen!$G$9:$J$102,4))*0.5*(VLOOKUP($FM20-FX$103,Frauen!$AZ$9:$BD$102,5)+VLOOKUP($FM20-FX$103+1,Frauen!$AZ$9:$BD$102,5)),RundDx)</f>
        <v>243384829</v>
      </c>
      <c r="FY20" s="25">
        <f>ROUND(v^($FM20+FaktorAlter)*VLOOKUP($FM20,$G$9:$J$102,4)*VLOOKUP($FM20,$A$9:$E$102,5)*0.5*(VLOOKUP($FM20-FY$103,Frauen!$G$9:$J$102,4)+VLOOKUP($FM20-FY$103+1,Frauen!$G$9:$J$102,4))*0.5*(VLOOKUP($FM20-FY$103,Frauen!$AZ$9:$BD$102,5)+VLOOKUP($FM20-FY$103+1,Frauen!$AZ$9:$BD$102,5)),RundDx)</f>
        <v>270531008</v>
      </c>
      <c r="FZ20" s="25">
        <f>ROUND(v^($FM20+FaktorAlter)*VLOOKUP($FM20,$G$9:$J$102,4)*VLOOKUP($FM20,$A$9:$E$102,5)*0.5*(VLOOKUP($FM20-FZ$103,Frauen!$G$9:$J$102,4)+VLOOKUP($FM20-FZ$103+1,Frauen!$G$9:$J$102,4))*0.5*(VLOOKUP($FM20-FZ$103,Frauen!$AZ$9:$BD$102,5)+VLOOKUP($FM20-FZ$103+1,Frauen!$AZ$9:$BD$102,5)),RundDx)</f>
        <v>298177536</v>
      </c>
      <c r="GA20" s="25">
        <f>ROUND(v^($FM20+FaktorAlter)*VLOOKUP($FM20,$G$9:$J$102,4)*VLOOKUP($FM20,$A$9:$E$102,5)*0.5*(VLOOKUP($FM20-GA$103,Frauen!$G$9:$J$102,4)+VLOOKUP($FM20-GA$103+1,Frauen!$G$9:$J$102,4))*0.5*(VLOOKUP($FM20-GA$103,Frauen!$AZ$9:$BD$102,5)+VLOOKUP($FM20-GA$103+1,Frauen!$AZ$9:$BD$102,5)),RundDx)</f>
        <v>326207174</v>
      </c>
      <c r="GB20" s="25">
        <f>ROUND(v^($FM20+FaktorAlter)*VLOOKUP($FM20,$G$9:$J$102,4)*VLOOKUP($FM20,$A$9:$E$102,5)*0.5*(VLOOKUP($FM20-GB$103,Frauen!$G$9:$J$102,4)+VLOOKUP($FM20-GB$103+1,Frauen!$G$9:$J$102,4))*0.5*(VLOOKUP($FM20-GB$103,Frauen!$AZ$9:$BD$102,5)+VLOOKUP($FM20-GB$103+1,Frauen!$AZ$9:$BD$102,5)),RundDx)</f>
        <v>354596907</v>
      </c>
      <c r="GC20" s="25">
        <f>ROUND(v^($FM20+FaktorAlter)*VLOOKUP($FM20,$G$9:$J$102,4)*VLOOKUP($FM20,$A$9:$E$102,5)*0.5*(VLOOKUP($FM20-GC$103,Frauen!$G$9:$J$102,4)+VLOOKUP($FM20-GC$103+1,Frauen!$G$9:$J$102,4))*0.5*(VLOOKUP($FM20-GC$103,Frauen!$AZ$9:$BD$102,5)+VLOOKUP($FM20-GC$103+1,Frauen!$AZ$9:$BD$102,5)),RundDx)</f>
        <v>383416031</v>
      </c>
      <c r="GD20" s="25">
        <f>ROUND(v^($FM20+FaktorAlter)*VLOOKUP($FM20,$G$9:$J$102,4)*VLOOKUP($FM20,$A$9:$E$102,5)*0.5*(VLOOKUP($FM20-GD$103,Frauen!$G$9:$J$102,4)+VLOOKUP($FM20-GD$103+1,Frauen!$G$9:$J$102,4))*0.5*(VLOOKUP($FM20-GD$103,Frauen!$AZ$9:$BD$102,5)+VLOOKUP($FM20-GD$103+1,Frauen!$AZ$9:$BD$102,5)),RundDx)</f>
        <v>412692605</v>
      </c>
      <c r="GE20" s="25">
        <f>ROUND(v^($FM20+FaktorAlter)*VLOOKUP($FM20,$G$9:$J$102,4)*VLOOKUP($FM20,$A$9:$E$102,5)*0.5*(VLOOKUP($FM20-GE$103,Frauen!$G$9:$J$102,4)+VLOOKUP($FM20-GE$103+1,Frauen!$G$9:$J$102,4))*0.5*(VLOOKUP($FM20-GE$103,Frauen!$AZ$9:$BD$102,5)+VLOOKUP($FM20-GE$103+1,Frauen!$AZ$9:$BD$102,5)),RundDx)</f>
        <v>442517192</v>
      </c>
      <c r="GF20" s="25">
        <f>ROUND(v^($FM20+FaktorAlter)*VLOOKUP($FM20,$G$9:$J$102,4)*VLOOKUP($FM20,$A$9:$E$102,5)*0.5*(VLOOKUP($FM20-GF$103,Frauen!$G$9:$J$102,4)+VLOOKUP($FM20-GF$103+1,Frauen!$G$9:$J$102,4))*0.5*(VLOOKUP($FM20-GF$103,Frauen!$AZ$9:$BD$102,5)+VLOOKUP($FM20-GF$103+1,Frauen!$AZ$9:$BD$102,5)),RundDx)</f>
        <v>472906558</v>
      </c>
      <c r="GG20" s="25">
        <f>ROUND(v^($FM20+FaktorAlter)*VLOOKUP($FM20,$G$9:$J$102,4)*VLOOKUP($FM20,$A$9:$E$102,5)*0.5*(VLOOKUP($FM20-GG$103,Frauen!$G$9:$J$102,4)+VLOOKUP($FM20-GG$103+1,Frauen!$G$9:$J$102,4))*0.5*(VLOOKUP($FM20-GG$103,Frauen!$AZ$9:$BD$102,5)+VLOOKUP($FM20-GG$103+1,Frauen!$AZ$9:$BD$102,5)),RundDx)</f>
        <v>503790841</v>
      </c>
      <c r="GH20" s="25">
        <f>ROUND(v^($FM20+FaktorAlter)*VLOOKUP($FM20,$G$9:$J$102,4)*VLOOKUP($FM20,$A$9:$E$102,5)*0.5*(VLOOKUP($FM20-GH$103,Frauen!$G$9:$J$102,4)+VLOOKUP($FM20-GH$103+1,Frauen!$G$9:$J$102,4))*0.5*(VLOOKUP($FM20-GH$103,Frauen!$AZ$9:$BD$102,5)+VLOOKUP($FM20-GH$103+1,Frauen!$AZ$9:$BD$102,5)),RundDx)</f>
        <v>535035039</v>
      </c>
      <c r="GI20" s="25">
        <f>ROUND(v^($FM20+FaktorAlter)*VLOOKUP($FM20,$G$9:$J$102,4)*VLOOKUP($FM20,$A$9:$E$102,5)*0.5*(VLOOKUP($FM20-GI$103,Frauen!$G$9:$J$102,4)+VLOOKUP($FM20-GI$103+1,Frauen!$G$9:$J$102,4))*0.5*(VLOOKUP($FM20-GI$103,Frauen!$AZ$9:$BD$102,5)+VLOOKUP($FM20-GI$103+1,Frauen!$AZ$9:$BD$102,5)),RundDx)</f>
        <v>566414848</v>
      </c>
      <c r="GJ20" s="25">
        <f>ROUND(v^($FM20+FaktorAlter)*VLOOKUP($FM20,$G$9:$J$102,4)*VLOOKUP($FM20,$A$9:$E$102,5)*0.5*(VLOOKUP($FM20-GJ$103,Frauen!$G$9:$J$102,4)+VLOOKUP($FM20-GJ$103+1,Frauen!$G$9:$J$102,4))*0.5*(VLOOKUP($FM20-GJ$103,Frauen!$AZ$9:$BD$102,5)+VLOOKUP($FM20-GJ$103+1,Frauen!$AZ$9:$BD$102,5)),RundDx)</f>
        <v>597842890</v>
      </c>
      <c r="GK20" s="25">
        <f>ROUND(v^($FM20+FaktorAlter)*VLOOKUP($FM20,$G$9:$J$102,4)*VLOOKUP($FM20,$A$9:$E$102,5)*0.5*(VLOOKUP($FM20-GK$103,Frauen!$G$9:$J$102,4)+VLOOKUP($FM20-GK$103+1,Frauen!$G$9:$J$102,4))*0.5*(VLOOKUP($FM20-GK$103,Frauen!$AZ$9:$BD$102,5)+VLOOKUP($FM20-GK$103+1,Frauen!$AZ$9:$BD$102,5)),RundDx)</f>
        <v>629261380</v>
      </c>
      <c r="GL20" s="25">
        <f>ROUND(v^($FM20+FaktorAlter)*VLOOKUP($FM20,$G$9:$J$102,4)*VLOOKUP($FM20,$A$9:$E$102,5)*0.5*(VLOOKUP($FM20-GL$103,Frauen!$G$9:$J$102,4)+VLOOKUP($FM20-GL$103+1,Frauen!$G$9:$J$102,4))*0.5*(VLOOKUP($FM20-GL$103,Frauen!$AZ$9:$BD$102,5)+VLOOKUP($FM20-GL$103+1,Frauen!$AZ$9:$BD$102,5)),RundDx)</f>
        <v>660457121</v>
      </c>
      <c r="GM20" s="25">
        <f>ROUND(v^($FM20+FaktorAlter)*VLOOKUP($FM20,$G$9:$J$102,4)*VLOOKUP($FM20,$A$9:$E$102,5)*0.5*(VLOOKUP($FM20-GM$103,Frauen!$G$9:$J$102,4)+VLOOKUP($FM20-GM$103+1,Frauen!$G$9:$J$102,4))*0.5*(VLOOKUP($FM20-GM$103,Frauen!$AZ$9:$BD$102,5)+VLOOKUP($FM20-GM$103+1,Frauen!$AZ$9:$BD$102,5)),RundDx)</f>
        <v>691306763</v>
      </c>
      <c r="GN20" s="25">
        <f>ROUND(v^($FM20+FaktorAlter)*VLOOKUP($FM20,$G$9:$J$102,4)*VLOOKUP($FM20,$A$9:$E$102,5)*0.5*(VLOOKUP($FM20-GN$103,Frauen!$G$9:$J$102,4)+VLOOKUP($FM20-GN$103+1,Frauen!$G$9:$J$102,4))*0.5*(VLOOKUP($FM20-GN$103,Frauen!$AZ$9:$BD$102,5)+VLOOKUP($FM20-GN$103+1,Frauen!$AZ$9:$BD$102,5)),RundDx)</f>
        <v>721861734</v>
      </c>
      <c r="GO20" s="25">
        <f>ROUND(v^($FM20+FaktorAlter)*VLOOKUP($FM20,$G$9:$J$102,4)*VLOOKUP($FM20,$A$9:$E$102,5)*0.5*(VLOOKUP($FM20-GO$103,Frauen!$G$9:$J$102,4)+VLOOKUP($FM20-GO$103+1,Frauen!$G$9:$J$102,4))*0.5*(VLOOKUP($FM20-GO$103,Frauen!$AZ$9:$BD$102,5)+VLOOKUP($FM20-GO$103+1,Frauen!$AZ$9:$BD$102,5)),RundDx)</f>
        <v>752050114</v>
      </c>
      <c r="GP20" s="25">
        <f>ROUND(v^($FM20+FaktorAlter)*VLOOKUP($FM20,$G$9:$J$102,4)*VLOOKUP($FM20,$A$9:$E$102,5)*0.5*(VLOOKUP($FM20-GP$103,Frauen!$G$9:$J$102,4)+VLOOKUP($FM20-GP$103+1,Frauen!$G$9:$J$102,4))*0.5*(VLOOKUP($FM20-GP$103,Frauen!$AZ$9:$BD$102,5)+VLOOKUP($FM20-GP$103+1,Frauen!$AZ$9:$BD$102,5)),RundDx)</f>
        <v>781693598</v>
      </c>
      <c r="GQ20" s="25">
        <f>ROUND(v^($FM20+FaktorAlter)*VLOOKUP($FM20,$G$9:$J$102,4)*VLOOKUP($FM20,$A$9:$E$102,5)*0.5*(VLOOKUP($FM20-GQ$103,Frauen!$G$9:$J$102,4)+VLOOKUP($FM20-GQ$103+1,Frauen!$G$9:$J$102,4))*0.5*(VLOOKUP($FM20-GQ$103,Frauen!$AZ$9:$BD$102,5)+VLOOKUP($FM20-GQ$103+1,Frauen!$AZ$9:$BD$102,5)),RundDx)</f>
        <v>810776121</v>
      </c>
      <c r="GR20" s="25">
        <f>ROUND(v^($FM20+FaktorAlter)*VLOOKUP($FM20,$G$9:$J$102,4)*VLOOKUP($FM20,$A$9:$E$102,5)*0.5*(VLOOKUP($FM20-GR$103,Frauen!$G$9:$J$102,4)+VLOOKUP($FM20-GR$103+1,Frauen!$G$9:$J$102,4))*0.5*(VLOOKUP($FM20-GR$103,Frauen!$AZ$9:$BD$102,5)+VLOOKUP($FM20-GR$103+1,Frauen!$AZ$9:$BD$102,5)),RundDx)</f>
        <v>839372814</v>
      </c>
      <c r="GS20" s="24">
        <f>ROUND(SUM(FN20:FN$56)/VLOOKUP($FM20,$AQ$9:$AR$102,2)/VLOOKUP($FM20-GS$103,Frauen!$G$9:$J$102,4),Rundäx)</f>
        <v>0.47099999999999997</v>
      </c>
      <c r="GT20" s="24">
        <f>ROUND(SUM(FO20:FO$56)/VLOOKUP($FM20,$AQ$9:$AR$102,2)/VLOOKUP($FM20-GT$103,Frauen!$G$9:$J$102,4),Rundäx)</f>
        <v>0.55500000000000005</v>
      </c>
      <c r="GU20" s="24">
        <f>ROUND(SUM(FP20:FP$56)/VLOOKUP($FM20,$AQ$9:$AR$102,2)/VLOOKUP($FM20-GU$103,Frauen!$G$9:$J$102,4),Rundäx)</f>
        <v>0.65100000000000002</v>
      </c>
      <c r="GV20" s="24">
        <f>ROUND(SUM(FQ20:FQ$56)/VLOOKUP($FM20,$AQ$9:$AR$102,2)/VLOOKUP($FM20-GV$103,Frauen!$G$9:$J$102,4),Rundäx)</f>
        <v>0.76</v>
      </c>
      <c r="GW20" s="24">
        <f>ROUND(SUM(FR20:FR$56)/VLOOKUP($FM20,$AQ$9:$AR$102,2)/VLOOKUP($FM20-GW$103,Frauen!$G$9:$J$102,4),Rundäx)</f>
        <v>0.88300000000000001</v>
      </c>
      <c r="GX20" s="24">
        <f>ROUND(SUM(FS20:FS$56)/VLOOKUP($FM20,$AQ$9:$AR$102,2)/VLOOKUP($FM20-GX$103,Frauen!$G$9:$J$102,4),Rundäx)</f>
        <v>1.024</v>
      </c>
      <c r="GY20" s="24">
        <f>ROUND(SUM(FT20:FT$56)/VLOOKUP($FM20,$AQ$9:$AR$102,2)/VLOOKUP($FM20-GY$103,Frauen!$G$9:$J$102,4),Rundäx)</f>
        <v>1.1819999999999999</v>
      </c>
      <c r="GZ20" s="24">
        <f>ROUND(SUM(FU20:FU$56)/VLOOKUP($FM20,$AQ$9:$AR$102,2)/VLOOKUP($FM20-GZ$103,Frauen!$G$9:$J$102,4),Rundäx)</f>
        <v>1.361</v>
      </c>
      <c r="HA20" s="86"/>
      <c r="HB20" s="35">
        <f t="shared" si="63"/>
        <v>76</v>
      </c>
      <c r="HC20" s="24">
        <f>ROUND(SUM(FV20:FV$56)/VLOOKUP($FM20,$AQ$9:$AR$102,2)/VLOOKUP($FM20-HC$103,Frauen!$G$9:$J$102,4),Rundäx)</f>
        <v>1.5620000000000001</v>
      </c>
      <c r="HD20" s="24">
        <f>ROUND(SUM(FW20:FW$56)/VLOOKUP($FM20,$AQ$9:$AR$102,2)/VLOOKUP($FM20-HD$103,Frauen!$G$9:$J$102,4),Rundäx)</f>
        <v>1.7849999999999999</v>
      </c>
      <c r="HE20" s="24">
        <f>ROUND(SUM(FX20:FX$56)/VLOOKUP($FM20,$AQ$9:$AR$102,2)/VLOOKUP($FM20-HE$103,Frauen!$G$9:$J$102,4),Rundäx)</f>
        <v>2.0329999999999999</v>
      </c>
      <c r="HF20" s="24">
        <f>ROUND(SUM(FY20:FY$56)/VLOOKUP($FM20,$AQ$9:$AR$102,2)/VLOOKUP($FM20-HF$103,Frauen!$G$9:$J$102,4),Rundäx)</f>
        <v>2.3039999999999998</v>
      </c>
      <c r="HG20" s="24">
        <f>ROUND(SUM(FZ20:FZ$56)/VLOOKUP($FM20,$AQ$9:$AR$102,2)/VLOOKUP($FM20-HG$103,Frauen!$G$9:$J$102,4),Rundäx)</f>
        <v>2.5990000000000002</v>
      </c>
      <c r="HH20" s="24">
        <f>ROUND(SUM(GA20:GA$56)/VLOOKUP($FM20,$AQ$9:$AR$102,2)/VLOOKUP($FM20-HH$103,Frauen!$G$9:$J$102,4),Rundäx)</f>
        <v>2.9169999999999998</v>
      </c>
      <c r="HI20" s="24">
        <f>ROUND(SUM(GB20:GB$56)/VLOOKUP($FM20,$AQ$9:$AR$102,2)/VLOOKUP($FM20-HI$103,Frauen!$G$9:$J$102,4),Rundäx)</f>
        <v>3.2549999999999999</v>
      </c>
      <c r="HJ20" s="24">
        <f>ROUND(SUM(GC20:GC$56)/VLOOKUP($FM20,$AQ$9:$AR$102,2)/VLOOKUP($FM20-HJ$103,Frauen!$G$9:$J$102,4),Rundäx)</f>
        <v>3.6120000000000001</v>
      </c>
      <c r="HK20" s="86"/>
      <c r="HL20" s="35">
        <f t="shared" si="64"/>
        <v>76</v>
      </c>
      <c r="HM20" s="24">
        <f>ROUND(SUM(GD20:GD$56)/VLOOKUP($FM20,$AQ$9:$AR$102,2)/VLOOKUP($FM20-HM$103,Frauen!$G$9:$J$102,4),Rundäx)</f>
        <v>3.9830000000000001</v>
      </c>
      <c r="HN20" s="24">
        <f>ROUND(SUM(GE20:GE$56)/VLOOKUP($FM20,$AQ$9:$AR$102,2)/VLOOKUP($FM20-HN$103,Frauen!$G$9:$J$102,4),Rundäx)</f>
        <v>4.3680000000000003</v>
      </c>
      <c r="HO20" s="24">
        <f>ROUND(SUM(GF20:GF$56)/VLOOKUP($FM20,$AQ$9:$AR$102,2)/VLOOKUP($FM20-HO$103,Frauen!$G$9:$J$102,4),Rundäx)</f>
        <v>4.7619999999999996</v>
      </c>
      <c r="HP20" s="24">
        <f>ROUND(SUM(GG20:GG$56)/VLOOKUP($FM20,$AQ$9:$AR$102,2)/VLOOKUP($FM20-HP$103,Frauen!$G$9:$J$102,4),Rundäx)</f>
        <v>5.165</v>
      </c>
      <c r="HQ20" s="24">
        <f>ROUND(SUM(GH20:GH$56)/VLOOKUP($FM20,$AQ$9:$AR$102,2)/VLOOKUP($FM20-HQ$103,Frauen!$G$9:$J$102,4),Rundäx)</f>
        <v>5.5759999999999996</v>
      </c>
      <c r="HR20" s="24">
        <f>ROUND(SUM(GI20:GI$56)/VLOOKUP($FM20,$AQ$9:$AR$102,2)/VLOOKUP($FM20-HR$103,Frauen!$G$9:$J$102,4),Rundäx)</f>
        <v>5.9939999999999998</v>
      </c>
      <c r="HS20" s="24">
        <f>ROUND(SUM(GJ20:GJ$56)/VLOOKUP($FM20,$AQ$9:$AR$102,2)/VLOOKUP($FM20-HS$103,Frauen!$G$9:$J$102,4),Rundäx)</f>
        <v>6.4180000000000001</v>
      </c>
      <c r="HT20" s="24">
        <f>ROUND(SUM(GK20:GK$56)/VLOOKUP($FM20,$AQ$9:$AR$102,2)/VLOOKUP($FM20-HT$103,Frauen!$G$9:$J$102,4),Rundäx)</f>
        <v>6.8449999999999998</v>
      </c>
      <c r="HU20" s="86"/>
      <c r="HV20" s="35">
        <f t="shared" si="65"/>
        <v>76</v>
      </c>
      <c r="HW20" s="24">
        <f>ROUND(SUM(GL20:GL$56)/VLOOKUP($FM20,$AQ$9:$AR$102,2)/VLOOKUP($FM20-HW$103,Frauen!$G$9:$J$102,4),Rundäx)</f>
        <v>7.2779999999999996</v>
      </c>
      <c r="HX20" s="24">
        <f>ROUND(SUM(GM20:GM$56)/VLOOKUP($FM20,$AQ$9:$AR$102,2)/VLOOKUP($FM20-HX$103,Frauen!$G$9:$J$102,4),Rundäx)</f>
        <v>7.7140000000000004</v>
      </c>
      <c r="HY20" s="24">
        <f>ROUND(SUM(GN20:GN$56)/VLOOKUP($FM20,$AQ$9:$AR$102,2)/VLOOKUP($FM20-HY$103,Frauen!$G$9:$J$102,4),Rundäx)</f>
        <v>8.1509999999999998</v>
      </c>
      <c r="HZ20" s="24">
        <f>ROUND(SUM(GO20:GO$56)/VLOOKUP($FM20,$AQ$9:$AR$102,2)/VLOOKUP($FM20-HZ$103,Frauen!$G$9:$J$102,4),Rundäx)</f>
        <v>8.5909999999999993</v>
      </c>
      <c r="IA20" s="24">
        <f>ROUND(SUM(GP20:GP$56)/VLOOKUP($FM20,$AQ$9:$AR$102,2)/VLOOKUP($FM20-IA$103,Frauen!$G$9:$J$102,4),Rundäx)</f>
        <v>9.0329999999999995</v>
      </c>
      <c r="IB20" s="24">
        <f>ROUND(SUM(GQ20:GQ$56)/VLOOKUP($FM20,$AQ$9:$AR$102,2)/VLOOKUP($FM20-IB$103,Frauen!$G$9:$J$102,4),Rundäx)</f>
        <v>9.4779999999999998</v>
      </c>
      <c r="IC20" s="24">
        <f>ROUND(SUM(GR20:GR$56)/VLOOKUP($FM20,$AQ$9:$AR$102,2)/VLOOKUP($FM20-IC$103,Frauen!$G$9:$J$102,4),Rundäx)</f>
        <v>9.923</v>
      </c>
      <c r="ID20" s="89"/>
      <c r="IE20" s="35">
        <f t="shared" si="66"/>
        <v>28</v>
      </c>
      <c r="IF20" s="25">
        <f t="shared" si="31"/>
        <v>528</v>
      </c>
      <c r="IG20" s="25">
        <f>IF($IE20&lt;RAM,IF(S21&lt;=RAK,ROUND(SUM(IF20:INDEX(Dakx,RAM-BeginnAlter))+INDEX(Dax,RAM-BeginnAlter+1)*INDEX(äkx,1),RundDx),0),"")</f>
        <v>17711</v>
      </c>
      <c r="IH20" s="25">
        <f>IF($IE20&lt;RAM,IF(S21&lt;=RAK,ROUND(SUM(IG20:INDEX(Nakx,RAM-BeginnAlter))+INDEX(Dax,RAM-BeginnAlter+1)*INDEX(äkx,1),RundDx),0),"")</f>
        <v>232250</v>
      </c>
      <c r="II20" s="24">
        <f t="shared" si="32"/>
        <v>0.33400000000000002</v>
      </c>
      <c r="IJ20" s="25">
        <f t="shared" si="33"/>
        <v>18203</v>
      </c>
      <c r="IK20" s="25">
        <f>IF($IE20&lt;RAM,IF(S21&lt;=RAK,SUM(IJ20:INDEX(Dikx,RAM-BeginnAlter))+INDEX(Dix,RAM-BeginnAlter+1)*INDEX(äkx,1),0),"")</f>
        <v>424864.83199999999</v>
      </c>
      <c r="IL20" s="24">
        <f t="shared" si="34"/>
        <v>4.3289999999999997</v>
      </c>
      <c r="IM20" s="86"/>
      <c r="IN20" s="35">
        <f t="shared" si="67"/>
        <v>76</v>
      </c>
      <c r="IO20" s="25">
        <f t="shared" si="35"/>
        <v>5</v>
      </c>
      <c r="IP20" s="25">
        <f>IF(AND(VLOOKUP(IN20+1,O$9:S$102,5)&lt;=RAK,VLOOKUP(IN20+1,O$9:S$102,5)&lt;&gt;""),SUM(IO20:IO$102),0)</f>
        <v>11</v>
      </c>
      <c r="IQ20" s="24">
        <f t="shared" si="36"/>
        <v>1E-3</v>
      </c>
      <c r="IR20" s="86"/>
    </row>
    <row r="21" spans="1:252" ht="15.75" customHeight="1" x14ac:dyDescent="0.25">
      <c r="A21" s="35">
        <f t="shared" si="41"/>
        <v>29</v>
      </c>
      <c r="B21" s="77">
        <v>5.6428534312260084E-4</v>
      </c>
      <c r="C21" s="77">
        <v>6.5855395253076432E-4</v>
      </c>
      <c r="D21" s="77">
        <v>1.5037789613957551E-2</v>
      </c>
      <c r="E21" s="77">
        <v>6.4439477234745635E-4</v>
      </c>
      <c r="F21" s="86"/>
      <c r="G21" s="35">
        <f t="shared" si="42"/>
        <v>29</v>
      </c>
      <c r="H21" s="25">
        <f t="shared" si="37"/>
        <v>98806</v>
      </c>
      <c r="I21" s="25">
        <f t="shared" si="38"/>
        <v>512</v>
      </c>
      <c r="J21" s="25">
        <f t="shared" si="39"/>
        <v>99318</v>
      </c>
      <c r="K21" s="30">
        <f>IF(J21&gt;0,ROUND(SUM(J21:J$102)/J21-0.5,Rundex),"")</f>
        <v>50.19</v>
      </c>
      <c r="L21" s="25">
        <f t="shared" si="0"/>
        <v>180390</v>
      </c>
      <c r="M21" s="30">
        <f>IF(L21&gt;0,ROUND(SUM(L21:L$102)/L21-0.5,Rundex),"")</f>
        <v>34.58</v>
      </c>
      <c r="N21" s="86"/>
      <c r="O21" s="35">
        <f t="shared" si="43"/>
        <v>29</v>
      </c>
      <c r="P21" s="43">
        <v>0.25420361710843953</v>
      </c>
      <c r="Q21" s="78">
        <v>28.996463730046901</v>
      </c>
      <c r="R21" s="43">
        <v>0.80794127401365612</v>
      </c>
      <c r="S21" s="78">
        <v>2.9</v>
      </c>
      <c r="T21" s="15">
        <v>6.4379020807725507E-4</v>
      </c>
      <c r="U21" s="11">
        <f t="shared" si="40"/>
        <v>99318</v>
      </c>
      <c r="V21" s="30">
        <f>IF(U21&gt;0,ROUND(SUM(U21:U$102)/U21-0.5,Rundex),"")</f>
        <v>47.82</v>
      </c>
      <c r="W21" s="86"/>
      <c r="X21" s="35">
        <f t="shared" si="44"/>
        <v>29</v>
      </c>
      <c r="Y21" s="25">
        <f t="shared" si="1"/>
        <v>51826</v>
      </c>
      <c r="Z21" s="25">
        <f>IF($X21&lt;RAM,SUM(Y21:INDEX(Dax,RAM-BeginnAlter))," ")</f>
        <v>1220394</v>
      </c>
      <c r="AA21" s="25">
        <f t="shared" si="2"/>
        <v>29</v>
      </c>
      <c r="AB21" s="25">
        <f>IF($X21&lt;RAM,SUM(AA21:INDEX(Cax,RAM-BeginnAlter))," ")</f>
        <v>2468</v>
      </c>
      <c r="AC21" s="25">
        <f t="shared" si="3"/>
        <v>34</v>
      </c>
      <c r="AD21" s="25">
        <f>IF($X21&lt;RAM,SUM(AC21:INDEX(Caix,RAM-BeginnAlter))," ")</f>
        <v>7832</v>
      </c>
      <c r="AE21" s="24">
        <f t="shared" si="4"/>
        <v>23.547999999999998</v>
      </c>
      <c r="AF21" s="24">
        <f t="shared" si="5"/>
        <v>23.22</v>
      </c>
      <c r="AG21" s="86"/>
      <c r="AH21" s="35">
        <f t="shared" si="45"/>
        <v>29</v>
      </c>
      <c r="AI21" s="25">
        <f t="shared" si="6"/>
        <v>94619</v>
      </c>
      <c r="AJ21" s="25">
        <f>IF($AH21&gt;RAM," ",IF($AH21&lt;RAM,SUM(AI21:INDEX(Dix,RAM-BeginnAlter))+INDEX(Nx,RAM-BeginnAlter+1),INDEX(Nx,RAM-BeginnAlter+1)))</f>
        <v>2115841</v>
      </c>
      <c r="AK21" s="25">
        <f>IF($AH21&lt;RAM,SUM(AI21:INDEX(Dix,RAM-BeginnAlter))," ")</f>
        <v>1818594</v>
      </c>
      <c r="AL21" s="24">
        <f t="shared" si="7"/>
        <v>22.361999999999998</v>
      </c>
      <c r="AM21" s="24">
        <f t="shared" si="8"/>
        <v>21.902999999999999</v>
      </c>
      <c r="AN21" s="24">
        <f t="shared" si="9"/>
        <v>19.22</v>
      </c>
      <c r="AO21" s="24">
        <f t="shared" si="10"/>
        <v>18.861000000000001</v>
      </c>
      <c r="AP21" s="86"/>
      <c r="AQ21" s="35">
        <f t="shared" si="46"/>
        <v>29</v>
      </c>
      <c r="AR21" s="25">
        <f t="shared" si="11"/>
        <v>52094</v>
      </c>
      <c r="AS21" s="25">
        <f>SUM(AR21:AR$94)</f>
        <v>1569266</v>
      </c>
      <c r="AT21" s="25">
        <f>IF($AQ21&lt;RAM,SUM(AR21:INDEX(Dx,RAM-BeginnAlter))," ")</f>
        <v>1272019</v>
      </c>
      <c r="AU21" s="24">
        <f t="shared" si="12"/>
        <v>30.123999999999999</v>
      </c>
      <c r="AV21" s="24">
        <f t="shared" si="13"/>
        <v>29.664999999999999</v>
      </c>
      <c r="AW21" s="24">
        <f t="shared" si="14"/>
        <v>24.417999999999999</v>
      </c>
      <c r="AX21" s="24">
        <f t="shared" si="15"/>
        <v>24.14</v>
      </c>
      <c r="AY21" s="86"/>
      <c r="AZ21" s="35">
        <f t="shared" si="47"/>
        <v>29</v>
      </c>
      <c r="BA21" s="25">
        <f t="shared" si="16"/>
        <v>52094</v>
      </c>
      <c r="BB21" s="25">
        <f>SUM(BA21:BA$94)</f>
        <v>1527207</v>
      </c>
      <c r="BC21" s="24">
        <f t="shared" si="17"/>
        <v>29.315999999999999</v>
      </c>
      <c r="BD21" s="24">
        <f t="shared" si="18"/>
        <v>28.858000000000001</v>
      </c>
      <c r="BE21" s="86"/>
      <c r="BF21" s="35">
        <f t="shared" si="48"/>
        <v>12</v>
      </c>
      <c r="BG21" s="24">
        <f t="shared" si="19"/>
        <v>11.414999999999999</v>
      </c>
      <c r="BH21" s="24">
        <f t="shared" si="20"/>
        <v>11.3</v>
      </c>
      <c r="BI21" s="86"/>
      <c r="BJ21" s="35">
        <f t="shared" si="49"/>
        <v>29</v>
      </c>
      <c r="BK21" s="25">
        <f t="shared" si="21"/>
        <v>736</v>
      </c>
      <c r="BL21" s="25">
        <f>IF(BJ21&lt;RAM,SUM(BK21:INDEX(Daix,RAM-BeginnAlter))," ")</f>
        <v>128692</v>
      </c>
      <c r="BM21" s="25">
        <f>IF(BJ21&lt;RAM,SUM(BL21:INDEX(Naix,RAM-BeginnAlter))," ")</f>
        <v>3476071</v>
      </c>
      <c r="BN21" s="24">
        <f t="shared" si="22"/>
        <v>4.0090000000000003</v>
      </c>
      <c r="BO21" s="24">
        <f t="shared" si="23"/>
        <v>2.4830000000000001</v>
      </c>
      <c r="BP21" s="86"/>
      <c r="BQ21" s="35">
        <f t="shared" si="50"/>
        <v>29</v>
      </c>
      <c r="BR21" s="25">
        <f t="shared" si="51"/>
        <v>632</v>
      </c>
      <c r="BS21" s="25">
        <f>IF(BQ21&lt;RAM,SUM(BR21:INDEX(Daixs,RAM-BeginnAlter))," ")</f>
        <v>49404</v>
      </c>
      <c r="BT21" s="25">
        <f>IF(BQ21&lt;RAM,SUM(BS21:INDEX(Naixs,RAM-BeginnAlter))," ")</f>
        <v>1083249</v>
      </c>
      <c r="BU21" s="24">
        <f t="shared" si="52"/>
        <v>5.5380000000000003</v>
      </c>
      <c r="BV21" s="24">
        <f t="shared" si="53"/>
        <v>0.95299999999999996</v>
      </c>
      <c r="BW21" s="86"/>
      <c r="BX21" s="35">
        <f t="shared" si="54"/>
        <v>29</v>
      </c>
      <c r="BY21" s="10">
        <f t="shared" si="24"/>
        <v>14.400117052412394</v>
      </c>
      <c r="BZ21" s="11">
        <f t="shared" si="25"/>
        <v>422</v>
      </c>
      <c r="CA21" s="25">
        <f>IF(S22&lt;=RAK,IF($BX21&lt;RAM,SUM(BZ21:INDEX(Dazx,RAM-BeginnAlter)),""),"")</f>
        <v>20989</v>
      </c>
      <c r="CB21" s="24">
        <f t="shared" si="26"/>
        <v>0.40500000000000003</v>
      </c>
      <c r="CC21" s="25">
        <f t="shared" si="27"/>
        <v>30847</v>
      </c>
      <c r="CD21" s="24">
        <f t="shared" si="28"/>
        <v>20.902000000000001</v>
      </c>
      <c r="CE21" s="24">
        <f t="shared" si="29"/>
        <v>0.02</v>
      </c>
      <c r="CF21" s="86"/>
      <c r="CG21" s="35">
        <f t="shared" si="55"/>
        <v>29</v>
      </c>
      <c r="CH21" s="25">
        <f>IF(CG21&lt;RAM,ROUND(v^($CG21+FaktorAlter)*$H21*($B21*0.5*($P21+$P22)*(VLOOKUP(TRUNC(0.5*($Q21+$Q22),0),Frauen!$AZ$9:$BD$95,5)+(0.5*($Q21+$Q22)-TRUNC(0.5*($Q21+$Q22),0))*(VLOOKUP(TRUNC(0.5*($Q21+$Q22)+1,0),Frauen!$AZ$9:$BD$95,5)-VLOOKUP(TRUNC(0.5*($Q21+$Q22),0),Frauen!$AZ$9:$BD$95,5)))+$C21*0.5*($CN21+$CN22)),RundDx),"")</f>
        <v>488</v>
      </c>
      <c r="CI21" s="25">
        <f>IF(CG21&lt;RAM,ROUND(SUM(CH21:INDEX(Dawx,RAM-BeginnAlter))+INDEX(Dax,RAM-BeginnAlter+1)*INDEX(äwx,1),RundDx),"")</f>
        <v>166610</v>
      </c>
      <c r="CJ21" s="25">
        <f>IF(CG21&lt;RAM,ROUND(SUM(CI21:INDEX(Nawx,RAM-BeginnAlter))+INDEX(Dax,RAM-BeginnAlter+1)*INDEX(äwx,1),RundDx),"")</f>
        <v>5149474</v>
      </c>
      <c r="CK21" s="24">
        <f t="shared" si="56"/>
        <v>3.2149999999999999</v>
      </c>
      <c r="CL21" s="25">
        <f>IF(CG21&lt;RAM,ROUND(v^($CG21+FaktorAlter)*$L21*$D21*0.5*($P21+$P22)*(VLOOKUP(TRUNC(0.5*($Q21+$Q22),0),Frauen!$AZ$9:$BD$95,5)+(0.5*($Q21+$Q22)-TRUNC(0.5*($Q21+$Q22),0))*(VLOOKUP(TRUNC(0.5*($Q21+$Q22)+1,0),Frauen!$AZ$9:$BD$95,5)-VLOOKUP(TRUNC(0.5*($Q21+$Q22),0),Frauen!$AZ$9:$BD$95,5))),RundDx),"")</f>
        <v>12040</v>
      </c>
      <c r="CM21" s="25">
        <f>IF(CG21&lt;RAM,SUM(CL21:INDEX(Diwx,RAM-BeginnAlter))+INDEX(Dix,RAM-BeginnAlter+1)*INDEX(äwx,1),"")</f>
        <v>668189.41399999999</v>
      </c>
      <c r="CN21" s="24">
        <f t="shared" si="57"/>
        <v>7.0620000000000003</v>
      </c>
      <c r="CO21" s="86"/>
      <c r="CP21" s="35">
        <f t="shared" si="58"/>
        <v>77</v>
      </c>
      <c r="CQ21" s="11">
        <f>ROUND(v^($CP21+FaktorAlter)*VLOOKUP(CP21,G$9:J$102,4)*VLOOKUP(CP21,A$9:E$102,5)*0.5*(VLOOKUP(CP21,O$9:P$102,2)+VLOOKUP(CP21+1,O$9:P$102,2))*(VLOOKUP(TRUNC(0.5*(VLOOKUP(CP21,O$9:Q$102,3)+VLOOKUP(CP21+1,O$9:Q$102,3)),0),Frauen!$AZ$9:$BD$95,5)+(0.5*(VLOOKUP(CP21,O$9:Q$102,3)+VLOOKUP(CP21+1,O$9:Q$102,3))-TRUNC(0.5*(VLOOKUP(CP21,O$9:Q$102,3)+VLOOKUP(CP21+1,O$9:Q$102,3)),0))*(VLOOKUP(TRUNC(0.5*(VLOOKUP(CP21,O$9:Q$102,3)+VLOOKUP(CP21+1,O$9:Q$102,3))+1,0),Frauen!$AZ$9:$BD$95,5)-VLOOKUP(TRUNC(0.5*(VLOOKUP(CP21,O$9:Q$102,3)+VLOOKUP(CP21+1,O$9:Q$102,3)),0),Frauen!$AZ$9:$BD$95,5))),RundDx)</f>
        <v>4879</v>
      </c>
      <c r="CR21" s="25">
        <f>SUM(CQ21:CQ$56)</f>
        <v>50787</v>
      </c>
      <c r="CS21" s="24">
        <f t="shared" si="30"/>
        <v>4.444</v>
      </c>
      <c r="CT21" s="86"/>
      <c r="CU21" s="35">
        <f t="shared" si="59"/>
        <v>29</v>
      </c>
      <c r="CV21" s="25">
        <f>IF($CU21&gt;=RAM,"",IF($CU21-CV$103&lt;BeginnAlter,"",ROUND(v^($CU21+FaktorAlter)*$L21*$D21*0.5*(VLOOKUP($CU21-CV$103,Frauen!$G$9:$J$102,4)+VLOOKUP($CU21-CV$103+1,Frauen!$G$9:$J$102,4))*0.5*(VLOOKUP($CU21-CV$103,Frauen!$AZ$9:$BD$102,5)+VLOOKUP($CU21-CV$103+1,Frauen!$AZ$9:$BD$102,5)),RundDx)))</f>
        <v>3566535163</v>
      </c>
      <c r="CW21" s="25">
        <f>IF($CU21&gt;=RAM,"",IF($CU21-CW$103&lt;BeginnAlter,"",ROUND(v^($CU21+FaktorAlter)*$L21*$D21*0.5*(VLOOKUP($CU21-CW$103,Frauen!$G$9:$J$102,4)+VLOOKUP($CU21-CW$103+1,Frauen!$G$9:$J$102,4))*0.5*(VLOOKUP($CU21-CW$103,Frauen!$AZ$9:$BD$102,5)+VLOOKUP($CU21-CW$103+1,Frauen!$AZ$9:$BD$102,5)),RundDx)))</f>
        <v>3626020165</v>
      </c>
      <c r="CX21" s="25">
        <f>IF($CU21&gt;=RAM,"",IF($CU21-CX$103&lt;BeginnAlter,"",ROUND(v^($CU21+FaktorAlter)*$L21*$D21*0.5*(VLOOKUP($CU21-CX$103,Frauen!$G$9:$J$102,4)+VLOOKUP($CU21-CX$103+1,Frauen!$G$9:$J$102,4))*0.5*(VLOOKUP($CU21-CX$103,Frauen!$AZ$9:$BD$102,5)+VLOOKUP($CU21-CX$103+1,Frauen!$AZ$9:$BD$102,5)),RundDx)))</f>
        <v>3684225268</v>
      </c>
      <c r="CY21" s="25">
        <f>IF($CU21&gt;=RAM,"",IF($CU21-CY$103&lt;BeginnAlter,"",ROUND(v^($CU21+FaktorAlter)*$L21*$D21*0.5*(VLOOKUP($CU21-CY$103,Frauen!$G$9:$J$102,4)+VLOOKUP($CU21-CY$103+1,Frauen!$G$9:$J$102,4))*0.5*(VLOOKUP($CU21-CY$103,Frauen!$AZ$9:$BD$102,5)+VLOOKUP($CU21-CY$103+1,Frauen!$AZ$9:$BD$102,5)),RundDx)))</f>
        <v>3741164183</v>
      </c>
      <c r="CZ21" s="25">
        <f>IF($CU21&gt;=RAM,"",IF($CU21-CZ$103&lt;BeginnAlter,"",ROUND(v^($CU21+FaktorAlter)*$L21*$D21*0.5*(VLOOKUP($CU21-CZ$103,Frauen!$G$9:$J$102,4)+VLOOKUP($CU21-CZ$103+1,Frauen!$G$9:$J$102,4))*0.5*(VLOOKUP($CU21-CZ$103,Frauen!$AZ$9:$BD$102,5)+VLOOKUP($CU21-CZ$103+1,Frauen!$AZ$9:$BD$102,5)),RundDx)))</f>
        <v>3796834240</v>
      </c>
      <c r="DA21" s="25">
        <f>IF($CU21&gt;=RAM,"",IF($CU21-DA$103&lt;BeginnAlter,"",ROUND(v^($CU21+FaktorAlter)*$L21*$D21*0.5*(VLOOKUP($CU21-DA$103,Frauen!$G$9:$J$102,4)+VLOOKUP($CU21-DA$103+1,Frauen!$G$9:$J$102,4))*0.5*(VLOOKUP($CU21-DA$103,Frauen!$AZ$9:$BD$102,5)+VLOOKUP($CU21-DA$103+1,Frauen!$AZ$9:$BD$102,5)),RundDx)))</f>
        <v>3851273388</v>
      </c>
      <c r="DB21" s="25">
        <f>IF($CU21&gt;=RAM,"",IF($CU21-DB$103&lt;BeginnAlter,"",ROUND(v^($CU21+FaktorAlter)*$L21*$D21*0.5*(VLOOKUP($CU21-DB$103,Frauen!$G$9:$J$102,4)+VLOOKUP($CU21-DB$103+1,Frauen!$G$9:$J$102,4))*0.5*(VLOOKUP($CU21-DB$103,Frauen!$AZ$9:$BD$102,5)+VLOOKUP($CU21-DB$103+1,Frauen!$AZ$9:$BD$102,5)),RundDx)))</f>
        <v>3904503528</v>
      </c>
      <c r="DC21" s="25">
        <f>IF($CU21&gt;=RAM,"",IF($CU21-DC$103&lt;BeginnAlter,"",ROUND(v^($CU21+FaktorAlter)*$L21*$D21*0.5*(VLOOKUP($CU21-DC$103,Frauen!$G$9:$J$102,4)+VLOOKUP($CU21-DC$103+1,Frauen!$G$9:$J$102,4))*0.5*(VLOOKUP($CU21-DC$103,Frauen!$AZ$9:$BD$102,5)+VLOOKUP($CU21-DC$103+1,Frauen!$AZ$9:$BD$102,5)),RundDx)))</f>
        <v>3956618839</v>
      </c>
      <c r="DD21" s="25">
        <f>IF($CU21&gt;=RAM,"",IF($CU21-DD$103&lt;BeginnAlter,"",ROUND(v^($CU21+FaktorAlter)*$L21*$D21*0.5*(VLOOKUP($CU21-DD$103,Frauen!$G$9:$J$102,4)+VLOOKUP($CU21-DD$103+1,Frauen!$G$9:$J$102,4))*0.5*(VLOOKUP($CU21-DD$103,Frauen!$AZ$9:$BD$102,5)+VLOOKUP($CU21-DD$103+1,Frauen!$AZ$9:$BD$102,5)),RundDx)))</f>
        <v>4007716143</v>
      </c>
      <c r="DE21" s="25">
        <f>IF($CU21&gt;=RAM,"",IF($CU21-DE$103&lt;BeginnAlter,"",ROUND(v^($CU21+FaktorAlter)*$L21*$D21*0.5*(VLOOKUP($CU21-DE$103,Frauen!$G$9:$J$102,4)+VLOOKUP($CU21-DE$103+1,Frauen!$G$9:$J$102,4))*0.5*(VLOOKUP($CU21-DE$103,Frauen!$AZ$9:$BD$102,5)+VLOOKUP($CU21-DE$103+1,Frauen!$AZ$9:$BD$102,5)),RundDx)))</f>
        <v>4057824924</v>
      </c>
      <c r="DF21" s="25">
        <f>IF($CU21&gt;=RAM,"",IF($CU21-DF$103&lt;BeginnAlter,"",ROUND(v^($CU21+FaktorAlter)*$L21*$D21*0.5*(VLOOKUP($CU21-DF$103,Frauen!$G$9:$J$102,4)+VLOOKUP($CU21-DF$103+1,Frauen!$G$9:$J$102,4))*0.5*(VLOOKUP($CU21-DF$103,Frauen!$AZ$9:$BD$102,5)+VLOOKUP($CU21-DF$103+1,Frauen!$AZ$9:$BD$102,5)),RundDx)))</f>
        <v>4106906958</v>
      </c>
      <c r="DG21" s="25">
        <f>IF($CU21&gt;=RAM,"",IF($CU21-DG$103&lt;BeginnAlter,"",ROUND(v^($CU21+FaktorAlter)*$L21*$D21*0.5*(VLOOKUP($CU21-DG$103,Frauen!$G$9:$J$102,4)+VLOOKUP($CU21-DG$103+1,Frauen!$G$9:$J$102,4))*0.5*(VLOOKUP($CU21-DG$103,Frauen!$AZ$9:$BD$102,5)+VLOOKUP($CU21-DG$103+1,Frauen!$AZ$9:$BD$102,5)),RundDx)))</f>
        <v>4154975008</v>
      </c>
      <c r="DH21" s="25">
        <f>IF($CU21&gt;=RAM,"",IF($CU21-DH$103&lt;BeginnAlter,"",ROUND(v^($CU21+FaktorAlter)*$L21*$D21*0.5*(VLOOKUP($CU21-DH$103,Frauen!$G$9:$J$102,4)+VLOOKUP($CU21-DH$103+1,Frauen!$G$9:$J$102,4))*0.5*(VLOOKUP($CU21-DH$103,Frauen!$AZ$9:$BD$102,5)+VLOOKUP($CU21-DH$103+1,Frauen!$AZ$9:$BD$102,5)),RundDx)))</f>
        <v>4202042979</v>
      </c>
      <c r="DI21" s="25">
        <f>IF($CU21&gt;=RAM,"",IF($CU21-DI$103&lt;BeginnAlter,"",ROUND(v^($CU21+FaktorAlter)*$L21*$D21*0.5*(VLOOKUP($CU21-DI$103,Frauen!$G$9:$J$102,4)+VLOOKUP($CU21-DI$103+1,Frauen!$G$9:$J$102,4))*0.5*(VLOOKUP($CU21-DI$103,Frauen!$AZ$9:$BD$102,5)+VLOOKUP($CU21-DI$103+1,Frauen!$AZ$9:$BD$102,5)),RundDx)))</f>
        <v>4248195899</v>
      </c>
      <c r="DJ21" s="25">
        <f>IF($CU21&gt;=RAM,"",IF($CU21-DJ$103&lt;BeginnAlter,"",ROUND(v^($CU21+FaktorAlter)*$L21*$D21*0.5*(VLOOKUP($CU21-DJ$103,Frauen!$G$9:$J$102,4)+VLOOKUP($CU21-DJ$103+1,Frauen!$G$9:$J$102,4))*0.5*(VLOOKUP($CU21-DJ$103,Frauen!$AZ$9:$BD$102,5)+VLOOKUP($CU21-DJ$103+1,Frauen!$AZ$9:$BD$102,5)),RundDx)))</f>
        <v>4293449936</v>
      </c>
      <c r="DK21" s="25">
        <f>IF($CU21&gt;=RAM,"",IF($CU21-DK$103&lt;BeginnAlter,"",ROUND(v^($CU21+FaktorAlter)*$L21*$D21*0.5*(VLOOKUP($CU21-DK$103,Frauen!$G$9:$J$102,4)+VLOOKUP($CU21-DK$103+1,Frauen!$G$9:$J$102,4))*0.5*(VLOOKUP($CU21-DK$103,Frauen!$AZ$9:$BD$102,5)+VLOOKUP($CU21-DK$103+1,Frauen!$AZ$9:$BD$102,5)),RundDx)))</f>
        <v>4337752155</v>
      </c>
      <c r="DL21" s="25">
        <f>IF($CU21&gt;=RAM,"",IF($CU21-DL$103&lt;BeginnAlter,"",ROUND(v^($CU21+FaktorAlter)*$L21*$D21*0.5*(VLOOKUP($CU21-DL$103,Frauen!$G$9:$J$102,4)+VLOOKUP($CU21-DL$103+1,Frauen!$G$9:$J$102,4))*0.5*(VLOOKUP($CU21-DL$103,Frauen!$AZ$9:$BD$102,5)+VLOOKUP($CU21-DL$103+1,Frauen!$AZ$9:$BD$102,5)),RundDx)))</f>
        <v>4381098596</v>
      </c>
      <c r="DM21" s="25">
        <f>IF($CU21&gt;=RAM,"",IF($CU21-DM$103&lt;BeginnAlter,"",ROUND(v^($CU21+FaktorAlter)*$L21*$D21*0.5*(VLOOKUP($CU21-DM$103,Frauen!$G$9:$J$102,4)+VLOOKUP($CU21-DM$103+1,Frauen!$G$9:$J$102,4))*0.5*(VLOOKUP($CU21-DM$103,Frauen!$AZ$9:$BD$102,5)+VLOOKUP($CU21-DM$103+1,Frauen!$AZ$9:$BD$102,5)),RundDx)))</f>
        <v>4423533403</v>
      </c>
      <c r="DN21" s="25">
        <f>IF($CU21&gt;=RAM,"",IF($CU21-DN$103&lt;BeginnAlter,"",ROUND(v^($CU21+FaktorAlter)*$L21*$D21*0.5*(VLOOKUP($CU21-DN$103,Frauen!$G$9:$J$102,4)+VLOOKUP($CU21-DN$103+1,Frauen!$G$9:$J$102,4))*0.5*(VLOOKUP($CU21-DN$103,Frauen!$AZ$9:$BD$102,5)+VLOOKUP($CU21-DN$103+1,Frauen!$AZ$9:$BD$102,5)),RundDx)))</f>
        <v>4465170364</v>
      </c>
      <c r="DO21" s="25">
        <f>IF($CU21&gt;=RAM,"",IF($CU21-DO$103&lt;BeginnAlter,"",ROUND(v^($CU21+FaktorAlter)*$L21*$D21*0.5*(VLOOKUP($CU21-DO$103,Frauen!$G$9:$J$102,4)+VLOOKUP($CU21-DO$103+1,Frauen!$G$9:$J$102,4))*0.5*(VLOOKUP($CU21-DO$103,Frauen!$AZ$9:$BD$102,5)+VLOOKUP($CU21-DO$103+1,Frauen!$AZ$9:$BD$102,5)),RundDx)))</f>
        <v>4505912164</v>
      </c>
      <c r="DP21" s="25">
        <f>IF($CU21&gt;=RAM,"",IF($CU21-DP$103&lt;BeginnAlter,"",ROUND(v^($CU21+FaktorAlter)*$L21*$D21*0.5*(VLOOKUP($CU21-DP$103,Frauen!$G$9:$J$102,4)+VLOOKUP($CU21-DP$103+1,Frauen!$G$9:$J$102,4))*0.5*(VLOOKUP($CU21-DP$103,Frauen!$AZ$9:$BD$102,5)+VLOOKUP($CU21-DP$103+1,Frauen!$AZ$9:$BD$102,5)),RundDx)))</f>
        <v>4545801253</v>
      </c>
      <c r="DQ21" s="25">
        <f>IF($CU21&gt;=RAM,"",IF($CU21-DQ$103&lt;BeginnAlter,"",ROUND(v^($CU21+FaktorAlter)*$L21*$D21*0.5*(VLOOKUP($CU21-DQ$103,Frauen!$G$9:$J$102,4)+VLOOKUP($CU21-DQ$103+1,Frauen!$G$9:$J$102,4))*0.5*(VLOOKUP($CU21-DQ$103,Frauen!$AZ$9:$BD$102,5)+VLOOKUP($CU21-DQ$103+1,Frauen!$AZ$9:$BD$102,5)),RundDx)))</f>
        <v>4584902534</v>
      </c>
      <c r="DR21" s="25">
        <f>IF($CU21&gt;=RAM,"",IF($CU21-DR$103&lt;BeginnAlter,"",ROUND(v^($CU21+FaktorAlter)*$L21*$D21*0.5*(VLOOKUP($CU21-DR$103,Frauen!$G$9:$J$102,4)+VLOOKUP($CU21-DR$103+1,Frauen!$G$9:$J$102,4))*0.5*(VLOOKUP($CU21-DR$103,Frauen!$AZ$9:$BD$102,5)+VLOOKUP($CU21-DR$103+1,Frauen!$AZ$9:$BD$102,5)),RundDx)))</f>
        <v>4623187729</v>
      </c>
      <c r="DS21" s="25">
        <f>IF($CU21&gt;=RAM,"",IF($CU21-DS$103&lt;BeginnAlter,"",ROUND(v^($CU21+FaktorAlter)*$L21*$D21*0.5*(VLOOKUP($CU21-DS$103,Frauen!$G$9:$J$102,4)+VLOOKUP($CU21-DS$103+1,Frauen!$G$9:$J$102,4))*0.5*(VLOOKUP($CU21-DS$103,Frauen!$AZ$9:$BD$102,5)+VLOOKUP($CU21-DS$103+1,Frauen!$AZ$9:$BD$102,5)),RundDx)))</f>
        <v>4660698301</v>
      </c>
      <c r="DT21" s="25">
        <f>IF($CU21&gt;=RAM,"",IF($CU21-DT$103&lt;BeginnAlter,"",ROUND(v^($CU21+FaktorAlter)*$L21*$D21*0.5*(VLOOKUP($CU21-DT$103,Frauen!$G$9:$J$102,4)+VLOOKUP($CU21-DT$103+1,Frauen!$G$9:$J$102,4))*0.5*(VLOOKUP($CU21-DT$103,Frauen!$AZ$9:$BD$102,5)+VLOOKUP($CU21-DT$103+1,Frauen!$AZ$9:$BD$102,5)),RundDx)))</f>
        <v>4697358056</v>
      </c>
      <c r="DU21" s="25">
        <f>IF($CU21&gt;=RAM,"",IF($CU21-DU$103&lt;BeginnAlter,"",ROUND(v^($CU21+FaktorAlter)*$L21*$D21*0.5*(VLOOKUP($CU21-DU$103,Frauen!$G$9:$J$102,4)+VLOOKUP($CU21-DU$103+1,Frauen!$G$9:$J$102,4))*0.5*(VLOOKUP($CU21-DU$103,Frauen!$AZ$9:$BD$102,5)+VLOOKUP($CU21-DU$103+1,Frauen!$AZ$9:$BD$102,5)),RundDx)))</f>
        <v>4733184945</v>
      </c>
      <c r="DV21" s="25">
        <f>IF($CU21&gt;=RAM,"",IF($CU21-DV$103&lt;BeginnAlter,"",ROUND(v^($CU21+FaktorAlter)*$L21*$D21*0.5*(VLOOKUP($CU21-DV$103,Frauen!$G$9:$J$102,4)+VLOOKUP($CU21-DV$103+1,Frauen!$G$9:$J$102,4))*0.5*(VLOOKUP($CU21-DV$103,Frauen!$AZ$9:$BD$102,5)+VLOOKUP($CU21-DV$103+1,Frauen!$AZ$9:$BD$102,5)),RundDx)))</f>
        <v>4768315831</v>
      </c>
      <c r="DW21" s="25">
        <f>IF($CU21&gt;=RAM,"",IF($CU21-DW$103&lt;BeginnAlter,"",ROUND(v^($CU21+FaktorAlter)*$L21*$D21*0.5*(VLOOKUP($CU21-DW$103,Frauen!$G$9:$J$102,4)+VLOOKUP($CU21-DW$103+1,Frauen!$G$9:$J$102,4))*0.5*(VLOOKUP($CU21-DW$103,Frauen!$AZ$9:$BD$102,5)+VLOOKUP($CU21-DW$103+1,Frauen!$AZ$9:$BD$102,5)),RundDx)))</f>
        <v>4802678754</v>
      </c>
      <c r="DX21" s="25" t="str">
        <f>IF($CU21&gt;=RAM,"",IF($CU21-DX$103&lt;BeginnAlter,"",ROUND(v^($CU21+FaktorAlter)*$L21*$D21*0.5*(VLOOKUP($CU21-DX$103,Frauen!$G$9:$J$102,4)+VLOOKUP($CU21-DX$103+1,Frauen!$G$9:$J$102,4))*0.5*(VLOOKUP($CU21-DX$103,Frauen!$AZ$9:$BD$102,5)+VLOOKUP($CU21-DX$103+1,Frauen!$AZ$9:$BD$102,5)),RundDx)))</f>
        <v/>
      </c>
      <c r="DY21" s="25" t="str">
        <f>IF($CU21&gt;=RAM,"",IF($CU21-DY$103&lt;BeginnAlter,"",ROUND(v^($CU21+FaktorAlter)*$L21*$D21*0.5*(VLOOKUP($CU21-DY$103,Frauen!$G$9:$J$102,4)+VLOOKUP($CU21-DY$103+1,Frauen!$G$9:$J$102,4))*0.5*(VLOOKUP($CU21-DY$103,Frauen!$AZ$9:$BD$102,5)+VLOOKUP($CU21-DY$103+1,Frauen!$AZ$9:$BD$102,5)),RundDx)))</f>
        <v/>
      </c>
      <c r="DZ21" s="25" t="str">
        <f>IF($CU21&gt;=RAM,"",IF($CU21-DZ$103&lt;BeginnAlter,"",ROUND(v^($CU21+FaktorAlter)*$L21*$D21*0.5*(VLOOKUP($CU21-DZ$103,Frauen!$G$9:$J$102,4)+VLOOKUP($CU21-DZ$103+1,Frauen!$G$9:$J$102,4))*0.5*(VLOOKUP($CU21-DZ$103,Frauen!$AZ$9:$BD$102,5)+VLOOKUP($CU21-DZ$103+1,Frauen!$AZ$9:$BD$102,5)),RundDx)))</f>
        <v/>
      </c>
      <c r="EA21" s="43">
        <f>IF($CU21&gt;=RAM,"",IF($CU21-EA$103&lt;BeginnAlter,"",ROUND((SUM(CV21:CV$56)+SUM(FN$9:FN$56))/VLOOKUP($CU21,$AH$9:$AI$102,2)/VLOOKUP($CU21-EA$103,Frauen!$G$9:$J$102,4),Rundäx)))</f>
        <v>6.8330000000000002</v>
      </c>
      <c r="EB21" s="43">
        <f>IF($CU21&gt;=RAM,"",IF($CU21-EB$103&lt;BeginnAlter,"",ROUND((SUM(CW21:CW$56)+SUM(FO$9:FO$56))/VLOOKUP($CU21,$AH$9:$AI$102,2)/VLOOKUP($CU21-EB$103,Frauen!$G$9:$J$102,4),Rundäx)))</f>
        <v>7.0460000000000003</v>
      </c>
      <c r="EC21" s="43">
        <f>IF($CU21&gt;=RAM,"",IF($CU21-EC$103&lt;BeginnAlter,"",ROUND((SUM(CX21:CX$56)+SUM(FP$9:FP$56))/VLOOKUP($CU21,$AH$9:$AI$102,2)/VLOOKUP($CU21-EC$103,Frauen!$G$9:$J$102,4),Rundäx)))</f>
        <v>7.26</v>
      </c>
      <c r="ED21" s="43">
        <f>IF($CU21&gt;=RAM,"",IF($CU21-ED$103&lt;BeginnAlter,"",ROUND((SUM(CY21:CY$56)+SUM(FQ$9:FQ$56))/VLOOKUP($CU21,$AH$9:$AI$102,2)/VLOOKUP($CU21-ED$103,Frauen!$G$9:$J$102,4),Rundäx)))</f>
        <v>7.4749999999999996</v>
      </c>
      <c r="EE21" s="43">
        <f>IF($CU21&gt;=RAM,"",IF($CU21-EE$103&lt;BeginnAlter,"",ROUND((SUM(CZ21:CZ$56)+SUM(FR$9:FR$56))/VLOOKUP($CU21,$AH$9:$AI$102,2)/VLOOKUP($CU21-EE$103,Frauen!$G$9:$J$102,4),Rundäx)))</f>
        <v>7.69</v>
      </c>
      <c r="EF21" s="43">
        <f>IF($CU21&gt;=RAM,"",IF($CU21-EF$103&lt;BeginnAlter,"",ROUND((SUM(DA21:DA$56)+SUM(FS$9:FS$56))/VLOOKUP($CU21,$AH$9:$AI$102,2)/VLOOKUP($CU21-EF$103,Frauen!$G$9:$J$102,4),Rundäx)))</f>
        <v>7.907</v>
      </c>
      <c r="EG21" s="43">
        <f>IF($CU21&gt;=RAM,"",IF($CU21-EG$103&lt;BeginnAlter,"",ROUND((SUM(DB21:DB$56)+SUM(FT$9:FT$56))/VLOOKUP($CU21,$AH$9:$AI$102,2)/VLOOKUP($CU21-EG$103,Frauen!$G$9:$J$102,4),Rundäx)))</f>
        <v>8.125</v>
      </c>
      <c r="EH21" s="43">
        <f>IF($CU21&gt;=RAM,"",IF($CU21-EH$103&lt;BeginnAlter,"",ROUND((SUM(DC21:DC$56)+SUM(FU$9:FU$56))/VLOOKUP($CU21,$AH$9:$AI$102,2)/VLOOKUP($CU21-EH$103,Frauen!$G$9:$J$102,4),Rundäx)))</f>
        <v>8.343</v>
      </c>
      <c r="EI21" s="86"/>
      <c r="EJ21" s="35">
        <f t="shared" si="60"/>
        <v>29</v>
      </c>
      <c r="EK21" s="43">
        <f>IF($CU21&gt;=RAM,"",IF($CU21-EK$103&lt;BeginnAlter,"",ROUND((SUM(DD21:DD$56)+SUM(FV$9:FV$56))/VLOOKUP($CU21,$AH$9:$AI$102,2)/VLOOKUP($CU21-EK$103,Frauen!$G$9:$J$102,4),Rundäx)))</f>
        <v>8.5619999999999994</v>
      </c>
      <c r="EL21" s="43">
        <f>IF($CU21&gt;=RAM,"",IF($CU21-EL$103&lt;BeginnAlter,"",ROUND((SUM(DE21:DE$56)+SUM(FW$9:FW$56))/VLOOKUP($CU21,$AH$9:$AI$102,2)/VLOOKUP($CU21-EL$103,Frauen!$G$9:$J$102,4),Rundäx)))</f>
        <v>8.7810000000000006</v>
      </c>
      <c r="EM21" s="43">
        <f>IF($CU21&gt;=RAM,"",IF($CU21-EM$103&lt;BeginnAlter,"",ROUND((SUM(DF21:DF$56)+SUM(FX$9:FX$56))/VLOOKUP($CU21,$AH$9:$AI$102,2)/VLOOKUP($CU21-EM$103,Frauen!$G$9:$J$102,4),Rundäx)))</f>
        <v>9.0009999999999994</v>
      </c>
      <c r="EN21" s="43">
        <f>IF($CU21&gt;=RAM,"",IF($CU21-EN$103&lt;BeginnAlter,"",ROUND((SUM(DG21:DG$56)+SUM(FY$9:FY$56))/VLOOKUP($CU21,$AH$9:$AI$102,2)/VLOOKUP($CU21-EN$103,Frauen!$G$9:$J$102,4),Rundäx)))</f>
        <v>9.2210000000000001</v>
      </c>
      <c r="EO21" s="43">
        <f>IF($CU21&gt;=RAM,"",IF($CU21-EO$103&lt;BeginnAlter,"",ROUND((SUM(DH21:DH$56)+SUM(FZ$9:FZ$56))/VLOOKUP($CU21,$AH$9:$AI$102,2)/VLOOKUP($CU21-EO$103,Frauen!$G$9:$J$102,4),Rundäx)))</f>
        <v>9.4420000000000002</v>
      </c>
      <c r="EP21" s="43">
        <f>IF($CU21&gt;=RAM,"",IF($CU21-EP$103&lt;BeginnAlter,"",ROUND((SUM(DI21:DI$56)+SUM(GA$9:GA$56))/VLOOKUP($CU21,$AH$9:$AI$102,2)/VLOOKUP($CU21-EP$103,Frauen!$G$9:$J$102,4),Rundäx)))</f>
        <v>9.6620000000000008</v>
      </c>
      <c r="EQ21" s="43">
        <f>IF($CU21&gt;=RAM,"",IF($CU21-EQ$103&lt;BeginnAlter,"",ROUND((SUM(DJ21:DJ$56)+SUM(GB$9:GB$56))/VLOOKUP($CU21,$AH$9:$AI$102,2)/VLOOKUP($CU21-EQ$103,Frauen!$G$9:$J$102,4),Rundäx)))</f>
        <v>9.8829999999999991</v>
      </c>
      <c r="ER21" s="43">
        <f>IF($CU21&gt;=RAM,"",IF($CU21-ER$103&lt;BeginnAlter,"",ROUND((SUM(DK21:DK$56)+SUM(GC$9:GC$56))/VLOOKUP($CU21,$AH$9:$AI$102,2)/VLOOKUP($CU21-ER$103,Frauen!$G$9:$J$102,4),Rundäx)))</f>
        <v>10.103</v>
      </c>
      <c r="ES21" s="86"/>
      <c r="ET21" s="35">
        <f t="shared" si="61"/>
        <v>29</v>
      </c>
      <c r="EU21" s="43">
        <f>IF($CU21&gt;=RAM,"",IF($CU21-EU$103&lt;BeginnAlter,"",ROUND((SUM(DL21:DL$56)+SUM(GD$9:GD$56))/VLOOKUP($CU21,$AH$9:$AI$102,2)/VLOOKUP($CU21-EU$103,Frauen!$G$9:$J$102,4),Rundäx)))</f>
        <v>10.323</v>
      </c>
      <c r="EV21" s="43">
        <f>IF($CU21&gt;=RAM,"",IF($CU21-EV$103&lt;BeginnAlter,"",ROUND((SUM(DM21:DM$56)+SUM(GE$9:GE$56))/VLOOKUP($CU21,$AH$9:$AI$102,2)/VLOOKUP($CU21-EV$103,Frauen!$G$9:$J$102,4),Rundäx)))</f>
        <v>10.542999999999999</v>
      </c>
      <c r="EW21" s="43">
        <f>IF($CU21&gt;=RAM,"",IF($CU21-EW$103&lt;BeginnAlter,"",ROUND((SUM(DN21:DN$56)+SUM(GF$9:GF$56))/VLOOKUP($CU21,$AH$9:$AI$102,2)/VLOOKUP($CU21-EW$103,Frauen!$G$9:$J$102,4),Rundäx)))</f>
        <v>10.762</v>
      </c>
      <c r="EX21" s="43">
        <f>IF($CU21&gt;=RAM,"",IF($CU21-EX$103&lt;BeginnAlter,"",ROUND((SUM(DO21:DO$56)+SUM(GG$9:GG$56))/VLOOKUP($CU21,$AH$9:$AI$102,2)/VLOOKUP($CU21-EX$103,Frauen!$G$9:$J$102,4),Rundäx)))</f>
        <v>10.981</v>
      </c>
      <c r="EY21" s="43">
        <f>IF($CU21&gt;=RAM,"",IF($CU21-EY$103&lt;BeginnAlter,"",ROUND((SUM(DP21:DP$56)+SUM(GH$9:GH$56))/VLOOKUP($CU21,$AH$9:$AI$102,2)/VLOOKUP($CU21-EY$103,Frauen!$G$9:$J$102,4),Rundäx)))</f>
        <v>11.199</v>
      </c>
      <c r="EZ21" s="43">
        <f>IF($CU21&gt;=RAM,"",IF($CU21-EZ$103&lt;BeginnAlter,"",ROUND((SUM(DQ21:DQ$56)+SUM(GI$9:GI$56))/VLOOKUP($CU21,$AH$9:$AI$102,2)/VLOOKUP($CU21-EZ$103,Frauen!$G$9:$J$102,4),Rundäx)))</f>
        <v>11.416</v>
      </c>
      <c r="FA21" s="43">
        <f>IF($CU21&gt;=RAM,"",IF($CU21-FA$103&lt;BeginnAlter,"",ROUND((SUM(DR21:DR$56)+SUM(GJ$9:GJ$56))/VLOOKUP($CU21,$AH$9:$AI$102,2)/VLOOKUP($CU21-FA$103,Frauen!$G$9:$J$102,4),Rundäx)))</f>
        <v>11.632</v>
      </c>
      <c r="FB21" s="43">
        <f>IF($CU21&gt;=RAM,"",IF($CU21-FB$103&lt;BeginnAlter,"",ROUND((SUM(DS21:DS$56)+SUM(GK$9:GK$56))/VLOOKUP($CU21,$AH$9:$AI$102,2)/VLOOKUP($CU21-FB$103,Frauen!$G$9:$J$102,4),Rundäx)))</f>
        <v>11.847</v>
      </c>
      <c r="FC21" s="86"/>
      <c r="FD21" s="35">
        <f t="shared" si="62"/>
        <v>29</v>
      </c>
      <c r="FE21" s="43">
        <f>IF($CU21&gt;=RAM,"",IF($CU21-FE$103&lt;BeginnAlter,"",ROUND((SUM(DT21:DT$56)+SUM(GL$9:GL$56))/VLOOKUP($CU21,$AH$9:$AI$102,2)/VLOOKUP($CU21-FE$103,Frauen!$G$9:$J$102,4),Rundäx)))</f>
        <v>12.06</v>
      </c>
      <c r="FF21" s="43">
        <f>IF($CU21&gt;=RAM,"",IF($CU21-FF$103&lt;BeginnAlter,"",ROUND((SUM(DU21:DU$56)+SUM(GM$9:GM$56))/VLOOKUP($CU21,$AH$9:$AI$102,2)/VLOOKUP($CU21-FF$103,Frauen!$G$9:$J$102,4),Rundäx)))</f>
        <v>12.272</v>
      </c>
      <c r="FG21" s="43">
        <f>IF($CU21&gt;=RAM,"",IF($CU21-FG$103&lt;BeginnAlter,"",ROUND((SUM(DV21:DV$56)+SUM(GN$9:GN$56))/VLOOKUP($CU21,$AH$9:$AI$102,2)/VLOOKUP($CU21-FG$103,Frauen!$G$9:$J$102,4),Rundäx)))</f>
        <v>12.481999999999999</v>
      </c>
      <c r="FH21" s="43">
        <f>IF($CU21&gt;=RAM,"",IF($CU21-FH$103&lt;BeginnAlter,"",ROUND((SUM(DW21:DW$56)+SUM(GO$9:GO$56))/VLOOKUP($CU21,$AH$9:$AI$102,2)/VLOOKUP($CU21-FH$103,Frauen!$G$9:$J$102,4),Rundäx)))</f>
        <v>12.69</v>
      </c>
      <c r="FI21" s="43" t="str">
        <f>IF($CU21&gt;=RAM,"",IF($CU21-FI$103&lt;BeginnAlter,"",ROUND((SUM(DX21:DX$56)+SUM(GP$9:GP$56))/VLOOKUP($CU21,$AH$9:$AI$102,2)/VLOOKUP($CU21-FI$103,Frauen!$G$9:$J$102,4),Rundäx)))</f>
        <v/>
      </c>
      <c r="FJ21" s="43" t="str">
        <f>IF($CU21&gt;=RAM,"",IF($CU21-FJ$103&lt;BeginnAlter,"",ROUND((SUM(DY21:DY$56)+SUM(GQ$9:GQ$56))/VLOOKUP($CU21,$AH$9:$AI$102,2)/VLOOKUP($CU21-FJ$103,Frauen!$G$9:$J$102,4),Rundäx)))</f>
        <v/>
      </c>
      <c r="FK21" s="43" t="str">
        <f>IF($CU21&gt;=RAM,"",IF($CU21-FK$103&lt;BeginnAlter,"",ROUND((SUM(DZ21:DZ$56)+SUM(GR$9:GR$56))/VLOOKUP($CU21,$AH$9:$AI$102,2)/VLOOKUP($CU21-FK$103,Frauen!$G$9:$J$102,4),Rundäx)))</f>
        <v/>
      </c>
      <c r="FL21" s="86"/>
      <c r="FM21" s="35">
        <f t="shared" si="68"/>
        <v>77</v>
      </c>
      <c r="FN21" s="25">
        <f>ROUND(v^($FM21+FaktorAlter)*VLOOKUP($FM21,$G$9:$J$102,4)*VLOOKUP($FM21,$A$9:$E$102,5)*0.5*(VLOOKUP($FM21-FN$103,Frauen!$G$9:$J$102,4)+VLOOKUP($FM21-FN$103+1,Frauen!$G$9:$J$102,4))*0.5*(VLOOKUP($FM21-FN$103,Frauen!$AZ$9:$BD$102,5)+VLOOKUP($FM21-FN$103+1,Frauen!$AZ$9:$BD$102,5)),RundDx)</f>
        <v>30722492</v>
      </c>
      <c r="FO21" s="25">
        <f>ROUND(v^($FM21+FaktorAlter)*VLOOKUP($FM21,$G$9:$J$102,4)*VLOOKUP($FM21,$A$9:$E$102,5)*0.5*(VLOOKUP($FM21-FO$103,Frauen!$G$9:$J$102,4)+VLOOKUP($FM21-FO$103+1,Frauen!$G$9:$J$102,4))*0.5*(VLOOKUP($FM21-FO$103,Frauen!$AZ$9:$BD$102,5)+VLOOKUP($FM21-FO$103+1,Frauen!$AZ$9:$BD$102,5)),RundDx)</f>
        <v>41100713</v>
      </c>
      <c r="FP21" s="25">
        <f>ROUND(v^($FM21+FaktorAlter)*VLOOKUP($FM21,$G$9:$J$102,4)*VLOOKUP($FM21,$A$9:$E$102,5)*0.5*(VLOOKUP($FM21-FP$103,Frauen!$G$9:$J$102,4)+VLOOKUP($FM21-FP$103+1,Frauen!$G$9:$J$102,4))*0.5*(VLOOKUP($FM21-FP$103,Frauen!$AZ$9:$BD$102,5)+VLOOKUP($FM21-FP$103+1,Frauen!$AZ$9:$BD$102,5)),RundDx)</f>
        <v>53507113</v>
      </c>
      <c r="FQ21" s="25">
        <f>ROUND(v^($FM21+FaktorAlter)*VLOOKUP($FM21,$G$9:$J$102,4)*VLOOKUP($FM21,$A$9:$E$102,5)*0.5*(VLOOKUP($FM21-FQ$103,Frauen!$G$9:$J$102,4)+VLOOKUP($FM21-FQ$103+1,Frauen!$G$9:$J$102,4))*0.5*(VLOOKUP($FM21-FQ$103,Frauen!$AZ$9:$BD$102,5)+VLOOKUP($FM21-FQ$103+1,Frauen!$AZ$9:$BD$102,5)),RundDx)</f>
        <v>68048115</v>
      </c>
      <c r="FR21" s="25">
        <f>ROUND(v^($FM21+FaktorAlter)*VLOOKUP($FM21,$G$9:$J$102,4)*VLOOKUP($FM21,$A$9:$E$102,5)*0.5*(VLOOKUP($FM21-FR$103,Frauen!$G$9:$J$102,4)+VLOOKUP($FM21-FR$103+1,Frauen!$G$9:$J$102,4))*0.5*(VLOOKUP($FM21-FR$103,Frauen!$AZ$9:$BD$102,5)+VLOOKUP($FM21-FR$103+1,Frauen!$AZ$9:$BD$102,5)),RundDx)</f>
        <v>84742374</v>
      </c>
      <c r="FS21" s="25">
        <f>ROUND(v^($FM21+FaktorAlter)*VLOOKUP($FM21,$G$9:$J$102,4)*VLOOKUP($FM21,$A$9:$E$102,5)*0.5*(VLOOKUP($FM21-FS$103,Frauen!$G$9:$J$102,4)+VLOOKUP($FM21-FS$103+1,Frauen!$G$9:$J$102,4))*0.5*(VLOOKUP($FM21-FS$103,Frauen!$AZ$9:$BD$102,5)+VLOOKUP($FM21-FS$103+1,Frauen!$AZ$9:$BD$102,5)),RundDx)</f>
        <v>103538351</v>
      </c>
      <c r="FT21" s="25">
        <f>ROUND(v^($FM21+FaktorAlter)*VLOOKUP($FM21,$G$9:$J$102,4)*VLOOKUP($FM21,$A$9:$E$102,5)*0.5*(VLOOKUP($FM21-FT$103,Frauen!$G$9:$J$102,4)+VLOOKUP($FM21-FT$103+1,Frauen!$G$9:$J$102,4))*0.5*(VLOOKUP($FM21-FT$103,Frauen!$AZ$9:$BD$102,5)+VLOOKUP($FM21-FT$103+1,Frauen!$AZ$9:$BD$102,5)),RundDx)</f>
        <v>124340386</v>
      </c>
      <c r="FU21" s="25">
        <f>ROUND(v^($FM21+FaktorAlter)*VLOOKUP($FM21,$G$9:$J$102,4)*VLOOKUP($FM21,$A$9:$E$102,5)*0.5*(VLOOKUP($FM21-FU$103,Frauen!$G$9:$J$102,4)+VLOOKUP($FM21-FU$103+1,Frauen!$G$9:$J$102,4))*0.5*(VLOOKUP($FM21-FU$103,Frauen!$AZ$9:$BD$102,5)+VLOOKUP($FM21-FU$103+1,Frauen!$AZ$9:$BD$102,5)),RundDx)</f>
        <v>146948863</v>
      </c>
      <c r="FV21" s="25">
        <f>ROUND(v^($FM21+FaktorAlter)*VLOOKUP($FM21,$G$9:$J$102,4)*VLOOKUP($FM21,$A$9:$E$102,5)*0.5*(VLOOKUP($FM21-FV$103,Frauen!$G$9:$J$102,4)+VLOOKUP($FM21-FV$103+1,Frauen!$G$9:$J$102,4))*0.5*(VLOOKUP($FM21-FV$103,Frauen!$AZ$9:$BD$102,5)+VLOOKUP($FM21-FV$103+1,Frauen!$AZ$9:$BD$102,5)),RundDx)</f>
        <v>171124192</v>
      </c>
      <c r="FW21" s="25">
        <f>ROUND(v^($FM21+FaktorAlter)*VLOOKUP($FM21,$G$9:$J$102,4)*VLOOKUP($FM21,$A$9:$E$102,5)*0.5*(VLOOKUP($FM21-FW$103,Frauen!$G$9:$J$102,4)+VLOOKUP($FM21-FW$103+1,Frauen!$G$9:$J$102,4))*0.5*(VLOOKUP($FM21-FW$103,Frauen!$AZ$9:$BD$102,5)+VLOOKUP($FM21-FW$103+1,Frauen!$AZ$9:$BD$102,5)),RundDx)</f>
        <v>196629347</v>
      </c>
      <c r="FX21" s="25">
        <f>ROUND(v^($FM21+FaktorAlter)*VLOOKUP($FM21,$G$9:$J$102,4)*VLOOKUP($FM21,$A$9:$E$102,5)*0.5*(VLOOKUP($FM21-FX$103,Frauen!$G$9:$J$102,4)+VLOOKUP($FM21-FX$103+1,Frauen!$G$9:$J$102,4))*0.5*(VLOOKUP($FM21-FX$103,Frauen!$AZ$9:$BD$102,5)+VLOOKUP($FM21-FX$103+1,Frauen!$AZ$9:$BD$102,5)),RundDx)</f>
        <v>223183764</v>
      </c>
      <c r="FY21" s="25">
        <f>ROUND(v^($FM21+FaktorAlter)*VLOOKUP($FM21,$G$9:$J$102,4)*VLOOKUP($FM21,$A$9:$E$102,5)*0.5*(VLOOKUP($FM21-FY$103,Frauen!$G$9:$J$102,4)+VLOOKUP($FM21-FY$103+1,Frauen!$G$9:$J$102,4))*0.5*(VLOOKUP($FM21-FY$103,Frauen!$AZ$9:$BD$102,5)+VLOOKUP($FM21-FY$103+1,Frauen!$AZ$9:$BD$102,5)),RundDx)</f>
        <v>250522403</v>
      </c>
      <c r="FZ21" s="25">
        <f>ROUND(v^($FM21+FaktorAlter)*VLOOKUP($FM21,$G$9:$J$102,4)*VLOOKUP($FM21,$A$9:$E$102,5)*0.5*(VLOOKUP($FM21-FZ$103,Frauen!$G$9:$J$102,4)+VLOOKUP($FM21-FZ$103+1,Frauen!$G$9:$J$102,4))*0.5*(VLOOKUP($FM21-FZ$103,Frauen!$AZ$9:$BD$102,5)+VLOOKUP($FM21-FZ$103+1,Frauen!$AZ$9:$BD$102,5)),RundDx)</f>
        <v>278464679</v>
      </c>
      <c r="GA21" s="25">
        <f>ROUND(v^($FM21+FaktorAlter)*VLOOKUP($FM21,$G$9:$J$102,4)*VLOOKUP($FM21,$A$9:$E$102,5)*0.5*(VLOOKUP($FM21-GA$103,Frauen!$G$9:$J$102,4)+VLOOKUP($FM21-GA$103+1,Frauen!$G$9:$J$102,4))*0.5*(VLOOKUP($FM21-GA$103,Frauen!$AZ$9:$BD$102,5)+VLOOKUP($FM21-GA$103+1,Frauen!$AZ$9:$BD$102,5)),RundDx)</f>
        <v>306921977</v>
      </c>
      <c r="GB21" s="25">
        <f>ROUND(v^($FM21+FaktorAlter)*VLOOKUP($FM21,$G$9:$J$102,4)*VLOOKUP($FM21,$A$9:$E$102,5)*0.5*(VLOOKUP($FM21-GB$103,Frauen!$G$9:$J$102,4)+VLOOKUP($FM21-GB$103+1,Frauen!$G$9:$J$102,4))*0.5*(VLOOKUP($FM21-GB$103,Frauen!$AZ$9:$BD$102,5)+VLOOKUP($FM21-GB$103+1,Frauen!$AZ$9:$BD$102,5)),RundDx)</f>
        <v>335773620</v>
      </c>
      <c r="GC21" s="25">
        <f>ROUND(v^($FM21+FaktorAlter)*VLOOKUP($FM21,$G$9:$J$102,4)*VLOOKUP($FM21,$A$9:$E$102,5)*0.5*(VLOOKUP($FM21-GC$103,Frauen!$G$9:$J$102,4)+VLOOKUP($FM21-GC$103+1,Frauen!$G$9:$J$102,4))*0.5*(VLOOKUP($FM21-GC$103,Frauen!$AZ$9:$BD$102,5)+VLOOKUP($FM21-GC$103+1,Frauen!$AZ$9:$BD$102,5)),RundDx)</f>
        <v>364995919</v>
      </c>
      <c r="GD21" s="25">
        <f>ROUND(v^($FM21+FaktorAlter)*VLOOKUP($FM21,$G$9:$J$102,4)*VLOOKUP($FM21,$A$9:$E$102,5)*0.5*(VLOOKUP($FM21-GD$103,Frauen!$G$9:$J$102,4)+VLOOKUP($FM21-GD$103+1,Frauen!$G$9:$J$102,4))*0.5*(VLOOKUP($FM21-GD$103,Frauen!$AZ$9:$BD$102,5)+VLOOKUP($FM21-GD$103+1,Frauen!$AZ$9:$BD$102,5)),RundDx)</f>
        <v>394660201</v>
      </c>
      <c r="GE21" s="25">
        <f>ROUND(v^($FM21+FaktorAlter)*VLOOKUP($FM21,$G$9:$J$102,4)*VLOOKUP($FM21,$A$9:$E$102,5)*0.5*(VLOOKUP($FM21-GE$103,Frauen!$G$9:$J$102,4)+VLOOKUP($FM21-GE$103+1,Frauen!$G$9:$J$102,4))*0.5*(VLOOKUP($FM21-GE$103,Frauen!$AZ$9:$BD$102,5)+VLOOKUP($FM21-GE$103+1,Frauen!$AZ$9:$BD$102,5)),RundDx)</f>
        <v>424795348</v>
      </c>
      <c r="GF21" s="25">
        <f>ROUND(v^($FM21+FaktorAlter)*VLOOKUP($FM21,$G$9:$J$102,4)*VLOOKUP($FM21,$A$9:$E$102,5)*0.5*(VLOOKUP($FM21-GF$103,Frauen!$G$9:$J$102,4)+VLOOKUP($FM21-GF$103+1,Frauen!$G$9:$J$102,4))*0.5*(VLOOKUP($FM21-GF$103,Frauen!$AZ$9:$BD$102,5)+VLOOKUP($FM21-GF$103+1,Frauen!$AZ$9:$BD$102,5)),RundDx)</f>
        <v>455494579</v>
      </c>
      <c r="GG21" s="25">
        <f>ROUND(v^($FM21+FaktorAlter)*VLOOKUP($FM21,$G$9:$J$102,4)*VLOOKUP($FM21,$A$9:$E$102,5)*0.5*(VLOOKUP($FM21-GG$103,Frauen!$G$9:$J$102,4)+VLOOKUP($FM21-GG$103+1,Frauen!$G$9:$J$102,4))*0.5*(VLOOKUP($FM21-GG$103,Frauen!$AZ$9:$BD$102,5)+VLOOKUP($FM21-GG$103+1,Frauen!$AZ$9:$BD$102,5)),RundDx)</f>
        <v>486775153</v>
      </c>
      <c r="GH21" s="25">
        <f>ROUND(v^($FM21+FaktorAlter)*VLOOKUP($FM21,$G$9:$J$102,4)*VLOOKUP($FM21,$A$9:$E$102,5)*0.5*(VLOOKUP($FM21-GH$103,Frauen!$G$9:$J$102,4)+VLOOKUP($FM21-GH$103+1,Frauen!$G$9:$J$102,4))*0.5*(VLOOKUP($FM21-GH$103,Frauen!$AZ$9:$BD$102,5)+VLOOKUP($FM21-GH$103+1,Frauen!$AZ$9:$BD$102,5)),RundDx)</f>
        <v>518565157</v>
      </c>
      <c r="GI21" s="25">
        <f>ROUND(v^($FM21+FaktorAlter)*VLOOKUP($FM21,$G$9:$J$102,4)*VLOOKUP($FM21,$A$9:$E$102,5)*0.5*(VLOOKUP($FM21-GI$103,Frauen!$G$9:$J$102,4)+VLOOKUP($FM21-GI$103+1,Frauen!$G$9:$J$102,4))*0.5*(VLOOKUP($FM21-GI$103,Frauen!$AZ$9:$BD$102,5)+VLOOKUP($FM21-GI$103+1,Frauen!$AZ$9:$BD$102,5)),RundDx)</f>
        <v>550725632</v>
      </c>
      <c r="GJ21" s="25">
        <f>ROUND(v^($FM21+FaktorAlter)*VLOOKUP($FM21,$G$9:$J$102,4)*VLOOKUP($FM21,$A$9:$E$102,5)*0.5*(VLOOKUP($FM21-GJ$103,Frauen!$G$9:$J$102,4)+VLOOKUP($FM21-GJ$103+1,Frauen!$G$9:$J$102,4))*0.5*(VLOOKUP($FM21-GJ$103,Frauen!$AZ$9:$BD$102,5)+VLOOKUP($FM21-GJ$103+1,Frauen!$AZ$9:$BD$102,5)),RundDx)</f>
        <v>583025694</v>
      </c>
      <c r="GK21" s="25">
        <f>ROUND(v^($FM21+FaktorAlter)*VLOOKUP($FM21,$G$9:$J$102,4)*VLOOKUP($FM21,$A$9:$E$102,5)*0.5*(VLOOKUP($FM21-GK$103,Frauen!$G$9:$J$102,4)+VLOOKUP($FM21-GK$103+1,Frauen!$G$9:$J$102,4))*0.5*(VLOOKUP($FM21-GK$103,Frauen!$AZ$9:$BD$102,5)+VLOOKUP($FM21-GK$103+1,Frauen!$AZ$9:$BD$102,5)),RundDx)</f>
        <v>615375404</v>
      </c>
      <c r="GL21" s="25">
        <f>ROUND(v^($FM21+FaktorAlter)*VLOOKUP($FM21,$G$9:$J$102,4)*VLOOKUP($FM21,$A$9:$E$102,5)*0.5*(VLOOKUP($FM21-GL$103,Frauen!$G$9:$J$102,4)+VLOOKUP($FM21-GL$103+1,Frauen!$G$9:$J$102,4))*0.5*(VLOOKUP($FM21-GL$103,Frauen!$AZ$9:$BD$102,5)+VLOOKUP($FM21-GL$103+1,Frauen!$AZ$9:$BD$102,5)),RundDx)</f>
        <v>647715281</v>
      </c>
      <c r="GM21" s="25">
        <f>ROUND(v^($FM21+FaktorAlter)*VLOOKUP($FM21,$G$9:$J$102,4)*VLOOKUP($FM21,$A$9:$E$102,5)*0.5*(VLOOKUP($FM21-GM$103,Frauen!$G$9:$J$102,4)+VLOOKUP($FM21-GM$103+1,Frauen!$G$9:$J$102,4))*0.5*(VLOOKUP($FM21-GM$103,Frauen!$AZ$9:$BD$102,5)+VLOOKUP($FM21-GM$103+1,Frauen!$AZ$9:$BD$102,5)),RundDx)</f>
        <v>679825878</v>
      </c>
      <c r="GN21" s="25">
        <f>ROUND(v^($FM21+FaktorAlter)*VLOOKUP($FM21,$G$9:$J$102,4)*VLOOKUP($FM21,$A$9:$E$102,5)*0.5*(VLOOKUP($FM21-GN$103,Frauen!$G$9:$J$102,4)+VLOOKUP($FM21-GN$103+1,Frauen!$G$9:$J$102,4))*0.5*(VLOOKUP($FM21-GN$103,Frauen!$AZ$9:$BD$102,5)+VLOOKUP($FM21-GN$103+1,Frauen!$AZ$9:$BD$102,5)),RundDx)</f>
        <v>711580226</v>
      </c>
      <c r="GO21" s="25">
        <f>ROUND(v^($FM21+FaktorAlter)*VLOOKUP($FM21,$G$9:$J$102,4)*VLOOKUP($FM21,$A$9:$E$102,5)*0.5*(VLOOKUP($FM21-GO$103,Frauen!$G$9:$J$102,4)+VLOOKUP($FM21-GO$103+1,Frauen!$G$9:$J$102,4))*0.5*(VLOOKUP($FM21-GO$103,Frauen!$AZ$9:$BD$102,5)+VLOOKUP($FM21-GO$103+1,Frauen!$AZ$9:$BD$102,5)),RundDx)</f>
        <v>743031261</v>
      </c>
      <c r="GP21" s="25">
        <f>ROUND(v^($FM21+FaktorAlter)*VLOOKUP($FM21,$G$9:$J$102,4)*VLOOKUP($FM21,$A$9:$E$102,5)*0.5*(VLOOKUP($FM21-GP$103,Frauen!$G$9:$J$102,4)+VLOOKUP($FM21-GP$103+1,Frauen!$G$9:$J$102,4))*0.5*(VLOOKUP($FM21-GP$103,Frauen!$AZ$9:$BD$102,5)+VLOOKUP($FM21-GP$103+1,Frauen!$AZ$9:$BD$102,5)),RundDx)</f>
        <v>774104954</v>
      </c>
      <c r="GQ21" s="25">
        <f>ROUND(v^($FM21+FaktorAlter)*VLOOKUP($FM21,$G$9:$J$102,4)*VLOOKUP($FM21,$A$9:$E$102,5)*0.5*(VLOOKUP($FM21-GQ$103,Frauen!$G$9:$J$102,4)+VLOOKUP($FM21-GQ$103+1,Frauen!$G$9:$J$102,4))*0.5*(VLOOKUP($FM21-GQ$103,Frauen!$AZ$9:$BD$102,5)+VLOOKUP($FM21-GQ$103+1,Frauen!$AZ$9:$BD$102,5)),RundDx)</f>
        <v>804617771</v>
      </c>
      <c r="GR21" s="25">
        <f>ROUND(v^($FM21+FaktorAlter)*VLOOKUP($FM21,$G$9:$J$102,4)*VLOOKUP($FM21,$A$9:$E$102,5)*0.5*(VLOOKUP($FM21-GR$103,Frauen!$G$9:$J$102,4)+VLOOKUP($FM21-GR$103+1,Frauen!$G$9:$J$102,4))*0.5*(VLOOKUP($FM21-GR$103,Frauen!$AZ$9:$BD$102,5)+VLOOKUP($FM21-GR$103+1,Frauen!$AZ$9:$BD$102,5)),RundDx)</f>
        <v>834553177</v>
      </c>
      <c r="GS21" s="24">
        <f>ROUND(SUM(FN21:FN$56)/VLOOKUP($FM21,$AQ$9:$AR$102,2)/VLOOKUP($FM21-GS$103,Frauen!$G$9:$J$102,4),Rundäx)</f>
        <v>0.433</v>
      </c>
      <c r="GT21" s="24">
        <f>ROUND(SUM(FO21:FO$56)/VLOOKUP($FM21,$AQ$9:$AR$102,2)/VLOOKUP($FM21-GT$103,Frauen!$G$9:$J$102,4),Rundäx)</f>
        <v>0.51300000000000001</v>
      </c>
      <c r="GU21" s="24">
        <f>ROUND(SUM(FP21:FP$56)/VLOOKUP($FM21,$AQ$9:$AR$102,2)/VLOOKUP($FM21-GU$103,Frauen!$G$9:$J$102,4),Rundäx)</f>
        <v>0.60399999999999998</v>
      </c>
      <c r="GV21" s="24">
        <f>ROUND(SUM(FQ21:FQ$56)/VLOOKUP($FM21,$AQ$9:$AR$102,2)/VLOOKUP($FM21-GV$103,Frauen!$G$9:$J$102,4),Rundäx)</f>
        <v>0.70799999999999996</v>
      </c>
      <c r="GW21" s="24">
        <f>ROUND(SUM(FR21:FR$56)/VLOOKUP($FM21,$AQ$9:$AR$102,2)/VLOOKUP($FM21-GW$103,Frauen!$G$9:$J$102,4),Rundäx)</f>
        <v>0.82499999999999996</v>
      </c>
      <c r="GX21" s="24">
        <f>ROUND(SUM(FS21:FS$56)/VLOOKUP($FM21,$AQ$9:$AR$102,2)/VLOOKUP($FM21-GX$103,Frauen!$G$9:$J$102,4),Rundäx)</f>
        <v>0.95899999999999996</v>
      </c>
      <c r="GY21" s="24">
        <f>ROUND(SUM(FT21:FT$56)/VLOOKUP($FM21,$AQ$9:$AR$102,2)/VLOOKUP($FM21-GY$103,Frauen!$G$9:$J$102,4),Rundäx)</f>
        <v>1.1100000000000001</v>
      </c>
      <c r="GZ21" s="24">
        <f>ROUND(SUM(FU21:FU$56)/VLOOKUP($FM21,$AQ$9:$AR$102,2)/VLOOKUP($FM21-GZ$103,Frauen!$G$9:$J$102,4),Rundäx)</f>
        <v>1.28</v>
      </c>
      <c r="HA21" s="86"/>
      <c r="HB21" s="35">
        <f t="shared" si="63"/>
        <v>77</v>
      </c>
      <c r="HC21" s="24">
        <f>ROUND(SUM(FV21:FV$56)/VLOOKUP($FM21,$AQ$9:$AR$102,2)/VLOOKUP($FM21-HC$103,Frauen!$G$9:$J$102,4),Rundäx)</f>
        <v>1.472</v>
      </c>
      <c r="HD21" s="24">
        <f>ROUND(SUM(FW21:FW$56)/VLOOKUP($FM21,$AQ$9:$AR$102,2)/VLOOKUP($FM21-HD$103,Frauen!$G$9:$J$102,4),Rundäx)</f>
        <v>1.6870000000000001</v>
      </c>
      <c r="HE21" s="24">
        <f>ROUND(SUM(FX21:FX$56)/VLOOKUP($FM21,$AQ$9:$AR$102,2)/VLOOKUP($FM21-HE$103,Frauen!$G$9:$J$102,4),Rundäx)</f>
        <v>1.925</v>
      </c>
      <c r="HF21" s="24">
        <f>ROUND(SUM(FY21:FY$56)/VLOOKUP($FM21,$AQ$9:$AR$102,2)/VLOOKUP($FM21-HF$103,Frauen!$G$9:$J$102,4),Rundäx)</f>
        <v>2.1890000000000001</v>
      </c>
      <c r="HG21" s="24">
        <f>ROUND(SUM(FZ21:FZ$56)/VLOOKUP($FM21,$AQ$9:$AR$102,2)/VLOOKUP($FM21-HG$103,Frauen!$G$9:$J$102,4),Rundäx)</f>
        <v>2.4769999999999999</v>
      </c>
      <c r="HH21" s="24">
        <f>ROUND(SUM(GA21:GA$56)/VLOOKUP($FM21,$AQ$9:$AR$102,2)/VLOOKUP($FM21-HH$103,Frauen!$G$9:$J$102,4),Rundäx)</f>
        <v>2.79</v>
      </c>
      <c r="HI21" s="24">
        <f>ROUND(SUM(GB21:GB$56)/VLOOKUP($FM21,$AQ$9:$AR$102,2)/VLOOKUP($FM21-HI$103,Frauen!$G$9:$J$102,4),Rundäx)</f>
        <v>3.125</v>
      </c>
      <c r="HJ21" s="24">
        <f>ROUND(SUM(GC21:GC$56)/VLOOKUP($FM21,$AQ$9:$AR$102,2)/VLOOKUP($FM21-HJ$103,Frauen!$G$9:$J$102,4),Rundäx)</f>
        <v>3.4809999999999999</v>
      </c>
      <c r="HK21" s="86"/>
      <c r="HL21" s="35">
        <f t="shared" si="64"/>
        <v>77</v>
      </c>
      <c r="HM21" s="24">
        <f>ROUND(SUM(GD21:GD$56)/VLOOKUP($FM21,$AQ$9:$AR$102,2)/VLOOKUP($FM21-HM$103,Frauen!$G$9:$J$102,4),Rundäx)</f>
        <v>3.855</v>
      </c>
      <c r="HN21" s="24">
        <f>ROUND(SUM(GE21:GE$56)/VLOOKUP($FM21,$AQ$9:$AR$102,2)/VLOOKUP($FM21-HN$103,Frauen!$G$9:$J$102,4),Rundäx)</f>
        <v>4.2430000000000003</v>
      </c>
      <c r="HO21" s="24">
        <f>ROUND(SUM(GF21:GF$56)/VLOOKUP($FM21,$AQ$9:$AR$102,2)/VLOOKUP($FM21-HO$103,Frauen!$G$9:$J$102,4),Rundäx)</f>
        <v>4.6440000000000001</v>
      </c>
      <c r="HP21" s="24">
        <f>ROUND(SUM(GG21:GG$56)/VLOOKUP($FM21,$AQ$9:$AR$102,2)/VLOOKUP($FM21-HP$103,Frauen!$G$9:$J$102,4),Rundäx)</f>
        <v>5.0529999999999999</v>
      </c>
      <c r="HQ21" s="24">
        <f>ROUND(SUM(GH21:GH$56)/VLOOKUP($FM21,$AQ$9:$AR$102,2)/VLOOKUP($FM21-HQ$103,Frauen!$G$9:$J$102,4),Rundäx)</f>
        <v>5.4690000000000003</v>
      </c>
      <c r="HR21" s="24">
        <f>ROUND(SUM(GI21:GI$56)/VLOOKUP($FM21,$AQ$9:$AR$102,2)/VLOOKUP($FM21-HR$103,Frauen!$G$9:$J$102,4),Rundäx)</f>
        <v>5.8929999999999998</v>
      </c>
      <c r="HS21" s="24">
        <f>ROUND(SUM(GJ21:GJ$56)/VLOOKUP($FM21,$AQ$9:$AR$102,2)/VLOOKUP($FM21-HS$103,Frauen!$G$9:$J$102,4),Rundäx)</f>
        <v>6.3230000000000004</v>
      </c>
      <c r="HT21" s="24">
        <f>ROUND(SUM(GK21:GK$56)/VLOOKUP($FM21,$AQ$9:$AR$102,2)/VLOOKUP($FM21-HT$103,Frauen!$G$9:$J$102,4),Rundäx)</f>
        <v>6.7569999999999997</v>
      </c>
      <c r="HU21" s="86"/>
      <c r="HV21" s="35">
        <f t="shared" si="65"/>
        <v>77</v>
      </c>
      <c r="HW21" s="24">
        <f>ROUND(SUM(GL21:GL$56)/VLOOKUP($FM21,$AQ$9:$AR$102,2)/VLOOKUP($FM21-HW$103,Frauen!$G$9:$J$102,4),Rundäx)</f>
        <v>7.194</v>
      </c>
      <c r="HX21" s="24">
        <f>ROUND(SUM(GM21:GM$56)/VLOOKUP($FM21,$AQ$9:$AR$102,2)/VLOOKUP($FM21-HX$103,Frauen!$G$9:$J$102,4),Rundäx)</f>
        <v>7.6349999999999998</v>
      </c>
      <c r="HY21" s="24">
        <f>ROUND(SUM(GN21:GN$56)/VLOOKUP($FM21,$AQ$9:$AR$102,2)/VLOOKUP($FM21-HY$103,Frauen!$G$9:$J$102,4),Rundäx)</f>
        <v>8.0790000000000006</v>
      </c>
      <c r="HZ21" s="24">
        <f>ROUND(SUM(GO21:GO$56)/VLOOKUP($FM21,$AQ$9:$AR$102,2)/VLOOKUP($FM21-HZ$103,Frauen!$G$9:$J$102,4),Rundäx)</f>
        <v>8.5239999999999991</v>
      </c>
      <c r="IA21" s="24">
        <f>ROUND(SUM(GP21:GP$56)/VLOOKUP($FM21,$AQ$9:$AR$102,2)/VLOOKUP($FM21-IA$103,Frauen!$G$9:$J$102,4),Rundäx)</f>
        <v>8.9700000000000006</v>
      </c>
      <c r="IB21" s="24">
        <f>ROUND(SUM(GQ21:GQ$56)/VLOOKUP($FM21,$AQ$9:$AR$102,2)/VLOOKUP($FM21-IB$103,Frauen!$G$9:$J$102,4),Rundäx)</f>
        <v>9.4190000000000005</v>
      </c>
      <c r="IC21" s="24">
        <f>ROUND(SUM(GR21:GR$56)/VLOOKUP($FM21,$AQ$9:$AR$102,2)/VLOOKUP($FM21-IC$103,Frauen!$G$9:$J$102,4),Rundäx)</f>
        <v>9.8699999999999992</v>
      </c>
      <c r="ID21" s="89"/>
      <c r="IE21" s="35">
        <f t="shared" si="66"/>
        <v>29</v>
      </c>
      <c r="IF21" s="25">
        <f t="shared" si="31"/>
        <v>578</v>
      </c>
      <c r="IG21" s="25">
        <f>IF($IE21&lt;RAM,IF(S22&lt;=RAK,ROUND(SUM(IF21:INDEX(Dakx,RAM-BeginnAlter))+INDEX(Dax,RAM-BeginnAlter+1)*INDEX(äkx,1),RundDx),0),"")</f>
        <v>17183</v>
      </c>
      <c r="IH21" s="25">
        <f>IF($IE21&lt;RAM,IF(S22&lt;=RAK,ROUND(SUM(IG21:INDEX(Nakx,RAM-BeginnAlter))+INDEX(Dax,RAM-BeginnAlter+1)*INDEX(äkx,1),RundDx),0),"")</f>
        <v>214539</v>
      </c>
      <c r="II21" s="24">
        <f t="shared" si="32"/>
        <v>0.33200000000000002</v>
      </c>
      <c r="IJ21" s="25">
        <f t="shared" si="33"/>
        <v>21124</v>
      </c>
      <c r="IK21" s="25">
        <f>IF($IE21&lt;RAM,IF(S22&lt;=RAK,SUM(IJ21:INDEX(Dikx,RAM-BeginnAlter))+INDEX(Dix,RAM-BeginnAlter+1)*INDEX(äkx,1),0),"")</f>
        <v>406661.83199999999</v>
      </c>
      <c r="IL21" s="24">
        <f t="shared" si="34"/>
        <v>4.298</v>
      </c>
      <c r="IM21" s="86"/>
      <c r="IN21" s="35">
        <f t="shared" si="67"/>
        <v>77</v>
      </c>
      <c r="IO21" s="25">
        <f t="shared" si="35"/>
        <v>4</v>
      </c>
      <c r="IP21" s="25">
        <f>IF(AND(VLOOKUP(IN21+1,O$9:S$102,5)&lt;=RAK,VLOOKUP(IN21+1,O$9:S$102,5)&lt;&gt;""),SUM(IO21:IO$102),0)</f>
        <v>6</v>
      </c>
      <c r="IQ21" s="24">
        <f t="shared" si="36"/>
        <v>1E-3</v>
      </c>
      <c r="IR21" s="86"/>
    </row>
    <row r="22" spans="1:252" ht="15.75" customHeight="1" x14ac:dyDescent="0.25">
      <c r="A22" s="35">
        <f t="shared" si="41"/>
        <v>30</v>
      </c>
      <c r="B22" s="77">
        <v>5.6842917926785302E-4</v>
      </c>
      <c r="C22" s="77">
        <v>7.311854588342439E-4</v>
      </c>
      <c r="D22" s="77">
        <v>1.5718716657725219E-2</v>
      </c>
      <c r="E22" s="77">
        <v>6.5488544542280369E-4</v>
      </c>
      <c r="F22" s="86"/>
      <c r="G22" s="35">
        <f t="shared" si="42"/>
        <v>30</v>
      </c>
      <c r="H22" s="25">
        <f t="shared" si="37"/>
        <v>98685</v>
      </c>
      <c r="I22" s="25">
        <f t="shared" si="38"/>
        <v>569</v>
      </c>
      <c r="J22" s="25">
        <f t="shared" si="39"/>
        <v>99254</v>
      </c>
      <c r="K22" s="30">
        <f>IF(J22&gt;0,ROUND(SUM(J22:J$102)/J22-0.5,Rundex),"")</f>
        <v>49.22</v>
      </c>
      <c r="L22" s="25">
        <f t="shared" si="0"/>
        <v>177677</v>
      </c>
      <c r="M22" s="30">
        <f>IF(L22&gt;0,ROUND(SUM(L22:L$102)/L22-0.5,Rundex),"")</f>
        <v>34.1</v>
      </c>
      <c r="N22" s="86"/>
      <c r="O22" s="35">
        <f t="shared" si="43"/>
        <v>30</v>
      </c>
      <c r="P22" s="43">
        <v>0.29859962870780465</v>
      </c>
      <c r="Q22" s="78">
        <v>29.893183161793697</v>
      </c>
      <c r="R22" s="43">
        <v>0.92964410786128426</v>
      </c>
      <c r="S22" s="78">
        <v>3.5305226647575632</v>
      </c>
      <c r="T22" s="15">
        <v>6.6094840050723302E-4</v>
      </c>
      <c r="U22" s="11">
        <f t="shared" si="40"/>
        <v>99254</v>
      </c>
      <c r="V22" s="30">
        <f>IF(U22&gt;0,ROUND(SUM(U22:U$102)/U22-0.5,Rundex),"")</f>
        <v>46.85</v>
      </c>
      <c r="W22" s="86"/>
      <c r="X22" s="35">
        <f t="shared" si="44"/>
        <v>30</v>
      </c>
      <c r="Y22" s="25">
        <f t="shared" si="1"/>
        <v>50623</v>
      </c>
      <c r="Z22" s="25">
        <f>IF($X22&lt;RAM,SUM(Y22:INDEX(Dax,RAM-BeginnAlter))," ")</f>
        <v>1168568</v>
      </c>
      <c r="AA22" s="25">
        <f t="shared" si="2"/>
        <v>28</v>
      </c>
      <c r="AB22" s="25">
        <f>IF($X22&lt;RAM,SUM(AA22:INDEX(Cax,RAM-BeginnAlter))," ")</f>
        <v>2439</v>
      </c>
      <c r="AC22" s="25">
        <f t="shared" si="3"/>
        <v>37</v>
      </c>
      <c r="AD22" s="25">
        <f>IF($X22&lt;RAM,SUM(AC22:INDEX(Caix,RAM-BeginnAlter))," ")</f>
        <v>7798</v>
      </c>
      <c r="AE22" s="24">
        <f t="shared" si="4"/>
        <v>23.084</v>
      </c>
      <c r="AF22" s="24">
        <f t="shared" si="5"/>
        <v>22.759</v>
      </c>
      <c r="AG22" s="86"/>
      <c r="AH22" s="35">
        <f t="shared" si="45"/>
        <v>30</v>
      </c>
      <c r="AI22" s="25">
        <f t="shared" si="6"/>
        <v>91145</v>
      </c>
      <c r="AJ22" s="25">
        <f>IF($AH22&gt;RAM," ",IF($AH22&lt;RAM,SUM(AI22:INDEX(Dix,RAM-BeginnAlter))+INDEX(Nx,RAM-BeginnAlter+1),INDEX(Nx,RAM-BeginnAlter+1)))</f>
        <v>2021222</v>
      </c>
      <c r="AK22" s="25">
        <f>IF($AH22&lt;RAM,SUM(AI22:INDEX(Dix,RAM-BeginnAlter))," ")</f>
        <v>1723975</v>
      </c>
      <c r="AL22" s="24">
        <f t="shared" si="7"/>
        <v>22.175999999999998</v>
      </c>
      <c r="AM22" s="24">
        <f t="shared" si="8"/>
        <v>21.718</v>
      </c>
      <c r="AN22" s="24">
        <f t="shared" si="9"/>
        <v>18.914999999999999</v>
      </c>
      <c r="AO22" s="24">
        <f t="shared" si="10"/>
        <v>18.559000000000001</v>
      </c>
      <c r="AP22" s="86"/>
      <c r="AQ22" s="35">
        <f t="shared" si="46"/>
        <v>30</v>
      </c>
      <c r="AR22" s="25">
        <f t="shared" si="11"/>
        <v>50915</v>
      </c>
      <c r="AS22" s="25">
        <f>SUM(AR22:AR$94)</f>
        <v>1517172</v>
      </c>
      <c r="AT22" s="25">
        <f>IF($AQ22&lt;RAM,SUM(AR22:INDEX(Dx,RAM-BeginnAlter))," ")</f>
        <v>1219925</v>
      </c>
      <c r="AU22" s="24">
        <f t="shared" si="12"/>
        <v>29.797999999999998</v>
      </c>
      <c r="AV22" s="24">
        <f t="shared" si="13"/>
        <v>29.34</v>
      </c>
      <c r="AW22" s="24">
        <f t="shared" si="14"/>
        <v>23.96</v>
      </c>
      <c r="AX22" s="24">
        <f t="shared" si="15"/>
        <v>23.686</v>
      </c>
      <c r="AY22" s="86"/>
      <c r="AZ22" s="35">
        <f t="shared" si="47"/>
        <v>30</v>
      </c>
      <c r="BA22" s="25">
        <f t="shared" si="16"/>
        <v>50915</v>
      </c>
      <c r="BB22" s="25">
        <f>SUM(BA22:BA$94)</f>
        <v>1475113</v>
      </c>
      <c r="BC22" s="24">
        <f t="shared" si="17"/>
        <v>28.972000000000001</v>
      </c>
      <c r="BD22" s="24">
        <f t="shared" si="18"/>
        <v>28.513999999999999</v>
      </c>
      <c r="BE22" s="86"/>
      <c r="BF22" s="35">
        <f t="shared" si="48"/>
        <v>13</v>
      </c>
      <c r="BG22" s="24">
        <f t="shared" si="19"/>
        <v>10.648999999999999</v>
      </c>
      <c r="BH22" s="24">
        <f t="shared" si="20"/>
        <v>10.542</v>
      </c>
      <c r="BI22" s="86"/>
      <c r="BJ22" s="35">
        <f t="shared" si="49"/>
        <v>30</v>
      </c>
      <c r="BK22" s="25">
        <f t="shared" si="21"/>
        <v>792</v>
      </c>
      <c r="BL22" s="25">
        <f>IF(BJ22&lt;RAM,SUM(BK22:INDEX(Daix,RAM-BeginnAlter))," ")</f>
        <v>127956</v>
      </c>
      <c r="BM22" s="25">
        <f>IF(BJ22&lt;RAM,SUM(BL22:INDEX(Naix,RAM-BeginnAlter))," ")</f>
        <v>3347379</v>
      </c>
      <c r="BN22" s="24">
        <f t="shared" si="22"/>
        <v>4.1040000000000001</v>
      </c>
      <c r="BO22" s="24">
        <f t="shared" si="23"/>
        <v>2.528</v>
      </c>
      <c r="BP22" s="86"/>
      <c r="BQ22" s="35">
        <f t="shared" si="50"/>
        <v>30</v>
      </c>
      <c r="BR22" s="25">
        <f t="shared" si="51"/>
        <v>674</v>
      </c>
      <c r="BS22" s="25">
        <f>IF(BQ22&lt;RAM,SUM(BR22:INDEX(Daixs,RAM-BeginnAlter))," ")</f>
        <v>48772</v>
      </c>
      <c r="BT22" s="25">
        <f>IF(BQ22&lt;RAM,SUM(BS22:INDEX(Naixs,RAM-BeginnAlter))," ")</f>
        <v>1033845</v>
      </c>
      <c r="BU22" s="24">
        <f t="shared" si="52"/>
        <v>5.6680000000000001</v>
      </c>
      <c r="BV22" s="24">
        <f t="shared" si="53"/>
        <v>0.96299999999999997</v>
      </c>
      <c r="BW22" s="86"/>
      <c r="BX22" s="35">
        <f t="shared" si="54"/>
        <v>30</v>
      </c>
      <c r="BY22" s="10">
        <f t="shared" si="24"/>
        <v>14.351982379131886</v>
      </c>
      <c r="BZ22" s="11">
        <f t="shared" si="25"/>
        <v>518</v>
      </c>
      <c r="CA22" s="25">
        <f>IF(S23&lt;=RAK,IF($BX22&lt;RAM,SUM(BZ22:INDEX(Dazx,RAM-BeginnAlter)),""),"")</f>
        <v>20567</v>
      </c>
      <c r="CB22" s="24">
        <f t="shared" si="26"/>
        <v>0.40600000000000003</v>
      </c>
      <c r="CC22" s="25">
        <f t="shared" si="27"/>
        <v>30562</v>
      </c>
      <c r="CD22" s="24">
        <f t="shared" si="28"/>
        <v>20.725999999999999</v>
      </c>
      <c r="CE22" s="24">
        <f t="shared" si="29"/>
        <v>0.02</v>
      </c>
      <c r="CF22" s="86"/>
      <c r="CG22" s="35">
        <f t="shared" si="55"/>
        <v>30</v>
      </c>
      <c r="CH22" s="25">
        <f>IF(CG22&lt;RAM,ROUND(v^($CG22+FaktorAlter)*$H22*($B22*0.5*($P22+$P23)*(VLOOKUP(TRUNC(0.5*($Q22+$Q23),0),Frauen!$AZ$9:$BD$95,5)+(0.5*($Q22+$Q23)-TRUNC(0.5*($Q22+$Q23),0))*(VLOOKUP(TRUNC(0.5*($Q22+$Q23)+1,0),Frauen!$AZ$9:$BD$95,5)-VLOOKUP(TRUNC(0.5*($Q22+$Q23),0),Frauen!$AZ$9:$BD$95,5)))+$C22*0.5*($CN22+$CN23)),RundDx),"")</f>
        <v>546</v>
      </c>
      <c r="CI22" s="25">
        <f>IF(CG22&lt;RAM,ROUND(SUM(CH22:INDEX(Dawx,RAM-BeginnAlter))+INDEX(Dax,RAM-BeginnAlter+1)*INDEX(äwx,1),RundDx),"")</f>
        <v>166122</v>
      </c>
      <c r="CJ22" s="25">
        <f>IF(CG22&lt;RAM,ROUND(SUM(CI22:INDEX(Nawx,RAM-BeginnAlter))+INDEX(Dax,RAM-BeginnAlter+1)*INDEX(äwx,1),RundDx),"")</f>
        <v>4982864</v>
      </c>
      <c r="CK22" s="24">
        <f t="shared" si="56"/>
        <v>3.282</v>
      </c>
      <c r="CL22" s="25">
        <f>IF(CG22&lt;RAM,ROUND(v^($CG22+FaktorAlter)*$L22*$D22*0.5*($P22+$P23)*(VLOOKUP(TRUNC(0.5*($Q22+$Q23),0),Frauen!$AZ$9:$BD$95,5)+(0.5*($Q22+$Q23)-TRUNC(0.5*($Q22+$Q23),0))*(VLOOKUP(TRUNC(0.5*($Q22+$Q23)+1,0),Frauen!$AZ$9:$BD$95,5)-VLOOKUP(TRUNC(0.5*($Q22+$Q23),0),Frauen!$AZ$9:$BD$95,5))),RundDx),"")</f>
        <v>13937</v>
      </c>
      <c r="CM22" s="25">
        <f>IF(CG22&lt;RAM,SUM(CL22:INDEX(Diwx,RAM-BeginnAlter))+INDEX(Dix,RAM-BeginnAlter+1)*INDEX(äwx,1),"")</f>
        <v>656149.41399999999</v>
      </c>
      <c r="CN22" s="24">
        <f t="shared" si="57"/>
        <v>7.1989999999999998</v>
      </c>
      <c r="CO22" s="86"/>
      <c r="CP22" s="35">
        <f t="shared" si="58"/>
        <v>78</v>
      </c>
      <c r="CQ22" s="11">
        <f>ROUND(v^($CP22+FaktorAlter)*VLOOKUP(CP22,G$9:J$102,4)*VLOOKUP(CP22,A$9:E$102,5)*0.5*(VLOOKUP(CP22,O$9:P$102,2)+VLOOKUP(CP22+1,O$9:P$102,2))*(VLOOKUP(TRUNC(0.5*(VLOOKUP(CP22,O$9:Q$102,3)+VLOOKUP(CP22+1,O$9:Q$102,3)),0),Frauen!$AZ$9:$BD$95,5)+(0.5*(VLOOKUP(CP22,O$9:Q$102,3)+VLOOKUP(CP22+1,O$9:Q$102,3))-TRUNC(0.5*(VLOOKUP(CP22,O$9:Q$102,3)+VLOOKUP(CP22+1,O$9:Q$102,3)),0))*(VLOOKUP(TRUNC(0.5*(VLOOKUP(CP22,O$9:Q$102,3)+VLOOKUP(CP22+1,O$9:Q$102,3))+1,0),Frauen!$AZ$9:$BD$95,5)-VLOOKUP(TRUNC(0.5*(VLOOKUP(CP22,O$9:Q$102,3)+VLOOKUP(CP22+1,O$9:Q$102,3)),0),Frauen!$AZ$9:$BD$95,5))),RundDx)</f>
        <v>4755</v>
      </c>
      <c r="CR22" s="25">
        <f>SUM(CQ22:CQ$56)</f>
        <v>45908</v>
      </c>
      <c r="CS22" s="24">
        <f t="shared" si="30"/>
        <v>4.3029999999999999</v>
      </c>
      <c r="CT22" s="86"/>
      <c r="CU22" s="35">
        <f t="shared" si="59"/>
        <v>30</v>
      </c>
      <c r="CV22" s="25">
        <f>IF($CU22&gt;=RAM,"",IF($CU22-CV$103&lt;BeginnAlter,"",ROUND(v^($CU22+FaktorAlter)*$L22*$D22*0.5*(VLOOKUP($CU22-CV$103,Frauen!$G$9:$J$102,4)+VLOOKUP($CU22-CV$103+1,Frauen!$G$9:$J$102,4))*0.5*(VLOOKUP($CU22-CV$103,Frauen!$AZ$9:$BD$102,5)+VLOOKUP($CU22-CV$103+1,Frauen!$AZ$9:$BD$102,5)),RundDx)))</f>
        <v>3529948944</v>
      </c>
      <c r="CW22" s="25">
        <f>IF($CU22&gt;=RAM,"",IF($CU22-CW$103&lt;BeginnAlter,"",ROUND(v^($CU22+FaktorAlter)*$L22*$D22*0.5*(VLOOKUP($CU22-CW$103,Frauen!$G$9:$J$102,4)+VLOOKUP($CU22-CW$103+1,Frauen!$G$9:$J$102,4))*0.5*(VLOOKUP($CU22-CW$103,Frauen!$AZ$9:$BD$102,5)+VLOOKUP($CU22-CW$103+1,Frauen!$AZ$9:$BD$102,5)),RundDx)))</f>
        <v>3591162262</v>
      </c>
      <c r="CX22" s="25">
        <f>IF($CU22&gt;=RAM,"",IF($CU22-CX$103&lt;BeginnAlter,"",ROUND(v^($CU22+FaktorAlter)*$L22*$D22*0.5*(VLOOKUP($CU22-CX$103,Frauen!$G$9:$J$102,4)+VLOOKUP($CU22-CX$103+1,Frauen!$G$9:$J$102,4))*0.5*(VLOOKUP($CU22-CX$103,Frauen!$AZ$9:$BD$102,5)+VLOOKUP($CU22-CX$103+1,Frauen!$AZ$9:$BD$102,5)),RundDx)))</f>
        <v>3651058011</v>
      </c>
      <c r="CY22" s="25">
        <f>IF($CU22&gt;=RAM,"",IF($CU22-CY$103&lt;BeginnAlter,"",ROUND(v^($CU22+FaktorAlter)*$L22*$D22*0.5*(VLOOKUP($CU22-CY$103,Frauen!$G$9:$J$102,4)+VLOOKUP($CU22-CY$103+1,Frauen!$G$9:$J$102,4))*0.5*(VLOOKUP($CU22-CY$103,Frauen!$AZ$9:$BD$102,5)+VLOOKUP($CU22-CY$103+1,Frauen!$AZ$9:$BD$102,5)),RundDx)))</f>
        <v>3709665023</v>
      </c>
      <c r="CZ22" s="25">
        <f>IF($CU22&gt;=RAM,"",IF($CU22-CZ$103&lt;BeginnAlter,"",ROUND(v^($CU22+FaktorAlter)*$L22*$D22*0.5*(VLOOKUP($CU22-CZ$103,Frauen!$G$9:$J$102,4)+VLOOKUP($CU22-CZ$103+1,Frauen!$G$9:$J$102,4))*0.5*(VLOOKUP($CU22-CZ$103,Frauen!$AZ$9:$BD$102,5)+VLOOKUP($CU22-CZ$103+1,Frauen!$AZ$9:$BD$102,5)),RundDx)))</f>
        <v>3766997104</v>
      </c>
      <c r="DA22" s="25">
        <f>IF($CU22&gt;=RAM,"",IF($CU22-DA$103&lt;BeginnAlter,"",ROUND(v^($CU22+FaktorAlter)*$L22*$D22*0.5*(VLOOKUP($CU22-DA$103,Frauen!$G$9:$J$102,4)+VLOOKUP($CU22-DA$103+1,Frauen!$G$9:$J$102,4))*0.5*(VLOOKUP($CU22-DA$103,Frauen!$AZ$9:$BD$102,5)+VLOOKUP($CU22-DA$103+1,Frauen!$AZ$9:$BD$102,5)),RundDx)))</f>
        <v>3823051565</v>
      </c>
      <c r="DB22" s="25">
        <f>IF($CU22&gt;=RAM,"",IF($CU22-DB$103&lt;BeginnAlter,"",ROUND(v^($CU22+FaktorAlter)*$L22*$D22*0.5*(VLOOKUP($CU22-DB$103,Frauen!$G$9:$J$102,4)+VLOOKUP($CU22-DB$103+1,Frauen!$G$9:$J$102,4))*0.5*(VLOOKUP($CU22-DB$103,Frauen!$AZ$9:$BD$102,5)+VLOOKUP($CU22-DB$103+1,Frauen!$AZ$9:$BD$102,5)),RundDx)))</f>
        <v>3877866618</v>
      </c>
      <c r="DC22" s="25">
        <f>IF($CU22&gt;=RAM,"",IF($CU22-DC$103&lt;BeginnAlter,"",ROUND(v^($CU22+FaktorAlter)*$L22*$D22*0.5*(VLOOKUP($CU22-DC$103,Frauen!$G$9:$J$102,4)+VLOOKUP($CU22-DC$103+1,Frauen!$G$9:$J$102,4))*0.5*(VLOOKUP($CU22-DC$103,Frauen!$AZ$9:$BD$102,5)+VLOOKUP($CU22-DC$103+1,Frauen!$AZ$9:$BD$102,5)),RundDx)))</f>
        <v>3931464316</v>
      </c>
      <c r="DD22" s="25">
        <f>IF($CU22&gt;=RAM,"",IF($CU22-DD$103&lt;BeginnAlter,"",ROUND(v^($CU22+FaktorAlter)*$L22*$D22*0.5*(VLOOKUP($CU22-DD$103,Frauen!$G$9:$J$102,4)+VLOOKUP($CU22-DD$103+1,Frauen!$G$9:$J$102,4))*0.5*(VLOOKUP($CU22-DD$103,Frauen!$AZ$9:$BD$102,5)+VLOOKUP($CU22-DD$103+1,Frauen!$AZ$9:$BD$102,5)),RundDx)))</f>
        <v>3983939485</v>
      </c>
      <c r="DE22" s="25">
        <f>IF($CU22&gt;=RAM,"",IF($CU22-DE$103&lt;BeginnAlter,"",ROUND(v^($CU22+FaktorAlter)*$L22*$D22*0.5*(VLOOKUP($CU22-DE$103,Frauen!$G$9:$J$102,4)+VLOOKUP($CU22-DE$103+1,Frauen!$G$9:$J$102,4))*0.5*(VLOOKUP($CU22-DE$103,Frauen!$AZ$9:$BD$102,5)+VLOOKUP($CU22-DE$103+1,Frauen!$AZ$9:$BD$102,5)),RundDx)))</f>
        <v>4035389619</v>
      </c>
      <c r="DF22" s="25">
        <f>IF($CU22&gt;=RAM,"",IF($CU22-DF$103&lt;BeginnAlter,"",ROUND(v^($CU22+FaktorAlter)*$L22*$D22*0.5*(VLOOKUP($CU22-DF$103,Frauen!$G$9:$J$102,4)+VLOOKUP($CU22-DF$103+1,Frauen!$G$9:$J$102,4))*0.5*(VLOOKUP($CU22-DF$103,Frauen!$AZ$9:$BD$102,5)+VLOOKUP($CU22-DF$103+1,Frauen!$AZ$9:$BD$102,5)),RundDx)))</f>
        <v>4085844402</v>
      </c>
      <c r="DG22" s="25">
        <f>IF($CU22&gt;=RAM,"",IF($CU22-DG$103&lt;BeginnAlter,"",ROUND(v^($CU22+FaktorAlter)*$L22*$D22*0.5*(VLOOKUP($CU22-DG$103,Frauen!$G$9:$J$102,4)+VLOOKUP($CU22-DG$103+1,Frauen!$G$9:$J$102,4))*0.5*(VLOOKUP($CU22-DG$103,Frauen!$AZ$9:$BD$102,5)+VLOOKUP($CU22-DG$103+1,Frauen!$AZ$9:$BD$102,5)),RundDx)))</f>
        <v>4135265351</v>
      </c>
      <c r="DH22" s="25">
        <f>IF($CU22&gt;=RAM,"",IF($CU22-DH$103&lt;BeginnAlter,"",ROUND(v^($CU22+FaktorAlter)*$L22*$D22*0.5*(VLOOKUP($CU22-DH$103,Frauen!$G$9:$J$102,4)+VLOOKUP($CU22-DH$103+1,Frauen!$G$9:$J$102,4))*0.5*(VLOOKUP($CU22-DH$103,Frauen!$AZ$9:$BD$102,5)+VLOOKUP($CU22-DH$103+1,Frauen!$AZ$9:$BD$102,5)),RundDx)))</f>
        <v>4183665313</v>
      </c>
      <c r="DI22" s="25">
        <f>IF($CU22&gt;=RAM,"",IF($CU22-DI$103&lt;BeginnAlter,"",ROUND(v^($CU22+FaktorAlter)*$L22*$D22*0.5*(VLOOKUP($CU22-DI$103,Frauen!$G$9:$J$102,4)+VLOOKUP($CU22-DI$103+1,Frauen!$G$9:$J$102,4))*0.5*(VLOOKUP($CU22-DI$103,Frauen!$AZ$9:$BD$102,5)+VLOOKUP($CU22-DI$103+1,Frauen!$AZ$9:$BD$102,5)),RundDx)))</f>
        <v>4231058291</v>
      </c>
      <c r="DJ22" s="25">
        <f>IF($CU22&gt;=RAM,"",IF($CU22-DJ$103&lt;BeginnAlter,"",ROUND(v^($CU22+FaktorAlter)*$L22*$D22*0.5*(VLOOKUP($CU22-DJ$103,Frauen!$G$9:$J$102,4)+VLOOKUP($CU22-DJ$103+1,Frauen!$G$9:$J$102,4))*0.5*(VLOOKUP($CU22-DJ$103,Frauen!$AZ$9:$BD$102,5)+VLOOKUP($CU22-DJ$103+1,Frauen!$AZ$9:$BD$102,5)),RundDx)))</f>
        <v>4277529899</v>
      </c>
      <c r="DK22" s="25">
        <f>IF($CU22&gt;=RAM,"",IF($CU22-DK$103&lt;BeginnAlter,"",ROUND(v^($CU22+FaktorAlter)*$L22*$D22*0.5*(VLOOKUP($CU22-DK$103,Frauen!$G$9:$J$102,4)+VLOOKUP($CU22-DK$103+1,Frauen!$G$9:$J$102,4))*0.5*(VLOOKUP($CU22-DK$103,Frauen!$AZ$9:$BD$102,5)+VLOOKUP($CU22-DK$103+1,Frauen!$AZ$9:$BD$102,5)),RundDx)))</f>
        <v>4323096417</v>
      </c>
      <c r="DL22" s="25">
        <f>IF($CU22&gt;=RAM,"",IF($CU22-DL$103&lt;BeginnAlter,"",ROUND(v^($CU22+FaktorAlter)*$L22*$D22*0.5*(VLOOKUP($CU22-DL$103,Frauen!$G$9:$J$102,4)+VLOOKUP($CU22-DL$103+1,Frauen!$G$9:$J$102,4))*0.5*(VLOOKUP($CU22-DL$103,Frauen!$AZ$9:$BD$102,5)+VLOOKUP($CU22-DL$103+1,Frauen!$AZ$9:$BD$102,5)),RundDx)))</f>
        <v>4367704545</v>
      </c>
      <c r="DM22" s="25">
        <f>IF($CU22&gt;=RAM,"",IF($CU22-DM$103&lt;BeginnAlter,"",ROUND(v^($CU22+FaktorAlter)*$L22*$D22*0.5*(VLOOKUP($CU22-DM$103,Frauen!$G$9:$J$102,4)+VLOOKUP($CU22-DM$103+1,Frauen!$G$9:$J$102,4))*0.5*(VLOOKUP($CU22-DM$103,Frauen!$AZ$9:$BD$102,5)+VLOOKUP($CU22-DM$103+1,Frauen!$AZ$9:$BD$102,5)),RundDx)))</f>
        <v>4411350295</v>
      </c>
      <c r="DN22" s="25">
        <f>IF($CU22&gt;=RAM,"",IF($CU22-DN$103&lt;BeginnAlter,"",ROUND(v^($CU22+FaktorAlter)*$L22*$D22*0.5*(VLOOKUP($CU22-DN$103,Frauen!$G$9:$J$102,4)+VLOOKUP($CU22-DN$103+1,Frauen!$G$9:$J$102,4))*0.5*(VLOOKUP($CU22-DN$103,Frauen!$AZ$9:$BD$102,5)+VLOOKUP($CU22-DN$103+1,Frauen!$AZ$9:$BD$102,5)),RundDx)))</f>
        <v>4454078116</v>
      </c>
      <c r="DO22" s="25">
        <f>IF($CU22&gt;=RAM,"",IF($CU22-DO$103&lt;BeginnAlter,"",ROUND(v^($CU22+FaktorAlter)*$L22*$D22*0.5*(VLOOKUP($CU22-DO$103,Frauen!$G$9:$J$102,4)+VLOOKUP($CU22-DO$103+1,Frauen!$G$9:$J$102,4))*0.5*(VLOOKUP($CU22-DO$103,Frauen!$AZ$9:$BD$102,5)+VLOOKUP($CU22-DO$103+1,Frauen!$AZ$9:$BD$102,5)),RundDx)))</f>
        <v>4496002583</v>
      </c>
      <c r="DP22" s="25">
        <f>IF($CU22&gt;=RAM,"",IF($CU22-DP$103&lt;BeginnAlter,"",ROUND(v^($CU22+FaktorAlter)*$L22*$D22*0.5*(VLOOKUP($CU22-DP$103,Frauen!$G$9:$J$102,4)+VLOOKUP($CU22-DP$103+1,Frauen!$G$9:$J$102,4))*0.5*(VLOOKUP($CU22-DP$103,Frauen!$AZ$9:$BD$102,5)+VLOOKUP($CU22-DP$103+1,Frauen!$AZ$9:$BD$102,5)),RundDx)))</f>
        <v>4537025707</v>
      </c>
      <c r="DQ22" s="25">
        <f>IF($CU22&gt;=RAM,"",IF($CU22-DQ$103&lt;BeginnAlter,"",ROUND(v^($CU22+FaktorAlter)*$L22*$D22*0.5*(VLOOKUP($CU22-DQ$103,Frauen!$G$9:$J$102,4)+VLOOKUP($CU22-DQ$103+1,Frauen!$G$9:$J$102,4))*0.5*(VLOOKUP($CU22-DQ$103,Frauen!$AZ$9:$BD$102,5)+VLOOKUP($CU22-DQ$103+1,Frauen!$AZ$9:$BD$102,5)),RundDx)))</f>
        <v>4577190232</v>
      </c>
      <c r="DR22" s="25">
        <f>IF($CU22&gt;=RAM,"",IF($CU22-DR$103&lt;BeginnAlter,"",ROUND(v^($CU22+FaktorAlter)*$L22*$D22*0.5*(VLOOKUP($CU22-DR$103,Frauen!$G$9:$J$102,4)+VLOOKUP($CU22-DR$103+1,Frauen!$G$9:$J$102,4))*0.5*(VLOOKUP($CU22-DR$103,Frauen!$AZ$9:$BD$102,5)+VLOOKUP($CU22-DR$103+1,Frauen!$AZ$9:$BD$102,5)),RundDx)))</f>
        <v>4616561509</v>
      </c>
      <c r="DS22" s="25">
        <f>IF($CU22&gt;=RAM,"",IF($CU22-DS$103&lt;BeginnAlter,"",ROUND(v^($CU22+FaktorAlter)*$L22*$D22*0.5*(VLOOKUP($CU22-DS$103,Frauen!$G$9:$J$102,4)+VLOOKUP($CU22-DS$103+1,Frauen!$G$9:$J$102,4))*0.5*(VLOOKUP($CU22-DS$103,Frauen!$AZ$9:$BD$102,5)+VLOOKUP($CU22-DS$103+1,Frauen!$AZ$9:$BD$102,5)),RundDx)))</f>
        <v>4655111066</v>
      </c>
      <c r="DT22" s="25">
        <f>IF($CU22&gt;=RAM,"",IF($CU22-DT$103&lt;BeginnAlter,"",ROUND(v^($CU22+FaktorAlter)*$L22*$D22*0.5*(VLOOKUP($CU22-DT$103,Frauen!$G$9:$J$102,4)+VLOOKUP($CU22-DT$103+1,Frauen!$G$9:$J$102,4))*0.5*(VLOOKUP($CU22-DT$103,Frauen!$AZ$9:$BD$102,5)+VLOOKUP($CU22-DT$103+1,Frauen!$AZ$9:$BD$102,5)),RundDx)))</f>
        <v>4692880650</v>
      </c>
      <c r="DU22" s="25">
        <f>IF($CU22&gt;=RAM,"",IF($CU22-DU$103&lt;BeginnAlter,"",ROUND(v^($CU22+FaktorAlter)*$L22*$D22*0.5*(VLOOKUP($CU22-DU$103,Frauen!$G$9:$J$102,4)+VLOOKUP($CU22-DU$103+1,Frauen!$G$9:$J$102,4))*0.5*(VLOOKUP($CU22-DU$103,Frauen!$AZ$9:$BD$102,5)+VLOOKUP($CU22-DU$103+1,Frauen!$AZ$9:$BD$102,5)),RundDx)))</f>
        <v>4729793543</v>
      </c>
      <c r="DV22" s="25">
        <f>IF($CU22&gt;=RAM,"",IF($CU22-DV$103&lt;BeginnAlter,"",ROUND(v^($CU22+FaktorAlter)*$L22*$D22*0.5*(VLOOKUP($CU22-DV$103,Frauen!$G$9:$J$102,4)+VLOOKUP($CU22-DV$103+1,Frauen!$G$9:$J$102,4))*0.5*(VLOOKUP($CU22-DV$103,Frauen!$AZ$9:$BD$102,5)+VLOOKUP($CU22-DV$103+1,Frauen!$AZ$9:$BD$102,5)),RundDx)))</f>
        <v>4765867818</v>
      </c>
      <c r="DW22" s="25">
        <f>IF($CU22&gt;=RAM,"",IF($CU22-DW$103&lt;BeginnAlter,"",ROUND(v^($CU22+FaktorAlter)*$L22*$D22*0.5*(VLOOKUP($CU22-DW$103,Frauen!$G$9:$J$102,4)+VLOOKUP($CU22-DW$103+1,Frauen!$G$9:$J$102,4))*0.5*(VLOOKUP($CU22-DW$103,Frauen!$AZ$9:$BD$102,5)+VLOOKUP($CU22-DW$103+1,Frauen!$AZ$9:$BD$102,5)),RundDx)))</f>
        <v>4801241284</v>
      </c>
      <c r="DX22" s="25">
        <f>IF($CU22&gt;=RAM,"",IF($CU22-DX$103&lt;BeginnAlter,"",ROUND(v^($CU22+FaktorAlter)*$L22*$D22*0.5*(VLOOKUP($CU22-DX$103,Frauen!$G$9:$J$102,4)+VLOOKUP($CU22-DX$103+1,Frauen!$G$9:$J$102,4))*0.5*(VLOOKUP($CU22-DX$103,Frauen!$AZ$9:$BD$102,5)+VLOOKUP($CU22-DX$103+1,Frauen!$AZ$9:$BD$102,5)),RundDx)))</f>
        <v>4835841485</v>
      </c>
      <c r="DY22" s="25" t="str">
        <f>IF($CU22&gt;=RAM,"",IF($CU22-DY$103&lt;BeginnAlter,"",ROUND(v^($CU22+FaktorAlter)*$L22*$D22*0.5*(VLOOKUP($CU22-DY$103,Frauen!$G$9:$J$102,4)+VLOOKUP($CU22-DY$103+1,Frauen!$G$9:$J$102,4))*0.5*(VLOOKUP($CU22-DY$103,Frauen!$AZ$9:$BD$102,5)+VLOOKUP($CU22-DY$103+1,Frauen!$AZ$9:$BD$102,5)),RundDx)))</f>
        <v/>
      </c>
      <c r="DZ22" s="25" t="str">
        <f>IF($CU22&gt;=RAM,"",IF($CU22-DZ$103&lt;BeginnAlter,"",ROUND(v^($CU22+FaktorAlter)*$L22*$D22*0.5*(VLOOKUP($CU22-DZ$103,Frauen!$G$9:$J$102,4)+VLOOKUP($CU22-DZ$103+1,Frauen!$G$9:$J$102,4))*0.5*(VLOOKUP($CU22-DZ$103,Frauen!$AZ$9:$BD$102,5)+VLOOKUP($CU22-DZ$103+1,Frauen!$AZ$9:$BD$102,5)),RundDx)))</f>
        <v/>
      </c>
      <c r="EA22" s="43">
        <f>IF($CU22&gt;=RAM,"",IF($CU22-EA$103&lt;BeginnAlter,"",ROUND((SUM(CV22:CV$56)+SUM(FN$9:FN$56))/VLOOKUP($CU22,$AH$9:$AI$102,2)/VLOOKUP($CU22-EA$103,Frauen!$G$9:$J$102,4),Rundäx)))</f>
        <v>6.7060000000000004</v>
      </c>
      <c r="EB22" s="43">
        <f>IF($CU22&gt;=RAM,"",IF($CU22-EB$103&lt;BeginnAlter,"",ROUND((SUM(CW22:CW$56)+SUM(FO$9:FO$56))/VLOOKUP($CU22,$AH$9:$AI$102,2)/VLOOKUP($CU22-EB$103,Frauen!$G$9:$J$102,4),Rundäx)))</f>
        <v>6.92</v>
      </c>
      <c r="EC22" s="43">
        <f>IF($CU22&gt;=RAM,"",IF($CU22-EC$103&lt;BeginnAlter,"",ROUND((SUM(CX22:CX$56)+SUM(FP$9:FP$56))/VLOOKUP($CU22,$AH$9:$AI$102,2)/VLOOKUP($CU22-EC$103,Frauen!$G$9:$J$102,4),Rundäx)))</f>
        <v>7.1360000000000001</v>
      </c>
      <c r="ED22" s="43">
        <f>IF($CU22&gt;=RAM,"",IF($CU22-ED$103&lt;BeginnAlter,"",ROUND((SUM(CY22:CY$56)+SUM(FQ$9:FQ$56))/VLOOKUP($CU22,$AH$9:$AI$102,2)/VLOOKUP($CU22-ED$103,Frauen!$G$9:$J$102,4),Rundäx)))</f>
        <v>7.3520000000000003</v>
      </c>
      <c r="EE22" s="43">
        <f>IF($CU22&gt;=RAM,"",IF($CU22-EE$103&lt;BeginnAlter,"",ROUND((SUM(CZ22:CZ$56)+SUM(FR$9:FR$56))/VLOOKUP($CU22,$AH$9:$AI$102,2)/VLOOKUP($CU22-EE$103,Frauen!$G$9:$J$102,4),Rundäx)))</f>
        <v>7.57</v>
      </c>
      <c r="EF22" s="43">
        <f>IF($CU22&gt;=RAM,"",IF($CU22-EF$103&lt;BeginnAlter,"",ROUND((SUM(DA22:DA$56)+SUM(FS$9:FS$56))/VLOOKUP($CU22,$AH$9:$AI$102,2)/VLOOKUP($CU22-EF$103,Frauen!$G$9:$J$102,4),Rundäx)))</f>
        <v>7.7889999999999997</v>
      </c>
      <c r="EG22" s="43">
        <f>IF($CU22&gt;=RAM,"",IF($CU22-EG$103&lt;BeginnAlter,"",ROUND((SUM(DB22:DB$56)+SUM(FT$9:FT$56))/VLOOKUP($CU22,$AH$9:$AI$102,2)/VLOOKUP($CU22-EG$103,Frauen!$G$9:$J$102,4),Rundäx)))</f>
        <v>8.0090000000000003</v>
      </c>
      <c r="EH22" s="43">
        <f>IF($CU22&gt;=RAM,"",IF($CU22-EH$103&lt;BeginnAlter,"",ROUND((SUM(DC22:DC$56)+SUM(FU$9:FU$56))/VLOOKUP($CU22,$AH$9:$AI$102,2)/VLOOKUP($CU22-EH$103,Frauen!$G$9:$J$102,4),Rundäx)))</f>
        <v>8.23</v>
      </c>
      <c r="EI22" s="86"/>
      <c r="EJ22" s="35">
        <f t="shared" si="60"/>
        <v>30</v>
      </c>
      <c r="EK22" s="43">
        <f>IF($CU22&gt;=RAM,"",IF($CU22-EK$103&lt;BeginnAlter,"",ROUND((SUM(DD22:DD$56)+SUM(FV$9:FV$56))/VLOOKUP($CU22,$AH$9:$AI$102,2)/VLOOKUP($CU22-EK$103,Frauen!$G$9:$J$102,4),Rundäx)))</f>
        <v>8.4510000000000005</v>
      </c>
      <c r="EL22" s="43">
        <f>IF($CU22&gt;=RAM,"",IF($CU22-EL$103&lt;BeginnAlter,"",ROUND((SUM(DE22:DE$56)+SUM(FW$9:FW$56))/VLOOKUP($CU22,$AH$9:$AI$102,2)/VLOOKUP($CU22-EL$103,Frauen!$G$9:$J$102,4),Rundäx)))</f>
        <v>8.6739999999999995</v>
      </c>
      <c r="EM22" s="43">
        <f>IF($CU22&gt;=RAM,"",IF($CU22-EM$103&lt;BeginnAlter,"",ROUND((SUM(DF22:DF$56)+SUM(FX$9:FX$56))/VLOOKUP($CU22,$AH$9:$AI$102,2)/VLOOKUP($CU22-EM$103,Frauen!$G$9:$J$102,4),Rundäx)))</f>
        <v>8.8970000000000002</v>
      </c>
      <c r="EN22" s="43">
        <f>IF($CU22&gt;=RAM,"",IF($CU22-EN$103&lt;BeginnAlter,"",ROUND((SUM(DG22:DG$56)+SUM(FY$9:FY$56))/VLOOKUP($CU22,$AH$9:$AI$102,2)/VLOOKUP($CU22-EN$103,Frauen!$G$9:$J$102,4),Rundäx)))</f>
        <v>9.1199999999999992</v>
      </c>
      <c r="EO22" s="43">
        <f>IF($CU22&gt;=RAM,"",IF($CU22-EO$103&lt;BeginnAlter,"",ROUND((SUM(DH22:DH$56)+SUM(FZ$9:FZ$56))/VLOOKUP($CU22,$AH$9:$AI$102,2)/VLOOKUP($CU22-EO$103,Frauen!$G$9:$J$102,4),Rundäx)))</f>
        <v>9.3439999999999994</v>
      </c>
      <c r="EP22" s="43">
        <f>IF($CU22&gt;=RAM,"",IF($CU22-EP$103&lt;BeginnAlter,"",ROUND((SUM(DI22:DI$56)+SUM(GA$9:GA$56))/VLOOKUP($CU22,$AH$9:$AI$102,2)/VLOOKUP($CU22-EP$103,Frauen!$G$9:$J$102,4),Rundäx)))</f>
        <v>9.5679999999999996</v>
      </c>
      <c r="EQ22" s="43">
        <f>IF($CU22&gt;=RAM,"",IF($CU22-EQ$103&lt;BeginnAlter,"",ROUND((SUM(DJ22:DJ$56)+SUM(GB$9:GB$56))/VLOOKUP($CU22,$AH$9:$AI$102,2)/VLOOKUP($CU22-EQ$103,Frauen!$G$9:$J$102,4),Rundäx)))</f>
        <v>9.7919999999999998</v>
      </c>
      <c r="ER22" s="43">
        <f>IF($CU22&gt;=RAM,"",IF($CU22-ER$103&lt;BeginnAlter,"",ROUND((SUM(DK22:DK$56)+SUM(GC$9:GC$56))/VLOOKUP($CU22,$AH$9:$AI$102,2)/VLOOKUP($CU22-ER$103,Frauen!$G$9:$J$102,4),Rundäx)))</f>
        <v>10.016</v>
      </c>
      <c r="ES22" s="86"/>
      <c r="ET22" s="35">
        <f t="shared" si="61"/>
        <v>30</v>
      </c>
      <c r="EU22" s="43">
        <f>IF($CU22&gt;=RAM,"",IF($CU22-EU$103&lt;BeginnAlter,"",ROUND((SUM(DL22:DL$56)+SUM(GD$9:GD$56))/VLOOKUP($CU22,$AH$9:$AI$102,2)/VLOOKUP($CU22-EU$103,Frauen!$G$9:$J$102,4),Rundäx)))</f>
        <v>10.24</v>
      </c>
      <c r="EV22" s="43">
        <f>IF($CU22&gt;=RAM,"",IF($CU22-EV$103&lt;BeginnAlter,"",ROUND((SUM(DM22:DM$56)+SUM(GE$9:GE$56))/VLOOKUP($CU22,$AH$9:$AI$102,2)/VLOOKUP($CU22-EV$103,Frauen!$G$9:$J$102,4),Rundäx)))</f>
        <v>10.462999999999999</v>
      </c>
      <c r="EW22" s="43">
        <f>IF($CU22&gt;=RAM,"",IF($CU22-EW$103&lt;BeginnAlter,"",ROUND((SUM(DN22:DN$56)+SUM(GF$9:GF$56))/VLOOKUP($CU22,$AH$9:$AI$102,2)/VLOOKUP($CU22-EW$103,Frauen!$G$9:$J$102,4),Rundäx)))</f>
        <v>10.686</v>
      </c>
      <c r="EX22" s="43">
        <f>IF($CU22&gt;=RAM,"",IF($CU22-EX$103&lt;BeginnAlter,"",ROUND((SUM(DO22:DO$56)+SUM(GG$9:GG$56))/VLOOKUP($CU22,$AH$9:$AI$102,2)/VLOOKUP($CU22-EX$103,Frauen!$G$9:$J$102,4),Rundäx)))</f>
        <v>10.909000000000001</v>
      </c>
      <c r="EY22" s="43">
        <f>IF($CU22&gt;=RAM,"",IF($CU22-EY$103&lt;BeginnAlter,"",ROUND((SUM(DP22:DP$56)+SUM(GH$9:GH$56))/VLOOKUP($CU22,$AH$9:$AI$102,2)/VLOOKUP($CU22-EY$103,Frauen!$G$9:$J$102,4),Rundäx)))</f>
        <v>11.13</v>
      </c>
      <c r="EZ22" s="43">
        <f>IF($CU22&gt;=RAM,"",IF($CU22-EZ$103&lt;BeginnAlter,"",ROUND((SUM(DQ22:DQ$56)+SUM(GI$9:GI$56))/VLOOKUP($CU22,$AH$9:$AI$102,2)/VLOOKUP($CU22-EZ$103,Frauen!$G$9:$J$102,4),Rundäx)))</f>
        <v>11.351000000000001</v>
      </c>
      <c r="FA22" s="43">
        <f>IF($CU22&gt;=RAM,"",IF($CU22-FA$103&lt;BeginnAlter,"",ROUND((SUM(DR22:DR$56)+SUM(GJ$9:GJ$56))/VLOOKUP($CU22,$AH$9:$AI$102,2)/VLOOKUP($CU22-FA$103,Frauen!$G$9:$J$102,4),Rundäx)))</f>
        <v>11.571</v>
      </c>
      <c r="FB22" s="43">
        <f>IF($CU22&gt;=RAM,"",IF($CU22-FB$103&lt;BeginnAlter,"",ROUND((SUM(DS22:DS$56)+SUM(GK$9:GK$56))/VLOOKUP($CU22,$AH$9:$AI$102,2)/VLOOKUP($CU22-FB$103,Frauen!$G$9:$J$102,4),Rundäx)))</f>
        <v>11.789</v>
      </c>
      <c r="FC22" s="86"/>
      <c r="FD22" s="35">
        <f t="shared" si="62"/>
        <v>30</v>
      </c>
      <c r="FE22" s="43">
        <f>IF($CU22&gt;=RAM,"",IF($CU22-FE$103&lt;BeginnAlter,"",ROUND((SUM(DT22:DT$56)+SUM(GL$9:GL$56))/VLOOKUP($CU22,$AH$9:$AI$102,2)/VLOOKUP($CU22-FE$103,Frauen!$G$9:$J$102,4),Rundäx)))</f>
        <v>12.006</v>
      </c>
      <c r="FF22" s="43">
        <f>IF($CU22&gt;=RAM,"",IF($CU22-FF$103&lt;BeginnAlter,"",ROUND((SUM(DU22:DU$56)+SUM(GM$9:GM$56))/VLOOKUP($CU22,$AH$9:$AI$102,2)/VLOOKUP($CU22-FF$103,Frauen!$G$9:$J$102,4),Rundäx)))</f>
        <v>12.222</v>
      </c>
      <c r="FG22" s="43">
        <f>IF($CU22&gt;=RAM,"",IF($CU22-FG$103&lt;BeginnAlter,"",ROUND((SUM(DV22:DV$56)+SUM(GN$9:GN$56))/VLOOKUP($CU22,$AH$9:$AI$102,2)/VLOOKUP($CU22-FG$103,Frauen!$G$9:$J$102,4),Rundäx)))</f>
        <v>12.436</v>
      </c>
      <c r="FH22" s="43">
        <f>IF($CU22&gt;=RAM,"",IF($CU22-FH$103&lt;BeginnAlter,"",ROUND((SUM(DW22:DW$56)+SUM(GO$9:GO$56))/VLOOKUP($CU22,$AH$9:$AI$102,2)/VLOOKUP($CU22-FH$103,Frauen!$G$9:$J$102,4),Rundäx)))</f>
        <v>12.648</v>
      </c>
      <c r="FI22" s="43">
        <f>IF($CU22&gt;=RAM,"",IF($CU22-FI$103&lt;BeginnAlter,"",ROUND((SUM(DX22:DX$56)+SUM(GP$9:GP$56))/VLOOKUP($CU22,$AH$9:$AI$102,2)/VLOOKUP($CU22-FI$103,Frauen!$G$9:$J$102,4),Rundäx)))</f>
        <v>12.856999999999999</v>
      </c>
      <c r="FJ22" s="43" t="str">
        <f>IF($CU22&gt;=RAM,"",IF($CU22-FJ$103&lt;BeginnAlter,"",ROUND((SUM(DY22:DY$56)+SUM(GQ$9:GQ$56))/VLOOKUP($CU22,$AH$9:$AI$102,2)/VLOOKUP($CU22-FJ$103,Frauen!$G$9:$J$102,4),Rundäx)))</f>
        <v/>
      </c>
      <c r="FK22" s="43" t="str">
        <f>IF($CU22&gt;=RAM,"",IF($CU22-FK$103&lt;BeginnAlter,"",ROUND((SUM(DZ22:DZ$56)+SUM(GR$9:GR$56))/VLOOKUP($CU22,$AH$9:$AI$102,2)/VLOOKUP($CU22-FK$103,Frauen!$G$9:$J$102,4),Rundäx)))</f>
        <v/>
      </c>
      <c r="FL22" s="86"/>
      <c r="FM22" s="35">
        <f t="shared" si="68"/>
        <v>78</v>
      </c>
      <c r="FN22" s="25">
        <f>ROUND(v^($FM22+FaktorAlter)*VLOOKUP($FM22,$G$9:$J$102,4)*VLOOKUP($FM22,$A$9:$E$102,5)*0.5*(VLOOKUP($FM22-FN$103,Frauen!$G$9:$J$102,4)+VLOOKUP($FM22-FN$103+1,Frauen!$G$9:$J$102,4))*0.5*(VLOOKUP($FM22-FN$103,Frauen!$AZ$9:$BD$102,5)+VLOOKUP($FM22-FN$103+1,Frauen!$AZ$9:$BD$102,5)),RundDx)</f>
        <v>22914023</v>
      </c>
      <c r="FO22" s="25">
        <f>ROUND(v^($FM22+FaktorAlter)*VLOOKUP($FM22,$G$9:$J$102,4)*VLOOKUP($FM22,$A$9:$E$102,5)*0.5*(VLOOKUP($FM22-FO$103,Frauen!$G$9:$J$102,4)+VLOOKUP($FM22-FO$103+1,Frauen!$G$9:$J$102,4))*0.5*(VLOOKUP($FM22-FO$103,Frauen!$AZ$9:$BD$102,5)+VLOOKUP($FM22-FO$103+1,Frauen!$AZ$9:$BD$102,5)),RundDx)</f>
        <v>31494689</v>
      </c>
      <c r="FP22" s="25">
        <f>ROUND(v^($FM22+FaktorAlter)*VLOOKUP($FM22,$G$9:$J$102,4)*VLOOKUP($FM22,$A$9:$E$102,5)*0.5*(VLOOKUP($FM22-FP$103,Frauen!$G$9:$J$102,4)+VLOOKUP($FM22-FP$103+1,Frauen!$G$9:$J$102,4))*0.5*(VLOOKUP($FM22-FP$103,Frauen!$AZ$9:$BD$102,5)+VLOOKUP($FM22-FP$103+1,Frauen!$AZ$9:$BD$102,5)),RundDx)</f>
        <v>42133761</v>
      </c>
      <c r="FQ22" s="25">
        <f>ROUND(v^($FM22+FaktorAlter)*VLOOKUP($FM22,$G$9:$J$102,4)*VLOOKUP($FM22,$A$9:$E$102,5)*0.5*(VLOOKUP($FM22-FQ$103,Frauen!$G$9:$J$102,4)+VLOOKUP($FM22-FQ$103+1,Frauen!$G$9:$J$102,4))*0.5*(VLOOKUP($FM22-FQ$103,Frauen!$AZ$9:$BD$102,5)+VLOOKUP($FM22-FQ$103+1,Frauen!$AZ$9:$BD$102,5)),RundDx)</f>
        <v>54851991</v>
      </c>
      <c r="FR22" s="25">
        <f>ROUND(v^($FM22+FaktorAlter)*VLOOKUP($FM22,$G$9:$J$102,4)*VLOOKUP($FM22,$A$9:$E$102,5)*0.5*(VLOOKUP($FM22-FR$103,Frauen!$G$9:$J$102,4)+VLOOKUP($FM22-FR$103+1,Frauen!$G$9:$J$102,4))*0.5*(VLOOKUP($FM22-FR$103,Frauen!$AZ$9:$BD$102,5)+VLOOKUP($FM22-FR$103+1,Frauen!$AZ$9:$BD$102,5)),RundDx)</f>
        <v>69758474</v>
      </c>
      <c r="FS22" s="25">
        <f>ROUND(v^($FM22+FaktorAlter)*VLOOKUP($FM22,$G$9:$J$102,4)*VLOOKUP($FM22,$A$9:$E$102,5)*0.5*(VLOOKUP($FM22-FS$103,Frauen!$G$9:$J$102,4)+VLOOKUP($FM22-FS$103+1,Frauen!$G$9:$J$102,4))*0.5*(VLOOKUP($FM22-FS$103,Frauen!$AZ$9:$BD$102,5)+VLOOKUP($FM22-FS$103+1,Frauen!$AZ$9:$BD$102,5)),RundDx)</f>
        <v>86872337</v>
      </c>
      <c r="FT22" s="25">
        <f>ROUND(v^($FM22+FaktorAlter)*VLOOKUP($FM22,$G$9:$J$102,4)*VLOOKUP($FM22,$A$9:$E$102,5)*0.5*(VLOOKUP($FM22-FT$103,Frauen!$G$9:$J$102,4)+VLOOKUP($FM22-FT$103+1,Frauen!$G$9:$J$102,4))*0.5*(VLOOKUP($FM22-FT$103,Frauen!$AZ$9:$BD$102,5)+VLOOKUP($FM22-FT$103+1,Frauen!$AZ$9:$BD$102,5)),RundDx)</f>
        <v>106140742</v>
      </c>
      <c r="FU22" s="25">
        <f>ROUND(v^($FM22+FaktorAlter)*VLOOKUP($FM22,$G$9:$J$102,4)*VLOOKUP($FM22,$A$9:$E$102,5)*0.5*(VLOOKUP($FM22-FU$103,Frauen!$G$9:$J$102,4)+VLOOKUP($FM22-FU$103+1,Frauen!$G$9:$J$102,4))*0.5*(VLOOKUP($FM22-FU$103,Frauen!$AZ$9:$BD$102,5)+VLOOKUP($FM22-FU$103+1,Frauen!$AZ$9:$BD$102,5)),RundDx)</f>
        <v>127465627</v>
      </c>
      <c r="FV22" s="25">
        <f>ROUND(v^($FM22+FaktorAlter)*VLOOKUP($FM22,$G$9:$J$102,4)*VLOOKUP($FM22,$A$9:$E$102,5)*0.5*(VLOOKUP($FM22-FV$103,Frauen!$G$9:$J$102,4)+VLOOKUP($FM22-FV$103+1,Frauen!$G$9:$J$102,4))*0.5*(VLOOKUP($FM22-FV$103,Frauen!$AZ$9:$BD$102,5)+VLOOKUP($FM22-FV$103+1,Frauen!$AZ$9:$BD$102,5)),RundDx)</f>
        <v>150642358</v>
      </c>
      <c r="FW22" s="25">
        <f>ROUND(v^($FM22+FaktorAlter)*VLOOKUP($FM22,$G$9:$J$102,4)*VLOOKUP($FM22,$A$9:$E$102,5)*0.5*(VLOOKUP($FM22-FW$103,Frauen!$G$9:$J$102,4)+VLOOKUP($FM22-FW$103+1,Frauen!$G$9:$J$102,4))*0.5*(VLOOKUP($FM22-FW$103,Frauen!$AZ$9:$BD$102,5)+VLOOKUP($FM22-FW$103+1,Frauen!$AZ$9:$BD$102,5)),RundDx)</f>
        <v>175425323</v>
      </c>
      <c r="FX22" s="25">
        <f>ROUND(v^($FM22+FaktorAlter)*VLOOKUP($FM22,$G$9:$J$102,4)*VLOOKUP($FM22,$A$9:$E$102,5)*0.5*(VLOOKUP($FM22-FX$103,Frauen!$G$9:$J$102,4)+VLOOKUP($FM22-FX$103+1,Frauen!$G$9:$J$102,4))*0.5*(VLOOKUP($FM22-FX$103,Frauen!$AZ$9:$BD$102,5)+VLOOKUP($FM22-FX$103+1,Frauen!$AZ$9:$BD$102,5)),RundDx)</f>
        <v>201571540</v>
      </c>
      <c r="FY22" s="25">
        <f>ROUND(v^($FM22+FaktorAlter)*VLOOKUP($FM22,$G$9:$J$102,4)*VLOOKUP($FM22,$A$9:$E$102,5)*0.5*(VLOOKUP($FM22-FY$103,Frauen!$G$9:$J$102,4)+VLOOKUP($FM22-FY$103+1,Frauen!$G$9:$J$102,4))*0.5*(VLOOKUP($FM22-FY$103,Frauen!$AZ$9:$BD$102,5)+VLOOKUP($FM22-FY$103+1,Frauen!$AZ$9:$BD$102,5)),RundDx)</f>
        <v>228793390</v>
      </c>
      <c r="FZ22" s="25">
        <f>ROUND(v^($FM22+FaktorAlter)*VLOOKUP($FM22,$G$9:$J$102,4)*VLOOKUP($FM22,$A$9:$E$102,5)*0.5*(VLOOKUP($FM22-FZ$103,Frauen!$G$9:$J$102,4)+VLOOKUP($FM22-FZ$103+1,Frauen!$G$9:$J$102,4))*0.5*(VLOOKUP($FM22-FZ$103,Frauen!$AZ$9:$BD$102,5)+VLOOKUP($FM22-FZ$103+1,Frauen!$AZ$9:$BD$102,5)),RundDx)</f>
        <v>256819173</v>
      </c>
      <c r="GA22" s="25">
        <f>ROUND(v^($FM22+FaktorAlter)*VLOOKUP($FM22,$G$9:$J$102,4)*VLOOKUP($FM22,$A$9:$E$102,5)*0.5*(VLOOKUP($FM22-GA$103,Frauen!$G$9:$J$102,4)+VLOOKUP($FM22-GA$103+1,Frauen!$G$9:$J$102,4))*0.5*(VLOOKUP($FM22-GA$103,Frauen!$AZ$9:$BD$102,5)+VLOOKUP($FM22-GA$103+1,Frauen!$AZ$9:$BD$102,5)),RundDx)</f>
        <v>285463766</v>
      </c>
      <c r="GB22" s="25">
        <f>ROUND(v^($FM22+FaktorAlter)*VLOOKUP($FM22,$G$9:$J$102,4)*VLOOKUP($FM22,$A$9:$E$102,5)*0.5*(VLOOKUP($FM22-GB$103,Frauen!$G$9:$J$102,4)+VLOOKUP($FM22-GB$103+1,Frauen!$G$9:$J$102,4))*0.5*(VLOOKUP($FM22-GB$103,Frauen!$AZ$9:$BD$102,5)+VLOOKUP($FM22-GB$103+1,Frauen!$AZ$9:$BD$102,5)),RundDx)</f>
        <v>314636327</v>
      </c>
      <c r="GC22" s="25">
        <f>ROUND(v^($FM22+FaktorAlter)*VLOOKUP($FM22,$G$9:$J$102,4)*VLOOKUP($FM22,$A$9:$E$102,5)*0.5*(VLOOKUP($FM22-GC$103,Frauen!$G$9:$J$102,4)+VLOOKUP($FM22-GC$103+1,Frauen!$G$9:$J$102,4))*0.5*(VLOOKUP($FM22-GC$103,Frauen!$AZ$9:$BD$102,5)+VLOOKUP($FM22-GC$103+1,Frauen!$AZ$9:$BD$102,5)),RundDx)</f>
        <v>344213142</v>
      </c>
      <c r="GD22" s="25">
        <f>ROUND(v^($FM22+FaktorAlter)*VLOOKUP($FM22,$G$9:$J$102,4)*VLOOKUP($FM22,$A$9:$E$102,5)*0.5*(VLOOKUP($FM22-GD$103,Frauen!$G$9:$J$102,4)+VLOOKUP($FM22-GD$103+1,Frauen!$G$9:$J$102,4))*0.5*(VLOOKUP($FM22-GD$103,Frauen!$AZ$9:$BD$102,5)+VLOOKUP($FM22-GD$103+1,Frauen!$AZ$9:$BD$102,5)),RundDx)</f>
        <v>374169931</v>
      </c>
      <c r="GE22" s="25">
        <f>ROUND(v^($FM22+FaktorAlter)*VLOOKUP($FM22,$G$9:$J$102,4)*VLOOKUP($FM22,$A$9:$E$102,5)*0.5*(VLOOKUP($FM22-GE$103,Frauen!$G$9:$J$102,4)+VLOOKUP($FM22-GE$103+1,Frauen!$G$9:$J$102,4))*0.5*(VLOOKUP($FM22-GE$103,Frauen!$AZ$9:$BD$102,5)+VLOOKUP($FM22-GE$103+1,Frauen!$AZ$9:$BD$102,5)),RundDx)</f>
        <v>404579812</v>
      </c>
      <c r="GF22" s="25">
        <f>ROUND(v^($FM22+FaktorAlter)*VLOOKUP($FM22,$G$9:$J$102,4)*VLOOKUP($FM22,$A$9:$E$102,5)*0.5*(VLOOKUP($FM22-GF$103,Frauen!$G$9:$J$102,4)+VLOOKUP($FM22-GF$103+1,Frauen!$G$9:$J$102,4))*0.5*(VLOOKUP($FM22-GF$103,Frauen!$AZ$9:$BD$102,5)+VLOOKUP($FM22-GF$103+1,Frauen!$AZ$9:$BD$102,5)),RundDx)</f>
        <v>435472393</v>
      </c>
      <c r="GG22" s="25">
        <f>ROUND(v^($FM22+FaktorAlter)*VLOOKUP($FM22,$G$9:$J$102,4)*VLOOKUP($FM22,$A$9:$E$102,5)*0.5*(VLOOKUP($FM22-GG$103,Frauen!$G$9:$J$102,4)+VLOOKUP($FM22-GG$103+1,Frauen!$G$9:$J$102,4))*0.5*(VLOOKUP($FM22-GG$103,Frauen!$AZ$9:$BD$102,5)+VLOOKUP($FM22-GG$103+1,Frauen!$AZ$9:$BD$102,5)),RundDx)</f>
        <v>466943236</v>
      </c>
      <c r="GH22" s="25">
        <f>ROUND(v^($FM22+FaktorAlter)*VLOOKUP($FM22,$G$9:$J$102,4)*VLOOKUP($FM22,$A$9:$E$102,5)*0.5*(VLOOKUP($FM22-GH$103,Frauen!$G$9:$J$102,4)+VLOOKUP($FM22-GH$103+1,Frauen!$G$9:$J$102,4))*0.5*(VLOOKUP($FM22-GH$103,Frauen!$AZ$9:$BD$102,5)+VLOOKUP($FM22-GH$103+1,Frauen!$AZ$9:$BD$102,5)),RundDx)</f>
        <v>499010033</v>
      </c>
      <c r="GI22" s="25">
        <f>ROUND(v^($FM22+FaktorAlter)*VLOOKUP($FM22,$G$9:$J$102,4)*VLOOKUP($FM22,$A$9:$E$102,5)*0.5*(VLOOKUP($FM22-GI$103,Frauen!$G$9:$J$102,4)+VLOOKUP($FM22-GI$103+1,Frauen!$G$9:$J$102,4))*0.5*(VLOOKUP($FM22-GI$103,Frauen!$AZ$9:$BD$102,5)+VLOOKUP($FM22-GI$103+1,Frauen!$AZ$9:$BD$102,5)),RundDx)</f>
        <v>531599064</v>
      </c>
      <c r="GJ22" s="25">
        <f>ROUND(v^($FM22+FaktorAlter)*VLOOKUP($FM22,$G$9:$J$102,4)*VLOOKUP($FM22,$A$9:$E$102,5)*0.5*(VLOOKUP($FM22-GJ$103,Frauen!$G$9:$J$102,4)+VLOOKUP($FM22-GJ$103+1,Frauen!$G$9:$J$102,4))*0.5*(VLOOKUP($FM22-GJ$103,Frauen!$AZ$9:$BD$102,5)+VLOOKUP($FM22-GJ$103+1,Frauen!$AZ$9:$BD$102,5)),RundDx)</f>
        <v>564567879</v>
      </c>
      <c r="GK22" s="25">
        <f>ROUND(v^($FM22+FaktorAlter)*VLOOKUP($FM22,$G$9:$J$102,4)*VLOOKUP($FM22,$A$9:$E$102,5)*0.5*(VLOOKUP($FM22-GK$103,Frauen!$G$9:$J$102,4)+VLOOKUP($FM22-GK$103+1,Frauen!$G$9:$J$102,4))*0.5*(VLOOKUP($FM22-GK$103,Frauen!$AZ$9:$BD$102,5)+VLOOKUP($FM22-GK$103+1,Frauen!$AZ$9:$BD$102,5)),RundDx)</f>
        <v>597679789</v>
      </c>
      <c r="GL22" s="25">
        <f>ROUND(v^($FM22+FaktorAlter)*VLOOKUP($FM22,$G$9:$J$102,4)*VLOOKUP($FM22,$A$9:$E$102,5)*0.5*(VLOOKUP($FM22-GL$103,Frauen!$G$9:$J$102,4)+VLOOKUP($FM22-GL$103+1,Frauen!$G$9:$J$102,4))*0.5*(VLOOKUP($FM22-GL$103,Frauen!$AZ$9:$BD$102,5)+VLOOKUP($FM22-GL$103+1,Frauen!$AZ$9:$BD$102,5)),RundDx)</f>
        <v>630842594</v>
      </c>
      <c r="GM22" s="25">
        <f>ROUND(v^($FM22+FaktorAlter)*VLOOKUP($FM22,$G$9:$J$102,4)*VLOOKUP($FM22,$A$9:$E$102,5)*0.5*(VLOOKUP($FM22-GM$103,Frauen!$G$9:$J$102,4)+VLOOKUP($FM22-GM$103+1,Frauen!$G$9:$J$102,4))*0.5*(VLOOKUP($FM22-GM$103,Frauen!$AZ$9:$BD$102,5)+VLOOKUP($FM22-GM$103+1,Frauen!$AZ$9:$BD$102,5)),RundDx)</f>
        <v>663995321</v>
      </c>
      <c r="GN22" s="25">
        <f>ROUND(v^($FM22+FaktorAlter)*VLOOKUP($FM22,$G$9:$J$102,4)*VLOOKUP($FM22,$A$9:$E$102,5)*0.5*(VLOOKUP($FM22-GN$103,Frauen!$G$9:$J$102,4)+VLOOKUP($FM22-GN$103+1,Frauen!$G$9:$J$102,4))*0.5*(VLOOKUP($FM22-GN$103,Frauen!$AZ$9:$BD$102,5)+VLOOKUP($FM22-GN$103+1,Frauen!$AZ$9:$BD$102,5)),RundDx)</f>
        <v>696913003</v>
      </c>
      <c r="GO22" s="25">
        <f>ROUND(v^($FM22+FaktorAlter)*VLOOKUP($FM22,$G$9:$J$102,4)*VLOOKUP($FM22,$A$9:$E$102,5)*0.5*(VLOOKUP($FM22-GO$103,Frauen!$G$9:$J$102,4)+VLOOKUP($FM22-GO$103+1,Frauen!$G$9:$J$102,4))*0.5*(VLOOKUP($FM22-GO$103,Frauen!$AZ$9:$BD$102,5)+VLOOKUP($FM22-GO$103+1,Frauen!$AZ$9:$BD$102,5)),RundDx)</f>
        <v>729465483</v>
      </c>
      <c r="GP22" s="25">
        <f>ROUND(v^($FM22+FaktorAlter)*VLOOKUP($FM22,$G$9:$J$102,4)*VLOOKUP($FM22,$A$9:$E$102,5)*0.5*(VLOOKUP($FM22-GP$103,Frauen!$G$9:$J$102,4)+VLOOKUP($FM22-GP$103+1,Frauen!$G$9:$J$102,4))*0.5*(VLOOKUP($FM22-GP$103,Frauen!$AZ$9:$BD$102,5)+VLOOKUP($FM22-GP$103+1,Frauen!$AZ$9:$BD$102,5)),RundDx)</f>
        <v>761707025</v>
      </c>
      <c r="GQ22" s="25">
        <f>ROUND(v^($FM22+FaktorAlter)*VLOOKUP($FM22,$G$9:$J$102,4)*VLOOKUP($FM22,$A$9:$E$102,5)*0.5*(VLOOKUP($FM22-GQ$103,Frauen!$G$9:$J$102,4)+VLOOKUP($FM22-GQ$103+1,Frauen!$G$9:$J$102,4))*0.5*(VLOOKUP($FM22-GQ$103,Frauen!$AZ$9:$BD$102,5)+VLOOKUP($FM22-GQ$103+1,Frauen!$AZ$9:$BD$102,5)),RundDx)</f>
        <v>793561742</v>
      </c>
      <c r="GR22" s="25">
        <f>ROUND(v^($FM22+FaktorAlter)*VLOOKUP($FM22,$G$9:$J$102,4)*VLOOKUP($FM22,$A$9:$E$102,5)*0.5*(VLOOKUP($FM22-GR$103,Frauen!$G$9:$J$102,4)+VLOOKUP($FM22-GR$103+1,Frauen!$G$9:$J$102,4))*0.5*(VLOOKUP($FM22-GR$103,Frauen!$AZ$9:$BD$102,5)+VLOOKUP($FM22-GR$103+1,Frauen!$AZ$9:$BD$102,5)),RundDx)</f>
        <v>824841485</v>
      </c>
      <c r="GS22" s="24">
        <f>ROUND(SUM(FN22:FN$56)/VLOOKUP($FM22,$AQ$9:$AR$102,2)/VLOOKUP($FM22-GS$103,Frauen!$G$9:$J$102,4),Rundäx)</f>
        <v>0.39700000000000002</v>
      </c>
      <c r="GT22" s="24">
        <f>ROUND(SUM(FO22:FO$56)/VLOOKUP($FM22,$AQ$9:$AR$102,2)/VLOOKUP($FM22-GT$103,Frauen!$G$9:$J$102,4),Rundäx)</f>
        <v>0.47299999999999998</v>
      </c>
      <c r="GU22" s="24">
        <f>ROUND(SUM(FP22:FP$56)/VLOOKUP($FM22,$AQ$9:$AR$102,2)/VLOOKUP($FM22-GU$103,Frauen!$G$9:$J$102,4),Rundäx)</f>
        <v>0.55900000000000005</v>
      </c>
      <c r="GV22" s="24">
        <f>ROUND(SUM(FQ22:FQ$56)/VLOOKUP($FM22,$AQ$9:$AR$102,2)/VLOOKUP($FM22-GV$103,Frauen!$G$9:$J$102,4),Rundäx)</f>
        <v>0.65800000000000003</v>
      </c>
      <c r="GW22" s="24">
        <f>ROUND(SUM(FR22:FR$56)/VLOOKUP($FM22,$AQ$9:$AR$102,2)/VLOOKUP($FM22-GW$103,Frauen!$G$9:$J$102,4),Rundäx)</f>
        <v>0.77</v>
      </c>
      <c r="GX22" s="24">
        <f>ROUND(SUM(FS22:FS$56)/VLOOKUP($FM22,$AQ$9:$AR$102,2)/VLOOKUP($FM22-GX$103,Frauen!$G$9:$J$102,4),Rundäx)</f>
        <v>0.89700000000000002</v>
      </c>
      <c r="GY22" s="24">
        <f>ROUND(SUM(FT22:FT$56)/VLOOKUP($FM22,$AQ$9:$AR$102,2)/VLOOKUP($FM22-GY$103,Frauen!$G$9:$J$102,4),Rundäx)</f>
        <v>1.0409999999999999</v>
      </c>
      <c r="GZ22" s="24">
        <f>ROUND(SUM(FU22:FU$56)/VLOOKUP($FM22,$AQ$9:$AR$102,2)/VLOOKUP($FM22-GZ$103,Frauen!$G$9:$J$102,4),Rundäx)</f>
        <v>1.2030000000000001</v>
      </c>
      <c r="HA22" s="86"/>
      <c r="HB22" s="35">
        <f t="shared" si="63"/>
        <v>78</v>
      </c>
      <c r="HC22" s="24">
        <f>ROUND(SUM(FV22:FV$56)/VLOOKUP($FM22,$AQ$9:$AR$102,2)/VLOOKUP($FM22-HC$103,Frauen!$G$9:$J$102,4),Rundäx)</f>
        <v>1.3859999999999999</v>
      </c>
      <c r="HD22" s="24">
        <f>ROUND(SUM(FW22:FW$56)/VLOOKUP($FM22,$AQ$9:$AR$102,2)/VLOOKUP($FM22-HD$103,Frauen!$G$9:$J$102,4),Rundäx)</f>
        <v>1.5920000000000001</v>
      </c>
      <c r="HE22" s="24">
        <f>ROUND(SUM(FX22:FX$56)/VLOOKUP($FM22,$AQ$9:$AR$102,2)/VLOOKUP($FM22-HE$103,Frauen!$G$9:$J$102,4),Rundäx)</f>
        <v>1.821</v>
      </c>
      <c r="HF22" s="24">
        <f>ROUND(SUM(FY22:FY$56)/VLOOKUP($FM22,$AQ$9:$AR$102,2)/VLOOKUP($FM22-HF$103,Frauen!$G$9:$J$102,4),Rundäx)</f>
        <v>2.0750000000000002</v>
      </c>
      <c r="HG22" s="24">
        <f>ROUND(SUM(FZ22:FZ$56)/VLOOKUP($FM22,$AQ$9:$AR$102,2)/VLOOKUP($FM22-HG$103,Frauen!$G$9:$J$102,4),Rundäx)</f>
        <v>2.355</v>
      </c>
      <c r="HH22" s="24">
        <f>ROUND(SUM(GA22:GA$56)/VLOOKUP($FM22,$AQ$9:$AR$102,2)/VLOOKUP($FM22-HH$103,Frauen!$G$9:$J$102,4),Rundäx)</f>
        <v>2.661</v>
      </c>
      <c r="HI22" s="24">
        <f>ROUND(SUM(GB22:GB$56)/VLOOKUP($FM22,$AQ$9:$AR$102,2)/VLOOKUP($FM22-HI$103,Frauen!$G$9:$J$102,4),Rundäx)</f>
        <v>2.9910000000000001</v>
      </c>
      <c r="HJ22" s="24">
        <f>ROUND(SUM(GC22:GC$56)/VLOOKUP($FM22,$AQ$9:$AR$102,2)/VLOOKUP($FM22-HJ$103,Frauen!$G$9:$J$102,4),Rundäx)</f>
        <v>3.3439999999999999</v>
      </c>
      <c r="HK22" s="86"/>
      <c r="HL22" s="35">
        <f t="shared" si="64"/>
        <v>78</v>
      </c>
      <c r="HM22" s="24">
        <f>ROUND(SUM(GD22:GD$56)/VLOOKUP($FM22,$AQ$9:$AR$102,2)/VLOOKUP($FM22-HM$103,Frauen!$G$9:$J$102,4),Rundäx)</f>
        <v>3.7170000000000001</v>
      </c>
      <c r="HN22" s="24">
        <f>ROUND(SUM(GE22:GE$56)/VLOOKUP($FM22,$AQ$9:$AR$102,2)/VLOOKUP($FM22-HN$103,Frauen!$G$9:$J$102,4),Rundäx)</f>
        <v>4.1079999999999997</v>
      </c>
      <c r="HO22" s="24">
        <f>ROUND(SUM(GF22:GF$56)/VLOOKUP($FM22,$AQ$9:$AR$102,2)/VLOOKUP($FM22-HO$103,Frauen!$G$9:$J$102,4),Rundäx)</f>
        <v>4.5129999999999999</v>
      </c>
      <c r="HP22" s="24">
        <f>ROUND(SUM(GG22:GG$56)/VLOOKUP($FM22,$AQ$9:$AR$102,2)/VLOOKUP($FM22-HP$103,Frauen!$G$9:$J$102,4),Rundäx)</f>
        <v>4.9290000000000003</v>
      </c>
      <c r="HQ22" s="24">
        <f>ROUND(SUM(GH22:GH$56)/VLOOKUP($FM22,$AQ$9:$AR$102,2)/VLOOKUP($FM22-HQ$103,Frauen!$G$9:$J$102,4),Rundäx)</f>
        <v>5.3520000000000003</v>
      </c>
      <c r="HR22" s="24">
        <f>ROUND(SUM(GI22:GI$56)/VLOOKUP($FM22,$AQ$9:$AR$102,2)/VLOOKUP($FM22-HR$103,Frauen!$G$9:$J$102,4),Rundäx)</f>
        <v>5.7809999999999997</v>
      </c>
      <c r="HS22" s="24">
        <f>ROUND(SUM(GJ22:GJ$56)/VLOOKUP($FM22,$AQ$9:$AR$102,2)/VLOOKUP($FM22-HS$103,Frauen!$G$9:$J$102,4),Rundäx)</f>
        <v>6.2169999999999996</v>
      </c>
      <c r="HT22" s="24">
        <f>ROUND(SUM(GK22:GK$56)/VLOOKUP($FM22,$AQ$9:$AR$102,2)/VLOOKUP($FM22-HT$103,Frauen!$G$9:$J$102,4),Rundäx)</f>
        <v>6.657</v>
      </c>
      <c r="HU22" s="86"/>
      <c r="HV22" s="35">
        <f t="shared" si="65"/>
        <v>78</v>
      </c>
      <c r="HW22" s="24">
        <f>ROUND(SUM(GL22:GL$56)/VLOOKUP($FM22,$AQ$9:$AR$102,2)/VLOOKUP($FM22-HW$103,Frauen!$G$9:$J$102,4),Rundäx)</f>
        <v>7.101</v>
      </c>
      <c r="HX22" s="24">
        <f>ROUND(SUM(GM22:GM$56)/VLOOKUP($FM22,$AQ$9:$AR$102,2)/VLOOKUP($FM22-HX$103,Frauen!$G$9:$J$102,4),Rundäx)</f>
        <v>7.5469999999999997</v>
      </c>
      <c r="HY22" s="24">
        <f>ROUND(SUM(GN22:GN$56)/VLOOKUP($FM22,$AQ$9:$AR$102,2)/VLOOKUP($FM22-HY$103,Frauen!$G$9:$J$102,4),Rundäx)</f>
        <v>7.9969999999999999</v>
      </c>
      <c r="HZ22" s="24">
        <f>ROUND(SUM(GO22:GO$56)/VLOOKUP($FM22,$AQ$9:$AR$102,2)/VLOOKUP($FM22-HZ$103,Frauen!$G$9:$J$102,4),Rundäx)</f>
        <v>8.4480000000000004</v>
      </c>
      <c r="IA22" s="24">
        <f>ROUND(SUM(GP22:GP$56)/VLOOKUP($FM22,$AQ$9:$AR$102,2)/VLOOKUP($FM22-IA$103,Frauen!$G$9:$J$102,4),Rundäx)</f>
        <v>8.8989999999999991</v>
      </c>
      <c r="IB22" s="24">
        <f>ROUND(SUM(GQ22:GQ$56)/VLOOKUP($FM22,$AQ$9:$AR$102,2)/VLOOKUP($FM22-IB$103,Frauen!$G$9:$J$102,4),Rundäx)</f>
        <v>9.3529999999999998</v>
      </c>
      <c r="IC22" s="24">
        <f>ROUND(SUM(GR22:GR$56)/VLOOKUP($FM22,$AQ$9:$AR$102,2)/VLOOKUP($FM22-IC$103,Frauen!$G$9:$J$102,4),Rundäx)</f>
        <v>9.8070000000000004</v>
      </c>
      <c r="ID22" s="89"/>
      <c r="IE22" s="35">
        <f t="shared" si="66"/>
        <v>30</v>
      </c>
      <c r="IF22" s="25">
        <f t="shared" si="31"/>
        <v>626</v>
      </c>
      <c r="IG22" s="25">
        <f>IF($IE22&lt;RAM,IF(S23&lt;=RAK,ROUND(SUM(IF22:INDEX(Dakx,RAM-BeginnAlter))+INDEX(Dax,RAM-BeginnAlter+1)*INDEX(äkx,1),RundDx),0),"")</f>
        <v>16605</v>
      </c>
      <c r="IH22" s="25">
        <f>IF($IE22&lt;RAM,IF(S23&lt;=RAK,ROUND(SUM(IG22:INDEX(Nakx,RAM-BeginnAlter))+INDEX(Dax,RAM-BeginnAlter+1)*INDEX(äkx,1),RundDx),0),"")</f>
        <v>197356</v>
      </c>
      <c r="II22" s="24">
        <f t="shared" si="32"/>
        <v>0.32800000000000001</v>
      </c>
      <c r="IJ22" s="25">
        <f t="shared" si="33"/>
        <v>23550</v>
      </c>
      <c r="IK22" s="25">
        <f>IF($IE22&lt;RAM,IF(S23&lt;=RAK,SUM(IJ22:INDEX(Dikx,RAM-BeginnAlter))+INDEX(Dix,RAM-BeginnAlter+1)*INDEX(äkx,1),0),"")</f>
        <v>385537.83199999999</v>
      </c>
      <c r="IL22" s="24">
        <f t="shared" si="34"/>
        <v>4.2300000000000004</v>
      </c>
      <c r="IM22" s="86"/>
      <c r="IN22" s="35">
        <f t="shared" si="67"/>
        <v>78</v>
      </c>
      <c r="IO22" s="25">
        <f t="shared" si="35"/>
        <v>2</v>
      </c>
      <c r="IP22" s="25">
        <f>IF(AND(VLOOKUP(IN22+1,O$9:S$102,5)&lt;=RAK,VLOOKUP(IN22+1,O$9:S$102,5)&lt;&gt;""),SUM(IO22:IO$102),0)</f>
        <v>2</v>
      </c>
      <c r="IQ22" s="24">
        <f t="shared" si="36"/>
        <v>0</v>
      </c>
      <c r="IR22" s="86"/>
    </row>
    <row r="23" spans="1:252" ht="15.75" customHeight="1" x14ac:dyDescent="0.25">
      <c r="A23" s="35">
        <f t="shared" si="41"/>
        <v>31</v>
      </c>
      <c r="B23" s="77">
        <v>5.8388317941555554E-4</v>
      </c>
      <c r="C23" s="77">
        <v>8.1276337457995135E-4</v>
      </c>
      <c r="D23" s="77">
        <v>1.6333971876392333E-2</v>
      </c>
      <c r="E23" s="77">
        <v>6.9564165381241772E-4</v>
      </c>
      <c r="F23" s="86"/>
      <c r="G23" s="35">
        <f t="shared" si="42"/>
        <v>31</v>
      </c>
      <c r="H23" s="25">
        <f t="shared" si="37"/>
        <v>98557</v>
      </c>
      <c r="I23" s="25">
        <f t="shared" si="38"/>
        <v>632</v>
      </c>
      <c r="J23" s="25">
        <f t="shared" si="39"/>
        <v>99189</v>
      </c>
      <c r="K23" s="30">
        <f>IF(J23&gt;0,ROUND(SUM(J23:J$102)/J23-0.5,Rundex),"")</f>
        <v>48.26</v>
      </c>
      <c r="L23" s="25">
        <f t="shared" si="0"/>
        <v>174884</v>
      </c>
      <c r="M23" s="30">
        <f>IF(L23&gt;0,ROUND(SUM(L23:L$102)/L23-0.5,Rundex),"")</f>
        <v>33.64</v>
      </c>
      <c r="N23" s="86"/>
      <c r="O23" s="35">
        <f t="shared" si="43"/>
        <v>31</v>
      </c>
      <c r="P23" s="43">
        <v>0.34249909379922527</v>
      </c>
      <c r="Q23" s="78">
        <v>30.789902593540493</v>
      </c>
      <c r="R23" s="43">
        <v>1.0406641792769651</v>
      </c>
      <c r="S23" s="78">
        <v>4.2145471498277916</v>
      </c>
      <c r="T23" s="15">
        <v>6.9073621040394162E-4</v>
      </c>
      <c r="U23" s="11">
        <f t="shared" si="40"/>
        <v>99188</v>
      </c>
      <c r="V23" s="30">
        <f>IF(U23&gt;0,ROUND(SUM(U23:U$102)/U23-0.5,Rundex),"")</f>
        <v>45.88</v>
      </c>
      <c r="W23" s="86"/>
      <c r="X23" s="35">
        <f t="shared" si="44"/>
        <v>31</v>
      </c>
      <c r="Y23" s="25">
        <f t="shared" si="1"/>
        <v>49445</v>
      </c>
      <c r="Z23" s="25">
        <f>IF($X23&lt;RAM,SUM(Y23:INDEX(Dax,RAM-BeginnAlter))," ")</f>
        <v>1117945</v>
      </c>
      <c r="AA23" s="25">
        <f t="shared" si="2"/>
        <v>29</v>
      </c>
      <c r="AB23" s="25">
        <f>IF($X23&lt;RAM,SUM(AA23:INDEX(Cax,RAM-BeginnAlter))," ")</f>
        <v>2411</v>
      </c>
      <c r="AC23" s="25">
        <f t="shared" si="3"/>
        <v>40</v>
      </c>
      <c r="AD23" s="25">
        <f>IF($X23&lt;RAM,SUM(AC23:INDEX(Caix,RAM-BeginnAlter))," ")</f>
        <v>7761</v>
      </c>
      <c r="AE23" s="24">
        <f t="shared" si="4"/>
        <v>22.61</v>
      </c>
      <c r="AF23" s="24">
        <f t="shared" si="5"/>
        <v>22.289000000000001</v>
      </c>
      <c r="AG23" s="86"/>
      <c r="AH23" s="35">
        <f t="shared" si="45"/>
        <v>31</v>
      </c>
      <c r="AI23" s="25">
        <f t="shared" si="6"/>
        <v>87738</v>
      </c>
      <c r="AJ23" s="25">
        <f>IF($AH23&gt;RAM," ",IF($AH23&lt;RAM,SUM(AI23:INDEX(Dix,RAM-BeginnAlter))+INDEX(Nx,RAM-BeginnAlter+1),INDEX(Nx,RAM-BeginnAlter+1)))</f>
        <v>1930077</v>
      </c>
      <c r="AK23" s="25">
        <f>IF($AH23&lt;RAM,SUM(AI23:INDEX(Dix,RAM-BeginnAlter))," ")</f>
        <v>1632830</v>
      </c>
      <c r="AL23" s="24">
        <f t="shared" si="7"/>
        <v>21.998000000000001</v>
      </c>
      <c r="AM23" s="24">
        <f t="shared" si="8"/>
        <v>21.54</v>
      </c>
      <c r="AN23" s="24">
        <f t="shared" si="9"/>
        <v>18.61</v>
      </c>
      <c r="AO23" s="24">
        <f t="shared" si="10"/>
        <v>18.259</v>
      </c>
      <c r="AP23" s="86"/>
      <c r="AQ23" s="35">
        <f t="shared" si="46"/>
        <v>31</v>
      </c>
      <c r="AR23" s="25">
        <f t="shared" si="11"/>
        <v>49762</v>
      </c>
      <c r="AS23" s="25">
        <f>SUM(AR23:AR$94)</f>
        <v>1466257</v>
      </c>
      <c r="AT23" s="25">
        <f>IF($AQ23&lt;RAM,SUM(AR23:INDEX(Dx,RAM-BeginnAlter))," ")</f>
        <v>1169010</v>
      </c>
      <c r="AU23" s="24">
        <f t="shared" si="12"/>
        <v>29.465</v>
      </c>
      <c r="AV23" s="24">
        <f t="shared" si="13"/>
        <v>29.007000000000001</v>
      </c>
      <c r="AW23" s="24">
        <f t="shared" si="14"/>
        <v>23.492000000000001</v>
      </c>
      <c r="AX23" s="24">
        <f t="shared" si="15"/>
        <v>23.222000000000001</v>
      </c>
      <c r="AY23" s="86"/>
      <c r="AZ23" s="35">
        <f t="shared" si="47"/>
        <v>31</v>
      </c>
      <c r="BA23" s="25">
        <f t="shared" si="16"/>
        <v>49762</v>
      </c>
      <c r="BB23" s="25">
        <f>SUM(BA23:BA$94)</f>
        <v>1424198</v>
      </c>
      <c r="BC23" s="24">
        <f t="shared" si="17"/>
        <v>28.62</v>
      </c>
      <c r="BD23" s="24">
        <f t="shared" si="18"/>
        <v>28.161999999999999</v>
      </c>
      <c r="BE23" s="86"/>
      <c r="BF23" s="35">
        <f t="shared" si="48"/>
        <v>14</v>
      </c>
      <c r="BG23" s="24">
        <f t="shared" si="19"/>
        <v>9.8659999999999997</v>
      </c>
      <c r="BH23" s="24">
        <f t="shared" si="20"/>
        <v>9.7669999999999995</v>
      </c>
      <c r="BI23" s="86"/>
      <c r="BJ23" s="35">
        <f t="shared" si="49"/>
        <v>31</v>
      </c>
      <c r="BK23" s="25">
        <f t="shared" si="21"/>
        <v>853</v>
      </c>
      <c r="BL23" s="25">
        <f>IF(BJ23&lt;RAM,SUM(BK23:INDEX(Daix,RAM-BeginnAlter))," ")</f>
        <v>127164</v>
      </c>
      <c r="BM23" s="25">
        <f>IF(BJ23&lt;RAM,SUM(BL23:INDEX(Naix,RAM-BeginnAlter))," ")</f>
        <v>3219423</v>
      </c>
      <c r="BN23" s="24">
        <f t="shared" si="22"/>
        <v>4.202</v>
      </c>
      <c r="BO23" s="24">
        <f t="shared" si="23"/>
        <v>2.5720000000000001</v>
      </c>
      <c r="BP23" s="86"/>
      <c r="BQ23" s="35">
        <f t="shared" si="50"/>
        <v>31</v>
      </c>
      <c r="BR23" s="25">
        <f t="shared" si="51"/>
        <v>720</v>
      </c>
      <c r="BS23" s="25">
        <f>IF(BQ23&lt;RAM,SUM(BR23:INDEX(Daixs,RAM-BeginnAlter))," ")</f>
        <v>48098</v>
      </c>
      <c r="BT23" s="25">
        <f>IF(BQ23&lt;RAM,SUM(BS23:INDEX(Naixs,RAM-BeginnAlter))," ")</f>
        <v>985073</v>
      </c>
      <c r="BU23" s="24">
        <f t="shared" si="52"/>
        <v>5.8010000000000002</v>
      </c>
      <c r="BV23" s="24">
        <f t="shared" si="53"/>
        <v>0.97299999999999998</v>
      </c>
      <c r="BW23" s="86"/>
      <c r="BX23" s="35">
        <f t="shared" si="54"/>
        <v>31</v>
      </c>
      <c r="BY23" s="10">
        <f t="shared" si="24"/>
        <v>13.89250982217947</v>
      </c>
      <c r="BZ23" s="11">
        <f t="shared" si="25"/>
        <v>602</v>
      </c>
      <c r="CA23" s="25">
        <f>IF(S24&lt;=RAK,IF($BX23&lt;RAM,SUM(BZ23:INDEX(Dazx,RAM-BeginnAlter)),""),"")</f>
        <v>20049</v>
      </c>
      <c r="CB23" s="24">
        <f t="shared" si="26"/>
        <v>0.40500000000000003</v>
      </c>
      <c r="CC23" s="25">
        <f t="shared" si="27"/>
        <v>30318</v>
      </c>
      <c r="CD23" s="24">
        <f t="shared" si="28"/>
        <v>20.574999999999999</v>
      </c>
      <c r="CE23" s="24">
        <f t="shared" si="29"/>
        <v>2.1000000000000001E-2</v>
      </c>
      <c r="CF23" s="86"/>
      <c r="CG23" s="35">
        <f t="shared" si="55"/>
        <v>31</v>
      </c>
      <c r="CH23" s="25">
        <f>IF(CG23&lt;RAM,ROUND(v^($CG23+FaktorAlter)*$H23*($B23*0.5*($P23+$P24)*(VLOOKUP(TRUNC(0.5*($Q23+$Q24),0),Frauen!$AZ$9:$BD$95,5)+(0.5*($Q23+$Q24)-TRUNC(0.5*($Q23+$Q24),0))*(VLOOKUP(TRUNC(0.5*($Q23+$Q24)+1,0),Frauen!$AZ$9:$BD$95,5)-VLOOKUP(TRUNC(0.5*($Q23+$Q24),0),Frauen!$AZ$9:$BD$95,5)))+$C23*0.5*($CN23+$CN24)),RundDx),"")</f>
        <v>609</v>
      </c>
      <c r="CI23" s="25">
        <f>IF(CG23&lt;RAM,ROUND(SUM(CH23:INDEX(Dawx,RAM-BeginnAlter))+INDEX(Dax,RAM-BeginnAlter+1)*INDEX(äwx,1),RundDx),"")</f>
        <v>165576</v>
      </c>
      <c r="CJ23" s="25">
        <f>IF(CG23&lt;RAM,ROUND(SUM(CI23:INDEX(Nawx,RAM-BeginnAlter))+INDEX(Dax,RAM-BeginnAlter+1)*INDEX(äwx,1),RundDx),"")</f>
        <v>4816742</v>
      </c>
      <c r="CK23" s="24">
        <f t="shared" si="56"/>
        <v>3.3490000000000002</v>
      </c>
      <c r="CL23" s="25">
        <f>IF(CG23&lt;RAM,ROUND(v^($CG23+FaktorAlter)*$L23*$D23*0.5*($P23+$P24)*(VLOOKUP(TRUNC(0.5*($Q23+$Q24),0),Frauen!$AZ$9:$BD$95,5)+(0.5*($Q23+$Q24)-TRUNC(0.5*($Q23+$Q24),0))*(VLOOKUP(TRUNC(0.5*($Q23+$Q24)+1,0),Frauen!$AZ$9:$BD$95,5)-VLOOKUP(TRUNC(0.5*($Q23+$Q24),0),Frauen!$AZ$9:$BD$95,5))),RundDx),"")</f>
        <v>15688</v>
      </c>
      <c r="CM23" s="25">
        <f>IF(CG23&lt;RAM,SUM(CL23:INDEX(Diwx,RAM-BeginnAlter))+INDEX(Dix,RAM-BeginnAlter+1)*INDEX(äwx,1),"")</f>
        <v>642212.41399999999</v>
      </c>
      <c r="CN23" s="24">
        <f t="shared" si="57"/>
        <v>7.32</v>
      </c>
      <c r="CO23" s="86"/>
      <c r="CP23" s="35">
        <f t="shared" si="58"/>
        <v>79</v>
      </c>
      <c r="CQ23" s="11">
        <f>ROUND(v^($CP23+FaktorAlter)*VLOOKUP(CP23,G$9:J$102,4)*VLOOKUP(CP23,A$9:E$102,5)*0.5*(VLOOKUP(CP23,O$9:P$102,2)+VLOOKUP(CP23+1,O$9:P$102,2))*(VLOOKUP(TRUNC(0.5*(VLOOKUP(CP23,O$9:Q$102,3)+VLOOKUP(CP23+1,O$9:Q$102,3)),0),Frauen!$AZ$9:$BD$95,5)+(0.5*(VLOOKUP(CP23,O$9:Q$102,3)+VLOOKUP(CP23+1,O$9:Q$102,3))-TRUNC(0.5*(VLOOKUP(CP23,O$9:Q$102,3)+VLOOKUP(CP23+1,O$9:Q$102,3)),0))*(VLOOKUP(TRUNC(0.5*(VLOOKUP(CP23,O$9:Q$102,3)+VLOOKUP(CP23+1,O$9:Q$102,3))+1,0),Frauen!$AZ$9:$BD$95,5)-VLOOKUP(TRUNC(0.5*(VLOOKUP(CP23,O$9:Q$102,3)+VLOOKUP(CP23+1,O$9:Q$102,3)),0),Frauen!$AZ$9:$BD$95,5))),RundDx)</f>
        <v>4597</v>
      </c>
      <c r="CR23" s="25">
        <f>SUM(CQ23:CQ$56)</f>
        <v>41153</v>
      </c>
      <c r="CS23" s="24">
        <f t="shared" si="30"/>
        <v>4.1509999999999998</v>
      </c>
      <c r="CT23" s="86"/>
      <c r="CU23" s="35">
        <f t="shared" si="59"/>
        <v>31</v>
      </c>
      <c r="CV23" s="25">
        <f>IF($CU23&gt;=RAM,"",IF($CU23-CV$103&lt;BeginnAlter,"",ROUND(v^($CU23+FaktorAlter)*$L23*$D23*0.5*(VLOOKUP($CU23-CV$103,Frauen!$G$9:$J$102,4)+VLOOKUP($CU23-CV$103+1,Frauen!$G$9:$J$102,4))*0.5*(VLOOKUP($CU23-CV$103,Frauen!$AZ$9:$BD$102,5)+VLOOKUP($CU23-CV$103+1,Frauen!$AZ$9:$BD$102,5)),RundDx)))</f>
        <v>3468312374</v>
      </c>
      <c r="CW23" s="25">
        <f>IF($CU23&gt;=RAM,"",IF($CU23-CW$103&lt;BeginnAlter,"",ROUND(v^($CU23+FaktorAlter)*$L23*$D23*0.5*(VLOOKUP($CU23-CW$103,Frauen!$G$9:$J$102,4)+VLOOKUP($CU23-CW$103+1,Frauen!$G$9:$J$102,4))*0.5*(VLOOKUP($CU23-CW$103,Frauen!$AZ$9:$BD$102,5)+VLOOKUP($CU23-CW$103+1,Frauen!$AZ$9:$BD$102,5)),RundDx)))</f>
        <v>3531007910</v>
      </c>
      <c r="CX23" s="25">
        <f>IF($CU23&gt;=RAM,"",IF($CU23-CX$103&lt;BeginnAlter,"",ROUND(v^($CU23+FaktorAlter)*$L23*$D23*0.5*(VLOOKUP($CU23-CX$103,Frauen!$G$9:$J$102,4)+VLOOKUP($CU23-CX$103+1,Frauen!$G$9:$J$102,4))*0.5*(VLOOKUP($CU23-CX$103,Frauen!$AZ$9:$BD$102,5)+VLOOKUP($CU23-CX$103+1,Frauen!$AZ$9:$BD$102,5)),RundDx)))</f>
        <v>3592239593</v>
      </c>
      <c r="CY23" s="25">
        <f>IF($CU23&gt;=RAM,"",IF($CU23-CY$103&lt;BeginnAlter,"",ROUND(v^($CU23+FaktorAlter)*$L23*$D23*0.5*(VLOOKUP($CU23-CY$103,Frauen!$G$9:$J$102,4)+VLOOKUP($CU23-CY$103+1,Frauen!$G$9:$J$102,4))*0.5*(VLOOKUP($CU23-CY$103,Frauen!$AZ$9:$BD$102,5)+VLOOKUP($CU23-CY$103+1,Frauen!$AZ$9:$BD$102,5)),RundDx)))</f>
        <v>3652153310</v>
      </c>
      <c r="CZ23" s="25">
        <f>IF($CU23&gt;=RAM,"",IF($CU23-CZ$103&lt;BeginnAlter,"",ROUND(v^($CU23+FaktorAlter)*$L23*$D23*0.5*(VLOOKUP($CU23-CZ$103,Frauen!$G$9:$J$102,4)+VLOOKUP($CU23-CZ$103+1,Frauen!$G$9:$J$102,4))*0.5*(VLOOKUP($CU23-CZ$103,Frauen!$AZ$9:$BD$102,5)+VLOOKUP($CU23-CZ$103+1,Frauen!$AZ$9:$BD$102,5)),RundDx)))</f>
        <v>3710777904</v>
      </c>
      <c r="DA23" s="25">
        <f>IF($CU23&gt;=RAM,"",IF($CU23-DA$103&lt;BeginnAlter,"",ROUND(v^($CU23+FaktorAlter)*$L23*$D23*0.5*(VLOOKUP($CU23-DA$103,Frauen!$G$9:$J$102,4)+VLOOKUP($CU23-DA$103+1,Frauen!$G$9:$J$102,4))*0.5*(VLOOKUP($CU23-DA$103,Frauen!$AZ$9:$BD$102,5)+VLOOKUP($CU23-DA$103+1,Frauen!$AZ$9:$BD$102,5)),RundDx)))</f>
        <v>3768127184</v>
      </c>
      <c r="DB23" s="25">
        <f>IF($CU23&gt;=RAM,"",IF($CU23-DB$103&lt;BeginnAlter,"",ROUND(v^($CU23+FaktorAlter)*$L23*$D23*0.5*(VLOOKUP($CU23-DB$103,Frauen!$G$9:$J$102,4)+VLOOKUP($CU23-DB$103+1,Frauen!$G$9:$J$102,4))*0.5*(VLOOKUP($CU23-DB$103,Frauen!$AZ$9:$BD$102,5)+VLOOKUP($CU23-DB$103+1,Frauen!$AZ$9:$BD$102,5)),RundDx)))</f>
        <v>3824198461</v>
      </c>
      <c r="DC23" s="25">
        <f>IF($CU23&gt;=RAM,"",IF($CU23-DC$103&lt;BeginnAlter,"",ROUND(v^($CU23+FaktorAlter)*$L23*$D23*0.5*(VLOOKUP($CU23-DC$103,Frauen!$G$9:$J$102,4)+VLOOKUP($CU23-DC$103+1,Frauen!$G$9:$J$102,4))*0.5*(VLOOKUP($CU23-DC$103,Frauen!$AZ$9:$BD$102,5)+VLOOKUP($CU23-DC$103+1,Frauen!$AZ$9:$BD$102,5)),RundDx)))</f>
        <v>3879029959</v>
      </c>
      <c r="DD23" s="25">
        <f>IF($CU23&gt;=RAM,"",IF($CU23-DD$103&lt;BeginnAlter,"",ROUND(v^($CU23+FaktorAlter)*$L23*$D23*0.5*(VLOOKUP($CU23-DD$103,Frauen!$G$9:$J$102,4)+VLOOKUP($CU23-DD$103+1,Frauen!$G$9:$J$102,4))*0.5*(VLOOKUP($CU23-DD$103,Frauen!$AZ$9:$BD$102,5)+VLOOKUP($CU23-DD$103+1,Frauen!$AZ$9:$BD$102,5)),RundDx)))</f>
        <v>3932643735</v>
      </c>
      <c r="DE23" s="25">
        <f>IF($CU23&gt;=RAM,"",IF($CU23-DE$103&lt;BeginnAlter,"",ROUND(v^($CU23+FaktorAlter)*$L23*$D23*0.5*(VLOOKUP($CU23-DE$103,Frauen!$G$9:$J$102,4)+VLOOKUP($CU23-DE$103+1,Frauen!$G$9:$J$102,4))*0.5*(VLOOKUP($CU23-DE$103,Frauen!$AZ$9:$BD$102,5)+VLOOKUP($CU23-DE$103+1,Frauen!$AZ$9:$BD$102,5)),RundDx)))</f>
        <v>3985134646</v>
      </c>
      <c r="DF23" s="25">
        <f>IF($CU23&gt;=RAM,"",IF($CU23-DF$103&lt;BeginnAlter,"",ROUND(v^($CU23+FaktorAlter)*$L23*$D23*0.5*(VLOOKUP($CU23-DF$103,Frauen!$G$9:$J$102,4)+VLOOKUP($CU23-DF$103+1,Frauen!$G$9:$J$102,4))*0.5*(VLOOKUP($CU23-DF$103,Frauen!$AZ$9:$BD$102,5)+VLOOKUP($CU23-DF$103+1,Frauen!$AZ$9:$BD$102,5)),RundDx)))</f>
        <v>4036600215</v>
      </c>
      <c r="DG23" s="25">
        <f>IF($CU23&gt;=RAM,"",IF($CU23-DG$103&lt;BeginnAlter,"",ROUND(v^($CU23+FaktorAlter)*$L23*$D23*0.5*(VLOOKUP($CU23-DG$103,Frauen!$G$9:$J$102,4)+VLOOKUP($CU23-DG$103+1,Frauen!$G$9:$J$102,4))*0.5*(VLOOKUP($CU23-DG$103,Frauen!$AZ$9:$BD$102,5)+VLOOKUP($CU23-DG$103+1,Frauen!$AZ$9:$BD$102,5)),RundDx)))</f>
        <v>4087070135</v>
      </c>
      <c r="DH23" s="25">
        <f>IF($CU23&gt;=RAM,"",IF($CU23-DH$103&lt;BeginnAlter,"",ROUND(v^($CU23+FaktorAlter)*$L23*$D23*0.5*(VLOOKUP($CU23-DH$103,Frauen!$G$9:$J$102,4)+VLOOKUP($CU23-DH$103+1,Frauen!$G$9:$J$102,4))*0.5*(VLOOKUP($CU23-DH$103,Frauen!$AZ$9:$BD$102,5)+VLOOKUP($CU23-DH$103+1,Frauen!$AZ$9:$BD$102,5)),RundDx)))</f>
        <v>4136505909</v>
      </c>
      <c r="DI23" s="25">
        <f>IF($CU23&gt;=RAM,"",IF($CU23-DI$103&lt;BeginnAlter,"",ROUND(v^($CU23+FaktorAlter)*$L23*$D23*0.5*(VLOOKUP($CU23-DI$103,Frauen!$G$9:$J$102,4)+VLOOKUP($CU23-DI$103+1,Frauen!$G$9:$J$102,4))*0.5*(VLOOKUP($CU23-DI$103,Frauen!$AZ$9:$BD$102,5)+VLOOKUP($CU23-DI$103+1,Frauen!$AZ$9:$BD$102,5)),RundDx)))</f>
        <v>4184920392</v>
      </c>
      <c r="DJ23" s="25">
        <f>IF($CU23&gt;=RAM,"",IF($CU23-DJ$103&lt;BeginnAlter,"",ROUND(v^($CU23+FaktorAlter)*$L23*$D23*0.5*(VLOOKUP($CU23-DJ$103,Frauen!$G$9:$J$102,4)+VLOOKUP($CU23-DJ$103+1,Frauen!$G$9:$J$102,4))*0.5*(VLOOKUP($CU23-DJ$103,Frauen!$AZ$9:$BD$102,5)+VLOOKUP($CU23-DJ$103+1,Frauen!$AZ$9:$BD$102,5)),RundDx)))</f>
        <v>4232327587</v>
      </c>
      <c r="DK23" s="25">
        <f>IF($CU23&gt;=RAM,"",IF($CU23-DK$103&lt;BeginnAlter,"",ROUND(v^($CU23+FaktorAlter)*$L23*$D23*0.5*(VLOOKUP($CU23-DK$103,Frauen!$G$9:$J$102,4)+VLOOKUP($CU23-DK$103+1,Frauen!$G$9:$J$102,4))*0.5*(VLOOKUP($CU23-DK$103,Frauen!$AZ$9:$BD$102,5)+VLOOKUP($CU23-DK$103+1,Frauen!$AZ$9:$BD$102,5)),RundDx)))</f>
        <v>4278813136</v>
      </c>
      <c r="DL23" s="25">
        <f>IF($CU23&gt;=RAM,"",IF($CU23-DL$103&lt;BeginnAlter,"",ROUND(v^($CU23+FaktorAlter)*$L23*$D23*0.5*(VLOOKUP($CU23-DL$103,Frauen!$G$9:$J$102,4)+VLOOKUP($CU23-DL$103+1,Frauen!$G$9:$J$102,4))*0.5*(VLOOKUP($CU23-DL$103,Frauen!$AZ$9:$BD$102,5)+VLOOKUP($CU23-DL$103+1,Frauen!$AZ$9:$BD$102,5)),RundDx)))</f>
        <v>4324393324</v>
      </c>
      <c r="DM23" s="25">
        <f>IF($CU23&gt;=RAM,"",IF($CU23-DM$103&lt;BeginnAlter,"",ROUND(v^($CU23+FaktorAlter)*$L23*$D23*0.5*(VLOOKUP($CU23-DM$103,Frauen!$G$9:$J$102,4)+VLOOKUP($CU23-DM$103+1,Frauen!$G$9:$J$102,4))*0.5*(VLOOKUP($CU23-DM$103,Frauen!$AZ$9:$BD$102,5)+VLOOKUP($CU23-DM$103+1,Frauen!$AZ$9:$BD$102,5)),RundDx)))</f>
        <v>4369014834</v>
      </c>
      <c r="DN23" s="25">
        <f>IF($CU23&gt;=RAM,"",IF($CU23-DN$103&lt;BeginnAlter,"",ROUND(v^($CU23+FaktorAlter)*$L23*$D23*0.5*(VLOOKUP($CU23-DN$103,Frauen!$G$9:$J$102,4)+VLOOKUP($CU23-DN$103+1,Frauen!$G$9:$J$102,4))*0.5*(VLOOKUP($CU23-DN$103,Frauen!$AZ$9:$BD$102,5)+VLOOKUP($CU23-DN$103+1,Frauen!$AZ$9:$BD$102,5)),RundDx)))</f>
        <v>4412673678</v>
      </c>
      <c r="DO23" s="25">
        <f>IF($CU23&gt;=RAM,"",IF($CU23-DO$103&lt;BeginnAlter,"",ROUND(v^($CU23+FaktorAlter)*$L23*$D23*0.5*(VLOOKUP($CU23-DO$103,Frauen!$G$9:$J$102,4)+VLOOKUP($CU23-DO$103+1,Frauen!$G$9:$J$102,4))*0.5*(VLOOKUP($CU23-DO$103,Frauen!$AZ$9:$BD$102,5)+VLOOKUP($CU23-DO$103+1,Frauen!$AZ$9:$BD$102,5)),RundDx)))</f>
        <v>4455414317</v>
      </c>
      <c r="DP23" s="25">
        <f>IF($CU23&gt;=RAM,"",IF($CU23-DP$103&lt;BeginnAlter,"",ROUND(v^($CU23+FaktorAlter)*$L23*$D23*0.5*(VLOOKUP($CU23-DP$103,Frauen!$G$9:$J$102,4)+VLOOKUP($CU23-DP$103+1,Frauen!$G$9:$J$102,4))*0.5*(VLOOKUP($CU23-DP$103,Frauen!$AZ$9:$BD$102,5)+VLOOKUP($CU23-DP$103+1,Frauen!$AZ$9:$BD$102,5)),RundDx)))</f>
        <v>4497351361</v>
      </c>
      <c r="DQ23" s="25">
        <f>IF($CU23&gt;=RAM,"",IF($CU23-DQ$103&lt;BeginnAlter,"",ROUND(v^($CU23+FaktorAlter)*$L23*$D23*0.5*(VLOOKUP($CU23-DQ$103,Frauen!$G$9:$J$102,4)+VLOOKUP($CU23-DQ$103+1,Frauen!$G$9:$J$102,4))*0.5*(VLOOKUP($CU23-DQ$103,Frauen!$AZ$9:$BD$102,5)+VLOOKUP($CU23-DQ$103+1,Frauen!$AZ$9:$BD$102,5)),RundDx)))</f>
        <v>4538386792</v>
      </c>
      <c r="DR23" s="25">
        <f>IF($CU23&gt;=RAM,"",IF($CU23-DR$103&lt;BeginnAlter,"",ROUND(v^($CU23+FaktorAlter)*$L23*$D23*0.5*(VLOOKUP($CU23-DR$103,Frauen!$G$9:$J$102,4)+VLOOKUP($CU23-DR$103+1,Frauen!$G$9:$J$102,4))*0.5*(VLOOKUP($CU23-DR$103,Frauen!$AZ$9:$BD$102,5)+VLOOKUP($CU23-DR$103+1,Frauen!$AZ$9:$BD$102,5)),RundDx)))</f>
        <v>4578563366</v>
      </c>
      <c r="DS23" s="25">
        <f>IF($CU23&gt;=RAM,"",IF($CU23-DS$103&lt;BeginnAlter,"",ROUND(v^($CU23+FaktorAlter)*$L23*$D23*0.5*(VLOOKUP($CU23-DS$103,Frauen!$G$9:$J$102,4)+VLOOKUP($CU23-DS$103+1,Frauen!$G$9:$J$102,4))*0.5*(VLOOKUP($CU23-DS$103,Frauen!$AZ$9:$BD$102,5)+VLOOKUP($CU23-DS$103+1,Frauen!$AZ$9:$BD$102,5)),RundDx)))</f>
        <v>4617946454</v>
      </c>
      <c r="DT23" s="25">
        <f>IF($CU23&gt;=RAM,"",IF($CU23-DT$103&lt;BeginnAlter,"",ROUND(v^($CU23+FaktorAlter)*$L23*$D23*0.5*(VLOOKUP($CU23-DT$103,Frauen!$G$9:$J$102,4)+VLOOKUP($CU23-DT$103+1,Frauen!$G$9:$J$102,4))*0.5*(VLOOKUP($CU23-DT$103,Frauen!$AZ$9:$BD$102,5)+VLOOKUP($CU23-DT$103+1,Frauen!$AZ$9:$BD$102,5)),RundDx)))</f>
        <v>4656507576</v>
      </c>
      <c r="DU23" s="25">
        <f>IF($CU23&gt;=RAM,"",IF($CU23-DU$103&lt;BeginnAlter,"",ROUND(v^($CU23+FaktorAlter)*$L23*$D23*0.5*(VLOOKUP($CU23-DU$103,Frauen!$G$9:$J$102,4)+VLOOKUP($CU23-DU$103+1,Frauen!$G$9:$J$102,4))*0.5*(VLOOKUP($CU23-DU$103,Frauen!$AZ$9:$BD$102,5)+VLOOKUP($CU23-DU$103+1,Frauen!$AZ$9:$BD$102,5)),RundDx)))</f>
        <v>4694288490</v>
      </c>
      <c r="DV23" s="25">
        <f>IF($CU23&gt;=RAM,"",IF($CU23-DV$103&lt;BeginnAlter,"",ROUND(v^($CU23+FaktorAlter)*$L23*$D23*0.5*(VLOOKUP($CU23-DV$103,Frauen!$G$9:$J$102,4)+VLOOKUP($CU23-DV$103+1,Frauen!$G$9:$J$102,4))*0.5*(VLOOKUP($CU23-DV$103,Frauen!$AZ$9:$BD$102,5)+VLOOKUP($CU23-DV$103+1,Frauen!$AZ$9:$BD$102,5)),RundDx)))</f>
        <v>4731212457</v>
      </c>
      <c r="DW23" s="25">
        <f>IF($CU23&gt;=RAM,"",IF($CU23-DW$103&lt;BeginnAlter,"",ROUND(v^($CU23+FaktorAlter)*$L23*$D23*0.5*(VLOOKUP($CU23-DW$103,Frauen!$G$9:$J$102,4)+VLOOKUP($CU23-DW$103+1,Frauen!$G$9:$J$102,4))*0.5*(VLOOKUP($CU23-DW$103,Frauen!$AZ$9:$BD$102,5)+VLOOKUP($CU23-DW$103+1,Frauen!$AZ$9:$BD$102,5)),RundDx)))</f>
        <v>4767297554</v>
      </c>
      <c r="DX23" s="25">
        <f>IF($CU23&gt;=RAM,"",IF($CU23-DX$103&lt;BeginnAlter,"",ROUND(v^($CU23+FaktorAlter)*$L23*$D23*0.5*(VLOOKUP($CU23-DX$103,Frauen!$G$9:$J$102,4)+VLOOKUP($CU23-DX$103+1,Frauen!$G$9:$J$102,4))*0.5*(VLOOKUP($CU23-DX$103,Frauen!$AZ$9:$BD$102,5)+VLOOKUP($CU23-DX$103+1,Frauen!$AZ$9:$BD$102,5)),RundDx)))</f>
        <v>4802681632</v>
      </c>
      <c r="DY23" s="25">
        <f>IF($CU23&gt;=RAM,"",IF($CU23-DY$103&lt;BeginnAlter,"",ROUND(v^($CU23+FaktorAlter)*$L23*$D23*0.5*(VLOOKUP($CU23-DY$103,Frauen!$G$9:$J$102,4)+VLOOKUP($CU23-DY$103+1,Frauen!$G$9:$J$102,4))*0.5*(VLOOKUP($CU23-DY$103,Frauen!$AZ$9:$BD$102,5)+VLOOKUP($CU23-DY$103+1,Frauen!$AZ$9:$BD$102,5)),RundDx)))</f>
        <v>4837292213</v>
      </c>
      <c r="DZ23" s="25" t="str">
        <f>IF($CU23&gt;=RAM,"",IF($CU23-DZ$103&lt;BeginnAlter,"",ROUND(v^($CU23+FaktorAlter)*$L23*$D23*0.5*(VLOOKUP($CU23-DZ$103,Frauen!$G$9:$J$102,4)+VLOOKUP($CU23-DZ$103+1,Frauen!$G$9:$J$102,4))*0.5*(VLOOKUP($CU23-DZ$103,Frauen!$AZ$9:$BD$102,5)+VLOOKUP($CU23-DZ$103+1,Frauen!$AZ$9:$BD$102,5)),RundDx)))</f>
        <v/>
      </c>
      <c r="EA23" s="43">
        <f>IF($CU23&gt;=RAM,"",IF($CU23-EA$103&lt;BeginnAlter,"",ROUND((SUM(CV23:CV$56)+SUM(FN$9:FN$56))/VLOOKUP($CU23,$AH$9:$AI$102,2)/VLOOKUP($CU23-EA$103,Frauen!$G$9:$J$102,4),Rundäx)))</f>
        <v>6.5679999999999996</v>
      </c>
      <c r="EB23" s="43">
        <f>IF($CU23&gt;=RAM,"",IF($CU23-EB$103&lt;BeginnAlter,"",ROUND((SUM(CW23:CW$56)+SUM(FO$9:FO$56))/VLOOKUP($CU23,$AH$9:$AI$102,2)/VLOOKUP($CU23-EB$103,Frauen!$G$9:$J$102,4),Rundäx)))</f>
        <v>6.7839999999999998</v>
      </c>
      <c r="EC23" s="43">
        <f>IF($CU23&gt;=RAM,"",IF($CU23-EC$103&lt;BeginnAlter,"",ROUND((SUM(CX23:CX$56)+SUM(FP$9:FP$56))/VLOOKUP($CU23,$AH$9:$AI$102,2)/VLOOKUP($CU23-EC$103,Frauen!$G$9:$J$102,4),Rundäx)))</f>
        <v>7</v>
      </c>
      <c r="ED23" s="43">
        <f>IF($CU23&gt;=RAM,"",IF($CU23-ED$103&lt;BeginnAlter,"",ROUND((SUM(CY23:CY$56)+SUM(FQ$9:FQ$56))/VLOOKUP($CU23,$AH$9:$AI$102,2)/VLOOKUP($CU23-ED$103,Frauen!$G$9:$J$102,4),Rundäx)))</f>
        <v>7.2190000000000003</v>
      </c>
      <c r="EE23" s="43">
        <f>IF($CU23&gt;=RAM,"",IF($CU23-EE$103&lt;BeginnAlter,"",ROUND((SUM(CZ23:CZ$56)+SUM(FR$9:FR$56))/VLOOKUP($CU23,$AH$9:$AI$102,2)/VLOOKUP($CU23-EE$103,Frauen!$G$9:$J$102,4),Rundäx)))</f>
        <v>7.4379999999999997</v>
      </c>
      <c r="EF23" s="43">
        <f>IF($CU23&gt;=RAM,"",IF($CU23-EF$103&lt;BeginnAlter,"",ROUND((SUM(DA23:DA$56)+SUM(FS$9:FS$56))/VLOOKUP($CU23,$AH$9:$AI$102,2)/VLOOKUP($CU23-EF$103,Frauen!$G$9:$J$102,4),Rundäx)))</f>
        <v>7.6589999999999998</v>
      </c>
      <c r="EG23" s="43">
        <f>IF($CU23&gt;=RAM,"",IF($CU23-EG$103&lt;BeginnAlter,"",ROUND((SUM(DB23:DB$56)+SUM(FT$9:FT$56))/VLOOKUP($CU23,$AH$9:$AI$102,2)/VLOOKUP($CU23-EG$103,Frauen!$G$9:$J$102,4),Rundäx)))</f>
        <v>7.8810000000000002</v>
      </c>
      <c r="EH23" s="43">
        <f>IF($CU23&gt;=RAM,"",IF($CU23-EH$103&lt;BeginnAlter,"",ROUND((SUM(DC23:DC$56)+SUM(FU$9:FU$56))/VLOOKUP($CU23,$AH$9:$AI$102,2)/VLOOKUP($CU23-EH$103,Frauen!$G$9:$J$102,4),Rundäx)))</f>
        <v>8.1039999999999992</v>
      </c>
      <c r="EI23" s="86"/>
      <c r="EJ23" s="35">
        <f t="shared" si="60"/>
        <v>31</v>
      </c>
      <c r="EK23" s="43">
        <f>IF($CU23&gt;=RAM,"",IF($CU23-EK$103&lt;BeginnAlter,"",ROUND((SUM(DD23:DD$56)+SUM(FV$9:FV$56))/VLOOKUP($CU23,$AH$9:$AI$102,2)/VLOOKUP($CU23-EK$103,Frauen!$G$9:$J$102,4),Rundäx)))</f>
        <v>8.3279999999999994</v>
      </c>
      <c r="EL23" s="43">
        <f>IF($CU23&gt;=RAM,"",IF($CU23-EL$103&lt;BeginnAlter,"",ROUND((SUM(DE23:DE$56)+SUM(FW$9:FW$56))/VLOOKUP($CU23,$AH$9:$AI$102,2)/VLOOKUP($CU23-EL$103,Frauen!$G$9:$J$102,4),Rundäx)))</f>
        <v>8.5530000000000008</v>
      </c>
      <c r="EM23" s="43">
        <f>IF($CU23&gt;=RAM,"",IF($CU23-EM$103&lt;BeginnAlter,"",ROUND((SUM(DF23:DF$56)+SUM(FX$9:FX$56))/VLOOKUP($CU23,$AH$9:$AI$102,2)/VLOOKUP($CU23-EM$103,Frauen!$G$9:$J$102,4),Rundäx)))</f>
        <v>8.7789999999999999</v>
      </c>
      <c r="EN23" s="43">
        <f>IF($CU23&gt;=RAM,"",IF($CU23-EN$103&lt;BeginnAlter,"",ROUND((SUM(DG23:DG$56)+SUM(FY$9:FY$56))/VLOOKUP($CU23,$AH$9:$AI$102,2)/VLOOKUP($CU23-EN$103,Frauen!$G$9:$J$102,4),Rundäx)))</f>
        <v>9.0060000000000002</v>
      </c>
      <c r="EO23" s="43">
        <f>IF($CU23&gt;=RAM,"",IF($CU23-EO$103&lt;BeginnAlter,"",ROUND((SUM(DH23:DH$56)+SUM(FZ$9:FZ$56))/VLOOKUP($CU23,$AH$9:$AI$102,2)/VLOOKUP($CU23-EO$103,Frauen!$G$9:$J$102,4),Rundäx)))</f>
        <v>9.2330000000000005</v>
      </c>
      <c r="EP23" s="43">
        <f>IF($CU23&gt;=RAM,"",IF($CU23-EP$103&lt;BeginnAlter,"",ROUND((SUM(DI23:DI$56)+SUM(GA$9:GA$56))/VLOOKUP($CU23,$AH$9:$AI$102,2)/VLOOKUP($CU23-EP$103,Frauen!$G$9:$J$102,4),Rundäx)))</f>
        <v>9.4600000000000009</v>
      </c>
      <c r="EQ23" s="43">
        <f>IF($CU23&gt;=RAM,"",IF($CU23-EQ$103&lt;BeginnAlter,"",ROUND((SUM(DJ23:DJ$56)+SUM(GB$9:GB$56))/VLOOKUP($CU23,$AH$9:$AI$102,2)/VLOOKUP($CU23-EQ$103,Frauen!$G$9:$J$102,4),Rundäx)))</f>
        <v>9.6880000000000006</v>
      </c>
      <c r="ER23" s="43">
        <f>IF($CU23&gt;=RAM,"",IF($CU23-ER$103&lt;BeginnAlter,"",ROUND((SUM(DK23:DK$56)+SUM(GC$9:GC$56))/VLOOKUP($CU23,$AH$9:$AI$102,2)/VLOOKUP($CU23-ER$103,Frauen!$G$9:$J$102,4),Rundäx)))</f>
        <v>9.9160000000000004</v>
      </c>
      <c r="ES23" s="86"/>
      <c r="ET23" s="35">
        <f t="shared" si="61"/>
        <v>31</v>
      </c>
      <c r="EU23" s="43">
        <f>IF($CU23&gt;=RAM,"",IF($CU23-EU$103&lt;BeginnAlter,"",ROUND((SUM(DL23:DL$56)+SUM(GD$9:GD$56))/VLOOKUP($CU23,$AH$9:$AI$102,2)/VLOOKUP($CU23-EU$103,Frauen!$G$9:$J$102,4),Rundäx)))</f>
        <v>10.143000000000001</v>
      </c>
      <c r="EV23" s="43">
        <f>IF($CU23&gt;=RAM,"",IF($CU23-EV$103&lt;BeginnAlter,"",ROUND((SUM(DM23:DM$56)+SUM(GE$9:GE$56))/VLOOKUP($CU23,$AH$9:$AI$102,2)/VLOOKUP($CU23-EV$103,Frauen!$G$9:$J$102,4),Rundäx)))</f>
        <v>10.37</v>
      </c>
      <c r="EW23" s="43">
        <f>IF($CU23&gt;=RAM,"",IF($CU23-EW$103&lt;BeginnAlter,"",ROUND((SUM(DN23:DN$56)+SUM(GF$9:GF$56))/VLOOKUP($CU23,$AH$9:$AI$102,2)/VLOOKUP($CU23-EW$103,Frauen!$G$9:$J$102,4),Rundäx)))</f>
        <v>10.597</v>
      </c>
      <c r="EX23" s="43">
        <f>IF($CU23&gt;=RAM,"",IF($CU23-EX$103&lt;BeginnAlter,"",ROUND((SUM(DO23:DO$56)+SUM(GG$9:GG$56))/VLOOKUP($CU23,$AH$9:$AI$102,2)/VLOOKUP($CU23-EX$103,Frauen!$G$9:$J$102,4),Rundäx)))</f>
        <v>10.823</v>
      </c>
      <c r="EY23" s="43">
        <f>IF($CU23&gt;=RAM,"",IF($CU23-EY$103&lt;BeginnAlter,"",ROUND((SUM(DP23:DP$56)+SUM(GH$9:GH$56))/VLOOKUP($CU23,$AH$9:$AI$102,2)/VLOOKUP($CU23-EY$103,Frauen!$G$9:$J$102,4),Rundäx)))</f>
        <v>11.048999999999999</v>
      </c>
      <c r="EZ23" s="43">
        <f>IF($CU23&gt;=RAM,"",IF($CU23-EZ$103&lt;BeginnAlter,"",ROUND((SUM(DQ23:DQ$56)+SUM(GI$9:GI$56))/VLOOKUP($CU23,$AH$9:$AI$102,2)/VLOOKUP($CU23-EZ$103,Frauen!$G$9:$J$102,4),Rundäx)))</f>
        <v>11.273</v>
      </c>
      <c r="FA23" s="43">
        <f>IF($CU23&gt;=RAM,"",IF($CU23-FA$103&lt;BeginnAlter,"",ROUND((SUM(DR23:DR$56)+SUM(GJ$9:GJ$56))/VLOOKUP($CU23,$AH$9:$AI$102,2)/VLOOKUP($CU23-FA$103,Frauen!$G$9:$J$102,4),Rundäx)))</f>
        <v>11.497</v>
      </c>
      <c r="FB23" s="43">
        <f>IF($CU23&gt;=RAM,"",IF($CU23-FB$103&lt;BeginnAlter,"",ROUND((SUM(DS23:DS$56)+SUM(GK$9:GK$56))/VLOOKUP($CU23,$AH$9:$AI$102,2)/VLOOKUP($CU23-FB$103,Frauen!$G$9:$J$102,4),Rundäx)))</f>
        <v>11.718999999999999</v>
      </c>
      <c r="FC23" s="86"/>
      <c r="FD23" s="35">
        <f t="shared" si="62"/>
        <v>31</v>
      </c>
      <c r="FE23" s="43">
        <f>IF($CU23&gt;=RAM,"",IF($CU23-FE$103&lt;BeginnAlter,"",ROUND((SUM(DT23:DT$56)+SUM(GL$9:GL$56))/VLOOKUP($CU23,$AH$9:$AI$102,2)/VLOOKUP($CU23-FE$103,Frauen!$G$9:$J$102,4),Rundäx)))</f>
        <v>11.94</v>
      </c>
      <c r="FF23" s="43">
        <f>IF($CU23&gt;=RAM,"",IF($CU23-FF$103&lt;BeginnAlter,"",ROUND((SUM(DU23:DU$56)+SUM(GM$9:GM$56))/VLOOKUP($CU23,$AH$9:$AI$102,2)/VLOOKUP($CU23-FF$103,Frauen!$G$9:$J$102,4),Rundäx)))</f>
        <v>12.159000000000001</v>
      </c>
      <c r="FG23" s="43">
        <f>IF($CU23&gt;=RAM,"",IF($CU23-FG$103&lt;BeginnAlter,"",ROUND((SUM(DV23:DV$56)+SUM(GN$9:GN$56))/VLOOKUP($CU23,$AH$9:$AI$102,2)/VLOOKUP($CU23-FG$103,Frauen!$G$9:$J$102,4),Rundäx)))</f>
        <v>12.377000000000001</v>
      </c>
      <c r="FH23" s="43">
        <f>IF($CU23&gt;=RAM,"",IF($CU23-FH$103&lt;BeginnAlter,"",ROUND((SUM(DW23:DW$56)+SUM(GO$9:GO$56))/VLOOKUP($CU23,$AH$9:$AI$102,2)/VLOOKUP($CU23-FH$103,Frauen!$G$9:$J$102,4),Rundäx)))</f>
        <v>12.593</v>
      </c>
      <c r="FI23" s="43">
        <f>IF($CU23&gt;=RAM,"",IF($CU23-FI$103&lt;BeginnAlter,"",ROUND((SUM(DX23:DX$56)+SUM(GP$9:GP$56))/VLOOKUP($CU23,$AH$9:$AI$102,2)/VLOOKUP($CU23-FI$103,Frauen!$G$9:$J$102,4),Rundäx)))</f>
        <v>12.807</v>
      </c>
      <c r="FJ23" s="43">
        <f>IF($CU23&gt;=RAM,"",IF($CU23-FJ$103&lt;BeginnAlter,"",ROUND((SUM(DY23:DY$56)+SUM(GQ$9:GQ$56))/VLOOKUP($CU23,$AH$9:$AI$102,2)/VLOOKUP($CU23-FJ$103,Frauen!$G$9:$J$102,4),Rundäx)))</f>
        <v>13.018000000000001</v>
      </c>
      <c r="FK23" s="43" t="str">
        <f>IF($CU23&gt;=RAM,"",IF($CU23-FK$103&lt;BeginnAlter,"",ROUND((SUM(DZ23:DZ$56)+SUM(GR$9:GR$56))/VLOOKUP($CU23,$AH$9:$AI$102,2)/VLOOKUP($CU23-FK$103,Frauen!$G$9:$J$102,4),Rundäx)))</f>
        <v/>
      </c>
      <c r="FL23" s="86"/>
      <c r="FM23" s="35">
        <f t="shared" si="68"/>
        <v>79</v>
      </c>
      <c r="FN23" s="25">
        <f>ROUND(v^($FM23+FaktorAlter)*VLOOKUP($FM23,$G$9:$J$102,4)*VLOOKUP($FM23,$A$9:$E$102,5)*0.5*(VLOOKUP($FM23-FN$103,Frauen!$G$9:$J$102,4)+VLOOKUP($FM23-FN$103+1,Frauen!$G$9:$J$102,4))*0.5*(VLOOKUP($FM23-FN$103,Frauen!$AZ$9:$BD$102,5)+VLOOKUP($FM23-FN$103+1,Frauen!$AZ$9:$BD$102,5)),RundDx)</f>
        <v>16565430</v>
      </c>
      <c r="FO23" s="25">
        <f>ROUND(v^($FM23+FaktorAlter)*VLOOKUP($FM23,$G$9:$J$102,4)*VLOOKUP($FM23,$A$9:$E$102,5)*0.5*(VLOOKUP($FM23-FO$103,Frauen!$G$9:$J$102,4)+VLOOKUP($FM23-FO$103+1,Frauen!$G$9:$J$102,4))*0.5*(VLOOKUP($FM23-FO$103,Frauen!$AZ$9:$BD$102,5)+VLOOKUP($FM23-FO$103+1,Frauen!$AZ$9:$BD$102,5)),RundDx)</f>
        <v>23406885</v>
      </c>
      <c r="FP23" s="25">
        <f>ROUND(v^($FM23+FaktorAlter)*VLOOKUP($FM23,$G$9:$J$102,4)*VLOOKUP($FM23,$A$9:$E$102,5)*0.5*(VLOOKUP($FM23-FP$103,Frauen!$G$9:$J$102,4)+VLOOKUP($FM23-FP$103+1,Frauen!$G$9:$J$102,4))*0.5*(VLOOKUP($FM23-FP$103,Frauen!$AZ$9:$BD$102,5)+VLOOKUP($FM23-FP$103+1,Frauen!$AZ$9:$BD$102,5)),RundDx)</f>
        <v>32172114</v>
      </c>
      <c r="FQ23" s="25">
        <f>ROUND(v^($FM23+FaktorAlter)*VLOOKUP($FM23,$G$9:$J$102,4)*VLOOKUP($FM23,$A$9:$E$102,5)*0.5*(VLOOKUP($FM23-FQ$103,Frauen!$G$9:$J$102,4)+VLOOKUP($FM23-FQ$103+1,Frauen!$G$9:$J$102,4))*0.5*(VLOOKUP($FM23-FQ$103,Frauen!$AZ$9:$BD$102,5)+VLOOKUP($FM23-FQ$103+1,Frauen!$AZ$9:$BD$102,5)),RundDx)</f>
        <v>43040024</v>
      </c>
      <c r="FR23" s="25">
        <f>ROUND(v^($FM23+FaktorAlter)*VLOOKUP($FM23,$G$9:$J$102,4)*VLOOKUP($FM23,$A$9:$E$102,5)*0.5*(VLOOKUP($FM23-FR$103,Frauen!$G$9:$J$102,4)+VLOOKUP($FM23-FR$103+1,Frauen!$G$9:$J$102,4))*0.5*(VLOOKUP($FM23-FR$103,Frauen!$AZ$9:$BD$102,5)+VLOOKUP($FM23-FR$103+1,Frauen!$AZ$9:$BD$102,5)),RundDx)</f>
        <v>56031813</v>
      </c>
      <c r="FS23" s="25">
        <f>ROUND(v^($FM23+FaktorAlter)*VLOOKUP($FM23,$G$9:$J$102,4)*VLOOKUP($FM23,$A$9:$E$102,5)*0.5*(VLOOKUP($FM23-FS$103,Frauen!$G$9:$J$102,4)+VLOOKUP($FM23-FS$103+1,Frauen!$G$9:$J$102,4))*0.5*(VLOOKUP($FM23-FS$103,Frauen!$AZ$9:$BD$102,5)+VLOOKUP($FM23-FS$103+1,Frauen!$AZ$9:$BD$102,5)),RundDx)</f>
        <v>71258923</v>
      </c>
      <c r="FT23" s="25">
        <f>ROUND(v^($FM23+FaktorAlter)*VLOOKUP($FM23,$G$9:$J$102,4)*VLOOKUP($FM23,$A$9:$E$102,5)*0.5*(VLOOKUP($FM23-FT$103,Frauen!$G$9:$J$102,4)+VLOOKUP($FM23-FT$103+1,Frauen!$G$9:$J$102,4))*0.5*(VLOOKUP($FM23-FT$103,Frauen!$AZ$9:$BD$102,5)+VLOOKUP($FM23-FT$103+1,Frauen!$AZ$9:$BD$102,5)),RundDx)</f>
        <v>88740891</v>
      </c>
      <c r="FU23" s="25">
        <f>ROUND(v^($FM23+FaktorAlter)*VLOOKUP($FM23,$G$9:$J$102,4)*VLOOKUP($FM23,$A$9:$E$102,5)*0.5*(VLOOKUP($FM23-FU$103,Frauen!$G$9:$J$102,4)+VLOOKUP($FM23-FU$103+1,Frauen!$G$9:$J$102,4))*0.5*(VLOOKUP($FM23-FU$103,Frauen!$AZ$9:$BD$102,5)+VLOOKUP($FM23-FU$103+1,Frauen!$AZ$9:$BD$102,5)),RundDx)</f>
        <v>108423744</v>
      </c>
      <c r="FV23" s="25">
        <f>ROUND(v^($FM23+FaktorAlter)*VLOOKUP($FM23,$G$9:$J$102,4)*VLOOKUP($FM23,$A$9:$E$102,5)*0.5*(VLOOKUP($FM23-FV$103,Frauen!$G$9:$J$102,4)+VLOOKUP($FM23-FV$103+1,Frauen!$G$9:$J$102,4))*0.5*(VLOOKUP($FM23-FV$103,Frauen!$AZ$9:$BD$102,5)+VLOOKUP($FM23-FV$103+1,Frauen!$AZ$9:$BD$102,5)),RundDx)</f>
        <v>130207310</v>
      </c>
      <c r="FW23" s="25">
        <f>ROUND(v^($FM23+FaktorAlter)*VLOOKUP($FM23,$G$9:$J$102,4)*VLOOKUP($FM23,$A$9:$E$102,5)*0.5*(VLOOKUP($FM23-FW$103,Frauen!$G$9:$J$102,4)+VLOOKUP($FM23-FW$103+1,Frauen!$G$9:$J$102,4))*0.5*(VLOOKUP($FM23-FW$103,Frauen!$AZ$9:$BD$102,5)+VLOOKUP($FM23-FW$103+1,Frauen!$AZ$9:$BD$102,5)),RundDx)</f>
        <v>153882554</v>
      </c>
      <c r="FX23" s="25">
        <f>ROUND(v^($FM23+FaktorAlter)*VLOOKUP($FM23,$G$9:$J$102,4)*VLOOKUP($FM23,$A$9:$E$102,5)*0.5*(VLOOKUP($FM23-FX$103,Frauen!$G$9:$J$102,4)+VLOOKUP($FM23-FX$103+1,Frauen!$G$9:$J$102,4))*0.5*(VLOOKUP($FM23-FX$103,Frauen!$AZ$9:$BD$102,5)+VLOOKUP($FM23-FX$103+1,Frauen!$AZ$9:$BD$102,5)),RundDx)</f>
        <v>179198581</v>
      </c>
      <c r="FY23" s="25">
        <f>ROUND(v^($FM23+FaktorAlter)*VLOOKUP($FM23,$G$9:$J$102,4)*VLOOKUP($FM23,$A$9:$E$102,5)*0.5*(VLOOKUP($FM23-FY$103,Frauen!$G$9:$J$102,4)+VLOOKUP($FM23-FY$103+1,Frauen!$G$9:$J$102,4))*0.5*(VLOOKUP($FM23-FY$103,Frauen!$AZ$9:$BD$102,5)+VLOOKUP($FM23-FY$103+1,Frauen!$AZ$9:$BD$102,5)),RundDx)</f>
        <v>205907181</v>
      </c>
      <c r="FZ23" s="25">
        <f>ROUND(v^($FM23+FaktorAlter)*VLOOKUP($FM23,$G$9:$J$102,4)*VLOOKUP($FM23,$A$9:$E$102,5)*0.5*(VLOOKUP($FM23-FZ$103,Frauen!$G$9:$J$102,4)+VLOOKUP($FM23-FZ$103+1,Frauen!$G$9:$J$102,4))*0.5*(VLOOKUP($FM23-FZ$103,Frauen!$AZ$9:$BD$102,5)+VLOOKUP($FM23-FZ$103+1,Frauen!$AZ$9:$BD$102,5)),RundDx)</f>
        <v>233714552</v>
      </c>
      <c r="GA23" s="25">
        <f>ROUND(v^($FM23+FaktorAlter)*VLOOKUP($FM23,$G$9:$J$102,4)*VLOOKUP($FM23,$A$9:$E$102,5)*0.5*(VLOOKUP($FM23-GA$103,Frauen!$G$9:$J$102,4)+VLOOKUP($FM23-GA$103+1,Frauen!$G$9:$J$102,4))*0.5*(VLOOKUP($FM23-GA$103,Frauen!$AZ$9:$BD$102,5)+VLOOKUP($FM23-GA$103+1,Frauen!$AZ$9:$BD$102,5)),RundDx)</f>
        <v>262343147</v>
      </c>
      <c r="GB23" s="25">
        <f>ROUND(v^($FM23+FaktorAlter)*VLOOKUP($FM23,$G$9:$J$102,4)*VLOOKUP($FM23,$A$9:$E$102,5)*0.5*(VLOOKUP($FM23-GB$103,Frauen!$G$9:$J$102,4)+VLOOKUP($FM23-GB$103+1,Frauen!$G$9:$J$102,4))*0.5*(VLOOKUP($FM23-GB$103,Frauen!$AZ$9:$BD$102,5)+VLOOKUP($FM23-GB$103+1,Frauen!$AZ$9:$BD$102,5)),RundDx)</f>
        <v>291603862</v>
      </c>
      <c r="GC23" s="25">
        <f>ROUND(v^($FM23+FaktorAlter)*VLOOKUP($FM23,$G$9:$J$102,4)*VLOOKUP($FM23,$A$9:$E$102,5)*0.5*(VLOOKUP($FM23-GC$103,Frauen!$G$9:$J$102,4)+VLOOKUP($FM23-GC$103+1,Frauen!$G$9:$J$102,4))*0.5*(VLOOKUP($FM23-GC$103,Frauen!$AZ$9:$BD$102,5)+VLOOKUP($FM23-GC$103+1,Frauen!$AZ$9:$BD$102,5)),RundDx)</f>
        <v>321403901</v>
      </c>
      <c r="GD23" s="25">
        <f>ROUND(v^($FM23+FaktorAlter)*VLOOKUP($FM23,$G$9:$J$102,4)*VLOOKUP($FM23,$A$9:$E$102,5)*0.5*(VLOOKUP($FM23-GD$103,Frauen!$G$9:$J$102,4)+VLOOKUP($FM23-GD$103+1,Frauen!$G$9:$J$102,4))*0.5*(VLOOKUP($FM23-GD$103,Frauen!$AZ$9:$BD$102,5)+VLOOKUP($FM23-GD$103+1,Frauen!$AZ$9:$BD$102,5)),RundDx)</f>
        <v>351616890</v>
      </c>
      <c r="GE23" s="25">
        <f>ROUND(v^($FM23+FaktorAlter)*VLOOKUP($FM23,$G$9:$J$102,4)*VLOOKUP($FM23,$A$9:$E$102,5)*0.5*(VLOOKUP($FM23-GE$103,Frauen!$G$9:$J$102,4)+VLOOKUP($FM23-GE$103+1,Frauen!$G$9:$J$102,4))*0.5*(VLOOKUP($FM23-GE$103,Frauen!$AZ$9:$BD$102,5)+VLOOKUP($FM23-GE$103+1,Frauen!$AZ$9:$BD$102,5)),RundDx)</f>
        <v>382218025</v>
      </c>
      <c r="GF23" s="25">
        <f>ROUND(v^($FM23+FaktorAlter)*VLOOKUP($FM23,$G$9:$J$102,4)*VLOOKUP($FM23,$A$9:$E$102,5)*0.5*(VLOOKUP($FM23-GF$103,Frauen!$G$9:$J$102,4)+VLOOKUP($FM23-GF$103+1,Frauen!$G$9:$J$102,4))*0.5*(VLOOKUP($FM23-GF$103,Frauen!$AZ$9:$BD$102,5)+VLOOKUP($FM23-GF$103+1,Frauen!$AZ$9:$BD$102,5)),RundDx)</f>
        <v>413281998</v>
      </c>
      <c r="GG23" s="25">
        <f>ROUND(v^($FM23+FaktorAlter)*VLOOKUP($FM23,$G$9:$J$102,4)*VLOOKUP($FM23,$A$9:$E$102,5)*0.5*(VLOOKUP($FM23-GG$103,Frauen!$G$9:$J$102,4)+VLOOKUP($FM23-GG$103+1,Frauen!$G$9:$J$102,4))*0.5*(VLOOKUP($FM23-GG$103,Frauen!$AZ$9:$BD$102,5)+VLOOKUP($FM23-GG$103+1,Frauen!$AZ$9:$BD$102,5)),RundDx)</f>
        <v>444839053</v>
      </c>
      <c r="GH23" s="25">
        <f>ROUND(v^($FM23+FaktorAlter)*VLOOKUP($FM23,$G$9:$J$102,4)*VLOOKUP($FM23,$A$9:$E$102,5)*0.5*(VLOOKUP($FM23-GH$103,Frauen!$G$9:$J$102,4)+VLOOKUP($FM23-GH$103+1,Frauen!$G$9:$J$102,4))*0.5*(VLOOKUP($FM23-GH$103,Frauen!$AZ$9:$BD$102,5)+VLOOKUP($FM23-GH$103+1,Frauen!$AZ$9:$BD$102,5)),RundDx)</f>
        <v>476986809</v>
      </c>
      <c r="GI23" s="25">
        <f>ROUND(v^($FM23+FaktorAlter)*VLOOKUP($FM23,$G$9:$J$102,4)*VLOOKUP($FM23,$A$9:$E$102,5)*0.5*(VLOOKUP($FM23-GI$103,Frauen!$G$9:$J$102,4)+VLOOKUP($FM23-GI$103+1,Frauen!$G$9:$J$102,4))*0.5*(VLOOKUP($FM23-GI$103,Frauen!$AZ$9:$BD$102,5)+VLOOKUP($FM23-GI$103+1,Frauen!$AZ$9:$BD$102,5)),RundDx)</f>
        <v>509743337</v>
      </c>
      <c r="GJ23" s="25">
        <f>ROUND(v^($FM23+FaktorAlter)*VLOOKUP($FM23,$G$9:$J$102,4)*VLOOKUP($FM23,$A$9:$E$102,5)*0.5*(VLOOKUP($FM23-GJ$103,Frauen!$G$9:$J$102,4)+VLOOKUP($FM23-GJ$103+1,Frauen!$G$9:$J$102,4))*0.5*(VLOOKUP($FM23-GJ$103,Frauen!$AZ$9:$BD$102,5)+VLOOKUP($FM23-GJ$103+1,Frauen!$AZ$9:$BD$102,5)),RundDx)</f>
        <v>543033332</v>
      </c>
      <c r="GK23" s="25">
        <f>ROUND(v^($FM23+FaktorAlter)*VLOOKUP($FM23,$G$9:$J$102,4)*VLOOKUP($FM23,$A$9:$E$102,5)*0.5*(VLOOKUP($FM23-GK$103,Frauen!$G$9:$J$102,4)+VLOOKUP($FM23-GK$103+1,Frauen!$G$9:$J$102,4))*0.5*(VLOOKUP($FM23-GK$103,Frauen!$AZ$9:$BD$102,5)+VLOOKUP($FM23-GK$103+1,Frauen!$AZ$9:$BD$102,5)),RundDx)</f>
        <v>576711279</v>
      </c>
      <c r="GL23" s="25">
        <f>ROUND(v^($FM23+FaktorAlter)*VLOOKUP($FM23,$G$9:$J$102,4)*VLOOKUP($FM23,$A$9:$E$102,5)*0.5*(VLOOKUP($FM23-GL$103,Frauen!$G$9:$J$102,4)+VLOOKUP($FM23-GL$103+1,Frauen!$G$9:$J$102,4))*0.5*(VLOOKUP($FM23-GL$103,Frauen!$AZ$9:$BD$102,5)+VLOOKUP($FM23-GL$103+1,Frauen!$AZ$9:$BD$102,5)),RundDx)</f>
        <v>610535400</v>
      </c>
      <c r="GM23" s="25">
        <f>ROUND(v^($FM23+FaktorAlter)*VLOOKUP($FM23,$G$9:$J$102,4)*VLOOKUP($FM23,$A$9:$E$102,5)*0.5*(VLOOKUP($FM23-GM$103,Frauen!$G$9:$J$102,4)+VLOOKUP($FM23-GM$103+1,Frauen!$G$9:$J$102,4))*0.5*(VLOOKUP($FM23-GM$103,Frauen!$AZ$9:$BD$102,5)+VLOOKUP($FM23-GM$103+1,Frauen!$AZ$9:$BD$102,5)),RundDx)</f>
        <v>644411510</v>
      </c>
      <c r="GN23" s="25">
        <f>ROUND(v^($FM23+FaktorAlter)*VLOOKUP($FM23,$G$9:$J$102,4)*VLOOKUP($FM23,$A$9:$E$102,5)*0.5*(VLOOKUP($FM23-GN$103,Frauen!$G$9:$J$102,4)+VLOOKUP($FM23-GN$103+1,Frauen!$G$9:$J$102,4))*0.5*(VLOOKUP($FM23-GN$103,Frauen!$AZ$9:$BD$102,5)+VLOOKUP($FM23-GN$103+1,Frauen!$AZ$9:$BD$102,5)),RundDx)</f>
        <v>678277325</v>
      </c>
      <c r="GO23" s="25">
        <f>ROUND(v^($FM23+FaktorAlter)*VLOOKUP($FM23,$G$9:$J$102,4)*VLOOKUP($FM23,$A$9:$E$102,5)*0.5*(VLOOKUP($FM23-GO$103,Frauen!$G$9:$J$102,4)+VLOOKUP($FM23-GO$103+1,Frauen!$G$9:$J$102,4))*0.5*(VLOOKUP($FM23-GO$103,Frauen!$AZ$9:$BD$102,5)+VLOOKUP($FM23-GO$103+1,Frauen!$AZ$9:$BD$102,5)),RundDx)</f>
        <v>711903040</v>
      </c>
      <c r="GP23" s="25">
        <f>ROUND(v^($FM23+FaktorAlter)*VLOOKUP($FM23,$G$9:$J$102,4)*VLOOKUP($FM23,$A$9:$E$102,5)*0.5*(VLOOKUP($FM23-GP$103,Frauen!$G$9:$J$102,4)+VLOOKUP($FM23-GP$103+1,Frauen!$G$9:$J$102,4))*0.5*(VLOOKUP($FM23-GP$103,Frauen!$AZ$9:$BD$102,5)+VLOOKUP($FM23-GP$103+1,Frauen!$AZ$9:$BD$102,5)),RundDx)</f>
        <v>745155698</v>
      </c>
      <c r="GQ23" s="25">
        <f>ROUND(v^($FM23+FaktorAlter)*VLOOKUP($FM23,$G$9:$J$102,4)*VLOOKUP($FM23,$A$9:$E$102,5)*0.5*(VLOOKUP($FM23-GQ$103,Frauen!$G$9:$J$102,4)+VLOOKUP($FM23-GQ$103+1,Frauen!$G$9:$J$102,4))*0.5*(VLOOKUP($FM23-GQ$103,Frauen!$AZ$9:$BD$102,5)+VLOOKUP($FM23-GQ$103+1,Frauen!$AZ$9:$BD$102,5)),RundDx)</f>
        <v>778090730</v>
      </c>
      <c r="GR23" s="25">
        <f>ROUND(v^($FM23+FaktorAlter)*VLOOKUP($FM23,$G$9:$J$102,4)*VLOOKUP($FM23,$A$9:$E$102,5)*0.5*(VLOOKUP($FM23-GR$103,Frauen!$G$9:$J$102,4)+VLOOKUP($FM23-GR$103+1,Frauen!$G$9:$J$102,4))*0.5*(VLOOKUP($FM23-GR$103,Frauen!$AZ$9:$BD$102,5)+VLOOKUP($FM23-GR$103+1,Frauen!$AZ$9:$BD$102,5)),RundDx)</f>
        <v>810630616</v>
      </c>
      <c r="GS23" s="24">
        <f>ROUND(SUM(FN23:FN$56)/VLOOKUP($FM23,$AQ$9:$AR$102,2)/VLOOKUP($FM23-GS$103,Frauen!$G$9:$J$102,4),Rundäx)</f>
        <v>0.36299999999999999</v>
      </c>
      <c r="GT23" s="24">
        <f>ROUND(SUM(FO23:FO$56)/VLOOKUP($FM23,$AQ$9:$AR$102,2)/VLOOKUP($FM23-GT$103,Frauen!$G$9:$J$102,4),Rundäx)</f>
        <v>0.434</v>
      </c>
      <c r="GU23" s="24">
        <f>ROUND(SUM(FP23:FP$56)/VLOOKUP($FM23,$AQ$9:$AR$102,2)/VLOOKUP($FM23-GU$103,Frauen!$G$9:$J$102,4),Rundäx)</f>
        <v>0.51600000000000001</v>
      </c>
      <c r="GV23" s="24">
        <f>ROUND(SUM(FQ23:FQ$56)/VLOOKUP($FM23,$AQ$9:$AR$102,2)/VLOOKUP($FM23-GV$103,Frauen!$G$9:$J$102,4),Rundäx)</f>
        <v>0.61</v>
      </c>
      <c r="GW23" s="24">
        <f>ROUND(SUM(FR23:FR$56)/VLOOKUP($FM23,$AQ$9:$AR$102,2)/VLOOKUP($FM23-GW$103,Frauen!$G$9:$J$102,4),Rundäx)</f>
        <v>0.71699999999999997</v>
      </c>
      <c r="GX23" s="24">
        <f>ROUND(SUM(FS23:FS$56)/VLOOKUP($FM23,$AQ$9:$AR$102,2)/VLOOKUP($FM23-GX$103,Frauen!$G$9:$J$102,4),Rundäx)</f>
        <v>0.83799999999999997</v>
      </c>
      <c r="GY23" s="24">
        <f>ROUND(SUM(FT23:FT$56)/VLOOKUP($FM23,$AQ$9:$AR$102,2)/VLOOKUP($FM23-GY$103,Frauen!$G$9:$J$102,4),Rundäx)</f>
        <v>0.97499999999999998</v>
      </c>
      <c r="GZ23" s="24">
        <f>ROUND(SUM(FU23:FU$56)/VLOOKUP($FM23,$AQ$9:$AR$102,2)/VLOOKUP($FM23-GZ$103,Frauen!$G$9:$J$102,4),Rundäx)</f>
        <v>1.129</v>
      </c>
      <c r="HA23" s="86"/>
      <c r="HB23" s="35">
        <f t="shared" si="63"/>
        <v>79</v>
      </c>
      <c r="HC23" s="24">
        <f>ROUND(SUM(FV23:FV$56)/VLOOKUP($FM23,$AQ$9:$AR$102,2)/VLOOKUP($FM23-HC$103,Frauen!$G$9:$J$102,4),Rundäx)</f>
        <v>1.304</v>
      </c>
      <c r="HD23" s="24">
        <f>ROUND(SUM(FW23:FW$56)/VLOOKUP($FM23,$AQ$9:$AR$102,2)/VLOOKUP($FM23-HD$103,Frauen!$G$9:$J$102,4),Rundäx)</f>
        <v>1.5</v>
      </c>
      <c r="HE23" s="24">
        <f>ROUND(SUM(FX23:FX$56)/VLOOKUP($FM23,$AQ$9:$AR$102,2)/VLOOKUP($FM23-HE$103,Frauen!$G$9:$J$102,4),Rundäx)</f>
        <v>1.72</v>
      </c>
      <c r="HF23" s="24">
        <f>ROUND(SUM(FY23:FY$56)/VLOOKUP($FM23,$AQ$9:$AR$102,2)/VLOOKUP($FM23-HF$103,Frauen!$G$9:$J$102,4),Rundäx)</f>
        <v>1.9650000000000001</v>
      </c>
      <c r="HG23" s="24">
        <f>ROUND(SUM(FZ23:FZ$56)/VLOOKUP($FM23,$AQ$9:$AR$102,2)/VLOOKUP($FM23-HG$103,Frauen!$G$9:$J$102,4),Rundäx)</f>
        <v>2.2349999999999999</v>
      </c>
      <c r="HH23" s="24">
        <f>ROUND(SUM(GA23:GA$56)/VLOOKUP($FM23,$AQ$9:$AR$102,2)/VLOOKUP($FM23-HH$103,Frauen!$G$9:$J$102,4),Rundäx)</f>
        <v>2.532</v>
      </c>
      <c r="HI23" s="24">
        <f>ROUND(SUM(GB23:GB$56)/VLOOKUP($FM23,$AQ$9:$AR$102,2)/VLOOKUP($FM23-HI$103,Frauen!$G$9:$J$102,4),Rundäx)</f>
        <v>2.855</v>
      </c>
      <c r="HJ23" s="24">
        <f>ROUND(SUM(GC23:GC$56)/VLOOKUP($FM23,$AQ$9:$AR$102,2)/VLOOKUP($FM23-HJ$103,Frauen!$G$9:$J$102,4),Rundäx)</f>
        <v>3.2029999999999998</v>
      </c>
      <c r="HK23" s="86"/>
      <c r="HL23" s="35">
        <f t="shared" si="64"/>
        <v>79</v>
      </c>
      <c r="HM23" s="24">
        <f>ROUND(SUM(GD23:GD$56)/VLOOKUP($FM23,$AQ$9:$AR$102,2)/VLOOKUP($FM23-HM$103,Frauen!$G$9:$J$102,4),Rundäx)</f>
        <v>3.573</v>
      </c>
      <c r="HN23" s="24">
        <f>ROUND(SUM(GE23:GE$56)/VLOOKUP($FM23,$AQ$9:$AR$102,2)/VLOOKUP($FM23-HN$103,Frauen!$G$9:$J$102,4),Rundäx)</f>
        <v>3.964</v>
      </c>
      <c r="HO23" s="24">
        <f>ROUND(SUM(GF23:GF$56)/VLOOKUP($FM23,$AQ$9:$AR$102,2)/VLOOKUP($FM23-HO$103,Frauen!$G$9:$J$102,4),Rundäx)</f>
        <v>4.3710000000000004</v>
      </c>
      <c r="HP23" s="24">
        <f>ROUND(SUM(GG23:GG$56)/VLOOKUP($FM23,$AQ$9:$AR$102,2)/VLOOKUP($FM23-HP$103,Frauen!$G$9:$J$102,4),Rundäx)</f>
        <v>4.7919999999999998</v>
      </c>
      <c r="HQ23" s="24">
        <f>ROUND(SUM(GH23:GH$56)/VLOOKUP($FM23,$AQ$9:$AR$102,2)/VLOOKUP($FM23-HQ$103,Frauen!$G$9:$J$102,4),Rundäx)</f>
        <v>5.2220000000000004</v>
      </c>
      <c r="HR23" s="24">
        <f>ROUND(SUM(GI23:GI$56)/VLOOKUP($FM23,$AQ$9:$AR$102,2)/VLOOKUP($FM23-HR$103,Frauen!$G$9:$J$102,4),Rundäx)</f>
        <v>5.6580000000000004</v>
      </c>
      <c r="HS23" s="24">
        <f>ROUND(SUM(GJ23:GJ$56)/VLOOKUP($FM23,$AQ$9:$AR$102,2)/VLOOKUP($FM23-HS$103,Frauen!$G$9:$J$102,4),Rundäx)</f>
        <v>6.0990000000000002</v>
      </c>
      <c r="HT23" s="24">
        <f>ROUND(SUM(GK23:GK$56)/VLOOKUP($FM23,$AQ$9:$AR$102,2)/VLOOKUP($FM23-HT$103,Frauen!$G$9:$J$102,4),Rundäx)</f>
        <v>6.5460000000000003</v>
      </c>
      <c r="HU23" s="86"/>
      <c r="HV23" s="35">
        <f t="shared" si="65"/>
        <v>79</v>
      </c>
      <c r="HW23" s="24">
        <f>ROUND(SUM(GL23:GL$56)/VLOOKUP($FM23,$AQ$9:$AR$102,2)/VLOOKUP($FM23-HW$103,Frauen!$G$9:$J$102,4),Rundäx)</f>
        <v>6.9960000000000004</v>
      </c>
      <c r="HX23" s="24">
        <f>ROUND(SUM(GM23:GM$56)/VLOOKUP($FM23,$AQ$9:$AR$102,2)/VLOOKUP($FM23-HX$103,Frauen!$G$9:$J$102,4),Rundäx)</f>
        <v>7.4489999999999998</v>
      </c>
      <c r="HY23" s="24">
        <f>ROUND(SUM(GN23:GN$56)/VLOOKUP($FM23,$AQ$9:$AR$102,2)/VLOOKUP($FM23-HY$103,Frauen!$G$9:$J$102,4),Rundäx)</f>
        <v>7.9029999999999996</v>
      </c>
      <c r="HZ23" s="24">
        <f>ROUND(SUM(GO23:GO$56)/VLOOKUP($FM23,$AQ$9:$AR$102,2)/VLOOKUP($FM23-HZ$103,Frauen!$G$9:$J$102,4),Rundäx)</f>
        <v>8.36</v>
      </c>
      <c r="IA23" s="24">
        <f>ROUND(SUM(GP23:GP$56)/VLOOKUP($FM23,$AQ$9:$AR$102,2)/VLOOKUP($FM23-IA$103,Frauen!$G$9:$J$102,4),Rundäx)</f>
        <v>8.8179999999999996</v>
      </c>
      <c r="IB23" s="24">
        <f>ROUND(SUM(GQ23:GQ$56)/VLOOKUP($FM23,$AQ$9:$AR$102,2)/VLOOKUP($FM23-IB$103,Frauen!$G$9:$J$102,4),Rundäx)</f>
        <v>9.2759999999999998</v>
      </c>
      <c r="IC23" s="24">
        <f>ROUND(SUM(GR23:GR$56)/VLOOKUP($FM23,$AQ$9:$AR$102,2)/VLOOKUP($FM23-IC$103,Frauen!$G$9:$J$102,4),Rundäx)</f>
        <v>9.7349999999999994</v>
      </c>
      <c r="ID23" s="89"/>
      <c r="IE23" s="35">
        <f t="shared" si="66"/>
        <v>31</v>
      </c>
      <c r="IF23" s="25">
        <f t="shared" si="31"/>
        <v>673</v>
      </c>
      <c r="IG23" s="25">
        <f>IF($IE23&lt;RAM,IF(S24&lt;=RAK,ROUND(SUM(IF23:INDEX(Dakx,RAM-BeginnAlter))+INDEX(Dax,RAM-BeginnAlter+1)*INDEX(äkx,1),RundDx),0),"")</f>
        <v>15979</v>
      </c>
      <c r="IH23" s="25">
        <f>IF($IE23&lt;RAM,IF(S24&lt;=RAK,ROUND(SUM(IG23:INDEX(Nakx,RAM-BeginnAlter))+INDEX(Dax,RAM-BeginnAlter+1)*INDEX(äkx,1),RundDx),0),"")</f>
        <v>180751</v>
      </c>
      <c r="II23" s="24">
        <f t="shared" si="32"/>
        <v>0.32300000000000001</v>
      </c>
      <c r="IJ23" s="25">
        <f t="shared" si="33"/>
        <v>25391</v>
      </c>
      <c r="IK23" s="25">
        <f>IF($IE23&lt;RAM,IF(S24&lt;=RAK,SUM(IJ23:INDEX(Dikx,RAM-BeginnAlter))+INDEX(Dix,RAM-BeginnAlter+1)*INDEX(äkx,1),0),"")</f>
        <v>361987.83199999999</v>
      </c>
      <c r="IL23" s="24">
        <f t="shared" si="34"/>
        <v>4.1260000000000003</v>
      </c>
      <c r="IM23" s="86"/>
      <c r="IN23" s="35">
        <f t="shared" si="67"/>
        <v>79</v>
      </c>
      <c r="IO23" s="25">
        <f>IF(AND(VLOOKUP(IN23+1,O$9:S$102,5)&lt;=RAK,VLOOKUP(IN23+1,O$9:S$102,5)&lt;&gt;""),ROUND(v^($IN23+FaktorAlter)*VLOOKUP(IN23,G$9:J$102,4)*VLOOKUP(IN23,A$9:E$102,5)*0.5*(VLOOKUP(IN23,O$9:R$102,4)+VLOOKUP(IN23+1,O$9:R$102,4))*(VLOOKUP(TRUNC(0.5*(VLOOKUP(IN23,O$9:S$102,5)+VLOOKUP(IN23+1,O$9:S$102,5)),0),$BF$9:$BH$36,3)+(0.5*(VLOOKUP(IN23,O$9:S$102,5)+VLOOKUP(IN23+1,O$9:S$102,5))-TRUNC(0.5*(VLOOKUP(IN23,O$9:S$102,5)+VLOOKUP(IN23+1,O$9:S$102,5)),0))*(VLOOKUP(TRUNC(0.5*(VLOOKUP(IN23,O$9:S$102,5)+VLOOKUP(IN23+1,O$9:S$102,5))+1,0),$BF$9:$BH$36,3)-VLOOKUP(TRUNC(0.5*(VLOOKUP(IN23,O$9:S$102,5)+VLOOKUP(IN23+1,O$9:S$102,5)),0),$BF$9:$BH$36,3))),RundDx),0)</f>
        <v>0</v>
      </c>
      <c r="IP23" s="25">
        <f>IF(AND(VLOOKUP(IN23+1,O$9:S$102,5)&lt;=RAK,VLOOKUP(IN23+1,O$9:S$102,5)&lt;&gt;""),SUM(IO23:IO$102),0)</f>
        <v>0</v>
      </c>
      <c r="IQ23" s="24">
        <f>IF(VLOOKUP(IN23+1,O$9:S$102,5)&lt;=RAK,ROUND(IP23/INDEX(Dx,$IN23-BeginnAlter+1),Rundäx),0)</f>
        <v>0</v>
      </c>
      <c r="IR23" s="86"/>
    </row>
    <row r="24" spans="1:252" ht="15.75" customHeight="1" x14ac:dyDescent="0.25">
      <c r="A24" s="35">
        <f t="shared" si="41"/>
        <v>32</v>
      </c>
      <c r="B24" s="77">
        <v>6.1063477064310259E-4</v>
      </c>
      <c r="C24" s="77">
        <v>9.011939836897256E-4</v>
      </c>
      <c r="D24" s="77">
        <v>1.6887298767636394E-2</v>
      </c>
      <c r="E24" s="77">
        <v>7.3648103309120749E-4</v>
      </c>
      <c r="F24" s="86"/>
      <c r="G24" s="35">
        <f t="shared" si="42"/>
        <v>32</v>
      </c>
      <c r="H24" s="25">
        <f t="shared" si="37"/>
        <v>98419</v>
      </c>
      <c r="I24" s="25">
        <f t="shared" si="38"/>
        <v>701</v>
      </c>
      <c r="J24" s="25">
        <f t="shared" si="39"/>
        <v>99120</v>
      </c>
      <c r="K24" s="30">
        <f>IF(J24&gt;0,ROUND(SUM(J24:J$102)/J24-0.5,Rundex),"")</f>
        <v>47.29</v>
      </c>
      <c r="L24" s="25">
        <f t="shared" si="0"/>
        <v>172027</v>
      </c>
      <c r="M24" s="30">
        <f>IF(L24&gt;0,ROUND(SUM(L24:L$102)/L24-0.5,Rundex),"")</f>
        <v>33.19</v>
      </c>
      <c r="N24" s="86"/>
      <c r="O24" s="35">
        <f t="shared" si="43"/>
        <v>32</v>
      </c>
      <c r="P24" s="43">
        <v>0.38539052231350335</v>
      </c>
      <c r="Q24" s="78">
        <v>31.686622025287285</v>
      </c>
      <c r="R24" s="43">
        <v>1.1384028152611858</v>
      </c>
      <c r="S24" s="78">
        <v>4.8859337050473295</v>
      </c>
      <c r="T24" s="15">
        <v>7.3323261419822039E-4</v>
      </c>
      <c r="U24" s="11">
        <f t="shared" si="40"/>
        <v>99119</v>
      </c>
      <c r="V24" s="30">
        <f>IF(U24&gt;0,ROUND(SUM(U24:U$102)/U24-0.5,Rundex),"")</f>
        <v>44.92</v>
      </c>
      <c r="W24" s="86"/>
      <c r="X24" s="35">
        <f t="shared" si="44"/>
        <v>32</v>
      </c>
      <c r="Y24" s="25">
        <f t="shared" si="1"/>
        <v>48290</v>
      </c>
      <c r="Z24" s="25">
        <f>IF($X24&lt;RAM,SUM(Y24:INDEX(Dax,RAM-BeginnAlter))," ")</f>
        <v>1068500</v>
      </c>
      <c r="AA24" s="25">
        <f t="shared" si="2"/>
        <v>29</v>
      </c>
      <c r="AB24" s="25">
        <f>IF($X24&lt;RAM,SUM(AA24:INDEX(Cax,RAM-BeginnAlter))," ")</f>
        <v>2382</v>
      </c>
      <c r="AC24" s="25">
        <f t="shared" si="3"/>
        <v>43</v>
      </c>
      <c r="AD24" s="25">
        <f>IF($X24&lt;RAM,SUM(AC24:INDEX(Caix,RAM-BeginnAlter))," ")</f>
        <v>7721</v>
      </c>
      <c r="AE24" s="24">
        <f t="shared" si="4"/>
        <v>22.126999999999999</v>
      </c>
      <c r="AF24" s="24">
        <f t="shared" si="5"/>
        <v>21.809000000000001</v>
      </c>
      <c r="AG24" s="86"/>
      <c r="AH24" s="35">
        <f t="shared" si="45"/>
        <v>32</v>
      </c>
      <c r="AI24" s="25">
        <f t="shared" si="6"/>
        <v>84405</v>
      </c>
      <c r="AJ24" s="25">
        <f>IF($AH24&gt;RAM," ",IF($AH24&lt;RAM,SUM(AI24:INDEX(Dix,RAM-BeginnAlter))+INDEX(Nx,RAM-BeginnAlter+1),INDEX(Nx,RAM-BeginnAlter+1)))</f>
        <v>1842339</v>
      </c>
      <c r="AK24" s="25">
        <f>IF($AH24&lt;RAM,SUM(AI24:INDEX(Dix,RAM-BeginnAlter))," ")</f>
        <v>1545092</v>
      </c>
      <c r="AL24" s="24">
        <f t="shared" si="7"/>
        <v>21.827000000000002</v>
      </c>
      <c r="AM24" s="24">
        <f t="shared" si="8"/>
        <v>21.369</v>
      </c>
      <c r="AN24" s="24">
        <f t="shared" si="9"/>
        <v>18.306000000000001</v>
      </c>
      <c r="AO24" s="24">
        <f t="shared" si="10"/>
        <v>17.959</v>
      </c>
      <c r="AP24" s="86"/>
      <c r="AQ24" s="35">
        <f t="shared" si="46"/>
        <v>32</v>
      </c>
      <c r="AR24" s="25">
        <f t="shared" si="11"/>
        <v>48633</v>
      </c>
      <c r="AS24" s="25">
        <f>SUM(AR24:AR$94)</f>
        <v>1416495</v>
      </c>
      <c r="AT24" s="25">
        <f>IF($AQ24&lt;RAM,SUM(AR24:INDEX(Dx,RAM-BeginnAlter))," ")</f>
        <v>1119248</v>
      </c>
      <c r="AU24" s="24">
        <f t="shared" si="12"/>
        <v>29.126000000000001</v>
      </c>
      <c r="AV24" s="24">
        <f t="shared" si="13"/>
        <v>28.667999999999999</v>
      </c>
      <c r="AW24" s="24">
        <f t="shared" si="14"/>
        <v>23.013999999999999</v>
      </c>
      <c r="AX24" s="24">
        <f t="shared" si="15"/>
        <v>22.748999999999999</v>
      </c>
      <c r="AY24" s="86"/>
      <c r="AZ24" s="35">
        <f t="shared" si="47"/>
        <v>32</v>
      </c>
      <c r="BA24" s="25">
        <f t="shared" si="16"/>
        <v>48633</v>
      </c>
      <c r="BB24" s="25">
        <f>SUM(BA24:BA$94)</f>
        <v>1374436</v>
      </c>
      <c r="BC24" s="24">
        <f t="shared" si="17"/>
        <v>28.260999999999999</v>
      </c>
      <c r="BD24" s="24">
        <f t="shared" si="18"/>
        <v>27.803000000000001</v>
      </c>
      <c r="BE24" s="86"/>
      <c r="BF24" s="35">
        <f t="shared" si="48"/>
        <v>15</v>
      </c>
      <c r="BG24" s="24">
        <f t="shared" si="19"/>
        <v>9.0660000000000007</v>
      </c>
      <c r="BH24" s="24">
        <f t="shared" si="20"/>
        <v>8.9740000000000002</v>
      </c>
      <c r="BI24" s="86"/>
      <c r="BJ24" s="35">
        <f t="shared" si="49"/>
        <v>32</v>
      </c>
      <c r="BK24" s="25">
        <f t="shared" si="21"/>
        <v>916</v>
      </c>
      <c r="BL24" s="25">
        <f>IF(BJ24&lt;RAM,SUM(BK24:INDEX(Daix,RAM-BeginnAlter))," ")</f>
        <v>126311</v>
      </c>
      <c r="BM24" s="25">
        <f>IF(BJ24&lt;RAM,SUM(BL24:INDEX(Naix,RAM-BeginnAlter))," ")</f>
        <v>3092259</v>
      </c>
      <c r="BN24" s="24">
        <f t="shared" si="22"/>
        <v>4.3019999999999996</v>
      </c>
      <c r="BO24" s="24">
        <f t="shared" si="23"/>
        <v>2.6160000000000001</v>
      </c>
      <c r="BP24" s="86"/>
      <c r="BQ24" s="35">
        <f t="shared" si="50"/>
        <v>32</v>
      </c>
      <c r="BR24" s="25">
        <f t="shared" si="51"/>
        <v>766</v>
      </c>
      <c r="BS24" s="25">
        <f>IF(BQ24&lt;RAM,SUM(BR24:INDEX(Daixs,RAM-BeginnAlter))," ")</f>
        <v>47378</v>
      </c>
      <c r="BT24" s="25">
        <f>IF(BQ24&lt;RAM,SUM(BS24:INDEX(Naixs,RAM-BeginnAlter))," ")</f>
        <v>936975</v>
      </c>
      <c r="BU24" s="24">
        <f t="shared" si="52"/>
        <v>5.9370000000000003</v>
      </c>
      <c r="BV24" s="24">
        <f t="shared" si="53"/>
        <v>0.98099999999999998</v>
      </c>
      <c r="BW24" s="86"/>
      <c r="BX24" s="35">
        <f t="shared" si="54"/>
        <v>32</v>
      </c>
      <c r="BY24" s="10">
        <f t="shared" si="24"/>
        <v>13.423310125177846</v>
      </c>
      <c r="BZ24" s="11">
        <f t="shared" si="25"/>
        <v>682</v>
      </c>
      <c r="CA24" s="25">
        <f>IF(S25&lt;=RAK,IF($BX24&lt;RAM,SUM(BZ24:INDEX(Dazx,RAM-BeginnAlter)),""),"")</f>
        <v>19447</v>
      </c>
      <c r="CB24" s="24">
        <f t="shared" si="26"/>
        <v>0.40300000000000002</v>
      </c>
      <c r="CC24" s="25">
        <f t="shared" si="27"/>
        <v>30065</v>
      </c>
      <c r="CD24" s="24">
        <f t="shared" si="28"/>
        <v>20.417000000000002</v>
      </c>
      <c r="CE24" s="24">
        <f t="shared" si="29"/>
        <v>2.1000000000000001E-2</v>
      </c>
      <c r="CF24" s="86"/>
      <c r="CG24" s="35">
        <f t="shared" si="55"/>
        <v>32</v>
      </c>
      <c r="CH24" s="25">
        <f>IF(CG24&lt;RAM,ROUND(v^($CG24+FaktorAlter)*$H24*($B24*0.5*($P24+$P25)*(VLOOKUP(TRUNC(0.5*($Q24+$Q25),0),Frauen!$AZ$9:$BD$95,5)+(0.5*($Q24+$Q25)-TRUNC(0.5*($Q24+$Q25),0))*(VLOOKUP(TRUNC(0.5*($Q24+$Q25)+1,0),Frauen!$AZ$9:$BD$95,5)-VLOOKUP(TRUNC(0.5*($Q24+$Q25),0),Frauen!$AZ$9:$BD$95,5)))+$C24*0.5*($CN24+$CN25)),RundDx),"")</f>
        <v>678</v>
      </c>
      <c r="CI24" s="25">
        <f>IF(CG24&lt;RAM,ROUND(SUM(CH24:INDEX(Dawx,RAM-BeginnAlter))+INDEX(Dax,RAM-BeginnAlter+1)*INDEX(äwx,1),RundDx),"")</f>
        <v>164967</v>
      </c>
      <c r="CJ24" s="25">
        <f>IF(CG24&lt;RAM,ROUND(SUM(CI24:INDEX(Nawx,RAM-BeginnAlter))+INDEX(Dax,RAM-BeginnAlter+1)*INDEX(äwx,1),RundDx),"")</f>
        <v>4651166</v>
      </c>
      <c r="CK24" s="24">
        <f t="shared" si="56"/>
        <v>3.4159999999999999</v>
      </c>
      <c r="CL24" s="25">
        <f>IF(CG24&lt;RAM,ROUND(v^($CG24+FaktorAlter)*$L24*$D24*0.5*($P24+$P25)*(VLOOKUP(TRUNC(0.5*($Q24+$Q25),0),Frauen!$AZ$9:$BD$95,5)+(0.5*($Q24+$Q25)-TRUNC(0.5*($Q24+$Q25),0))*(VLOOKUP(TRUNC(0.5*($Q24+$Q25)+1,0),Frauen!$AZ$9:$BD$95,5)-VLOOKUP(TRUNC(0.5*($Q24+$Q25),0),Frauen!$AZ$9:$BD$95,5))),RundDx),"")</f>
        <v>17252</v>
      </c>
      <c r="CM24" s="25">
        <f>IF(CG24&lt;RAM,SUM(CL24:INDEX(Diwx,RAM-BeginnAlter))+INDEX(Dix,RAM-BeginnAlter+1)*INDEX(äwx,1),"")</f>
        <v>626524.41399999999</v>
      </c>
      <c r="CN24" s="24">
        <f t="shared" si="57"/>
        <v>7.423</v>
      </c>
      <c r="CO24" s="86"/>
      <c r="CP24" s="35">
        <f t="shared" si="58"/>
        <v>80</v>
      </c>
      <c r="CQ24" s="11">
        <f>ROUND(v^($CP24+FaktorAlter)*VLOOKUP(CP24,G$9:J$102,4)*VLOOKUP(CP24,A$9:E$102,5)*0.5*(VLOOKUP(CP24,O$9:P$102,2)+VLOOKUP(CP24+1,O$9:P$102,2))*(VLOOKUP(TRUNC(0.5*(VLOOKUP(CP24,O$9:Q$102,3)+VLOOKUP(CP24+1,O$9:Q$102,3)),0),Frauen!$AZ$9:$BD$95,5)+(0.5*(VLOOKUP(CP24,O$9:Q$102,3)+VLOOKUP(CP24+1,O$9:Q$102,3))-TRUNC(0.5*(VLOOKUP(CP24,O$9:Q$102,3)+VLOOKUP(CP24+1,O$9:Q$102,3)),0))*(VLOOKUP(TRUNC(0.5*(VLOOKUP(CP24,O$9:Q$102,3)+VLOOKUP(CP24+1,O$9:Q$102,3))+1,0),Frauen!$AZ$9:$BD$95,5)-VLOOKUP(TRUNC(0.5*(VLOOKUP(CP24,O$9:Q$102,3)+VLOOKUP(CP24+1,O$9:Q$102,3)),0),Frauen!$AZ$9:$BD$95,5))),RundDx)</f>
        <v>4410</v>
      </c>
      <c r="CR24" s="25">
        <f>SUM(CQ24:CQ$56)</f>
        <v>36556</v>
      </c>
      <c r="CS24" s="24">
        <f t="shared" si="30"/>
        <v>3.9889999999999999</v>
      </c>
      <c r="CT24" s="86"/>
      <c r="CU24" s="35">
        <f t="shared" si="59"/>
        <v>32</v>
      </c>
      <c r="CV24" s="25">
        <f>IF($CU24&gt;=RAM,"",IF($CU24-CV$103&lt;BeginnAlter,"",ROUND(v^($CU24+FaktorAlter)*$L24*$D24*0.5*(VLOOKUP($CU24-CV$103,Frauen!$G$9:$J$102,4)+VLOOKUP($CU24-CV$103+1,Frauen!$G$9:$J$102,4))*0.5*(VLOOKUP($CU24-CV$103,Frauen!$AZ$9:$BD$102,5)+VLOOKUP($CU24-CV$103+1,Frauen!$AZ$9:$BD$102,5)),RundDx)))</f>
        <v>3385774839</v>
      </c>
      <c r="CW24" s="25">
        <f>IF($CU24&gt;=RAM,"",IF($CU24-CW$103&lt;BeginnAlter,"",ROUND(v^($CU24+FaktorAlter)*$L24*$D24*0.5*(VLOOKUP($CU24-CW$103,Frauen!$G$9:$J$102,4)+VLOOKUP($CU24-CW$103+1,Frauen!$G$9:$J$102,4))*0.5*(VLOOKUP($CU24-CW$103,Frauen!$AZ$9:$BD$102,5)+VLOOKUP($CU24-CW$103+1,Frauen!$AZ$9:$BD$102,5)),RundDx)))</f>
        <v>3449608503</v>
      </c>
      <c r="CX24" s="25">
        <f>IF($CU24&gt;=RAM,"",IF($CU24-CX$103&lt;BeginnAlter,"",ROUND(v^($CU24+FaktorAlter)*$L24*$D24*0.5*(VLOOKUP($CU24-CX$103,Frauen!$G$9:$J$102,4)+VLOOKUP($CU24-CX$103+1,Frauen!$G$9:$J$102,4))*0.5*(VLOOKUP($CU24-CX$103,Frauen!$AZ$9:$BD$102,5)+VLOOKUP($CU24-CX$103+1,Frauen!$AZ$9:$BD$102,5)),RundDx)))</f>
        <v>3511965936</v>
      </c>
      <c r="CY24" s="25">
        <f>IF($CU24&gt;=RAM,"",IF($CU24-CY$103&lt;BeginnAlter,"",ROUND(v^($CU24+FaktorAlter)*$L24*$D24*0.5*(VLOOKUP($CU24-CY$103,Frauen!$G$9:$J$102,4)+VLOOKUP($CU24-CY$103+1,Frauen!$G$9:$J$102,4))*0.5*(VLOOKUP($CU24-CY$103,Frauen!$AZ$9:$BD$102,5)+VLOOKUP($CU24-CY$103+1,Frauen!$AZ$9:$BD$102,5)),RundDx)))</f>
        <v>3572867409</v>
      </c>
      <c r="CZ24" s="25">
        <f>IF($CU24&gt;=RAM,"",IF($CU24-CZ$103&lt;BeginnAlter,"",ROUND(v^($CU24+FaktorAlter)*$L24*$D24*0.5*(VLOOKUP($CU24-CZ$103,Frauen!$G$9:$J$102,4)+VLOOKUP($CU24-CZ$103+1,Frauen!$G$9:$J$102,4))*0.5*(VLOOKUP($CU24-CZ$103,Frauen!$AZ$9:$BD$102,5)+VLOOKUP($CU24-CZ$103+1,Frauen!$AZ$9:$BD$102,5)),RundDx)))</f>
        <v>3632458024</v>
      </c>
      <c r="DA24" s="25">
        <f>IF($CU24&gt;=RAM,"",IF($CU24-DA$103&lt;BeginnAlter,"",ROUND(v^($CU24+FaktorAlter)*$L24*$D24*0.5*(VLOOKUP($CU24-DA$103,Frauen!$G$9:$J$102,4)+VLOOKUP($CU24-DA$103+1,Frauen!$G$9:$J$102,4))*0.5*(VLOOKUP($CU24-DA$103,Frauen!$AZ$9:$BD$102,5)+VLOOKUP($CU24-DA$103+1,Frauen!$AZ$9:$BD$102,5)),RundDx)))</f>
        <v>3690766469</v>
      </c>
      <c r="DB24" s="25">
        <f>IF($CU24&gt;=RAM,"",IF($CU24-DB$103&lt;BeginnAlter,"",ROUND(v^($CU24+FaktorAlter)*$L24*$D24*0.5*(VLOOKUP($CU24-DB$103,Frauen!$G$9:$J$102,4)+VLOOKUP($CU24-DB$103+1,Frauen!$G$9:$J$102,4))*0.5*(VLOOKUP($CU24-DB$103,Frauen!$AZ$9:$BD$102,5)+VLOOKUP($CU24-DB$103+1,Frauen!$AZ$9:$BD$102,5)),RundDx)))</f>
        <v>3747806476</v>
      </c>
      <c r="DC24" s="25">
        <f>IF($CU24&gt;=RAM,"",IF($CU24-DC$103&lt;BeginnAlter,"",ROUND(v^($CU24+FaktorAlter)*$L24*$D24*0.5*(VLOOKUP($CU24-DC$103,Frauen!$G$9:$J$102,4)+VLOOKUP($CU24-DC$103+1,Frauen!$G$9:$J$102,4))*0.5*(VLOOKUP($CU24-DC$103,Frauen!$AZ$9:$BD$102,5)+VLOOKUP($CU24-DC$103+1,Frauen!$AZ$9:$BD$102,5)),RundDx)))</f>
        <v>3803575373</v>
      </c>
      <c r="DD24" s="25">
        <f>IF($CU24&gt;=RAM,"",IF($CU24-DD$103&lt;BeginnAlter,"",ROUND(v^($CU24+FaktorAlter)*$L24*$D24*0.5*(VLOOKUP($CU24-DD$103,Frauen!$G$9:$J$102,4)+VLOOKUP($CU24-DD$103+1,Frauen!$G$9:$J$102,4))*0.5*(VLOOKUP($CU24-DD$103,Frauen!$AZ$9:$BD$102,5)+VLOOKUP($CU24-DD$103+1,Frauen!$AZ$9:$BD$102,5)),RundDx)))</f>
        <v>3858111176</v>
      </c>
      <c r="DE24" s="25">
        <f>IF($CU24&gt;=RAM,"",IF($CU24-DE$103&lt;BeginnAlter,"",ROUND(v^($CU24+FaktorAlter)*$L24*$D24*0.5*(VLOOKUP($CU24-DE$103,Frauen!$G$9:$J$102,4)+VLOOKUP($CU24-DE$103+1,Frauen!$G$9:$J$102,4))*0.5*(VLOOKUP($CU24-DE$103,Frauen!$AZ$9:$BD$102,5)+VLOOKUP($CU24-DE$103+1,Frauen!$AZ$9:$BD$102,5)),RundDx)))</f>
        <v>3911435824</v>
      </c>
      <c r="DF24" s="25">
        <f>IF($CU24&gt;=RAM,"",IF($CU24-DF$103&lt;BeginnAlter,"",ROUND(v^($CU24+FaktorAlter)*$L24*$D24*0.5*(VLOOKUP($CU24-DF$103,Frauen!$G$9:$J$102,4)+VLOOKUP($CU24-DF$103+1,Frauen!$G$9:$J$102,4))*0.5*(VLOOKUP($CU24-DF$103,Frauen!$AZ$9:$BD$102,5)+VLOOKUP($CU24-DF$103+1,Frauen!$AZ$9:$BD$102,5)),RundDx)))</f>
        <v>3963643663</v>
      </c>
      <c r="DG24" s="25">
        <f>IF($CU24&gt;=RAM,"",IF($CU24-DG$103&lt;BeginnAlter,"",ROUND(v^($CU24+FaktorAlter)*$L24*$D24*0.5*(VLOOKUP($CU24-DG$103,Frauen!$G$9:$J$102,4)+VLOOKUP($CU24-DG$103+1,Frauen!$G$9:$J$102,4))*0.5*(VLOOKUP($CU24-DG$103,Frauen!$AZ$9:$BD$102,5)+VLOOKUP($CU24-DG$103+1,Frauen!$AZ$9:$BD$102,5)),RundDx)))</f>
        <v>4014831689</v>
      </c>
      <c r="DH24" s="25">
        <f>IF($CU24&gt;=RAM,"",IF($CU24-DH$103&lt;BeginnAlter,"",ROUND(v^($CU24+FaktorAlter)*$L24*$D24*0.5*(VLOOKUP($CU24-DH$103,Frauen!$G$9:$J$102,4)+VLOOKUP($CU24-DH$103+1,Frauen!$G$9:$J$102,4))*0.5*(VLOOKUP($CU24-DH$103,Frauen!$AZ$9:$BD$102,5)+VLOOKUP($CU24-DH$103+1,Frauen!$AZ$9:$BD$102,5)),RundDx)))</f>
        <v>4065029436</v>
      </c>
      <c r="DI24" s="25">
        <f>IF($CU24&gt;=RAM,"",IF($CU24-DI$103&lt;BeginnAlter,"",ROUND(v^($CU24+FaktorAlter)*$L24*$D24*0.5*(VLOOKUP($CU24-DI$103,Frauen!$G$9:$J$102,4)+VLOOKUP($CU24-DI$103+1,Frauen!$G$9:$J$102,4))*0.5*(VLOOKUP($CU24-DI$103,Frauen!$AZ$9:$BD$102,5)+VLOOKUP($CU24-DI$103+1,Frauen!$AZ$9:$BD$102,5)),RundDx)))</f>
        <v>4114198614</v>
      </c>
      <c r="DJ24" s="25">
        <f>IF($CU24&gt;=RAM,"",IF($CU24-DJ$103&lt;BeginnAlter,"",ROUND(v^($CU24+FaktorAlter)*$L24*$D24*0.5*(VLOOKUP($CU24-DJ$103,Frauen!$G$9:$J$102,4)+VLOOKUP($CU24-DJ$103+1,Frauen!$G$9:$J$102,4))*0.5*(VLOOKUP($CU24-DJ$103,Frauen!$AZ$9:$BD$102,5)+VLOOKUP($CU24-DJ$103+1,Frauen!$AZ$9:$BD$102,5)),RundDx)))</f>
        <v>4162352007</v>
      </c>
      <c r="DK24" s="25">
        <f>IF($CU24&gt;=RAM,"",IF($CU24-DK$103&lt;BeginnAlter,"",ROUND(v^($CU24+FaktorAlter)*$L24*$D24*0.5*(VLOOKUP($CU24-DK$103,Frauen!$G$9:$J$102,4)+VLOOKUP($CU24-DK$103+1,Frauen!$G$9:$J$102,4))*0.5*(VLOOKUP($CU24-DK$103,Frauen!$AZ$9:$BD$102,5)+VLOOKUP($CU24-DK$103+1,Frauen!$AZ$9:$BD$102,5)),RundDx)))</f>
        <v>4209503545</v>
      </c>
      <c r="DL24" s="25">
        <f>IF($CU24&gt;=RAM,"",IF($CU24-DL$103&lt;BeginnAlter,"",ROUND(v^($CU24+FaktorAlter)*$L24*$D24*0.5*(VLOOKUP($CU24-DL$103,Frauen!$G$9:$J$102,4)+VLOOKUP($CU24-DL$103+1,Frauen!$G$9:$J$102,4))*0.5*(VLOOKUP($CU24-DL$103,Frauen!$AZ$9:$BD$102,5)+VLOOKUP($CU24-DL$103+1,Frauen!$AZ$9:$BD$102,5)),RundDx)))</f>
        <v>4255738408</v>
      </c>
      <c r="DM24" s="25">
        <f>IF($CU24&gt;=RAM,"",IF($CU24-DM$103&lt;BeginnAlter,"",ROUND(v^($CU24+FaktorAlter)*$L24*$D24*0.5*(VLOOKUP($CU24-DM$103,Frauen!$G$9:$J$102,4)+VLOOKUP($CU24-DM$103+1,Frauen!$G$9:$J$102,4))*0.5*(VLOOKUP($CU24-DM$103,Frauen!$AZ$9:$BD$102,5)+VLOOKUP($CU24-DM$103+1,Frauen!$AZ$9:$BD$102,5)),RundDx)))</f>
        <v>4301072791</v>
      </c>
      <c r="DN24" s="25">
        <f>IF($CU24&gt;=RAM,"",IF($CU24-DN$103&lt;BeginnAlter,"",ROUND(v^($CU24+FaktorAlter)*$L24*$D24*0.5*(VLOOKUP($CU24-DN$103,Frauen!$G$9:$J$102,4)+VLOOKUP($CU24-DN$103+1,Frauen!$G$9:$J$102,4))*0.5*(VLOOKUP($CU24-DN$103,Frauen!$AZ$9:$BD$102,5)+VLOOKUP($CU24-DN$103+1,Frauen!$AZ$9:$BD$102,5)),RundDx)))</f>
        <v>4345453667</v>
      </c>
      <c r="DO24" s="25">
        <f>IF($CU24&gt;=RAM,"",IF($CU24-DO$103&lt;BeginnAlter,"",ROUND(v^($CU24+FaktorAlter)*$L24*$D24*0.5*(VLOOKUP($CU24-DO$103,Frauen!$G$9:$J$102,4)+VLOOKUP($CU24-DO$103+1,Frauen!$G$9:$J$102,4))*0.5*(VLOOKUP($CU24-DO$103,Frauen!$AZ$9:$BD$102,5)+VLOOKUP($CU24-DO$103+1,Frauen!$AZ$9:$BD$102,5)),RundDx)))</f>
        <v>4388877068</v>
      </c>
      <c r="DP24" s="25">
        <f>IF($CU24&gt;=RAM,"",IF($CU24-DP$103&lt;BeginnAlter,"",ROUND(v^($CU24+FaktorAlter)*$L24*$D24*0.5*(VLOOKUP($CU24-DP$103,Frauen!$G$9:$J$102,4)+VLOOKUP($CU24-DP$103+1,Frauen!$G$9:$J$102,4))*0.5*(VLOOKUP($CU24-DP$103,Frauen!$AZ$9:$BD$102,5)+VLOOKUP($CU24-DP$103+1,Frauen!$AZ$9:$BD$102,5)),RundDx)))</f>
        <v>4431387216</v>
      </c>
      <c r="DQ24" s="25">
        <f>IF($CU24&gt;=RAM,"",IF($CU24-DQ$103&lt;BeginnAlter,"",ROUND(v^($CU24+FaktorAlter)*$L24*$D24*0.5*(VLOOKUP($CU24-DQ$103,Frauen!$G$9:$J$102,4)+VLOOKUP($CU24-DQ$103+1,Frauen!$G$9:$J$102,4))*0.5*(VLOOKUP($CU24-DQ$103,Frauen!$AZ$9:$BD$102,5)+VLOOKUP($CU24-DQ$103+1,Frauen!$AZ$9:$BD$102,5)),RundDx)))</f>
        <v>4473098103</v>
      </c>
      <c r="DR24" s="25">
        <f>IF($CU24&gt;=RAM,"",IF($CU24-DR$103&lt;BeginnAlter,"",ROUND(v^($CU24+FaktorAlter)*$L24*$D24*0.5*(VLOOKUP($CU24-DR$103,Frauen!$G$9:$J$102,4)+VLOOKUP($CU24-DR$103+1,Frauen!$G$9:$J$102,4))*0.5*(VLOOKUP($CU24-DR$103,Frauen!$AZ$9:$BD$102,5)+VLOOKUP($CU24-DR$103+1,Frauen!$AZ$9:$BD$102,5)),RundDx)))</f>
        <v>4513912238</v>
      </c>
      <c r="DS24" s="25">
        <f>IF($CU24&gt;=RAM,"",IF($CU24-DS$103&lt;BeginnAlter,"",ROUND(v^($CU24+FaktorAlter)*$L24*$D24*0.5*(VLOOKUP($CU24-DS$103,Frauen!$G$9:$J$102,4)+VLOOKUP($CU24-DS$103+1,Frauen!$G$9:$J$102,4))*0.5*(VLOOKUP($CU24-DS$103,Frauen!$AZ$9:$BD$102,5)+VLOOKUP($CU24-DS$103+1,Frauen!$AZ$9:$BD$102,5)),RundDx)))</f>
        <v>4553872148</v>
      </c>
      <c r="DT24" s="25">
        <f>IF($CU24&gt;=RAM,"",IF($CU24-DT$103&lt;BeginnAlter,"",ROUND(v^($CU24+FaktorAlter)*$L24*$D24*0.5*(VLOOKUP($CU24-DT$103,Frauen!$G$9:$J$102,4)+VLOOKUP($CU24-DT$103+1,Frauen!$G$9:$J$102,4))*0.5*(VLOOKUP($CU24-DT$103,Frauen!$AZ$9:$BD$102,5)+VLOOKUP($CU24-DT$103+1,Frauen!$AZ$9:$BD$102,5)),RundDx)))</f>
        <v>4593042852</v>
      </c>
      <c r="DU24" s="25">
        <f>IF($CU24&gt;=RAM,"",IF($CU24-DU$103&lt;BeginnAlter,"",ROUND(v^($CU24+FaktorAlter)*$L24*$D24*0.5*(VLOOKUP($CU24-DU$103,Frauen!$G$9:$J$102,4)+VLOOKUP($CU24-DU$103+1,Frauen!$G$9:$J$102,4))*0.5*(VLOOKUP($CU24-DU$103,Frauen!$AZ$9:$BD$102,5)+VLOOKUP($CU24-DU$103+1,Frauen!$AZ$9:$BD$102,5)),RundDx)))</f>
        <v>4631396022</v>
      </c>
      <c r="DV24" s="25">
        <f>IF($CU24&gt;=RAM,"",IF($CU24-DV$103&lt;BeginnAlter,"",ROUND(v^($CU24+FaktorAlter)*$L24*$D24*0.5*(VLOOKUP($CU24-DV$103,Frauen!$G$9:$J$102,4)+VLOOKUP($CU24-DV$103+1,Frauen!$G$9:$J$102,4))*0.5*(VLOOKUP($CU24-DV$103,Frauen!$AZ$9:$BD$102,5)+VLOOKUP($CU24-DV$103+1,Frauen!$AZ$9:$BD$102,5)),RundDx)))</f>
        <v>4668973191</v>
      </c>
      <c r="DW24" s="25">
        <f>IF($CU24&gt;=RAM,"",IF($CU24-DW$103&lt;BeginnAlter,"",ROUND(v^($CU24+FaktorAlter)*$L24*$D24*0.5*(VLOOKUP($CU24-DW$103,Frauen!$G$9:$J$102,4)+VLOOKUP($CU24-DW$103+1,Frauen!$G$9:$J$102,4))*0.5*(VLOOKUP($CU24-DW$103,Frauen!$AZ$9:$BD$102,5)+VLOOKUP($CU24-DW$103+1,Frauen!$AZ$9:$BD$102,5)),RundDx)))</f>
        <v>4705698035</v>
      </c>
      <c r="DX24" s="25">
        <f>IF($CU24&gt;=RAM,"",IF($CU24-DX$103&lt;BeginnAlter,"",ROUND(v^($CU24+FaktorAlter)*$L24*$D24*0.5*(VLOOKUP($CU24-DX$103,Frauen!$G$9:$J$102,4)+VLOOKUP($CU24-DX$103+1,Frauen!$G$9:$J$102,4))*0.5*(VLOOKUP($CU24-DX$103,Frauen!$AZ$9:$BD$102,5)+VLOOKUP($CU24-DX$103+1,Frauen!$AZ$9:$BD$102,5)),RundDx)))</f>
        <v>4741588533</v>
      </c>
      <c r="DY24" s="25">
        <f>IF($CU24&gt;=RAM,"",IF($CU24-DY$103&lt;BeginnAlter,"",ROUND(v^($CU24+FaktorAlter)*$L24*$D24*0.5*(VLOOKUP($CU24-DY$103,Frauen!$G$9:$J$102,4)+VLOOKUP($CU24-DY$103+1,Frauen!$G$9:$J$102,4))*0.5*(VLOOKUP($CU24-DY$103,Frauen!$AZ$9:$BD$102,5)+VLOOKUP($CU24-DY$103+1,Frauen!$AZ$9:$BD$102,5)),RundDx)))</f>
        <v>4776781792</v>
      </c>
      <c r="DZ24" s="25">
        <f>IF($CU24&gt;=RAM,"",IF($CU24-DZ$103&lt;BeginnAlter,"",ROUND(v^($CU24+FaktorAlter)*$L24*$D24*0.5*(VLOOKUP($CU24-DZ$103,Frauen!$G$9:$J$102,4)+VLOOKUP($CU24-DZ$103+1,Frauen!$G$9:$J$102,4))*0.5*(VLOOKUP($CU24-DZ$103,Frauen!$AZ$9:$BD$102,5)+VLOOKUP($CU24-DZ$103+1,Frauen!$AZ$9:$BD$102,5)),RundDx)))</f>
        <v>4811205726</v>
      </c>
      <c r="EA24" s="43">
        <f>IF($CU24&gt;=RAM,"",IF($CU24-EA$103&lt;BeginnAlter,"",ROUND((SUM(CV24:CV$56)+SUM(FN$9:FN$56))/VLOOKUP($CU24,$AH$9:$AI$102,2)/VLOOKUP($CU24-EA$103,Frauen!$G$9:$J$102,4),Rundäx)))</f>
        <v>6.42</v>
      </c>
      <c r="EB24" s="43">
        <f>IF($CU24&gt;=RAM,"",IF($CU24-EB$103&lt;BeginnAlter,"",ROUND((SUM(CW24:CW$56)+SUM(FO$9:FO$56))/VLOOKUP($CU24,$AH$9:$AI$102,2)/VLOOKUP($CU24-EB$103,Frauen!$G$9:$J$102,4),Rundäx)))</f>
        <v>6.6369999999999996</v>
      </c>
      <c r="EC24" s="43">
        <f>IF($CU24&gt;=RAM,"",IF($CU24-EC$103&lt;BeginnAlter,"",ROUND((SUM(CX24:CX$56)+SUM(FP$9:FP$56))/VLOOKUP($CU24,$AH$9:$AI$102,2)/VLOOKUP($CU24-EC$103,Frauen!$G$9:$J$102,4),Rundäx)))</f>
        <v>6.8550000000000004</v>
      </c>
      <c r="ED24" s="43">
        <f>IF($CU24&gt;=RAM,"",IF($CU24-ED$103&lt;BeginnAlter,"",ROUND((SUM(CY24:CY$56)+SUM(FQ$9:FQ$56))/VLOOKUP($CU24,$AH$9:$AI$102,2)/VLOOKUP($CU24-ED$103,Frauen!$G$9:$J$102,4),Rundäx)))</f>
        <v>7.0750000000000002</v>
      </c>
      <c r="EE24" s="43">
        <f>IF($CU24&gt;=RAM,"",IF($CU24-EE$103&lt;BeginnAlter,"",ROUND((SUM(CZ24:CZ$56)+SUM(FR$9:FR$56))/VLOOKUP($CU24,$AH$9:$AI$102,2)/VLOOKUP($CU24-EE$103,Frauen!$G$9:$J$102,4),Rundäx)))</f>
        <v>7.2960000000000003</v>
      </c>
      <c r="EF24" s="43">
        <f>IF($CU24&gt;=RAM,"",IF($CU24-EF$103&lt;BeginnAlter,"",ROUND((SUM(DA24:DA$56)+SUM(FS$9:FS$56))/VLOOKUP($CU24,$AH$9:$AI$102,2)/VLOOKUP($CU24-EF$103,Frauen!$G$9:$J$102,4),Rundäx)))</f>
        <v>7.5190000000000001</v>
      </c>
      <c r="EG24" s="43">
        <f>IF($CU24&gt;=RAM,"",IF($CU24-EG$103&lt;BeginnAlter,"",ROUND((SUM(DB24:DB$56)+SUM(FT$9:FT$56))/VLOOKUP($CU24,$AH$9:$AI$102,2)/VLOOKUP($CU24-EG$103,Frauen!$G$9:$J$102,4),Rundäx)))</f>
        <v>7.7430000000000003</v>
      </c>
      <c r="EH24" s="43">
        <f>IF($CU24&gt;=RAM,"",IF($CU24-EH$103&lt;BeginnAlter,"",ROUND((SUM(DC24:DC$56)+SUM(FU$9:FU$56))/VLOOKUP($CU24,$AH$9:$AI$102,2)/VLOOKUP($CU24-EH$103,Frauen!$G$9:$J$102,4),Rundäx)))</f>
        <v>7.968</v>
      </c>
      <c r="EI24" s="86"/>
      <c r="EJ24" s="35">
        <f t="shared" si="60"/>
        <v>32</v>
      </c>
      <c r="EK24" s="43">
        <f>IF($CU24&gt;=RAM,"",IF($CU24-EK$103&lt;BeginnAlter,"",ROUND((SUM(DD24:DD$56)+SUM(FV$9:FV$56))/VLOOKUP($CU24,$AH$9:$AI$102,2)/VLOOKUP($CU24-EK$103,Frauen!$G$9:$J$102,4),Rundäx)))</f>
        <v>8.1940000000000008</v>
      </c>
      <c r="EL24" s="43">
        <f>IF($CU24&gt;=RAM,"",IF($CU24-EL$103&lt;BeginnAlter,"",ROUND((SUM(DE24:DE$56)+SUM(FW$9:FW$56))/VLOOKUP($CU24,$AH$9:$AI$102,2)/VLOOKUP($CU24-EL$103,Frauen!$G$9:$J$102,4),Rundäx)))</f>
        <v>8.4220000000000006</v>
      </c>
      <c r="EM24" s="43">
        <f>IF($CU24&gt;=RAM,"",IF($CU24-EM$103&lt;BeginnAlter,"",ROUND((SUM(DF24:DF$56)+SUM(FX$9:FX$56))/VLOOKUP($CU24,$AH$9:$AI$102,2)/VLOOKUP($CU24-EM$103,Frauen!$G$9:$J$102,4),Rundäx)))</f>
        <v>8.6509999999999998</v>
      </c>
      <c r="EN24" s="43">
        <f>IF($CU24&gt;=RAM,"",IF($CU24-EN$103&lt;BeginnAlter,"",ROUND((SUM(DG24:DG$56)+SUM(FY$9:FY$56))/VLOOKUP($CU24,$AH$9:$AI$102,2)/VLOOKUP($CU24-EN$103,Frauen!$G$9:$J$102,4),Rundäx)))</f>
        <v>8.8800000000000008</v>
      </c>
      <c r="EO24" s="43">
        <f>IF($CU24&gt;=RAM,"",IF($CU24-EO$103&lt;BeginnAlter,"",ROUND((SUM(DH24:DH$56)+SUM(FZ$9:FZ$56))/VLOOKUP($CU24,$AH$9:$AI$102,2)/VLOOKUP($CU24-EO$103,Frauen!$G$9:$J$102,4),Rundäx)))</f>
        <v>9.11</v>
      </c>
      <c r="EP24" s="43">
        <f>IF($CU24&gt;=RAM,"",IF($CU24-EP$103&lt;BeginnAlter,"",ROUND((SUM(DI24:DI$56)+SUM(GA$9:GA$56))/VLOOKUP($CU24,$AH$9:$AI$102,2)/VLOOKUP($CU24-EP$103,Frauen!$G$9:$J$102,4),Rundäx)))</f>
        <v>9.3409999999999993</v>
      </c>
      <c r="EQ24" s="43">
        <f>IF($CU24&gt;=RAM,"",IF($CU24-EQ$103&lt;BeginnAlter,"",ROUND((SUM(DJ24:DJ$56)+SUM(GB$9:GB$56))/VLOOKUP($CU24,$AH$9:$AI$102,2)/VLOOKUP($CU24-EQ$103,Frauen!$G$9:$J$102,4),Rundäx)))</f>
        <v>9.5719999999999992</v>
      </c>
      <c r="ER24" s="43">
        <f>IF($CU24&gt;=RAM,"",IF($CU24-ER$103&lt;BeginnAlter,"",ROUND((SUM(DK24:DK$56)+SUM(GC$9:GC$56))/VLOOKUP($CU24,$AH$9:$AI$102,2)/VLOOKUP($CU24-ER$103,Frauen!$G$9:$J$102,4),Rundäx)))</f>
        <v>9.8030000000000008</v>
      </c>
      <c r="ES24" s="86"/>
      <c r="ET24" s="35">
        <f t="shared" si="61"/>
        <v>32</v>
      </c>
      <c r="EU24" s="43">
        <f>IF($CU24&gt;=RAM,"",IF($CU24-EU$103&lt;BeginnAlter,"",ROUND((SUM(DL24:DL$56)+SUM(GD$9:GD$56))/VLOOKUP($CU24,$AH$9:$AI$102,2)/VLOOKUP($CU24-EU$103,Frauen!$G$9:$J$102,4),Rundäx)))</f>
        <v>10.035</v>
      </c>
      <c r="EV24" s="43">
        <f>IF($CU24&gt;=RAM,"",IF($CU24-EV$103&lt;BeginnAlter,"",ROUND((SUM(DM24:DM$56)+SUM(GE$9:GE$56))/VLOOKUP($CU24,$AH$9:$AI$102,2)/VLOOKUP($CU24-EV$103,Frauen!$G$9:$J$102,4),Rundäx)))</f>
        <v>10.266</v>
      </c>
      <c r="EW24" s="43">
        <f>IF($CU24&gt;=RAM,"",IF($CU24-EW$103&lt;BeginnAlter,"",ROUND((SUM(DN24:DN$56)+SUM(GF$9:GF$56))/VLOOKUP($CU24,$AH$9:$AI$102,2)/VLOOKUP($CU24-EW$103,Frauen!$G$9:$J$102,4),Rundäx)))</f>
        <v>10.497</v>
      </c>
      <c r="EX24" s="43">
        <f>IF($CU24&gt;=RAM,"",IF($CU24-EX$103&lt;BeginnAlter,"",ROUND((SUM(DO24:DO$56)+SUM(GG$9:GG$56))/VLOOKUP($CU24,$AH$9:$AI$102,2)/VLOOKUP($CU24-EX$103,Frauen!$G$9:$J$102,4),Rundäx)))</f>
        <v>10.727</v>
      </c>
      <c r="EY24" s="43">
        <f>IF($CU24&gt;=RAM,"",IF($CU24-EY$103&lt;BeginnAlter,"",ROUND((SUM(DP24:DP$56)+SUM(GH$9:GH$56))/VLOOKUP($CU24,$AH$9:$AI$102,2)/VLOOKUP($CU24-EY$103,Frauen!$G$9:$J$102,4),Rundäx)))</f>
        <v>10.956</v>
      </c>
      <c r="EZ24" s="43">
        <f>IF($CU24&gt;=RAM,"",IF($CU24-EZ$103&lt;BeginnAlter,"",ROUND((SUM(DQ24:DQ$56)+SUM(GI$9:GI$56))/VLOOKUP($CU24,$AH$9:$AI$102,2)/VLOOKUP($CU24-EZ$103,Frauen!$G$9:$J$102,4),Rundäx)))</f>
        <v>11.183999999999999</v>
      </c>
      <c r="FA24" s="43">
        <f>IF($CU24&gt;=RAM,"",IF($CU24-FA$103&lt;BeginnAlter,"",ROUND((SUM(DR24:DR$56)+SUM(GJ$9:GJ$56))/VLOOKUP($CU24,$AH$9:$AI$102,2)/VLOOKUP($CU24-FA$103,Frauen!$G$9:$J$102,4),Rundäx)))</f>
        <v>11.412000000000001</v>
      </c>
      <c r="FB24" s="43">
        <f>IF($CU24&gt;=RAM,"",IF($CU24-FB$103&lt;BeginnAlter,"",ROUND((SUM(DS24:DS$56)+SUM(GK$9:GK$56))/VLOOKUP($CU24,$AH$9:$AI$102,2)/VLOOKUP($CU24-FB$103,Frauen!$G$9:$J$102,4),Rundäx)))</f>
        <v>11.638</v>
      </c>
      <c r="FC24" s="86"/>
      <c r="FD24" s="35">
        <f t="shared" si="62"/>
        <v>32</v>
      </c>
      <c r="FE24" s="43">
        <f>IF($CU24&gt;=RAM,"",IF($CU24-FE$103&lt;BeginnAlter,"",ROUND((SUM(DT24:DT$56)+SUM(GL$9:GL$56))/VLOOKUP($CU24,$AH$9:$AI$102,2)/VLOOKUP($CU24-FE$103,Frauen!$G$9:$J$102,4),Rundäx)))</f>
        <v>11.862</v>
      </c>
      <c r="FF24" s="43">
        <f>IF($CU24&gt;=RAM,"",IF($CU24-FF$103&lt;BeginnAlter,"",ROUND((SUM(DU24:DU$56)+SUM(GM$9:GM$56))/VLOOKUP($CU24,$AH$9:$AI$102,2)/VLOOKUP($CU24-FF$103,Frauen!$G$9:$J$102,4),Rundäx)))</f>
        <v>12.085000000000001</v>
      </c>
      <c r="FG24" s="43">
        <f>IF($CU24&gt;=RAM,"",IF($CU24-FG$103&lt;BeginnAlter,"",ROUND((SUM(DV24:DV$56)+SUM(GN$9:GN$56))/VLOOKUP($CU24,$AH$9:$AI$102,2)/VLOOKUP($CU24-FG$103,Frauen!$G$9:$J$102,4),Rundäx)))</f>
        <v>12.307</v>
      </c>
      <c r="FH24" s="43">
        <f>IF($CU24&gt;=RAM,"",IF($CU24-FH$103&lt;BeginnAlter,"",ROUND((SUM(DW24:DW$56)+SUM(GO$9:GO$56))/VLOOKUP($CU24,$AH$9:$AI$102,2)/VLOOKUP($CU24-FH$103,Frauen!$G$9:$J$102,4),Rundäx)))</f>
        <v>12.526999999999999</v>
      </c>
      <c r="FI24" s="43">
        <f>IF($CU24&gt;=RAM,"",IF($CU24-FI$103&lt;BeginnAlter,"",ROUND((SUM(DX24:DX$56)+SUM(GP$9:GP$56))/VLOOKUP($CU24,$AH$9:$AI$102,2)/VLOOKUP($CU24-FI$103,Frauen!$G$9:$J$102,4),Rundäx)))</f>
        <v>12.744</v>
      </c>
      <c r="FJ24" s="43">
        <f>IF($CU24&gt;=RAM,"",IF($CU24-FJ$103&lt;BeginnAlter,"",ROUND((SUM(DY24:DY$56)+SUM(GQ$9:GQ$56))/VLOOKUP($CU24,$AH$9:$AI$102,2)/VLOOKUP($CU24-FJ$103,Frauen!$G$9:$J$102,4),Rundäx)))</f>
        <v>12.96</v>
      </c>
      <c r="FK24" s="43">
        <f>IF($CU24&gt;=RAM,"",IF($CU24-FK$103&lt;BeginnAlter,"",ROUND((SUM(DZ24:DZ$56)+SUM(GR$9:GR$56))/VLOOKUP($CU24,$AH$9:$AI$102,2)/VLOOKUP($CU24-FK$103,Frauen!$G$9:$J$102,4),Rundäx)))</f>
        <v>13.173</v>
      </c>
      <c r="FL24" s="86"/>
      <c r="FM24" s="35">
        <f t="shared" si="68"/>
        <v>80</v>
      </c>
      <c r="FN24" s="25">
        <f>ROUND(v^($FM24+FaktorAlter)*VLOOKUP($FM24,$G$9:$J$102,4)*VLOOKUP($FM24,$A$9:$E$102,5)*0.5*(VLOOKUP($FM24-FN$103,Frauen!$G$9:$J$102,4)+VLOOKUP($FM24-FN$103+1,Frauen!$G$9:$J$102,4))*0.5*(VLOOKUP($FM24-FN$103,Frauen!$AZ$9:$BD$102,5)+VLOOKUP($FM24-FN$103+1,Frauen!$AZ$9:$BD$102,5)),RundDx)</f>
        <v>11556193</v>
      </c>
      <c r="FO24" s="25">
        <f>ROUND(v^($FM24+FaktorAlter)*VLOOKUP($FM24,$G$9:$J$102,4)*VLOOKUP($FM24,$A$9:$E$102,5)*0.5*(VLOOKUP($FM24-FO$103,Frauen!$G$9:$J$102,4)+VLOOKUP($FM24-FO$103+1,Frauen!$G$9:$J$102,4))*0.5*(VLOOKUP($FM24-FO$103,Frauen!$AZ$9:$BD$102,5)+VLOOKUP($FM24-FO$103+1,Frauen!$AZ$9:$BD$102,5)),RundDx)</f>
        <v>16866064</v>
      </c>
      <c r="FP24" s="25">
        <f>ROUND(v^($FM24+FaktorAlter)*VLOOKUP($FM24,$G$9:$J$102,4)*VLOOKUP($FM24,$A$9:$E$102,5)*0.5*(VLOOKUP($FM24-FP$103,Frauen!$G$9:$J$102,4)+VLOOKUP($FM24-FP$103+1,Frauen!$G$9:$J$102,4))*0.5*(VLOOKUP($FM24-FP$103,Frauen!$AZ$9:$BD$102,5)+VLOOKUP($FM24-FP$103+1,Frauen!$AZ$9:$BD$102,5)),RundDx)</f>
        <v>23831681</v>
      </c>
      <c r="FQ24" s="25">
        <f>ROUND(v^($FM24+FaktorAlter)*VLOOKUP($FM24,$G$9:$J$102,4)*VLOOKUP($FM24,$A$9:$E$102,5)*0.5*(VLOOKUP($FM24-FQ$103,Frauen!$G$9:$J$102,4)+VLOOKUP($FM24-FQ$103+1,Frauen!$G$9:$J$102,4))*0.5*(VLOOKUP($FM24-FQ$103,Frauen!$AZ$9:$BD$102,5)+VLOOKUP($FM24-FQ$103+1,Frauen!$AZ$9:$BD$102,5)),RundDx)</f>
        <v>32755983</v>
      </c>
      <c r="FR24" s="25">
        <f>ROUND(v^($FM24+FaktorAlter)*VLOOKUP($FM24,$G$9:$J$102,4)*VLOOKUP($FM24,$A$9:$E$102,5)*0.5*(VLOOKUP($FM24-FR$103,Frauen!$G$9:$J$102,4)+VLOOKUP($FM24-FR$103+1,Frauen!$G$9:$J$102,4))*0.5*(VLOOKUP($FM24-FR$103,Frauen!$AZ$9:$BD$102,5)+VLOOKUP($FM24-FR$103+1,Frauen!$AZ$9:$BD$102,5)),RundDx)</f>
        <v>43821128</v>
      </c>
      <c r="FS24" s="25">
        <f>ROUND(v^($FM24+FaktorAlter)*VLOOKUP($FM24,$G$9:$J$102,4)*VLOOKUP($FM24,$A$9:$E$102,5)*0.5*(VLOOKUP($FM24-FS$103,Frauen!$G$9:$J$102,4)+VLOOKUP($FM24-FS$103+1,Frauen!$G$9:$J$102,4))*0.5*(VLOOKUP($FM24-FS$103,Frauen!$AZ$9:$BD$102,5)+VLOOKUP($FM24-FS$103+1,Frauen!$AZ$9:$BD$102,5)),RundDx)</f>
        <v>57048695</v>
      </c>
      <c r="FT24" s="25">
        <f>ROUND(v^($FM24+FaktorAlter)*VLOOKUP($FM24,$G$9:$J$102,4)*VLOOKUP($FM24,$A$9:$E$102,5)*0.5*(VLOOKUP($FM24-FT$103,Frauen!$G$9:$J$102,4)+VLOOKUP($FM24-FT$103+1,Frauen!$G$9:$J$102,4))*0.5*(VLOOKUP($FM24-FT$103,Frauen!$AZ$9:$BD$102,5)+VLOOKUP($FM24-FT$103+1,Frauen!$AZ$9:$BD$102,5)),RundDx)</f>
        <v>72552151</v>
      </c>
      <c r="FU24" s="25">
        <f>ROUND(v^($FM24+FaktorAlter)*VLOOKUP($FM24,$G$9:$J$102,4)*VLOOKUP($FM24,$A$9:$E$102,5)*0.5*(VLOOKUP($FM24-FU$103,Frauen!$G$9:$J$102,4)+VLOOKUP($FM24-FU$103+1,Frauen!$G$9:$J$102,4))*0.5*(VLOOKUP($FM24-FU$103,Frauen!$AZ$9:$BD$102,5)+VLOOKUP($FM24-FU$103+1,Frauen!$AZ$9:$BD$102,5)),RundDx)</f>
        <v>90351387</v>
      </c>
      <c r="FV24" s="25">
        <f>ROUND(v^($FM24+FaktorAlter)*VLOOKUP($FM24,$G$9:$J$102,4)*VLOOKUP($FM24,$A$9:$E$102,5)*0.5*(VLOOKUP($FM24-FV$103,Frauen!$G$9:$J$102,4)+VLOOKUP($FM24-FV$103+1,Frauen!$G$9:$J$102,4))*0.5*(VLOOKUP($FM24-FV$103,Frauen!$AZ$9:$BD$102,5)+VLOOKUP($FM24-FV$103+1,Frauen!$AZ$9:$BD$102,5)),RundDx)</f>
        <v>110391451</v>
      </c>
      <c r="FW24" s="25">
        <f>ROUND(v^($FM24+FaktorAlter)*VLOOKUP($FM24,$G$9:$J$102,4)*VLOOKUP($FM24,$A$9:$E$102,5)*0.5*(VLOOKUP($FM24-FW$103,Frauen!$G$9:$J$102,4)+VLOOKUP($FM24-FW$103+1,Frauen!$G$9:$J$102,4))*0.5*(VLOOKUP($FM24-FW$103,Frauen!$AZ$9:$BD$102,5)+VLOOKUP($FM24-FW$103+1,Frauen!$AZ$9:$BD$102,5)),RundDx)</f>
        <v>132570351</v>
      </c>
      <c r="FX24" s="25">
        <f>ROUND(v^($FM24+FaktorAlter)*VLOOKUP($FM24,$G$9:$J$102,4)*VLOOKUP($FM24,$A$9:$E$102,5)*0.5*(VLOOKUP($FM24-FX$103,Frauen!$G$9:$J$102,4)+VLOOKUP($FM24-FX$103+1,Frauen!$G$9:$J$102,4))*0.5*(VLOOKUP($FM24-FX$103,Frauen!$AZ$9:$BD$102,5)+VLOOKUP($FM24-FX$103+1,Frauen!$AZ$9:$BD$102,5)),RundDx)</f>
        <v>156675260</v>
      </c>
      <c r="FY24" s="25">
        <f>ROUND(v^($FM24+FaktorAlter)*VLOOKUP($FM24,$G$9:$J$102,4)*VLOOKUP($FM24,$A$9:$E$102,5)*0.5*(VLOOKUP($FM24-FY$103,Frauen!$G$9:$J$102,4)+VLOOKUP($FM24-FY$103+1,Frauen!$G$9:$J$102,4))*0.5*(VLOOKUP($FM24-FY$103,Frauen!$AZ$9:$BD$102,5)+VLOOKUP($FM24-FY$103+1,Frauen!$AZ$9:$BD$102,5)),RundDx)</f>
        <v>182450730</v>
      </c>
      <c r="FZ24" s="25">
        <f>ROUND(v^($FM24+FaktorAlter)*VLOOKUP($FM24,$G$9:$J$102,4)*VLOOKUP($FM24,$A$9:$E$102,5)*0.5*(VLOOKUP($FM24-FZ$103,Frauen!$G$9:$J$102,4)+VLOOKUP($FM24-FZ$103+1,Frauen!$G$9:$J$102,4))*0.5*(VLOOKUP($FM24-FZ$103,Frauen!$AZ$9:$BD$102,5)+VLOOKUP($FM24-FZ$103+1,Frauen!$AZ$9:$BD$102,5)),RundDx)</f>
        <v>209644046</v>
      </c>
      <c r="GA24" s="25">
        <f>ROUND(v^($FM24+FaktorAlter)*VLOOKUP($FM24,$G$9:$J$102,4)*VLOOKUP($FM24,$A$9:$E$102,5)*0.5*(VLOOKUP($FM24-GA$103,Frauen!$G$9:$J$102,4)+VLOOKUP($FM24-GA$103+1,Frauen!$G$9:$J$102,4))*0.5*(VLOOKUP($FM24-GA$103,Frauen!$AZ$9:$BD$102,5)+VLOOKUP($FM24-GA$103+1,Frauen!$AZ$9:$BD$102,5)),RundDx)</f>
        <v>237956073</v>
      </c>
      <c r="GB24" s="25">
        <f>ROUND(v^($FM24+FaktorAlter)*VLOOKUP($FM24,$G$9:$J$102,4)*VLOOKUP($FM24,$A$9:$E$102,5)*0.5*(VLOOKUP($FM24-GB$103,Frauen!$G$9:$J$102,4)+VLOOKUP($FM24-GB$103+1,Frauen!$G$9:$J$102,4))*0.5*(VLOOKUP($FM24-GB$103,Frauen!$AZ$9:$BD$102,5)+VLOOKUP($FM24-GB$103+1,Frauen!$AZ$9:$BD$102,5)),RundDx)</f>
        <v>267104229</v>
      </c>
      <c r="GC24" s="25">
        <f>ROUND(v^($FM24+FaktorAlter)*VLOOKUP($FM24,$G$9:$J$102,4)*VLOOKUP($FM24,$A$9:$E$102,5)*0.5*(VLOOKUP($FM24-GC$103,Frauen!$G$9:$J$102,4)+VLOOKUP($FM24-GC$103+1,Frauen!$G$9:$J$102,4))*0.5*(VLOOKUP($FM24-GC$103,Frauen!$AZ$9:$BD$102,5)+VLOOKUP($FM24-GC$103+1,Frauen!$AZ$9:$BD$102,5)),RundDx)</f>
        <v>296895976</v>
      </c>
      <c r="GD24" s="25">
        <f>ROUND(v^($FM24+FaktorAlter)*VLOOKUP($FM24,$G$9:$J$102,4)*VLOOKUP($FM24,$A$9:$E$102,5)*0.5*(VLOOKUP($FM24-GD$103,Frauen!$G$9:$J$102,4)+VLOOKUP($FM24-GD$103+1,Frauen!$G$9:$J$102,4))*0.5*(VLOOKUP($FM24-GD$103,Frauen!$AZ$9:$BD$102,5)+VLOOKUP($FM24-GD$103+1,Frauen!$AZ$9:$BD$102,5)),RundDx)</f>
        <v>327236835</v>
      </c>
      <c r="GE24" s="25">
        <f>ROUND(v^($FM24+FaktorAlter)*VLOOKUP($FM24,$G$9:$J$102,4)*VLOOKUP($FM24,$A$9:$E$102,5)*0.5*(VLOOKUP($FM24-GE$103,Frauen!$G$9:$J$102,4)+VLOOKUP($FM24-GE$103+1,Frauen!$G$9:$J$102,4))*0.5*(VLOOKUP($FM24-GE$103,Frauen!$AZ$9:$BD$102,5)+VLOOKUP($FM24-GE$103+1,Frauen!$AZ$9:$BD$102,5)),RundDx)</f>
        <v>357998138</v>
      </c>
      <c r="GF24" s="25">
        <f>ROUND(v^($FM24+FaktorAlter)*VLOOKUP($FM24,$G$9:$J$102,4)*VLOOKUP($FM24,$A$9:$E$102,5)*0.5*(VLOOKUP($FM24-GF$103,Frauen!$G$9:$J$102,4)+VLOOKUP($FM24-GF$103+1,Frauen!$G$9:$J$102,4))*0.5*(VLOOKUP($FM24-GF$103,Frauen!$AZ$9:$BD$102,5)+VLOOKUP($FM24-GF$103+1,Frauen!$AZ$9:$BD$102,5)),RundDx)</f>
        <v>389154631</v>
      </c>
      <c r="GG24" s="25">
        <f>ROUND(v^($FM24+FaktorAlter)*VLOOKUP($FM24,$G$9:$J$102,4)*VLOOKUP($FM24,$A$9:$E$102,5)*0.5*(VLOOKUP($FM24-GG$103,Frauen!$G$9:$J$102,4)+VLOOKUP($FM24-GG$103+1,Frauen!$G$9:$J$102,4))*0.5*(VLOOKUP($FM24-GG$103,Frauen!$AZ$9:$BD$102,5)+VLOOKUP($FM24-GG$103+1,Frauen!$AZ$9:$BD$102,5)),RundDx)</f>
        <v>420782363</v>
      </c>
      <c r="GH24" s="25">
        <f>ROUND(v^($FM24+FaktorAlter)*VLOOKUP($FM24,$G$9:$J$102,4)*VLOOKUP($FM24,$A$9:$E$102,5)*0.5*(VLOOKUP($FM24-GH$103,Frauen!$G$9:$J$102,4)+VLOOKUP($FM24-GH$103+1,Frauen!$G$9:$J$102,4))*0.5*(VLOOKUP($FM24-GH$103,Frauen!$AZ$9:$BD$102,5)+VLOOKUP($FM24-GH$103+1,Frauen!$AZ$9:$BD$102,5)),RundDx)</f>
        <v>452912125</v>
      </c>
      <c r="GI24" s="25">
        <f>ROUND(v^($FM24+FaktorAlter)*VLOOKUP($FM24,$G$9:$J$102,4)*VLOOKUP($FM24,$A$9:$E$102,5)*0.5*(VLOOKUP($FM24-GI$103,Frauen!$G$9:$J$102,4)+VLOOKUP($FM24-GI$103+1,Frauen!$G$9:$J$102,4))*0.5*(VLOOKUP($FM24-GI$103,Frauen!$AZ$9:$BD$102,5)+VLOOKUP($FM24-GI$103+1,Frauen!$AZ$9:$BD$102,5)),RundDx)</f>
        <v>485643308</v>
      </c>
      <c r="GJ24" s="25">
        <f>ROUND(v^($FM24+FaktorAlter)*VLOOKUP($FM24,$G$9:$J$102,4)*VLOOKUP($FM24,$A$9:$E$102,5)*0.5*(VLOOKUP($FM24-GJ$103,Frauen!$G$9:$J$102,4)+VLOOKUP($FM24-GJ$103+1,Frauen!$G$9:$J$102,4))*0.5*(VLOOKUP($FM24-GJ$103,Frauen!$AZ$9:$BD$102,5)+VLOOKUP($FM24-GJ$103+1,Frauen!$AZ$9:$BD$102,5)),RundDx)</f>
        <v>518994311</v>
      </c>
      <c r="GK24" s="25">
        <f>ROUND(v^($FM24+FaktorAlter)*VLOOKUP($FM24,$G$9:$J$102,4)*VLOOKUP($FM24,$A$9:$E$102,5)*0.5*(VLOOKUP($FM24-GK$103,Frauen!$G$9:$J$102,4)+VLOOKUP($FM24-GK$103+1,Frauen!$G$9:$J$102,4))*0.5*(VLOOKUP($FM24-GK$103,Frauen!$AZ$9:$BD$102,5)+VLOOKUP($FM24-GK$103+1,Frauen!$AZ$9:$BD$102,5)),RundDx)</f>
        <v>552888463</v>
      </c>
      <c r="GL24" s="25">
        <f>ROUND(v^($FM24+FaktorAlter)*VLOOKUP($FM24,$G$9:$J$102,4)*VLOOKUP($FM24,$A$9:$E$102,5)*0.5*(VLOOKUP($FM24-GL$103,Frauen!$G$9:$J$102,4)+VLOOKUP($FM24-GL$103+1,Frauen!$G$9:$J$102,4))*0.5*(VLOOKUP($FM24-GL$103,Frauen!$AZ$9:$BD$102,5)+VLOOKUP($FM24-GL$103+1,Frauen!$AZ$9:$BD$102,5)),RundDx)</f>
        <v>587177607</v>
      </c>
      <c r="GM24" s="25">
        <f>ROUND(v^($FM24+FaktorAlter)*VLOOKUP($FM24,$G$9:$J$102,4)*VLOOKUP($FM24,$A$9:$E$102,5)*0.5*(VLOOKUP($FM24-GM$103,Frauen!$G$9:$J$102,4)+VLOOKUP($FM24-GM$103+1,Frauen!$G$9:$J$102,4))*0.5*(VLOOKUP($FM24-GM$103,Frauen!$AZ$9:$BD$102,5)+VLOOKUP($FM24-GM$103+1,Frauen!$AZ$9:$BD$102,5)),RundDx)</f>
        <v>621615579</v>
      </c>
      <c r="GN24" s="25">
        <f>ROUND(v^($FM24+FaktorAlter)*VLOOKUP($FM24,$G$9:$J$102,4)*VLOOKUP($FM24,$A$9:$E$102,5)*0.5*(VLOOKUP($FM24-GN$103,Frauen!$G$9:$J$102,4)+VLOOKUP($FM24-GN$103+1,Frauen!$G$9:$J$102,4))*0.5*(VLOOKUP($FM24-GN$103,Frauen!$AZ$9:$BD$102,5)+VLOOKUP($FM24-GN$103+1,Frauen!$AZ$9:$BD$102,5)),RundDx)</f>
        <v>656106483</v>
      </c>
      <c r="GO24" s="25">
        <f>ROUND(v^($FM24+FaktorAlter)*VLOOKUP($FM24,$G$9:$J$102,4)*VLOOKUP($FM24,$A$9:$E$102,5)*0.5*(VLOOKUP($FM24-GO$103,Frauen!$G$9:$J$102,4)+VLOOKUP($FM24-GO$103+1,Frauen!$G$9:$J$102,4))*0.5*(VLOOKUP($FM24-GO$103,Frauen!$AZ$9:$BD$102,5)+VLOOKUP($FM24-GO$103+1,Frauen!$AZ$9:$BD$102,5)),RundDx)</f>
        <v>690586905</v>
      </c>
      <c r="GP24" s="25">
        <f>ROUND(v^($FM24+FaktorAlter)*VLOOKUP($FM24,$G$9:$J$102,4)*VLOOKUP($FM24,$A$9:$E$102,5)*0.5*(VLOOKUP($FM24-GP$103,Frauen!$G$9:$J$102,4)+VLOOKUP($FM24-GP$103+1,Frauen!$G$9:$J$102,4))*0.5*(VLOOKUP($FM24-GP$103,Frauen!$AZ$9:$BD$102,5)+VLOOKUP($FM24-GP$103+1,Frauen!$AZ$9:$BD$102,5)),RundDx)</f>
        <v>724822869</v>
      </c>
      <c r="GQ24" s="25">
        <f>ROUND(v^($FM24+FaktorAlter)*VLOOKUP($FM24,$G$9:$J$102,4)*VLOOKUP($FM24,$A$9:$E$102,5)*0.5*(VLOOKUP($FM24-GQ$103,Frauen!$G$9:$J$102,4)+VLOOKUP($FM24-GQ$103+1,Frauen!$G$9:$J$102,4))*0.5*(VLOOKUP($FM24-GQ$103,Frauen!$AZ$9:$BD$102,5)+VLOOKUP($FM24-GQ$103+1,Frauen!$AZ$9:$BD$102,5)),RundDx)</f>
        <v>758679006</v>
      </c>
      <c r="GR24" s="25">
        <f>ROUND(v^($FM24+FaktorAlter)*VLOOKUP($FM24,$G$9:$J$102,4)*VLOOKUP($FM24,$A$9:$E$102,5)*0.5*(VLOOKUP($FM24-GR$103,Frauen!$G$9:$J$102,4)+VLOOKUP($FM24-GR$103+1,Frauen!$G$9:$J$102,4))*0.5*(VLOOKUP($FM24-GR$103,Frauen!$AZ$9:$BD$102,5)+VLOOKUP($FM24-GR$103+1,Frauen!$AZ$9:$BD$102,5)),RundDx)</f>
        <v>792211753</v>
      </c>
      <c r="GS24" s="24">
        <f>ROUND(SUM(FN24:FN$56)/VLOOKUP($FM24,$AQ$9:$AR$102,2)/VLOOKUP($FM24-GS$103,Frauen!$G$9:$J$102,4),Rundäx)</f>
        <v>0.32900000000000001</v>
      </c>
      <c r="GT24" s="24">
        <f>ROUND(SUM(FO24:FO$56)/VLOOKUP($FM24,$AQ$9:$AR$102,2)/VLOOKUP($FM24-GT$103,Frauen!$G$9:$J$102,4),Rundäx)</f>
        <v>0.39700000000000002</v>
      </c>
      <c r="GU24" s="24">
        <f>ROUND(SUM(FP24:FP$56)/VLOOKUP($FM24,$AQ$9:$AR$102,2)/VLOOKUP($FM24-GU$103,Frauen!$G$9:$J$102,4),Rundäx)</f>
        <v>0.47399999999999998</v>
      </c>
      <c r="GV24" s="24">
        <f>ROUND(SUM(FQ24:FQ$56)/VLOOKUP($FM24,$AQ$9:$AR$102,2)/VLOOKUP($FM24-GV$103,Frauen!$G$9:$J$102,4),Rundäx)</f>
        <v>0.56299999999999994</v>
      </c>
      <c r="GW24" s="24">
        <f>ROUND(SUM(FR24:FR$56)/VLOOKUP($FM24,$AQ$9:$AR$102,2)/VLOOKUP($FM24-GW$103,Frauen!$G$9:$J$102,4),Rundäx)</f>
        <v>0.66500000000000004</v>
      </c>
      <c r="GX24" s="24">
        <f>ROUND(SUM(FS24:FS$56)/VLOOKUP($FM24,$AQ$9:$AR$102,2)/VLOOKUP($FM24-GX$103,Frauen!$G$9:$J$102,4),Rundäx)</f>
        <v>0.78100000000000003</v>
      </c>
      <c r="GY24" s="24">
        <f>ROUND(SUM(FT24:FT$56)/VLOOKUP($FM24,$AQ$9:$AR$102,2)/VLOOKUP($FM24-GY$103,Frauen!$G$9:$J$102,4),Rundäx)</f>
        <v>0.91200000000000003</v>
      </c>
      <c r="GZ24" s="24">
        <f>ROUND(SUM(FU24:FU$56)/VLOOKUP($FM24,$AQ$9:$AR$102,2)/VLOOKUP($FM24-GZ$103,Frauen!$G$9:$J$102,4),Rundäx)</f>
        <v>1.0589999999999999</v>
      </c>
      <c r="HA24" s="86"/>
      <c r="HB24" s="35">
        <f t="shared" si="63"/>
        <v>80</v>
      </c>
      <c r="HC24" s="24">
        <f>ROUND(SUM(FV24:FV$56)/VLOOKUP($FM24,$AQ$9:$AR$102,2)/VLOOKUP($FM24-HC$103,Frauen!$G$9:$J$102,4),Rundäx)</f>
        <v>1.226</v>
      </c>
      <c r="HD24" s="24">
        <f>ROUND(SUM(FW24:FW$56)/VLOOKUP($FM24,$AQ$9:$AR$102,2)/VLOOKUP($FM24-HD$103,Frauen!$G$9:$J$102,4),Rundäx)</f>
        <v>1.413</v>
      </c>
      <c r="HE24" s="24">
        <f>ROUND(SUM(FX24:FX$56)/VLOOKUP($FM24,$AQ$9:$AR$102,2)/VLOOKUP($FM24-HE$103,Frauen!$G$9:$J$102,4),Rundäx)</f>
        <v>1.623</v>
      </c>
      <c r="HF24" s="24">
        <f>ROUND(SUM(FY24:FY$56)/VLOOKUP($FM24,$AQ$9:$AR$102,2)/VLOOKUP($FM24-HF$103,Frauen!$G$9:$J$102,4),Rundäx)</f>
        <v>1.8580000000000001</v>
      </c>
      <c r="HG24" s="24">
        <f>ROUND(SUM(FZ24:FZ$56)/VLOOKUP($FM24,$AQ$9:$AR$102,2)/VLOOKUP($FM24-HG$103,Frauen!$G$9:$J$102,4),Rundäx)</f>
        <v>2.1179999999999999</v>
      </c>
      <c r="HH24" s="24">
        <f>ROUND(SUM(GA24:GA$56)/VLOOKUP($FM24,$AQ$9:$AR$102,2)/VLOOKUP($FM24-HH$103,Frauen!$G$9:$J$102,4),Rundäx)</f>
        <v>2.4049999999999998</v>
      </c>
      <c r="HI24" s="24">
        <f>ROUND(SUM(GB24:GB$56)/VLOOKUP($FM24,$AQ$9:$AR$102,2)/VLOOKUP($FM24-HI$103,Frauen!$G$9:$J$102,4),Rundäx)</f>
        <v>2.7189999999999999</v>
      </c>
      <c r="HJ24" s="24">
        <f>ROUND(SUM(GC24:GC$56)/VLOOKUP($FM24,$AQ$9:$AR$102,2)/VLOOKUP($FM24-HJ$103,Frauen!$G$9:$J$102,4),Rundäx)</f>
        <v>3.06</v>
      </c>
      <c r="HK24" s="86"/>
      <c r="HL24" s="35">
        <f t="shared" si="64"/>
        <v>80</v>
      </c>
      <c r="HM24" s="24">
        <f>ROUND(SUM(GD24:GD$56)/VLOOKUP($FM24,$AQ$9:$AR$102,2)/VLOOKUP($FM24-HM$103,Frauen!$G$9:$J$102,4),Rundäx)</f>
        <v>3.4249999999999998</v>
      </c>
      <c r="HN24" s="24">
        <f>ROUND(SUM(GE24:GE$56)/VLOOKUP($FM24,$AQ$9:$AR$102,2)/VLOOKUP($FM24-HN$103,Frauen!$G$9:$J$102,4),Rundäx)</f>
        <v>3.8130000000000002</v>
      </c>
      <c r="HO24" s="24">
        <f>ROUND(SUM(GF24:GF$56)/VLOOKUP($FM24,$AQ$9:$AR$102,2)/VLOOKUP($FM24-HO$103,Frauen!$G$9:$J$102,4),Rundäx)</f>
        <v>4.22</v>
      </c>
      <c r="HP24" s="24">
        <f>ROUND(SUM(GG24:GG$56)/VLOOKUP($FM24,$AQ$9:$AR$102,2)/VLOOKUP($FM24-HP$103,Frauen!$G$9:$J$102,4),Rundäx)</f>
        <v>4.6440000000000001</v>
      </c>
      <c r="HQ24" s="24">
        <f>ROUND(SUM(GH24:GH$56)/VLOOKUP($FM24,$AQ$9:$AR$102,2)/VLOOKUP($FM24-HQ$103,Frauen!$G$9:$J$102,4),Rundäx)</f>
        <v>5.0789999999999997</v>
      </c>
      <c r="HR24" s="24">
        <f>ROUND(SUM(GI24:GI$56)/VLOOKUP($FM24,$AQ$9:$AR$102,2)/VLOOKUP($FM24-HR$103,Frauen!$G$9:$J$102,4),Rundäx)</f>
        <v>5.5220000000000002</v>
      </c>
      <c r="HS24" s="24">
        <f>ROUND(SUM(GJ24:GJ$56)/VLOOKUP($FM24,$AQ$9:$AR$102,2)/VLOOKUP($FM24-HS$103,Frauen!$G$9:$J$102,4),Rundäx)</f>
        <v>5.9710000000000001</v>
      </c>
      <c r="HT24" s="24">
        <f>ROUND(SUM(GK24:GK$56)/VLOOKUP($FM24,$AQ$9:$AR$102,2)/VLOOKUP($FM24-HT$103,Frauen!$G$9:$J$102,4),Rundäx)</f>
        <v>6.423</v>
      </c>
      <c r="HU24" s="86"/>
      <c r="HV24" s="35">
        <f t="shared" si="65"/>
        <v>80</v>
      </c>
      <c r="HW24" s="24">
        <f>ROUND(SUM(GL24:GL$56)/VLOOKUP($FM24,$AQ$9:$AR$102,2)/VLOOKUP($FM24-HW$103,Frauen!$G$9:$J$102,4),Rundäx)</f>
        <v>6.8789999999999996</v>
      </c>
      <c r="HX24" s="24">
        <f>ROUND(SUM(GM24:GM$56)/VLOOKUP($FM24,$AQ$9:$AR$102,2)/VLOOKUP($FM24-HX$103,Frauen!$G$9:$J$102,4),Rundäx)</f>
        <v>7.3390000000000004</v>
      </c>
      <c r="HY24" s="24">
        <f>ROUND(SUM(GN24:GN$56)/VLOOKUP($FM24,$AQ$9:$AR$102,2)/VLOOKUP($FM24-HY$103,Frauen!$G$9:$J$102,4),Rundäx)</f>
        <v>7.8</v>
      </c>
      <c r="HZ24" s="24">
        <f>ROUND(SUM(GO24:GO$56)/VLOOKUP($FM24,$AQ$9:$AR$102,2)/VLOOKUP($FM24-HZ$103,Frauen!$G$9:$J$102,4),Rundäx)</f>
        <v>8.2620000000000005</v>
      </c>
      <c r="IA24" s="24">
        <f>ROUND(SUM(GP24:GP$56)/VLOOKUP($FM24,$AQ$9:$AR$102,2)/VLOOKUP($FM24-IA$103,Frauen!$G$9:$J$102,4),Rundäx)</f>
        <v>8.7249999999999996</v>
      </c>
      <c r="IB24" s="24">
        <f>ROUND(SUM(GQ24:GQ$56)/VLOOKUP($FM24,$AQ$9:$AR$102,2)/VLOOKUP($FM24-IB$103,Frauen!$G$9:$J$102,4),Rundäx)</f>
        <v>9.19</v>
      </c>
      <c r="IC24" s="24">
        <f>ROUND(SUM(GR24:GR$56)/VLOOKUP($FM24,$AQ$9:$AR$102,2)/VLOOKUP($FM24-IC$103,Frauen!$G$9:$J$102,4),Rundäx)</f>
        <v>9.6530000000000005</v>
      </c>
      <c r="ID24" s="89"/>
      <c r="IE24" s="35">
        <f t="shared" si="66"/>
        <v>32</v>
      </c>
      <c r="IF24" s="25">
        <f t="shared" si="31"/>
        <v>719</v>
      </c>
      <c r="IG24" s="25">
        <f>IF($IE24&lt;RAM,IF(S25&lt;=RAK,ROUND(SUM(IF24:INDEX(Dakx,RAM-BeginnAlter))+INDEX(Dax,RAM-BeginnAlter+1)*INDEX(äkx,1),RundDx),0),"")</f>
        <v>15306</v>
      </c>
      <c r="IH24" s="25">
        <f>IF($IE24&lt;RAM,IF(S25&lt;=RAK,ROUND(SUM(IG24:INDEX(Nakx,RAM-BeginnAlter))+INDEX(Dax,RAM-BeginnAlter+1)*INDEX(äkx,1),RundDx),0),"")</f>
        <v>164772</v>
      </c>
      <c r="II24" s="24">
        <f t="shared" si="32"/>
        <v>0.317</v>
      </c>
      <c r="IJ24" s="25">
        <f t="shared" si="33"/>
        <v>26637</v>
      </c>
      <c r="IK24" s="25">
        <f>IF($IE24&lt;RAM,IF(S25&lt;=RAK,SUM(IJ24:INDEX(Dikx,RAM-BeginnAlter))+INDEX(Dix,RAM-BeginnAlter+1)*INDEX(äkx,1),0),"")</f>
        <v>336596.83199999999</v>
      </c>
      <c r="IL24" s="24">
        <f t="shared" si="34"/>
        <v>3.988</v>
      </c>
      <c r="IM24" s="86"/>
      <c r="IN24" s="35">
        <f t="shared" si="67"/>
        <v>80</v>
      </c>
      <c r="IO24" s="25">
        <f>IF(AND(VLOOKUP(IN24+1,O$9:S$102,5)&lt;=RAK,VLOOKUP(IN24+1,O$9:S$102,5)&lt;&gt;""),ROUND(v^($IN24+FaktorAlter)*VLOOKUP(IN24,G$9:J$102,4)*VLOOKUP(IN24,A$9:E$102,5)*0.5*(VLOOKUP(IN24,O$9:R$102,4)+VLOOKUP(IN24+1,O$9:R$102,4))*(VLOOKUP(TRUNC(0.5*(VLOOKUP(IN24,O$9:S$102,5)+VLOOKUP(IN24+1,O$9:S$102,5)),0),$BF$9:$BH$36,3)+(0.5*(VLOOKUP(IN24,O$9:S$102,5)+VLOOKUP(IN24+1,O$9:S$102,5))-TRUNC(0.5*(VLOOKUP(IN24,O$9:S$102,5)+VLOOKUP(IN24+1,O$9:S$102,5)),0))*(VLOOKUP(TRUNC(0.5*(VLOOKUP(IN24,O$9:S$102,5)+VLOOKUP(IN24+1,O$9:S$102,5))+1,0),$BF$9:$BH$36,3)-VLOOKUP(TRUNC(0.5*(VLOOKUP(IN24,O$9:S$102,5)+VLOOKUP(IN24+1,O$9:S$102,5)),0),$BF$9:$BH$36,3))),RundDx),0)</f>
        <v>0</v>
      </c>
      <c r="IP24" s="25">
        <f>IF(AND(VLOOKUP(IN24+1,O$9:S$102,5)&lt;=RAK,VLOOKUP(IN24+1,O$9:S$102,5)&lt;&gt;""),SUM(IO24:IO$102),0)</f>
        <v>0</v>
      </c>
      <c r="IQ24" s="24">
        <f>IF(VLOOKUP(IN24+1,O$9:S$102,5)&lt;=RAK,ROUND(IP24/INDEX(Dx,$IN24-BeginnAlter+1),Rundäx),0)</f>
        <v>0</v>
      </c>
      <c r="IR24" s="86"/>
    </row>
    <row r="25" spans="1:252" ht="15.75" customHeight="1" x14ac:dyDescent="0.25">
      <c r="A25" s="35">
        <f t="shared" si="41"/>
        <v>33</v>
      </c>
      <c r="B25" s="77">
        <v>6.4811517117264702E-4</v>
      </c>
      <c r="C25" s="77">
        <v>9.9417077332774662E-4</v>
      </c>
      <c r="D25" s="77">
        <v>1.7382440829134906E-2</v>
      </c>
      <c r="E25" s="77">
        <v>7.8750492190571286E-4</v>
      </c>
      <c r="F25" s="86"/>
      <c r="G25" s="35">
        <f t="shared" si="42"/>
        <v>33</v>
      </c>
      <c r="H25" s="25">
        <f t="shared" si="37"/>
        <v>98270</v>
      </c>
      <c r="I25" s="25">
        <f t="shared" si="38"/>
        <v>777</v>
      </c>
      <c r="J25" s="25">
        <f t="shared" si="39"/>
        <v>99047</v>
      </c>
      <c r="K25" s="30">
        <f>IF(J25&gt;0,ROUND(SUM(J25:J$102)/J25-0.5,Rundex),"")</f>
        <v>46.32</v>
      </c>
      <c r="L25" s="25">
        <f t="shared" si="0"/>
        <v>169122</v>
      </c>
      <c r="M25" s="30">
        <f>IF(L25&gt;0,ROUND(SUM(L25:L$102)/L25-0.5,Rundex),"")</f>
        <v>32.75</v>
      </c>
      <c r="N25" s="86"/>
      <c r="O25" s="35">
        <f t="shared" si="43"/>
        <v>33</v>
      </c>
      <c r="P25" s="43">
        <v>0.42684515336717188</v>
      </c>
      <c r="Q25" s="78">
        <v>32.583341457034081</v>
      </c>
      <c r="R25" s="43">
        <v>1.2209791051757448</v>
      </c>
      <c r="S25" s="78">
        <v>5.5446823304161752</v>
      </c>
      <c r="T25" s="15">
        <v>7.8792070303335127E-4</v>
      </c>
      <c r="U25" s="11">
        <f t="shared" si="40"/>
        <v>99046</v>
      </c>
      <c r="V25" s="30">
        <f>IF(U25&gt;0,ROUND(SUM(U25:U$102)/U25-0.5,Rundex),"")</f>
        <v>43.95</v>
      </c>
      <c r="W25" s="86"/>
      <c r="X25" s="35">
        <f t="shared" si="44"/>
        <v>33</v>
      </c>
      <c r="Y25" s="25">
        <f t="shared" si="1"/>
        <v>47155</v>
      </c>
      <c r="Z25" s="25">
        <f>IF($X25&lt;RAM,SUM(Y25:INDEX(Dax,RAM-BeginnAlter))," ")</f>
        <v>1020210</v>
      </c>
      <c r="AA25" s="25">
        <f t="shared" si="2"/>
        <v>30</v>
      </c>
      <c r="AB25" s="25">
        <f>IF($X25&lt;RAM,SUM(AA25:INDEX(Cax,RAM-BeginnAlter))," ")</f>
        <v>2353</v>
      </c>
      <c r="AC25" s="25">
        <f t="shared" si="3"/>
        <v>46</v>
      </c>
      <c r="AD25" s="25">
        <f>IF($X25&lt;RAM,SUM(AC25:INDEX(Caix,RAM-BeginnAlter))," ")</f>
        <v>7678</v>
      </c>
      <c r="AE25" s="24">
        <f t="shared" si="4"/>
        <v>21.635000000000002</v>
      </c>
      <c r="AF25" s="24">
        <f t="shared" si="5"/>
        <v>21.32</v>
      </c>
      <c r="AG25" s="86"/>
      <c r="AH25" s="35">
        <f t="shared" si="45"/>
        <v>33</v>
      </c>
      <c r="AI25" s="25">
        <f t="shared" si="6"/>
        <v>81154</v>
      </c>
      <c r="AJ25" s="25">
        <f>IF($AH25&gt;RAM," ",IF($AH25&lt;RAM,SUM(AI25:INDEX(Dix,RAM-BeginnAlter))+INDEX(Nx,RAM-BeginnAlter+1),INDEX(Nx,RAM-BeginnAlter+1)))</f>
        <v>1757934</v>
      </c>
      <c r="AK25" s="25">
        <f>IF($AH25&lt;RAM,SUM(AI25:INDEX(Dix,RAM-BeginnAlter))," ")</f>
        <v>1460687</v>
      </c>
      <c r="AL25" s="24">
        <f t="shared" si="7"/>
        <v>21.661999999999999</v>
      </c>
      <c r="AM25" s="24">
        <f t="shared" si="8"/>
        <v>21.202999999999999</v>
      </c>
      <c r="AN25" s="24">
        <f t="shared" si="9"/>
        <v>17.998999999999999</v>
      </c>
      <c r="AO25" s="24">
        <f t="shared" si="10"/>
        <v>17.655999999999999</v>
      </c>
      <c r="AP25" s="86"/>
      <c r="AQ25" s="35">
        <f t="shared" si="46"/>
        <v>33</v>
      </c>
      <c r="AR25" s="25">
        <f t="shared" si="11"/>
        <v>47528</v>
      </c>
      <c r="AS25" s="25">
        <f>SUM(AR25:AR$94)</f>
        <v>1367862</v>
      </c>
      <c r="AT25" s="25">
        <f>IF($AQ25&lt;RAM,SUM(AR25:INDEX(Dx,RAM-BeginnAlter))," ")</f>
        <v>1070615</v>
      </c>
      <c r="AU25" s="24">
        <f t="shared" si="12"/>
        <v>28.78</v>
      </c>
      <c r="AV25" s="24">
        <f t="shared" si="13"/>
        <v>28.321999999999999</v>
      </c>
      <c r="AW25" s="24">
        <f t="shared" si="14"/>
        <v>22.526</v>
      </c>
      <c r="AX25" s="24">
        <f t="shared" si="15"/>
        <v>22.265000000000001</v>
      </c>
      <c r="AY25" s="86"/>
      <c r="AZ25" s="35">
        <f t="shared" si="47"/>
        <v>33</v>
      </c>
      <c r="BA25" s="25">
        <f t="shared" si="16"/>
        <v>47528</v>
      </c>
      <c r="BB25" s="25">
        <f>SUM(BA25:BA$94)</f>
        <v>1325803</v>
      </c>
      <c r="BC25" s="24">
        <f t="shared" si="17"/>
        <v>27.895</v>
      </c>
      <c r="BD25" s="24">
        <f t="shared" si="18"/>
        <v>27.437000000000001</v>
      </c>
      <c r="BE25" s="86"/>
      <c r="BF25" s="35">
        <f t="shared" si="48"/>
        <v>16</v>
      </c>
      <c r="BG25" s="24">
        <f t="shared" si="19"/>
        <v>8.2469999999999999</v>
      </c>
      <c r="BH25" s="24">
        <f t="shared" si="20"/>
        <v>8.1639999999999997</v>
      </c>
      <c r="BI25" s="86"/>
      <c r="BJ25" s="35">
        <f t="shared" si="49"/>
        <v>33</v>
      </c>
      <c r="BK25" s="25">
        <f t="shared" si="21"/>
        <v>979</v>
      </c>
      <c r="BL25" s="25">
        <f>IF(BJ25&lt;RAM,SUM(BK25:INDEX(Daix,RAM-BeginnAlter))," ")</f>
        <v>125395</v>
      </c>
      <c r="BM25" s="25">
        <f>IF(BJ25&lt;RAM,SUM(BL25:INDEX(Naix,RAM-BeginnAlter))," ")</f>
        <v>2965948</v>
      </c>
      <c r="BN25" s="24">
        <f t="shared" si="22"/>
        <v>4.4059999999999997</v>
      </c>
      <c r="BO25" s="24">
        <f t="shared" si="23"/>
        <v>2.6589999999999998</v>
      </c>
      <c r="BP25" s="86"/>
      <c r="BQ25" s="35">
        <f t="shared" si="50"/>
        <v>33</v>
      </c>
      <c r="BR25" s="25">
        <f t="shared" si="51"/>
        <v>812</v>
      </c>
      <c r="BS25" s="25">
        <f>IF(BQ25&lt;RAM,SUM(BR25:INDEX(Daixs,RAM-BeginnAlter))," ")</f>
        <v>46612</v>
      </c>
      <c r="BT25" s="25">
        <f>IF(BQ25&lt;RAM,SUM(BS25:INDEX(Naixs,RAM-BeginnAlter))," ")</f>
        <v>889597</v>
      </c>
      <c r="BU25" s="24">
        <f t="shared" si="52"/>
        <v>6.0759999999999996</v>
      </c>
      <c r="BV25" s="24">
        <f t="shared" si="53"/>
        <v>0.98799999999999999</v>
      </c>
      <c r="BW25" s="86"/>
      <c r="BX25" s="35">
        <f t="shared" si="54"/>
        <v>33</v>
      </c>
      <c r="BY25" s="10">
        <f t="shared" si="24"/>
        <v>13.393228136222032</v>
      </c>
      <c r="BZ25" s="11">
        <f t="shared" si="25"/>
        <v>779</v>
      </c>
      <c r="CA25" s="25">
        <f>IF(S26&lt;=RAK,IF($BX25&lt;RAM,SUM(BZ25:INDEX(Dazx,RAM-BeginnAlter)),""),"")</f>
        <v>18765</v>
      </c>
      <c r="CB25" s="24">
        <f t="shared" si="26"/>
        <v>0.39800000000000002</v>
      </c>
      <c r="CC25" s="25">
        <f t="shared" si="27"/>
        <v>29806</v>
      </c>
      <c r="CD25" s="24">
        <f t="shared" si="28"/>
        <v>20.251999999999999</v>
      </c>
      <c r="CE25" s="24">
        <f t="shared" si="29"/>
        <v>2.1999999999999999E-2</v>
      </c>
      <c r="CF25" s="86"/>
      <c r="CG25" s="35">
        <f t="shared" si="55"/>
        <v>33</v>
      </c>
      <c r="CH25" s="25">
        <f>IF(CG25&lt;RAM,ROUND(v^($CG25+FaktorAlter)*$H25*($B25*0.5*($P25+$P26)*(VLOOKUP(TRUNC(0.5*($Q25+$Q26),0),Frauen!$AZ$9:$BD$95,5)+(0.5*($Q25+$Q26)-TRUNC(0.5*($Q25+$Q26),0))*(VLOOKUP(TRUNC(0.5*($Q25+$Q26)+1,0),Frauen!$AZ$9:$BD$95,5)-VLOOKUP(TRUNC(0.5*($Q25+$Q26),0),Frauen!$AZ$9:$BD$95,5)))+$C25*0.5*($CN25+$CN26)),RundDx),"")</f>
        <v>753</v>
      </c>
      <c r="CI25" s="25">
        <f>IF(CG25&lt;RAM,ROUND(SUM(CH25:INDEX(Dawx,RAM-BeginnAlter))+INDEX(Dax,RAM-BeginnAlter+1)*INDEX(äwx,1),RundDx),"")</f>
        <v>164289</v>
      </c>
      <c r="CJ25" s="25">
        <f>IF(CG25&lt;RAM,ROUND(SUM(CI25:INDEX(Nawx,RAM-BeginnAlter))+INDEX(Dax,RAM-BeginnAlter+1)*INDEX(äwx,1),RundDx),"")</f>
        <v>4486199</v>
      </c>
      <c r="CK25" s="24">
        <f t="shared" si="56"/>
        <v>3.484</v>
      </c>
      <c r="CL25" s="25">
        <f>IF(CG25&lt;RAM,ROUND(v^($CG25+FaktorAlter)*$L25*$D25*0.5*($P25+$P26)*(VLOOKUP(TRUNC(0.5*($Q25+$Q26),0),Frauen!$AZ$9:$BD$95,5)+(0.5*($Q25+$Q26)-TRUNC(0.5*($Q25+$Q26),0))*(VLOOKUP(TRUNC(0.5*($Q25+$Q26)+1,0),Frauen!$AZ$9:$BD$95,5)-VLOOKUP(TRUNC(0.5*($Q25+$Q26),0),Frauen!$AZ$9:$BD$95,5))),RundDx),"")</f>
        <v>18602</v>
      </c>
      <c r="CM25" s="25">
        <f>IF(CG25&lt;RAM,SUM(CL25:INDEX(Diwx,RAM-BeginnAlter))+INDEX(Dix,RAM-BeginnAlter+1)*INDEX(äwx,1),"")</f>
        <v>609272.41399999999</v>
      </c>
      <c r="CN25" s="24">
        <f t="shared" si="57"/>
        <v>7.508</v>
      </c>
      <c r="CO25" s="86"/>
      <c r="CP25" s="35">
        <f t="shared" si="58"/>
        <v>81</v>
      </c>
      <c r="CQ25" s="11">
        <f>ROUND(v^($CP25+FaktorAlter)*VLOOKUP(CP25,G$9:J$102,4)*VLOOKUP(CP25,A$9:E$102,5)*0.5*(VLOOKUP(CP25,O$9:P$102,2)+VLOOKUP(CP25+1,O$9:P$102,2))*(VLOOKUP(TRUNC(0.5*(VLOOKUP(CP25,O$9:Q$102,3)+VLOOKUP(CP25+1,O$9:Q$102,3)),0),Frauen!$AZ$9:$BD$95,5)+(0.5*(VLOOKUP(CP25,O$9:Q$102,3)+VLOOKUP(CP25+1,O$9:Q$102,3))-TRUNC(0.5*(VLOOKUP(CP25,O$9:Q$102,3)+VLOOKUP(CP25+1,O$9:Q$102,3)),0))*(VLOOKUP(TRUNC(0.5*(VLOOKUP(CP25,O$9:Q$102,3)+VLOOKUP(CP25+1,O$9:Q$102,3))+1,0),Frauen!$AZ$9:$BD$95,5)-VLOOKUP(TRUNC(0.5*(VLOOKUP(CP25,O$9:Q$102,3)+VLOOKUP(CP25+1,O$9:Q$102,3)),0),Frauen!$AZ$9:$BD$95,5))),RundDx)</f>
        <v>4195</v>
      </c>
      <c r="CR25" s="25">
        <f>SUM(CQ25:CQ$56)</f>
        <v>32146</v>
      </c>
      <c r="CS25" s="24">
        <f t="shared" si="30"/>
        <v>3.8170000000000002</v>
      </c>
      <c r="CT25" s="86"/>
      <c r="CU25" s="35">
        <f t="shared" si="59"/>
        <v>33</v>
      </c>
      <c r="CV25" s="25">
        <f>IF($CU25&gt;=RAM,"",IF($CU25-CV$103&lt;BeginnAlter,"",ROUND(v^($CU25+FaktorAlter)*$L25*$D25*0.5*(VLOOKUP($CU25-CV$103,Frauen!$G$9:$J$102,4)+VLOOKUP($CU25-CV$103+1,Frauen!$G$9:$J$102,4))*0.5*(VLOOKUP($CU25-CV$103,Frauen!$AZ$9:$BD$102,5)+VLOOKUP($CU25-CV$103+1,Frauen!$AZ$9:$BD$102,5)),RundDx)))</f>
        <v>3286253357</v>
      </c>
      <c r="CW25" s="25">
        <f>IF($CU25&gt;=RAM,"",IF($CU25-CW$103&lt;BeginnAlter,"",ROUND(v^($CU25+FaktorAlter)*$L25*$D25*0.5*(VLOOKUP($CU25-CW$103,Frauen!$G$9:$J$102,4)+VLOOKUP($CU25-CW$103+1,Frauen!$G$9:$J$102,4))*0.5*(VLOOKUP($CU25-CW$103,Frauen!$AZ$9:$BD$102,5)+VLOOKUP($CU25-CW$103+1,Frauen!$AZ$9:$BD$102,5)),RundDx)))</f>
        <v>3350802413</v>
      </c>
      <c r="CX25" s="25">
        <f>IF($CU25&gt;=RAM,"",IF($CU25-CX$103&lt;BeginnAlter,"",ROUND(v^($CU25+FaktorAlter)*$L25*$D25*0.5*(VLOOKUP($CU25-CX$103,Frauen!$G$9:$J$102,4)+VLOOKUP($CU25-CX$103+1,Frauen!$G$9:$J$102,4))*0.5*(VLOOKUP($CU25-CX$103,Frauen!$AZ$9:$BD$102,5)+VLOOKUP($CU25-CX$103+1,Frauen!$AZ$9:$BD$102,5)),RundDx)))</f>
        <v>3413976725</v>
      </c>
      <c r="CY25" s="25">
        <f>IF($CU25&gt;=RAM,"",IF($CU25-CY$103&lt;BeginnAlter,"",ROUND(v^($CU25+FaktorAlter)*$L25*$D25*0.5*(VLOOKUP($CU25-CY$103,Frauen!$G$9:$J$102,4)+VLOOKUP($CU25-CY$103+1,Frauen!$G$9:$J$102,4))*0.5*(VLOOKUP($CU25-CY$103,Frauen!$AZ$9:$BD$102,5)+VLOOKUP($CU25-CY$103+1,Frauen!$AZ$9:$BD$102,5)),RundDx)))</f>
        <v>3475690054</v>
      </c>
      <c r="CZ25" s="25">
        <f>IF($CU25&gt;=RAM,"",IF($CU25-CZ$103&lt;BeginnAlter,"",ROUND(v^($CU25+FaktorAlter)*$L25*$D25*0.5*(VLOOKUP($CU25-CZ$103,Frauen!$G$9:$J$102,4)+VLOOKUP($CU25-CZ$103+1,Frauen!$G$9:$J$102,4))*0.5*(VLOOKUP($CU25-CZ$103,Frauen!$AZ$9:$BD$102,5)+VLOOKUP($CU25-CZ$103+1,Frauen!$AZ$9:$BD$102,5)),RundDx)))</f>
        <v>3535962462</v>
      </c>
      <c r="DA25" s="25">
        <f>IF($CU25&gt;=RAM,"",IF($CU25-DA$103&lt;BeginnAlter,"",ROUND(v^($CU25+FaktorAlter)*$L25*$D25*0.5*(VLOOKUP($CU25-DA$103,Frauen!$G$9:$J$102,4)+VLOOKUP($CU25-DA$103+1,Frauen!$G$9:$J$102,4))*0.5*(VLOOKUP($CU25-DA$103,Frauen!$AZ$9:$BD$102,5)+VLOOKUP($CU25-DA$103+1,Frauen!$AZ$9:$BD$102,5)),RundDx)))</f>
        <v>3594937552</v>
      </c>
      <c r="DB25" s="25">
        <f>IF($CU25&gt;=RAM,"",IF($CU25-DB$103&lt;BeginnAlter,"",ROUND(v^($CU25+FaktorAlter)*$L25*$D25*0.5*(VLOOKUP($CU25-DB$103,Frauen!$G$9:$J$102,4)+VLOOKUP($CU25-DB$103+1,Frauen!$G$9:$J$102,4))*0.5*(VLOOKUP($CU25-DB$103,Frauen!$AZ$9:$BD$102,5)+VLOOKUP($CU25-DB$103+1,Frauen!$AZ$9:$BD$102,5)),RundDx)))</f>
        <v>3652643716</v>
      </c>
      <c r="DC25" s="25">
        <f>IF($CU25&gt;=RAM,"",IF($CU25-DC$103&lt;BeginnAlter,"",ROUND(v^($CU25+FaktorAlter)*$L25*$D25*0.5*(VLOOKUP($CU25-DC$103,Frauen!$G$9:$J$102,4)+VLOOKUP($CU25-DC$103+1,Frauen!$G$9:$J$102,4))*0.5*(VLOOKUP($CU25-DC$103,Frauen!$AZ$9:$BD$102,5)+VLOOKUP($CU25-DC$103+1,Frauen!$AZ$9:$BD$102,5)),RundDx)))</f>
        <v>3709094545</v>
      </c>
      <c r="DD25" s="25">
        <f>IF($CU25&gt;=RAM,"",IF($CU25-DD$103&lt;BeginnAlter,"",ROUND(v^($CU25+FaktorAlter)*$L25*$D25*0.5*(VLOOKUP($CU25-DD$103,Frauen!$G$9:$J$102,4)+VLOOKUP($CU25-DD$103+1,Frauen!$G$9:$J$102,4))*0.5*(VLOOKUP($CU25-DD$103,Frauen!$AZ$9:$BD$102,5)+VLOOKUP($CU25-DD$103+1,Frauen!$AZ$9:$BD$102,5)),RundDx)))</f>
        <v>3764287392</v>
      </c>
      <c r="DE25" s="25">
        <f>IF($CU25&gt;=RAM,"",IF($CU25-DE$103&lt;BeginnAlter,"",ROUND(v^($CU25+FaktorAlter)*$L25*$D25*0.5*(VLOOKUP($CU25-DE$103,Frauen!$G$9:$J$102,4)+VLOOKUP($CU25-DE$103+1,Frauen!$G$9:$J$102,4))*0.5*(VLOOKUP($CU25-DE$103,Frauen!$AZ$9:$BD$102,5)+VLOOKUP($CU25-DE$103+1,Frauen!$AZ$9:$BD$102,5)),RundDx)))</f>
        <v>3818259882</v>
      </c>
      <c r="DF25" s="25">
        <f>IF($CU25&gt;=RAM,"",IF($CU25-DF$103&lt;BeginnAlter,"",ROUND(v^($CU25+FaktorAlter)*$L25*$D25*0.5*(VLOOKUP($CU25-DF$103,Frauen!$G$9:$J$102,4)+VLOOKUP($CU25-DF$103+1,Frauen!$G$9:$J$102,4))*0.5*(VLOOKUP($CU25-DF$103,Frauen!$AZ$9:$BD$102,5)+VLOOKUP($CU25-DF$103+1,Frauen!$AZ$9:$BD$102,5)),RundDx)))</f>
        <v>3871033728</v>
      </c>
      <c r="DG25" s="25">
        <f>IF($CU25&gt;=RAM,"",IF($CU25-DG$103&lt;BeginnAlter,"",ROUND(v^($CU25+FaktorAlter)*$L25*$D25*0.5*(VLOOKUP($CU25-DG$103,Frauen!$G$9:$J$102,4)+VLOOKUP($CU25-DG$103+1,Frauen!$G$9:$J$102,4))*0.5*(VLOOKUP($CU25-DG$103,Frauen!$AZ$9:$BD$102,5)+VLOOKUP($CU25-DG$103+1,Frauen!$AZ$9:$BD$102,5)),RundDx)))</f>
        <v>3922702301</v>
      </c>
      <c r="DH25" s="25">
        <f>IF($CU25&gt;=RAM,"",IF($CU25-DH$103&lt;BeginnAlter,"",ROUND(v^($CU25+FaktorAlter)*$L25*$D25*0.5*(VLOOKUP($CU25-DH$103,Frauen!$G$9:$J$102,4)+VLOOKUP($CU25-DH$103+1,Frauen!$G$9:$J$102,4))*0.5*(VLOOKUP($CU25-DH$103,Frauen!$AZ$9:$BD$102,5)+VLOOKUP($CU25-DH$103+1,Frauen!$AZ$9:$BD$102,5)),RundDx)))</f>
        <v>3973361595</v>
      </c>
      <c r="DI25" s="25">
        <f>IF($CU25&gt;=RAM,"",IF($CU25-DI$103&lt;BeginnAlter,"",ROUND(v^($CU25+FaktorAlter)*$L25*$D25*0.5*(VLOOKUP($CU25-DI$103,Frauen!$G$9:$J$102,4)+VLOOKUP($CU25-DI$103+1,Frauen!$G$9:$J$102,4))*0.5*(VLOOKUP($CU25-DI$103,Frauen!$AZ$9:$BD$102,5)+VLOOKUP($CU25-DI$103+1,Frauen!$AZ$9:$BD$102,5)),RundDx)))</f>
        <v>4023040837</v>
      </c>
      <c r="DJ25" s="25">
        <f>IF($CU25&gt;=RAM,"",IF($CU25-DJ$103&lt;BeginnAlter,"",ROUND(v^($CU25+FaktorAlter)*$L25*$D25*0.5*(VLOOKUP($CU25-DJ$103,Frauen!$G$9:$J$102,4)+VLOOKUP($CU25-DJ$103+1,Frauen!$G$9:$J$102,4))*0.5*(VLOOKUP($CU25-DJ$103,Frauen!$AZ$9:$BD$102,5)+VLOOKUP($CU25-DJ$103+1,Frauen!$AZ$9:$BD$102,5)),RundDx)))</f>
        <v>4071702135</v>
      </c>
      <c r="DK25" s="25">
        <f>IF($CU25&gt;=RAM,"",IF($CU25-DK$103&lt;BeginnAlter,"",ROUND(v^($CU25+FaktorAlter)*$L25*$D25*0.5*(VLOOKUP($CU25-DK$103,Frauen!$G$9:$J$102,4)+VLOOKUP($CU25-DK$103+1,Frauen!$G$9:$J$102,4))*0.5*(VLOOKUP($CU25-DK$103,Frauen!$AZ$9:$BD$102,5)+VLOOKUP($CU25-DK$103+1,Frauen!$AZ$9:$BD$102,5)),RundDx)))</f>
        <v>4119358142</v>
      </c>
      <c r="DL25" s="25">
        <f>IF($CU25&gt;=RAM,"",IF($CU25-DL$103&lt;BeginnAlter,"",ROUND(v^($CU25+FaktorAlter)*$L25*$D25*0.5*(VLOOKUP($CU25-DL$103,Frauen!$G$9:$J$102,4)+VLOOKUP($CU25-DL$103+1,Frauen!$G$9:$J$102,4))*0.5*(VLOOKUP($CU25-DL$103,Frauen!$AZ$9:$BD$102,5)+VLOOKUP($CU25-DL$103+1,Frauen!$AZ$9:$BD$102,5)),RundDx)))</f>
        <v>4166022641</v>
      </c>
      <c r="DM25" s="25">
        <f>IF($CU25&gt;=RAM,"",IF($CU25-DM$103&lt;BeginnAlter,"",ROUND(v^($CU25+FaktorAlter)*$L25*$D25*0.5*(VLOOKUP($CU25-DM$103,Frauen!$G$9:$J$102,4)+VLOOKUP($CU25-DM$103+1,Frauen!$G$9:$J$102,4))*0.5*(VLOOKUP($CU25-DM$103,Frauen!$AZ$9:$BD$102,5)+VLOOKUP($CU25-DM$103+1,Frauen!$AZ$9:$BD$102,5)),RundDx)))</f>
        <v>4211779933</v>
      </c>
      <c r="DN25" s="25">
        <f>IF($CU25&gt;=RAM,"",IF($CU25-DN$103&lt;BeginnAlter,"",ROUND(v^($CU25+FaktorAlter)*$L25*$D25*0.5*(VLOOKUP($CU25-DN$103,Frauen!$G$9:$J$102,4)+VLOOKUP($CU25-DN$103+1,Frauen!$G$9:$J$102,4))*0.5*(VLOOKUP($CU25-DN$103,Frauen!$AZ$9:$BD$102,5)+VLOOKUP($CU25-DN$103+1,Frauen!$AZ$9:$BD$102,5)),RundDx)))</f>
        <v>4256646048</v>
      </c>
      <c r="DO25" s="25">
        <f>IF($CU25&gt;=RAM,"",IF($CU25-DO$103&lt;BeginnAlter,"",ROUND(v^($CU25+FaktorAlter)*$L25*$D25*0.5*(VLOOKUP($CU25-DO$103,Frauen!$G$9:$J$102,4)+VLOOKUP($CU25-DO$103+1,Frauen!$G$9:$J$102,4))*0.5*(VLOOKUP($CU25-DO$103,Frauen!$AZ$9:$BD$102,5)+VLOOKUP($CU25-DO$103+1,Frauen!$AZ$9:$BD$102,5)),RundDx)))</f>
        <v>4300568504</v>
      </c>
      <c r="DP25" s="25">
        <f>IF($CU25&gt;=RAM,"",IF($CU25-DP$103&lt;BeginnAlter,"",ROUND(v^($CU25+FaktorAlter)*$L25*$D25*0.5*(VLOOKUP($CU25-DP$103,Frauen!$G$9:$J$102,4)+VLOOKUP($CU25-DP$103+1,Frauen!$G$9:$J$102,4))*0.5*(VLOOKUP($CU25-DP$103,Frauen!$AZ$9:$BD$102,5)+VLOOKUP($CU25-DP$103+1,Frauen!$AZ$9:$BD$102,5)),RundDx)))</f>
        <v>4343543375</v>
      </c>
      <c r="DQ25" s="25">
        <f>IF($CU25&gt;=RAM,"",IF($CU25-DQ$103&lt;BeginnAlter,"",ROUND(v^($CU25+FaktorAlter)*$L25*$D25*0.5*(VLOOKUP($CU25-DQ$103,Frauen!$G$9:$J$102,4)+VLOOKUP($CU25-DQ$103+1,Frauen!$G$9:$J$102,4))*0.5*(VLOOKUP($CU25-DQ$103,Frauen!$AZ$9:$BD$102,5)+VLOOKUP($CU25-DQ$103+1,Frauen!$AZ$9:$BD$102,5)),RundDx)))</f>
        <v>4385614426</v>
      </c>
      <c r="DR25" s="25">
        <f>IF($CU25&gt;=RAM,"",IF($CU25-DR$103&lt;BeginnAlter,"",ROUND(v^($CU25+FaktorAlter)*$L25*$D25*0.5*(VLOOKUP($CU25-DR$103,Frauen!$G$9:$J$102,4)+VLOOKUP($CU25-DR$103+1,Frauen!$G$9:$J$102,4))*0.5*(VLOOKUP($CU25-DR$103,Frauen!$AZ$9:$BD$102,5)+VLOOKUP($CU25-DR$103+1,Frauen!$AZ$9:$BD$102,5)),RundDx)))</f>
        <v>4426894471</v>
      </c>
      <c r="DS25" s="25">
        <f>IF($CU25&gt;=RAM,"",IF($CU25-DS$103&lt;BeginnAlter,"",ROUND(v^($CU25+FaktorAlter)*$L25*$D25*0.5*(VLOOKUP($CU25-DS$103,Frauen!$G$9:$J$102,4)+VLOOKUP($CU25-DS$103+1,Frauen!$G$9:$J$102,4))*0.5*(VLOOKUP($CU25-DS$103,Frauen!$AZ$9:$BD$102,5)+VLOOKUP($CU25-DS$103+1,Frauen!$AZ$9:$BD$102,5)),RundDx)))</f>
        <v>4467287029</v>
      </c>
      <c r="DT25" s="25">
        <f>IF($CU25&gt;=RAM,"",IF($CU25-DT$103&lt;BeginnAlter,"",ROUND(v^($CU25+FaktorAlter)*$L25*$D25*0.5*(VLOOKUP($CU25-DT$103,Frauen!$G$9:$J$102,4)+VLOOKUP($CU25-DT$103+1,Frauen!$G$9:$J$102,4))*0.5*(VLOOKUP($CU25-DT$103,Frauen!$AZ$9:$BD$102,5)+VLOOKUP($CU25-DT$103+1,Frauen!$AZ$9:$BD$102,5)),RundDx)))</f>
        <v>4506834184</v>
      </c>
      <c r="DU25" s="25">
        <f>IF($CU25&gt;=RAM,"",IF($CU25-DU$103&lt;BeginnAlter,"",ROUND(v^($CU25+FaktorAlter)*$L25*$D25*0.5*(VLOOKUP($CU25-DU$103,Frauen!$G$9:$J$102,4)+VLOOKUP($CU25-DU$103+1,Frauen!$G$9:$J$102,4))*0.5*(VLOOKUP($CU25-DU$103,Frauen!$AZ$9:$BD$102,5)+VLOOKUP($CU25-DU$103+1,Frauen!$AZ$9:$BD$102,5)),RundDx)))</f>
        <v>4545600285</v>
      </c>
      <c r="DV25" s="25">
        <f>IF($CU25&gt;=RAM,"",IF($CU25-DV$103&lt;BeginnAlter,"",ROUND(v^($CU25+FaktorAlter)*$L25*$D25*0.5*(VLOOKUP($CU25-DV$103,Frauen!$G$9:$J$102,4)+VLOOKUP($CU25-DV$103+1,Frauen!$G$9:$J$102,4))*0.5*(VLOOKUP($CU25-DV$103,Frauen!$AZ$9:$BD$102,5)+VLOOKUP($CU25-DV$103+1,Frauen!$AZ$9:$BD$102,5)),RundDx)))</f>
        <v>4583557296</v>
      </c>
      <c r="DW25" s="25">
        <f>IF($CU25&gt;=RAM,"",IF($CU25-DW$103&lt;BeginnAlter,"",ROUND(v^($CU25+FaktorAlter)*$L25*$D25*0.5*(VLOOKUP($CU25-DW$103,Frauen!$G$9:$J$102,4)+VLOOKUP($CU25-DW$103+1,Frauen!$G$9:$J$102,4))*0.5*(VLOOKUP($CU25-DW$103,Frauen!$AZ$9:$BD$102,5)+VLOOKUP($CU25-DW$103+1,Frauen!$AZ$9:$BD$102,5)),RundDx)))</f>
        <v>4620746323</v>
      </c>
      <c r="DX25" s="25">
        <f>IF($CU25&gt;=RAM,"",IF($CU25-DX$103&lt;BeginnAlter,"",ROUND(v^($CU25+FaktorAlter)*$L25*$D25*0.5*(VLOOKUP($CU25-DX$103,Frauen!$G$9:$J$102,4)+VLOOKUP($CU25-DX$103+1,Frauen!$G$9:$J$102,4))*0.5*(VLOOKUP($CU25-DX$103,Frauen!$AZ$9:$BD$102,5)+VLOOKUP($CU25-DX$103+1,Frauen!$AZ$9:$BD$102,5)),RundDx)))</f>
        <v>4657091827</v>
      </c>
      <c r="DY25" s="25">
        <f>IF($CU25&gt;=RAM,"",IF($CU25-DY$103&lt;BeginnAlter,"",ROUND(v^($CU25+FaktorAlter)*$L25*$D25*0.5*(VLOOKUP($CU25-DY$103,Frauen!$G$9:$J$102,4)+VLOOKUP($CU25-DY$103+1,Frauen!$G$9:$J$102,4))*0.5*(VLOOKUP($CU25-DY$103,Frauen!$AZ$9:$BD$102,5)+VLOOKUP($CU25-DY$103+1,Frauen!$AZ$9:$BD$102,5)),RundDx)))</f>
        <v>4692611604</v>
      </c>
      <c r="DZ25" s="25">
        <f>IF($CU25&gt;=RAM,"",IF($CU25-DZ$103&lt;BeginnAlter,"",ROUND(v^($CU25+FaktorAlter)*$L25*$D25*0.5*(VLOOKUP($CU25-DZ$103,Frauen!$G$9:$J$102,4)+VLOOKUP($CU25-DZ$103+1,Frauen!$G$9:$J$102,4))*0.5*(VLOOKUP($CU25-DZ$103,Frauen!$AZ$9:$BD$102,5)+VLOOKUP($CU25-DZ$103+1,Frauen!$AZ$9:$BD$102,5)),RundDx)))</f>
        <v>4727441344</v>
      </c>
      <c r="EA25" s="43">
        <f>IF($CU25&gt;=RAM,"",IF($CU25-EA$103&lt;BeginnAlter,"",ROUND((SUM(CV25:CV$56)+SUM(FN$9:FN$56))/VLOOKUP($CU25,$AH$9:$AI$102,2)/VLOOKUP($CU25-EA$103,Frauen!$G$9:$J$102,4),Rundäx)))</f>
        <v>6.2640000000000002</v>
      </c>
      <c r="EB25" s="43">
        <f>IF($CU25&gt;=RAM,"",IF($CU25-EB$103&lt;BeginnAlter,"",ROUND((SUM(CW25:CW$56)+SUM(FO$9:FO$56))/VLOOKUP($CU25,$AH$9:$AI$102,2)/VLOOKUP($CU25-EB$103,Frauen!$G$9:$J$102,4),Rundäx)))</f>
        <v>6.4809999999999999</v>
      </c>
      <c r="EC25" s="43">
        <f>IF($CU25&gt;=RAM,"",IF($CU25-EC$103&lt;BeginnAlter,"",ROUND((SUM(CX25:CX$56)+SUM(FP$9:FP$56))/VLOOKUP($CU25,$AH$9:$AI$102,2)/VLOOKUP($CU25-EC$103,Frauen!$G$9:$J$102,4),Rundäx)))</f>
        <v>6.7009999999999996</v>
      </c>
      <c r="ED25" s="43">
        <f>IF($CU25&gt;=RAM,"",IF($CU25-ED$103&lt;BeginnAlter,"",ROUND((SUM(CY25:CY$56)+SUM(FQ$9:FQ$56))/VLOOKUP($CU25,$AH$9:$AI$102,2)/VLOOKUP($CU25-ED$103,Frauen!$G$9:$J$102,4),Rundäx)))</f>
        <v>6.9210000000000003</v>
      </c>
      <c r="EE25" s="43">
        <f>IF($CU25&gt;=RAM,"",IF($CU25-EE$103&lt;BeginnAlter,"",ROUND((SUM(CZ25:CZ$56)+SUM(FR$9:FR$56))/VLOOKUP($CU25,$AH$9:$AI$102,2)/VLOOKUP($CU25-EE$103,Frauen!$G$9:$J$102,4),Rundäx)))</f>
        <v>7.1440000000000001</v>
      </c>
      <c r="EF25" s="43">
        <f>IF($CU25&gt;=RAM,"",IF($CU25-EF$103&lt;BeginnAlter,"",ROUND((SUM(DA25:DA$56)+SUM(FS$9:FS$56))/VLOOKUP($CU25,$AH$9:$AI$102,2)/VLOOKUP($CU25-EF$103,Frauen!$G$9:$J$102,4),Rundäx)))</f>
        <v>7.3680000000000003</v>
      </c>
      <c r="EG25" s="43">
        <f>IF($CU25&gt;=RAM,"",IF($CU25-EG$103&lt;BeginnAlter,"",ROUND((SUM(DB25:DB$56)+SUM(FT$9:FT$56))/VLOOKUP($CU25,$AH$9:$AI$102,2)/VLOOKUP($CU25-EG$103,Frauen!$G$9:$J$102,4),Rundäx)))</f>
        <v>7.5940000000000003</v>
      </c>
      <c r="EH25" s="43">
        <f>IF($CU25&gt;=RAM,"",IF($CU25-EH$103&lt;BeginnAlter,"",ROUND((SUM(DC25:DC$56)+SUM(FU$9:FU$56))/VLOOKUP($CU25,$AH$9:$AI$102,2)/VLOOKUP($CU25-EH$103,Frauen!$G$9:$J$102,4),Rundäx)))</f>
        <v>7.8209999999999997</v>
      </c>
      <c r="EI25" s="86"/>
      <c r="EJ25" s="35">
        <f t="shared" si="60"/>
        <v>33</v>
      </c>
      <c r="EK25" s="43">
        <f>IF($CU25&gt;=RAM,"",IF($CU25-EK$103&lt;BeginnAlter,"",ROUND((SUM(DD25:DD$56)+SUM(FV$9:FV$56))/VLOOKUP($CU25,$AH$9:$AI$102,2)/VLOOKUP($CU25-EK$103,Frauen!$G$9:$J$102,4),Rundäx)))</f>
        <v>8.0500000000000007</v>
      </c>
      <c r="EL25" s="43">
        <f>IF($CU25&gt;=RAM,"",IF($CU25-EL$103&lt;BeginnAlter,"",ROUND((SUM(DE25:DE$56)+SUM(FW$9:FW$56))/VLOOKUP($CU25,$AH$9:$AI$102,2)/VLOOKUP($CU25-EL$103,Frauen!$G$9:$J$102,4),Rundäx)))</f>
        <v>8.2799999999999994</v>
      </c>
      <c r="EM25" s="43">
        <f>IF($CU25&gt;=RAM,"",IF($CU25-EM$103&lt;BeginnAlter,"",ROUND((SUM(DF25:DF$56)+SUM(FX$9:FX$56))/VLOOKUP($CU25,$AH$9:$AI$102,2)/VLOOKUP($CU25-EM$103,Frauen!$G$9:$J$102,4),Rundäx)))</f>
        <v>8.5109999999999992</v>
      </c>
      <c r="EN25" s="43">
        <f>IF($CU25&gt;=RAM,"",IF($CU25-EN$103&lt;BeginnAlter,"",ROUND((SUM(DG25:DG$56)+SUM(FY$9:FY$56))/VLOOKUP($CU25,$AH$9:$AI$102,2)/VLOOKUP($CU25-EN$103,Frauen!$G$9:$J$102,4),Rundäx)))</f>
        <v>8.7439999999999998</v>
      </c>
      <c r="EO25" s="43">
        <f>IF($CU25&gt;=RAM,"",IF($CU25-EO$103&lt;BeginnAlter,"",ROUND((SUM(DH25:DH$56)+SUM(FZ$9:FZ$56))/VLOOKUP($CU25,$AH$9:$AI$102,2)/VLOOKUP($CU25-EO$103,Frauen!$G$9:$J$102,4),Rundäx)))</f>
        <v>8.9770000000000003</v>
      </c>
      <c r="EP25" s="43">
        <f>IF($CU25&gt;=RAM,"",IF($CU25-EP$103&lt;BeginnAlter,"",ROUND((SUM(DI25:DI$56)+SUM(GA$9:GA$56))/VLOOKUP($CU25,$AH$9:$AI$102,2)/VLOOKUP($CU25-EP$103,Frauen!$G$9:$J$102,4),Rundäx)))</f>
        <v>9.2110000000000003</v>
      </c>
      <c r="EQ25" s="43">
        <f>IF($CU25&gt;=RAM,"",IF($CU25-EQ$103&lt;BeginnAlter,"",ROUND((SUM(DJ25:DJ$56)+SUM(GB$9:GB$56))/VLOOKUP($CU25,$AH$9:$AI$102,2)/VLOOKUP($CU25-EQ$103,Frauen!$G$9:$J$102,4),Rundäx)))</f>
        <v>9.4459999999999997</v>
      </c>
      <c r="ER25" s="43">
        <f>IF($CU25&gt;=RAM,"",IF($CU25-ER$103&lt;BeginnAlter,"",ROUND((SUM(DK25:DK$56)+SUM(GC$9:GC$56))/VLOOKUP($CU25,$AH$9:$AI$102,2)/VLOOKUP($CU25-ER$103,Frauen!$G$9:$J$102,4),Rundäx)))</f>
        <v>9.68</v>
      </c>
      <c r="ES25" s="86"/>
      <c r="ET25" s="35">
        <f t="shared" si="61"/>
        <v>33</v>
      </c>
      <c r="EU25" s="43">
        <f>IF($CU25&gt;=RAM,"",IF($CU25-EU$103&lt;BeginnAlter,"",ROUND((SUM(DL25:DL$56)+SUM(GD$9:GD$56))/VLOOKUP($CU25,$AH$9:$AI$102,2)/VLOOKUP($CU25-EU$103,Frauen!$G$9:$J$102,4),Rundäx)))</f>
        <v>9.9149999999999991</v>
      </c>
      <c r="EV25" s="43">
        <f>IF($CU25&gt;=RAM,"",IF($CU25-EV$103&lt;BeginnAlter,"",ROUND((SUM(DM25:DM$56)+SUM(GE$9:GE$56))/VLOOKUP($CU25,$AH$9:$AI$102,2)/VLOOKUP($CU25-EV$103,Frauen!$G$9:$J$102,4),Rundäx)))</f>
        <v>10.15</v>
      </c>
      <c r="EW25" s="43">
        <f>IF($CU25&gt;=RAM,"",IF($CU25-EW$103&lt;BeginnAlter,"",ROUND((SUM(DN25:DN$56)+SUM(GF$9:GF$56))/VLOOKUP($CU25,$AH$9:$AI$102,2)/VLOOKUP($CU25-EW$103,Frauen!$G$9:$J$102,4),Rundäx)))</f>
        <v>10.385</v>
      </c>
      <c r="EX25" s="43">
        <f>IF($CU25&gt;=RAM,"",IF($CU25-EX$103&lt;BeginnAlter,"",ROUND((SUM(DO25:DO$56)+SUM(GG$9:GG$56))/VLOOKUP($CU25,$AH$9:$AI$102,2)/VLOOKUP($CU25-EX$103,Frauen!$G$9:$J$102,4),Rundäx)))</f>
        <v>10.619</v>
      </c>
      <c r="EY25" s="43">
        <f>IF($CU25&gt;=RAM,"",IF($CU25-EY$103&lt;BeginnAlter,"",ROUND((SUM(DP25:DP$56)+SUM(GH$9:GH$56))/VLOOKUP($CU25,$AH$9:$AI$102,2)/VLOOKUP($CU25-EY$103,Frauen!$G$9:$J$102,4),Rundäx)))</f>
        <v>10.852</v>
      </c>
      <c r="EZ25" s="43">
        <f>IF($CU25&gt;=RAM,"",IF($CU25-EZ$103&lt;BeginnAlter,"",ROUND((SUM(DQ25:DQ$56)+SUM(GI$9:GI$56))/VLOOKUP($CU25,$AH$9:$AI$102,2)/VLOOKUP($CU25-EZ$103,Frauen!$G$9:$J$102,4),Rundäx)))</f>
        <v>11.085000000000001</v>
      </c>
      <c r="FA25" s="43">
        <f>IF($CU25&gt;=RAM,"",IF($CU25-FA$103&lt;BeginnAlter,"",ROUND((SUM(DR25:DR$56)+SUM(GJ$9:GJ$56))/VLOOKUP($CU25,$AH$9:$AI$102,2)/VLOOKUP($CU25-FA$103,Frauen!$G$9:$J$102,4),Rundäx)))</f>
        <v>11.316000000000001</v>
      </c>
      <c r="FB25" s="43">
        <f>IF($CU25&gt;=RAM,"",IF($CU25-FB$103&lt;BeginnAlter,"",ROUND((SUM(DS25:DS$56)+SUM(GK$9:GK$56))/VLOOKUP($CU25,$AH$9:$AI$102,2)/VLOOKUP($CU25-FB$103,Frauen!$G$9:$J$102,4),Rundäx)))</f>
        <v>11.545999999999999</v>
      </c>
      <c r="FC25" s="86"/>
      <c r="FD25" s="35">
        <f t="shared" si="62"/>
        <v>33</v>
      </c>
      <c r="FE25" s="43">
        <f>IF($CU25&gt;=RAM,"",IF($CU25-FE$103&lt;BeginnAlter,"",ROUND((SUM(DT25:DT$56)+SUM(GL$9:GL$56))/VLOOKUP($CU25,$AH$9:$AI$102,2)/VLOOKUP($CU25-FE$103,Frauen!$G$9:$J$102,4),Rundäx)))</f>
        <v>11.775</v>
      </c>
      <c r="FF25" s="43">
        <f>IF($CU25&gt;=RAM,"",IF($CU25-FF$103&lt;BeginnAlter,"",ROUND((SUM(DU25:DU$56)+SUM(GM$9:GM$56))/VLOOKUP($CU25,$AH$9:$AI$102,2)/VLOOKUP($CU25-FF$103,Frauen!$G$9:$J$102,4),Rundäx)))</f>
        <v>12.002000000000001</v>
      </c>
      <c r="FG25" s="43">
        <f>IF($CU25&gt;=RAM,"",IF($CU25-FG$103&lt;BeginnAlter,"",ROUND((SUM(DV25:DV$56)+SUM(GN$9:GN$56))/VLOOKUP($CU25,$AH$9:$AI$102,2)/VLOOKUP($CU25-FG$103,Frauen!$G$9:$J$102,4),Rundäx)))</f>
        <v>12.227</v>
      </c>
      <c r="FH25" s="43">
        <f>IF($CU25&gt;=RAM,"",IF($CU25-FH$103&lt;BeginnAlter,"",ROUND((SUM(DW25:DW$56)+SUM(GO$9:GO$56))/VLOOKUP($CU25,$AH$9:$AI$102,2)/VLOOKUP($CU25-FH$103,Frauen!$G$9:$J$102,4),Rundäx)))</f>
        <v>12.451000000000001</v>
      </c>
      <c r="FI25" s="43">
        <f>IF($CU25&gt;=RAM,"",IF($CU25-FI$103&lt;BeginnAlter,"",ROUND((SUM(DX25:DX$56)+SUM(GP$9:GP$56))/VLOOKUP($CU25,$AH$9:$AI$102,2)/VLOOKUP($CU25-FI$103,Frauen!$G$9:$J$102,4),Rundäx)))</f>
        <v>12.672000000000001</v>
      </c>
      <c r="FJ25" s="43">
        <f>IF($CU25&gt;=RAM,"",IF($CU25-FJ$103&lt;BeginnAlter,"",ROUND((SUM(DY25:DY$56)+SUM(GQ$9:GQ$56))/VLOOKUP($CU25,$AH$9:$AI$102,2)/VLOOKUP($CU25-FJ$103,Frauen!$G$9:$J$102,4),Rundäx)))</f>
        <v>12.891999999999999</v>
      </c>
      <c r="FK25" s="43">
        <f>IF($CU25&gt;=RAM,"",IF($CU25-FK$103&lt;BeginnAlter,"",ROUND((SUM(DZ25:DZ$56)+SUM(GR$9:GR$56))/VLOOKUP($CU25,$AH$9:$AI$102,2)/VLOOKUP($CU25-FK$103,Frauen!$G$9:$J$102,4),Rundäx)))</f>
        <v>13.109</v>
      </c>
      <c r="FL25" s="86"/>
      <c r="FM25" s="35">
        <f t="shared" si="68"/>
        <v>81</v>
      </c>
      <c r="FN25" s="25">
        <f>ROUND(v^($FM25+FaktorAlter)*VLOOKUP($FM25,$G$9:$J$102,4)*VLOOKUP($FM25,$A$9:$E$102,5)*0.5*(VLOOKUP($FM25-FN$103,Frauen!$G$9:$J$102,4)+VLOOKUP($FM25-FN$103+1,Frauen!$G$9:$J$102,4))*0.5*(VLOOKUP($FM25-FN$103,Frauen!$AZ$9:$BD$102,5)+VLOOKUP($FM25-FN$103+1,Frauen!$AZ$9:$BD$102,5)),RundDx)</f>
        <v>7744564</v>
      </c>
      <c r="FO25" s="25">
        <f>ROUND(v^($FM25+FaktorAlter)*VLOOKUP($FM25,$G$9:$J$102,4)*VLOOKUP($FM25,$A$9:$E$102,5)*0.5*(VLOOKUP($FM25-FO$103,Frauen!$G$9:$J$102,4)+VLOOKUP($FM25-FO$103+1,Frauen!$G$9:$J$102,4))*0.5*(VLOOKUP($FM25-FO$103,Frauen!$AZ$9:$BD$102,5)+VLOOKUP($FM25-FO$103+1,Frauen!$AZ$9:$BD$102,5)),RundDx)</f>
        <v>11725966</v>
      </c>
      <c r="FP25" s="25">
        <f>ROUND(v^($FM25+FaktorAlter)*VLOOKUP($FM25,$G$9:$J$102,4)*VLOOKUP($FM25,$A$9:$E$102,5)*0.5*(VLOOKUP($FM25-FP$103,Frauen!$G$9:$J$102,4)+VLOOKUP($FM25-FP$103+1,Frauen!$G$9:$J$102,4))*0.5*(VLOOKUP($FM25-FP$103,Frauen!$AZ$9:$BD$102,5)+VLOOKUP($FM25-FP$103+1,Frauen!$AZ$9:$BD$102,5)),RundDx)</f>
        <v>17113845</v>
      </c>
      <c r="FQ25" s="25">
        <f>ROUND(v^($FM25+FaktorAlter)*VLOOKUP($FM25,$G$9:$J$102,4)*VLOOKUP($FM25,$A$9:$E$102,5)*0.5*(VLOOKUP($FM25-FQ$103,Frauen!$G$9:$J$102,4)+VLOOKUP($FM25-FQ$103+1,Frauen!$G$9:$J$102,4))*0.5*(VLOOKUP($FM25-FQ$103,Frauen!$AZ$9:$BD$102,5)+VLOOKUP($FM25-FQ$103+1,Frauen!$AZ$9:$BD$102,5)),RundDx)</f>
        <v>24181794</v>
      </c>
      <c r="FR25" s="25">
        <f>ROUND(v^($FM25+FaktorAlter)*VLOOKUP($FM25,$G$9:$J$102,4)*VLOOKUP($FM25,$A$9:$E$102,5)*0.5*(VLOOKUP($FM25-FR$103,Frauen!$G$9:$J$102,4)+VLOOKUP($FM25-FR$103+1,Frauen!$G$9:$J$102,4))*0.5*(VLOOKUP($FM25-FR$103,Frauen!$AZ$9:$BD$102,5)+VLOOKUP($FM25-FR$103+1,Frauen!$AZ$9:$BD$102,5)),RundDx)</f>
        <v>33237204</v>
      </c>
      <c r="FS25" s="25">
        <f>ROUND(v^($FM25+FaktorAlter)*VLOOKUP($FM25,$G$9:$J$102,4)*VLOOKUP($FM25,$A$9:$E$102,5)*0.5*(VLOOKUP($FM25-FS$103,Frauen!$G$9:$J$102,4)+VLOOKUP($FM25-FS$103+1,Frauen!$G$9:$J$102,4))*0.5*(VLOOKUP($FM25-FS$103,Frauen!$AZ$9:$BD$102,5)+VLOOKUP($FM25-FS$103+1,Frauen!$AZ$9:$BD$102,5)),RundDx)</f>
        <v>44464908</v>
      </c>
      <c r="FT25" s="25">
        <f>ROUND(v^($FM25+FaktorAlter)*VLOOKUP($FM25,$G$9:$J$102,4)*VLOOKUP($FM25,$A$9:$E$102,5)*0.5*(VLOOKUP($FM25-FT$103,Frauen!$G$9:$J$102,4)+VLOOKUP($FM25-FT$103+1,Frauen!$G$9:$J$102,4))*0.5*(VLOOKUP($FM25-FT$103,Frauen!$AZ$9:$BD$102,5)+VLOOKUP($FM25-FT$103+1,Frauen!$AZ$9:$BD$102,5)),RundDx)</f>
        <v>57886803</v>
      </c>
      <c r="FU25" s="25">
        <f>ROUND(v^($FM25+FaktorAlter)*VLOOKUP($FM25,$G$9:$J$102,4)*VLOOKUP($FM25,$A$9:$E$102,5)*0.5*(VLOOKUP($FM25-FU$103,Frauen!$G$9:$J$102,4)+VLOOKUP($FM25-FU$103+1,Frauen!$G$9:$J$102,4))*0.5*(VLOOKUP($FM25-FU$103,Frauen!$AZ$9:$BD$102,5)+VLOOKUP($FM25-FU$103+1,Frauen!$AZ$9:$BD$102,5)),RundDx)</f>
        <v>73618022</v>
      </c>
      <c r="FV25" s="25">
        <f>ROUND(v^($FM25+FaktorAlter)*VLOOKUP($FM25,$G$9:$J$102,4)*VLOOKUP($FM25,$A$9:$E$102,5)*0.5*(VLOOKUP($FM25-FV$103,Frauen!$G$9:$J$102,4)+VLOOKUP($FM25-FV$103+1,Frauen!$G$9:$J$102,4))*0.5*(VLOOKUP($FM25-FV$103,Frauen!$AZ$9:$BD$102,5)+VLOOKUP($FM25-FV$103+1,Frauen!$AZ$9:$BD$102,5)),RundDx)</f>
        <v>91678748</v>
      </c>
      <c r="FW25" s="25">
        <f>ROUND(v^($FM25+FaktorAlter)*VLOOKUP($FM25,$G$9:$J$102,4)*VLOOKUP($FM25,$A$9:$E$102,5)*0.5*(VLOOKUP($FM25-FW$103,Frauen!$G$9:$J$102,4)+VLOOKUP($FM25-FW$103+1,Frauen!$G$9:$J$102,4))*0.5*(VLOOKUP($FM25-FW$103,Frauen!$AZ$9:$BD$102,5)+VLOOKUP($FM25-FW$103+1,Frauen!$AZ$9:$BD$102,5)),RundDx)</f>
        <v>112013222</v>
      </c>
      <c r="FX25" s="25">
        <f>ROUND(v^($FM25+FaktorAlter)*VLOOKUP($FM25,$G$9:$J$102,4)*VLOOKUP($FM25,$A$9:$E$102,5)*0.5*(VLOOKUP($FM25-FX$103,Frauen!$G$9:$J$102,4)+VLOOKUP($FM25-FX$103+1,Frauen!$G$9:$J$102,4))*0.5*(VLOOKUP($FM25-FX$103,Frauen!$AZ$9:$BD$102,5)+VLOOKUP($FM25-FX$103+1,Frauen!$AZ$9:$BD$102,5)),RundDx)</f>
        <v>134517955</v>
      </c>
      <c r="FY25" s="25">
        <f>ROUND(v^($FM25+FaktorAlter)*VLOOKUP($FM25,$G$9:$J$102,4)*VLOOKUP($FM25,$A$9:$E$102,5)*0.5*(VLOOKUP($FM25-FY$103,Frauen!$G$9:$J$102,4)+VLOOKUP($FM25-FY$103+1,Frauen!$G$9:$J$102,4))*0.5*(VLOOKUP($FM25-FY$103,Frauen!$AZ$9:$BD$102,5)+VLOOKUP($FM25-FY$103+1,Frauen!$AZ$9:$BD$102,5)),RundDx)</f>
        <v>158976991</v>
      </c>
      <c r="FZ25" s="25">
        <f>ROUND(v^($FM25+FaktorAlter)*VLOOKUP($FM25,$G$9:$J$102,4)*VLOOKUP($FM25,$A$9:$E$102,5)*0.5*(VLOOKUP($FM25-FZ$103,Frauen!$G$9:$J$102,4)+VLOOKUP($FM25-FZ$103+1,Frauen!$G$9:$J$102,4))*0.5*(VLOOKUP($FM25-FZ$103,Frauen!$AZ$9:$BD$102,5)+VLOOKUP($FM25-FZ$103+1,Frauen!$AZ$9:$BD$102,5)),RundDx)</f>
        <v>185131131</v>
      </c>
      <c r="GA25" s="25">
        <f>ROUND(v^($FM25+FaktorAlter)*VLOOKUP($FM25,$G$9:$J$102,4)*VLOOKUP($FM25,$A$9:$E$102,5)*0.5*(VLOOKUP($FM25-GA$103,Frauen!$G$9:$J$102,4)+VLOOKUP($FM25-GA$103+1,Frauen!$G$9:$J$102,4))*0.5*(VLOOKUP($FM25-GA$103,Frauen!$AZ$9:$BD$102,5)+VLOOKUP($FM25-GA$103+1,Frauen!$AZ$9:$BD$102,5)),RundDx)</f>
        <v>212723947</v>
      </c>
      <c r="GB25" s="25">
        <f>ROUND(v^($FM25+FaktorAlter)*VLOOKUP($FM25,$G$9:$J$102,4)*VLOOKUP($FM25,$A$9:$E$102,5)*0.5*(VLOOKUP($FM25-GB$103,Frauen!$G$9:$J$102,4)+VLOOKUP($FM25-GB$103+1,Frauen!$G$9:$J$102,4))*0.5*(VLOOKUP($FM25-GB$103,Frauen!$AZ$9:$BD$102,5)+VLOOKUP($FM25-GB$103+1,Frauen!$AZ$9:$BD$102,5)),RundDx)</f>
        <v>241451909</v>
      </c>
      <c r="GC25" s="25">
        <f>ROUND(v^($FM25+FaktorAlter)*VLOOKUP($FM25,$G$9:$J$102,4)*VLOOKUP($FM25,$A$9:$E$102,5)*0.5*(VLOOKUP($FM25-GC$103,Frauen!$G$9:$J$102,4)+VLOOKUP($FM25-GC$103+1,Frauen!$G$9:$J$102,4))*0.5*(VLOOKUP($FM25-GC$103,Frauen!$AZ$9:$BD$102,5)+VLOOKUP($FM25-GC$103+1,Frauen!$AZ$9:$BD$102,5)),RundDx)</f>
        <v>271028283</v>
      </c>
      <c r="GD25" s="25">
        <f>ROUND(v^($FM25+FaktorAlter)*VLOOKUP($FM25,$G$9:$J$102,4)*VLOOKUP($FM25,$A$9:$E$102,5)*0.5*(VLOOKUP($FM25-GD$103,Frauen!$G$9:$J$102,4)+VLOOKUP($FM25-GD$103+1,Frauen!$G$9:$J$102,4))*0.5*(VLOOKUP($FM25-GD$103,Frauen!$AZ$9:$BD$102,5)+VLOOKUP($FM25-GD$103+1,Frauen!$AZ$9:$BD$102,5)),RundDx)</f>
        <v>301257703</v>
      </c>
      <c r="GE25" s="25">
        <f>ROUND(v^($FM25+FaktorAlter)*VLOOKUP($FM25,$G$9:$J$102,4)*VLOOKUP($FM25,$A$9:$E$102,5)*0.5*(VLOOKUP($FM25-GE$103,Frauen!$G$9:$J$102,4)+VLOOKUP($FM25-GE$103+1,Frauen!$G$9:$J$102,4))*0.5*(VLOOKUP($FM25-GE$103,Frauen!$AZ$9:$BD$102,5)+VLOOKUP($FM25-GE$103+1,Frauen!$AZ$9:$BD$102,5)),RundDx)</f>
        <v>332044302</v>
      </c>
      <c r="GF25" s="25">
        <f>ROUND(v^($FM25+FaktorAlter)*VLOOKUP($FM25,$G$9:$J$102,4)*VLOOKUP($FM25,$A$9:$E$102,5)*0.5*(VLOOKUP($FM25-GF$103,Frauen!$G$9:$J$102,4)+VLOOKUP($FM25-GF$103+1,Frauen!$G$9:$J$102,4))*0.5*(VLOOKUP($FM25-GF$103,Frauen!$AZ$9:$BD$102,5)+VLOOKUP($FM25-GF$103+1,Frauen!$AZ$9:$BD$102,5)),RundDx)</f>
        <v>363257523</v>
      </c>
      <c r="GG25" s="25">
        <f>ROUND(v^($FM25+FaktorAlter)*VLOOKUP($FM25,$G$9:$J$102,4)*VLOOKUP($FM25,$A$9:$E$102,5)*0.5*(VLOOKUP($FM25-GG$103,Frauen!$G$9:$J$102,4)+VLOOKUP($FM25-GG$103+1,Frauen!$G$9:$J$102,4))*0.5*(VLOOKUP($FM25-GG$103,Frauen!$AZ$9:$BD$102,5)+VLOOKUP($FM25-GG$103+1,Frauen!$AZ$9:$BD$102,5)),RundDx)</f>
        <v>394871740</v>
      </c>
      <c r="GH25" s="25">
        <f>ROUND(v^($FM25+FaktorAlter)*VLOOKUP($FM25,$G$9:$J$102,4)*VLOOKUP($FM25,$A$9:$E$102,5)*0.5*(VLOOKUP($FM25-GH$103,Frauen!$G$9:$J$102,4)+VLOOKUP($FM25-GH$103+1,Frauen!$G$9:$J$102,4))*0.5*(VLOOKUP($FM25-GH$103,Frauen!$AZ$9:$BD$102,5)+VLOOKUP($FM25-GH$103+1,Frauen!$AZ$9:$BD$102,5)),RundDx)</f>
        <v>426964117</v>
      </c>
      <c r="GI25" s="25">
        <f>ROUND(v^($FM25+FaktorAlter)*VLOOKUP($FM25,$G$9:$J$102,4)*VLOOKUP($FM25,$A$9:$E$102,5)*0.5*(VLOOKUP($FM25-GI$103,Frauen!$G$9:$J$102,4)+VLOOKUP($FM25-GI$103+1,Frauen!$G$9:$J$102,4))*0.5*(VLOOKUP($FM25-GI$103,Frauen!$AZ$9:$BD$102,5)+VLOOKUP($FM25-GI$103+1,Frauen!$AZ$9:$BD$102,5)),RundDx)</f>
        <v>459565901</v>
      </c>
      <c r="GJ25" s="25">
        <f>ROUND(v^($FM25+FaktorAlter)*VLOOKUP($FM25,$G$9:$J$102,4)*VLOOKUP($FM25,$A$9:$E$102,5)*0.5*(VLOOKUP($FM25-GJ$103,Frauen!$G$9:$J$102,4)+VLOOKUP($FM25-GJ$103+1,Frauen!$G$9:$J$102,4))*0.5*(VLOOKUP($FM25-GJ$103,Frauen!$AZ$9:$BD$102,5)+VLOOKUP($FM25-GJ$103+1,Frauen!$AZ$9:$BD$102,5)),RundDx)</f>
        <v>492777940</v>
      </c>
      <c r="GK25" s="25">
        <f>ROUND(v^($FM25+FaktorAlter)*VLOOKUP($FM25,$G$9:$J$102,4)*VLOOKUP($FM25,$A$9:$E$102,5)*0.5*(VLOOKUP($FM25-GK$103,Frauen!$G$9:$J$102,4)+VLOOKUP($FM25-GK$103+1,Frauen!$G$9:$J$102,4))*0.5*(VLOOKUP($FM25-GK$103,Frauen!$AZ$9:$BD$102,5)+VLOOKUP($FM25-GK$103+1,Frauen!$AZ$9:$BD$102,5)),RundDx)</f>
        <v>526618906</v>
      </c>
      <c r="GL25" s="25">
        <f>ROUND(v^($FM25+FaktorAlter)*VLOOKUP($FM25,$G$9:$J$102,4)*VLOOKUP($FM25,$A$9:$E$102,5)*0.5*(VLOOKUP($FM25-GL$103,Frauen!$G$9:$J$102,4)+VLOOKUP($FM25-GL$103+1,Frauen!$G$9:$J$102,4))*0.5*(VLOOKUP($FM25-GL$103,Frauen!$AZ$9:$BD$102,5)+VLOOKUP($FM25-GL$103+1,Frauen!$AZ$9:$BD$102,5)),RundDx)</f>
        <v>561011001</v>
      </c>
      <c r="GM25" s="25">
        <f>ROUND(v^($FM25+FaktorAlter)*VLOOKUP($FM25,$G$9:$J$102,4)*VLOOKUP($FM25,$A$9:$E$102,5)*0.5*(VLOOKUP($FM25-GM$103,Frauen!$G$9:$J$102,4)+VLOOKUP($FM25-GM$103+1,Frauen!$G$9:$J$102,4))*0.5*(VLOOKUP($FM25-GM$103,Frauen!$AZ$9:$BD$102,5)+VLOOKUP($FM25-GM$103+1,Frauen!$AZ$9:$BD$102,5)),RundDx)</f>
        <v>595803890</v>
      </c>
      <c r="GN25" s="25">
        <f>ROUND(v^($FM25+FaktorAlter)*VLOOKUP($FM25,$G$9:$J$102,4)*VLOOKUP($FM25,$A$9:$E$102,5)*0.5*(VLOOKUP($FM25-GN$103,Frauen!$G$9:$J$102,4)+VLOOKUP($FM25-GN$103+1,Frauen!$G$9:$J$102,4))*0.5*(VLOOKUP($FM25-GN$103,Frauen!$AZ$9:$BD$102,5)+VLOOKUP($FM25-GN$103+1,Frauen!$AZ$9:$BD$102,5)),RundDx)</f>
        <v>630747793</v>
      </c>
      <c r="GO25" s="25">
        <f>ROUND(v^($FM25+FaktorAlter)*VLOOKUP($FM25,$G$9:$J$102,4)*VLOOKUP($FM25,$A$9:$E$102,5)*0.5*(VLOOKUP($FM25-GO$103,Frauen!$G$9:$J$102,4)+VLOOKUP($FM25-GO$103+1,Frauen!$G$9:$J$102,4))*0.5*(VLOOKUP($FM25-GO$103,Frauen!$AZ$9:$BD$102,5)+VLOOKUP($FM25-GO$103+1,Frauen!$AZ$9:$BD$102,5)),RundDx)</f>
        <v>665745406</v>
      </c>
      <c r="GP25" s="25">
        <f>ROUND(v^($FM25+FaktorAlter)*VLOOKUP($FM25,$G$9:$J$102,4)*VLOOKUP($FM25,$A$9:$E$102,5)*0.5*(VLOOKUP($FM25-GP$103,Frauen!$G$9:$J$102,4)+VLOOKUP($FM25-GP$103+1,Frauen!$G$9:$J$102,4))*0.5*(VLOOKUP($FM25-GP$103,Frauen!$AZ$9:$BD$102,5)+VLOOKUP($FM25-GP$103+1,Frauen!$AZ$9:$BD$102,5)),RundDx)</f>
        <v>700732383</v>
      </c>
      <c r="GQ25" s="25">
        <f>ROUND(v^($FM25+FaktorAlter)*VLOOKUP($FM25,$G$9:$J$102,4)*VLOOKUP($FM25,$A$9:$E$102,5)*0.5*(VLOOKUP($FM25-GQ$103,Frauen!$G$9:$J$102,4)+VLOOKUP($FM25-GQ$103+1,Frauen!$G$9:$J$102,4))*0.5*(VLOOKUP($FM25-GQ$103,Frauen!$AZ$9:$BD$102,5)+VLOOKUP($FM25-GQ$103+1,Frauen!$AZ$9:$BD$102,5)),RundDx)</f>
        <v>735471312</v>
      </c>
      <c r="GR25" s="25">
        <f>ROUND(v^($FM25+FaktorAlter)*VLOOKUP($FM25,$G$9:$J$102,4)*VLOOKUP($FM25,$A$9:$E$102,5)*0.5*(VLOOKUP($FM25-GR$103,Frauen!$G$9:$J$102,4)+VLOOKUP($FM25-GR$103+1,Frauen!$G$9:$J$102,4))*0.5*(VLOOKUP($FM25-GR$103,Frauen!$AZ$9:$BD$102,5)+VLOOKUP($FM25-GR$103+1,Frauen!$AZ$9:$BD$102,5)),RundDx)</f>
        <v>769824832</v>
      </c>
      <c r="GS25" s="24">
        <f>ROUND(SUM(FN25:FN$56)/VLOOKUP($FM25,$AQ$9:$AR$102,2)/VLOOKUP($FM25-GS$103,Frauen!$G$9:$J$102,4),Rundäx)</f>
        <v>0.29799999999999999</v>
      </c>
      <c r="GT25" s="24">
        <f>ROUND(SUM(FO25:FO$56)/VLOOKUP($FM25,$AQ$9:$AR$102,2)/VLOOKUP($FM25-GT$103,Frauen!$G$9:$J$102,4),Rundäx)</f>
        <v>0.36099999999999999</v>
      </c>
      <c r="GU25" s="24">
        <f>ROUND(SUM(FP25:FP$56)/VLOOKUP($FM25,$AQ$9:$AR$102,2)/VLOOKUP($FM25-GU$103,Frauen!$G$9:$J$102,4),Rundäx)</f>
        <v>0.435</v>
      </c>
      <c r="GV25" s="24">
        <f>ROUND(SUM(FQ25:FQ$56)/VLOOKUP($FM25,$AQ$9:$AR$102,2)/VLOOKUP($FM25-GV$103,Frauen!$G$9:$J$102,4),Rundäx)</f>
        <v>0.51900000000000002</v>
      </c>
      <c r="GW25" s="24">
        <f>ROUND(SUM(FR25:FR$56)/VLOOKUP($FM25,$AQ$9:$AR$102,2)/VLOOKUP($FM25-GW$103,Frauen!$G$9:$J$102,4),Rundäx)</f>
        <v>0.61599999999999999</v>
      </c>
      <c r="GX25" s="24">
        <f>ROUND(SUM(FS25:FS$56)/VLOOKUP($FM25,$AQ$9:$AR$102,2)/VLOOKUP($FM25-GX$103,Frauen!$G$9:$J$102,4),Rundäx)</f>
        <v>0.72599999999999998</v>
      </c>
      <c r="GY25" s="24">
        <f>ROUND(SUM(FT25:FT$56)/VLOOKUP($FM25,$AQ$9:$AR$102,2)/VLOOKUP($FM25-GY$103,Frauen!$G$9:$J$102,4),Rundäx)</f>
        <v>0.85199999999999998</v>
      </c>
      <c r="GZ25" s="24">
        <f>ROUND(SUM(FU25:FU$56)/VLOOKUP($FM25,$AQ$9:$AR$102,2)/VLOOKUP($FM25-GZ$103,Frauen!$G$9:$J$102,4),Rundäx)</f>
        <v>0.99299999999999999</v>
      </c>
      <c r="HA25" s="86"/>
      <c r="HB25" s="35">
        <f t="shared" si="63"/>
        <v>81</v>
      </c>
      <c r="HC25" s="24">
        <f>ROUND(SUM(FV25:FV$56)/VLOOKUP($FM25,$AQ$9:$AR$102,2)/VLOOKUP($FM25-HC$103,Frauen!$G$9:$J$102,4),Rundäx)</f>
        <v>1.1519999999999999</v>
      </c>
      <c r="HD25" s="24">
        <f>ROUND(SUM(FW25:FW$56)/VLOOKUP($FM25,$AQ$9:$AR$102,2)/VLOOKUP($FM25-HD$103,Frauen!$G$9:$J$102,4),Rundäx)</f>
        <v>1.331</v>
      </c>
      <c r="HE25" s="24">
        <f>ROUND(SUM(FX25:FX$56)/VLOOKUP($FM25,$AQ$9:$AR$102,2)/VLOOKUP($FM25-HE$103,Frauen!$G$9:$J$102,4),Rundäx)</f>
        <v>1.5309999999999999</v>
      </c>
      <c r="HF25" s="24">
        <f>ROUND(SUM(FY25:FY$56)/VLOOKUP($FM25,$AQ$9:$AR$102,2)/VLOOKUP($FM25-HF$103,Frauen!$G$9:$J$102,4),Rundäx)</f>
        <v>1.756</v>
      </c>
      <c r="HG25" s="24">
        <f>ROUND(SUM(FZ25:FZ$56)/VLOOKUP($FM25,$AQ$9:$AR$102,2)/VLOOKUP($FM25-HG$103,Frauen!$G$9:$J$102,4),Rundäx)</f>
        <v>2.0059999999999998</v>
      </c>
      <c r="HH25" s="24">
        <f>ROUND(SUM(GA25:GA$56)/VLOOKUP($FM25,$AQ$9:$AR$102,2)/VLOOKUP($FM25-HH$103,Frauen!$G$9:$J$102,4),Rundäx)</f>
        <v>2.282</v>
      </c>
      <c r="HI25" s="24">
        <f>ROUND(SUM(GB25:GB$56)/VLOOKUP($FM25,$AQ$9:$AR$102,2)/VLOOKUP($FM25-HI$103,Frauen!$G$9:$J$102,4),Rundäx)</f>
        <v>2.5859999999999999</v>
      </c>
      <c r="HJ25" s="24">
        <f>ROUND(SUM(GC25:GC$56)/VLOOKUP($FM25,$AQ$9:$AR$102,2)/VLOOKUP($FM25-HJ$103,Frauen!$G$9:$J$102,4),Rundäx)</f>
        <v>2.9169999999999998</v>
      </c>
      <c r="HK25" s="86"/>
      <c r="HL25" s="35">
        <f t="shared" si="64"/>
        <v>81</v>
      </c>
      <c r="HM25" s="24">
        <f>ROUND(SUM(GD25:GD$56)/VLOOKUP($FM25,$AQ$9:$AR$102,2)/VLOOKUP($FM25-HM$103,Frauen!$G$9:$J$102,4),Rundäx)</f>
        <v>3.2749999999999999</v>
      </c>
      <c r="HN25" s="24">
        <f>ROUND(SUM(GE25:GE$56)/VLOOKUP($FM25,$AQ$9:$AR$102,2)/VLOOKUP($FM25-HN$103,Frauen!$G$9:$J$102,4),Rundäx)</f>
        <v>3.657</v>
      </c>
      <c r="HO25" s="24">
        <f>ROUND(SUM(GF25:GF$56)/VLOOKUP($FM25,$AQ$9:$AR$102,2)/VLOOKUP($FM25-HO$103,Frauen!$G$9:$J$102,4),Rundäx)</f>
        <v>4.0620000000000003</v>
      </c>
      <c r="HP25" s="24">
        <f>ROUND(SUM(GG25:GG$56)/VLOOKUP($FM25,$AQ$9:$AR$102,2)/VLOOKUP($FM25-HP$103,Frauen!$G$9:$J$102,4),Rundäx)</f>
        <v>4.4850000000000003</v>
      </c>
      <c r="HQ25" s="24">
        <f>ROUND(SUM(GH25:GH$56)/VLOOKUP($FM25,$AQ$9:$AR$102,2)/VLOOKUP($FM25-HQ$103,Frauen!$G$9:$J$102,4),Rundäx)</f>
        <v>4.9240000000000004</v>
      </c>
      <c r="HR25" s="24">
        <f>ROUND(SUM(GI25:GI$56)/VLOOKUP($FM25,$AQ$9:$AR$102,2)/VLOOKUP($FM25-HR$103,Frauen!$G$9:$J$102,4),Rundäx)</f>
        <v>5.3730000000000002</v>
      </c>
      <c r="HS25" s="24">
        <f>ROUND(SUM(GJ25:GJ$56)/VLOOKUP($FM25,$AQ$9:$AR$102,2)/VLOOKUP($FM25-HS$103,Frauen!$G$9:$J$102,4),Rundäx)</f>
        <v>5.8289999999999997</v>
      </c>
      <c r="HT25" s="24">
        <f>ROUND(SUM(GK25:GK$56)/VLOOKUP($FM25,$AQ$9:$AR$102,2)/VLOOKUP($FM25-HT$103,Frauen!$G$9:$J$102,4),Rundäx)</f>
        <v>6.2889999999999997</v>
      </c>
      <c r="HU25" s="86"/>
      <c r="HV25" s="35">
        <f t="shared" si="65"/>
        <v>81</v>
      </c>
      <c r="HW25" s="24">
        <f>ROUND(SUM(GL25:GL$56)/VLOOKUP($FM25,$AQ$9:$AR$102,2)/VLOOKUP($FM25-HW$103,Frauen!$G$9:$J$102,4),Rundäx)</f>
        <v>6.7510000000000003</v>
      </c>
      <c r="HX25" s="24">
        <f>ROUND(SUM(GM25:GM$56)/VLOOKUP($FM25,$AQ$9:$AR$102,2)/VLOOKUP($FM25-HX$103,Frauen!$G$9:$J$102,4),Rundäx)</f>
        <v>7.2160000000000002</v>
      </c>
      <c r="HY25" s="24">
        <f>ROUND(SUM(GN25:GN$56)/VLOOKUP($FM25,$AQ$9:$AR$102,2)/VLOOKUP($FM25-HY$103,Frauen!$G$9:$J$102,4),Rundäx)</f>
        <v>7.6849999999999996</v>
      </c>
      <c r="HZ25" s="24">
        <f>ROUND(SUM(GO25:GO$56)/VLOOKUP($FM25,$AQ$9:$AR$102,2)/VLOOKUP($FM25-HZ$103,Frauen!$G$9:$J$102,4),Rundäx)</f>
        <v>8.1530000000000005</v>
      </c>
      <c r="IA25" s="24">
        <f>ROUND(SUM(GP25:GP$56)/VLOOKUP($FM25,$AQ$9:$AR$102,2)/VLOOKUP($FM25-IA$103,Frauen!$G$9:$J$102,4),Rundäx)</f>
        <v>8.6210000000000004</v>
      </c>
      <c r="IB25" s="24">
        <f>ROUND(SUM(GQ25:GQ$56)/VLOOKUP($FM25,$AQ$9:$AR$102,2)/VLOOKUP($FM25-IB$103,Frauen!$G$9:$J$102,4),Rundäx)</f>
        <v>9.0909999999999993</v>
      </c>
      <c r="IC25" s="24">
        <f>ROUND(SUM(GR25:GR$56)/VLOOKUP($FM25,$AQ$9:$AR$102,2)/VLOOKUP($FM25-IC$103,Frauen!$G$9:$J$102,4),Rundäx)</f>
        <v>9.5619999999999994</v>
      </c>
      <c r="ID25" s="89"/>
      <c r="IE25" s="35">
        <f t="shared" si="66"/>
        <v>33</v>
      </c>
      <c r="IF25" s="25">
        <f t="shared" si="31"/>
        <v>764</v>
      </c>
      <c r="IG25" s="25">
        <f>IF($IE25&lt;RAM,IF(S26&lt;=RAK,ROUND(SUM(IF25:INDEX(Dakx,RAM-BeginnAlter))+INDEX(Dax,RAM-BeginnAlter+1)*INDEX(äkx,1),RundDx),0),"")</f>
        <v>14587</v>
      </c>
      <c r="IH25" s="25">
        <f>IF($IE25&lt;RAM,IF(S26&lt;=RAK,ROUND(SUM(IG25:INDEX(Nakx,RAM-BeginnAlter))+INDEX(Dax,RAM-BeginnAlter+1)*INDEX(äkx,1),RundDx),0),"")</f>
        <v>149466</v>
      </c>
      <c r="II25" s="24">
        <f t="shared" si="32"/>
        <v>0.309</v>
      </c>
      <c r="IJ25" s="25">
        <f t="shared" si="33"/>
        <v>27284</v>
      </c>
      <c r="IK25" s="25">
        <f>IF($IE25&lt;RAM,IF(S26&lt;=RAK,SUM(IJ25:INDEX(Dikx,RAM-BeginnAlter))+INDEX(Dix,RAM-BeginnAlter+1)*INDEX(äkx,1),0),"")</f>
        <v>309959.83199999999</v>
      </c>
      <c r="IL25" s="24">
        <f t="shared" si="34"/>
        <v>3.819</v>
      </c>
      <c r="IM25" s="86"/>
      <c r="IN25" s="35">
        <f t="shared" si="67"/>
        <v>81</v>
      </c>
      <c r="IO25" s="25">
        <f>IF(AND(VLOOKUP(IN25+1,O$9:S$102,5)&lt;=RAK,VLOOKUP(IN25+1,O$9:S$102,5)&lt;&gt;""),ROUND(v^($IN25+FaktorAlter)*VLOOKUP(IN25,G$9:J$102,4)*VLOOKUP(IN25,A$9:E$102,5)*0.5*(VLOOKUP(IN25,O$9:R$102,4)+VLOOKUP(IN25+1,O$9:R$102,4))*(VLOOKUP(TRUNC(0.5*(VLOOKUP(IN25,O$9:S$102,5)+VLOOKUP(IN25+1,O$9:S$102,5)),0),$BF$9:$BH$36,3)+(0.5*(VLOOKUP(IN25,O$9:S$102,5)+VLOOKUP(IN25+1,O$9:S$102,5))-TRUNC(0.5*(VLOOKUP(IN25,O$9:S$102,5)+VLOOKUP(IN25+1,O$9:S$102,5)),0))*(VLOOKUP(TRUNC(0.5*(VLOOKUP(IN25,O$9:S$102,5)+VLOOKUP(IN25+1,O$9:S$102,5))+1,0),$BF$9:$BH$36,3)-VLOOKUP(TRUNC(0.5*(VLOOKUP(IN25,O$9:S$102,5)+VLOOKUP(IN25+1,O$9:S$102,5)),0),$BF$9:$BH$36,3))),RundDx),0)</f>
        <v>0</v>
      </c>
      <c r="IP25" s="25">
        <f>IF(AND(VLOOKUP(IN25+1,O$9:S$102,5)&lt;=RAK,VLOOKUP(IN25+1,O$9:S$102,5)&lt;&gt;""),SUM(IO25:IO$102),0)</f>
        <v>0</v>
      </c>
      <c r="IQ25" s="24">
        <f>IF(VLOOKUP(IN25+1,O$9:S$102,5)&lt;=RAK,ROUND(IP25/INDEX(Dx,$IN25-BeginnAlter+1),Rundäx),0)</f>
        <v>0</v>
      </c>
      <c r="IR25" s="86"/>
    </row>
    <row r="26" spans="1:252" ht="15.75" customHeight="1" x14ac:dyDescent="0.25">
      <c r="A26" s="35">
        <f t="shared" si="41"/>
        <v>34</v>
      </c>
      <c r="B26" s="77">
        <v>6.9533535702911607E-4</v>
      </c>
      <c r="C26" s="77">
        <v>1.089399114388328E-3</v>
      </c>
      <c r="D26" s="77">
        <v>1.7823141558565368E-2</v>
      </c>
      <c r="E26" s="77">
        <v>8.4875061888067815E-4</v>
      </c>
      <c r="F26" s="86"/>
      <c r="G26" s="35">
        <f t="shared" si="42"/>
        <v>34</v>
      </c>
      <c r="H26" s="25">
        <f t="shared" si="37"/>
        <v>98109</v>
      </c>
      <c r="I26" s="25">
        <f t="shared" si="38"/>
        <v>860</v>
      </c>
      <c r="J26" s="25">
        <f t="shared" si="39"/>
        <v>98969</v>
      </c>
      <c r="K26" s="30">
        <f>IF(J26&gt;0,ROUND(SUM(J26:J$102)/J26-0.5,Rundex),"")</f>
        <v>45.36</v>
      </c>
      <c r="L26" s="25">
        <f t="shared" si="0"/>
        <v>166182</v>
      </c>
      <c r="M26" s="30">
        <f>IF(L26&gt;0,ROUND(SUM(L26:L$102)/L26-0.5,Rundex),"")</f>
        <v>32.32</v>
      </c>
      <c r="N26" s="86"/>
      <c r="O26" s="35">
        <f t="shared" si="43"/>
        <v>34</v>
      </c>
      <c r="P26" s="43">
        <v>0.46651065987919449</v>
      </c>
      <c r="Q26" s="78">
        <v>33.480060888780876</v>
      </c>
      <c r="R26" s="43">
        <v>1.2871538570245478</v>
      </c>
      <c r="S26" s="78">
        <v>6.1907930259343313</v>
      </c>
      <c r="T26" s="15">
        <v>8.538174750888361E-4</v>
      </c>
      <c r="U26" s="11">
        <f t="shared" si="40"/>
        <v>98968</v>
      </c>
      <c r="V26" s="30">
        <f>IF(U26&gt;0,ROUND(SUM(U26:U$102)/U26-0.5,Rundex),"")</f>
        <v>42.98</v>
      </c>
      <c r="W26" s="86"/>
      <c r="X26" s="35">
        <f t="shared" si="44"/>
        <v>34</v>
      </c>
      <c r="Y26" s="25">
        <f t="shared" si="1"/>
        <v>46042</v>
      </c>
      <c r="Z26" s="25">
        <f>IF($X26&lt;RAM,SUM(Y26:INDEX(Dax,RAM-BeginnAlter))," ")</f>
        <v>973055</v>
      </c>
      <c r="AA26" s="25">
        <f t="shared" si="2"/>
        <v>32</v>
      </c>
      <c r="AB26" s="25">
        <f>IF($X26&lt;RAM,SUM(AA26:INDEX(Cax,RAM-BeginnAlter))," ")</f>
        <v>2323</v>
      </c>
      <c r="AC26" s="25">
        <f t="shared" si="3"/>
        <v>50</v>
      </c>
      <c r="AD26" s="25">
        <f>IF($X26&lt;RAM,SUM(AC26:INDEX(Caix,RAM-BeginnAlter))," ")</f>
        <v>7632</v>
      </c>
      <c r="AE26" s="24">
        <f t="shared" si="4"/>
        <v>21.134</v>
      </c>
      <c r="AF26" s="24">
        <f t="shared" si="5"/>
        <v>20.823</v>
      </c>
      <c r="AG26" s="86"/>
      <c r="AH26" s="35">
        <f t="shared" si="45"/>
        <v>34</v>
      </c>
      <c r="AI26" s="25">
        <f t="shared" si="6"/>
        <v>77989</v>
      </c>
      <c r="AJ26" s="25">
        <f>IF($AH26&gt;RAM," ",IF($AH26&lt;RAM,SUM(AI26:INDEX(Dix,RAM-BeginnAlter))+INDEX(Nx,RAM-BeginnAlter+1),INDEX(Nx,RAM-BeginnAlter+1)))</f>
        <v>1676780</v>
      </c>
      <c r="AK26" s="25">
        <f>IF($AH26&lt;RAM,SUM(AI26:INDEX(Dix,RAM-BeginnAlter))," ")</f>
        <v>1379533</v>
      </c>
      <c r="AL26" s="24">
        <f t="shared" si="7"/>
        <v>21.5</v>
      </c>
      <c r="AM26" s="24">
        <f t="shared" si="8"/>
        <v>21.042000000000002</v>
      </c>
      <c r="AN26" s="24">
        <f t="shared" si="9"/>
        <v>17.689</v>
      </c>
      <c r="AO26" s="24">
        <f t="shared" si="10"/>
        <v>17.350999999999999</v>
      </c>
      <c r="AP26" s="86"/>
      <c r="AQ26" s="35">
        <f t="shared" si="46"/>
        <v>34</v>
      </c>
      <c r="AR26" s="25">
        <f t="shared" si="11"/>
        <v>46446</v>
      </c>
      <c r="AS26" s="25">
        <f>SUM(AR26:AR$94)</f>
        <v>1320334</v>
      </c>
      <c r="AT26" s="25">
        <f>IF($AQ26&lt;RAM,SUM(AR26:INDEX(Dx,RAM-BeginnAlter))," ")</f>
        <v>1023087</v>
      </c>
      <c r="AU26" s="24">
        <f t="shared" si="12"/>
        <v>28.427</v>
      </c>
      <c r="AV26" s="24">
        <f t="shared" si="13"/>
        <v>27.969000000000001</v>
      </c>
      <c r="AW26" s="24">
        <f t="shared" si="14"/>
        <v>22.027000000000001</v>
      </c>
      <c r="AX26" s="24">
        <f t="shared" si="15"/>
        <v>21.771000000000001</v>
      </c>
      <c r="AY26" s="86"/>
      <c r="AZ26" s="35">
        <f t="shared" si="47"/>
        <v>34</v>
      </c>
      <c r="BA26" s="25">
        <f t="shared" si="16"/>
        <v>46445</v>
      </c>
      <c r="BB26" s="25">
        <f>SUM(BA26:BA$94)</f>
        <v>1278275</v>
      </c>
      <c r="BC26" s="24">
        <f t="shared" si="17"/>
        <v>27.521999999999998</v>
      </c>
      <c r="BD26" s="24">
        <f t="shared" si="18"/>
        <v>27.064</v>
      </c>
      <c r="BE26" s="86"/>
      <c r="BF26" s="35">
        <f t="shared" si="48"/>
        <v>17</v>
      </c>
      <c r="BG26" s="24">
        <f t="shared" si="19"/>
        <v>7.41</v>
      </c>
      <c r="BH26" s="24">
        <f t="shared" si="20"/>
        <v>7.3360000000000003</v>
      </c>
      <c r="BI26" s="86"/>
      <c r="BJ26" s="35">
        <f t="shared" si="49"/>
        <v>34</v>
      </c>
      <c r="BK26" s="25">
        <f t="shared" si="21"/>
        <v>1040</v>
      </c>
      <c r="BL26" s="25">
        <f>IF(BJ26&lt;RAM,SUM(BK26:INDEX(Daix,RAM-BeginnAlter))," ")</f>
        <v>124416</v>
      </c>
      <c r="BM26" s="25">
        <f>IF(BJ26&lt;RAM,SUM(BL26:INDEX(Naix,RAM-BeginnAlter))," ")</f>
        <v>2840553</v>
      </c>
      <c r="BN26" s="24">
        <f t="shared" si="22"/>
        <v>4.5119999999999996</v>
      </c>
      <c r="BO26" s="24">
        <f t="shared" si="23"/>
        <v>2.702</v>
      </c>
      <c r="BP26" s="86"/>
      <c r="BQ26" s="35">
        <f t="shared" si="50"/>
        <v>34</v>
      </c>
      <c r="BR26" s="25">
        <f t="shared" si="51"/>
        <v>853</v>
      </c>
      <c r="BS26" s="25">
        <f>IF(BQ26&lt;RAM,SUM(BR26:INDEX(Daixs,RAM-BeginnAlter))," ")</f>
        <v>45800</v>
      </c>
      <c r="BT26" s="25">
        <f>IF(BQ26&lt;RAM,SUM(BS26:INDEX(Naixs,RAM-BeginnAlter))," ")</f>
        <v>842985</v>
      </c>
      <c r="BU26" s="24">
        <f t="shared" si="52"/>
        <v>6.22</v>
      </c>
      <c r="BV26" s="24">
        <f t="shared" si="53"/>
        <v>0.995</v>
      </c>
      <c r="BW26" s="86"/>
      <c r="BX26" s="35">
        <f t="shared" si="54"/>
        <v>34</v>
      </c>
      <c r="BY26" s="10">
        <f t="shared" si="24"/>
        <v>12.918177453572506</v>
      </c>
      <c r="BZ26" s="11">
        <f t="shared" si="25"/>
        <v>841</v>
      </c>
      <c r="CA26" s="25">
        <f>IF(S27&lt;=RAK,IF($BX26&lt;RAM,SUM(BZ26:INDEX(Dazx,RAM-BeginnAlter)),""),"")</f>
        <v>17986</v>
      </c>
      <c r="CB26" s="24">
        <f t="shared" si="26"/>
        <v>0.39100000000000001</v>
      </c>
      <c r="CC26" s="25">
        <f t="shared" si="27"/>
        <v>29536</v>
      </c>
      <c r="CD26" s="24">
        <f t="shared" si="28"/>
        <v>20.081</v>
      </c>
      <c r="CE26" s="24">
        <f t="shared" si="29"/>
        <v>2.1999999999999999E-2</v>
      </c>
      <c r="CF26" s="86"/>
      <c r="CG26" s="35">
        <f t="shared" si="55"/>
        <v>34</v>
      </c>
      <c r="CH26" s="25">
        <f>IF(CG26&lt;RAM,ROUND(v^($CG26+FaktorAlter)*$H26*($B26*0.5*($P26+$P27)*(VLOOKUP(TRUNC(0.5*($Q26+$Q27),0),Frauen!$AZ$9:$BD$95,5)+(0.5*($Q26+$Q27)-TRUNC(0.5*($Q26+$Q27),0))*(VLOOKUP(TRUNC(0.5*($Q26+$Q27)+1,0),Frauen!$AZ$9:$BD$95,5)-VLOOKUP(TRUNC(0.5*($Q26+$Q27),0),Frauen!$AZ$9:$BD$95,5)))+$C26*0.5*($CN26+$CN27)),RundDx),"")</f>
        <v>831</v>
      </c>
      <c r="CI26" s="25">
        <f>IF(CG26&lt;RAM,ROUND(SUM(CH26:INDEX(Dawx,RAM-BeginnAlter))+INDEX(Dax,RAM-BeginnAlter+1)*INDEX(äwx,1),RundDx),"")</f>
        <v>163536</v>
      </c>
      <c r="CJ26" s="25">
        <f>IF(CG26&lt;RAM,ROUND(SUM(CI26:INDEX(Nawx,RAM-BeginnAlter))+INDEX(Dax,RAM-BeginnAlter+1)*INDEX(äwx,1),RundDx),"")</f>
        <v>4321910</v>
      </c>
      <c r="CK26" s="24">
        <f t="shared" si="56"/>
        <v>3.552</v>
      </c>
      <c r="CL26" s="25">
        <f>IF(CG26&lt;RAM,ROUND(v^($CG26+FaktorAlter)*$L26*$D26*0.5*($P26+$P27)*(VLOOKUP(TRUNC(0.5*($Q26+$Q27),0),Frauen!$AZ$9:$BD$95,5)+(0.5*($Q26+$Q27)-TRUNC(0.5*($Q26+$Q27),0))*(VLOOKUP(TRUNC(0.5*($Q26+$Q27)+1,0),Frauen!$AZ$9:$BD$95,5)-VLOOKUP(TRUNC(0.5*($Q26+$Q27),0),Frauen!$AZ$9:$BD$95,5))),RundDx),"")</f>
        <v>19723</v>
      </c>
      <c r="CM26" s="25">
        <f>IF(CG26&lt;RAM,SUM(CL26:INDEX(Diwx,RAM-BeginnAlter))+INDEX(Dix,RAM-BeginnAlter+1)*INDEX(äwx,1),"")</f>
        <v>590670.41399999999</v>
      </c>
      <c r="CN26" s="24">
        <f t="shared" si="57"/>
        <v>7.5739999999999998</v>
      </c>
      <c r="CO26" s="86"/>
      <c r="CP26" s="35">
        <f t="shared" si="58"/>
        <v>82</v>
      </c>
      <c r="CQ26" s="11">
        <f>ROUND(v^($CP26+FaktorAlter)*VLOOKUP(CP26,G$9:J$102,4)*VLOOKUP(CP26,A$9:E$102,5)*0.5*(VLOOKUP(CP26,O$9:P$102,2)+VLOOKUP(CP26+1,O$9:P$102,2))*(VLOOKUP(TRUNC(0.5*(VLOOKUP(CP26,O$9:Q$102,3)+VLOOKUP(CP26+1,O$9:Q$102,3)),0),Frauen!$AZ$9:$BD$95,5)+(0.5*(VLOOKUP(CP26,O$9:Q$102,3)+VLOOKUP(CP26+1,O$9:Q$102,3))-TRUNC(0.5*(VLOOKUP(CP26,O$9:Q$102,3)+VLOOKUP(CP26+1,O$9:Q$102,3)),0))*(VLOOKUP(TRUNC(0.5*(VLOOKUP(CP26,O$9:Q$102,3)+VLOOKUP(CP26+1,O$9:Q$102,3))+1,0),Frauen!$AZ$9:$BD$95,5)-VLOOKUP(TRUNC(0.5*(VLOOKUP(CP26,O$9:Q$102,3)+VLOOKUP(CP26+1,O$9:Q$102,3)),0),Frauen!$AZ$9:$BD$95,5))),RundDx)</f>
        <v>3954</v>
      </c>
      <c r="CR26" s="25">
        <f>SUM(CQ26:CQ$56)</f>
        <v>27951</v>
      </c>
      <c r="CS26" s="24">
        <f t="shared" si="30"/>
        <v>3.637</v>
      </c>
      <c r="CT26" s="86"/>
      <c r="CU26" s="35">
        <f t="shared" si="59"/>
        <v>34</v>
      </c>
      <c r="CV26" s="25">
        <f>IF($CU26&gt;=RAM,"",IF($CU26-CV$103&lt;BeginnAlter,"",ROUND(v^($CU26+FaktorAlter)*$L26*$D26*0.5*(VLOOKUP($CU26-CV$103,Frauen!$G$9:$J$102,4)+VLOOKUP($CU26-CV$103+1,Frauen!$G$9:$J$102,4))*0.5*(VLOOKUP($CU26-CV$103,Frauen!$AZ$9:$BD$102,5)+VLOOKUP($CU26-CV$103+1,Frauen!$AZ$9:$BD$102,5)),RundDx)))</f>
        <v>3173114002</v>
      </c>
      <c r="CW26" s="25">
        <f>IF($CU26&gt;=RAM,"",IF($CU26-CW$103&lt;BeginnAlter,"",ROUND(v^($CU26+FaktorAlter)*$L26*$D26*0.5*(VLOOKUP($CU26-CW$103,Frauen!$G$9:$J$102,4)+VLOOKUP($CU26-CW$103+1,Frauen!$G$9:$J$102,4))*0.5*(VLOOKUP($CU26-CW$103,Frauen!$AZ$9:$BD$102,5)+VLOOKUP($CU26-CW$103+1,Frauen!$AZ$9:$BD$102,5)),RundDx)))</f>
        <v>3238136100</v>
      </c>
      <c r="CX26" s="25">
        <f>IF($CU26&gt;=RAM,"",IF($CU26-CX$103&lt;BeginnAlter,"",ROUND(v^($CU26+FaktorAlter)*$L26*$D26*0.5*(VLOOKUP($CU26-CX$103,Frauen!$G$9:$J$102,4)+VLOOKUP($CU26-CX$103+1,Frauen!$G$9:$J$102,4))*0.5*(VLOOKUP($CU26-CX$103,Frauen!$AZ$9:$BD$102,5)+VLOOKUP($CU26-CX$103+1,Frauen!$AZ$9:$BD$102,5)),RundDx)))</f>
        <v>3301740030</v>
      </c>
      <c r="CY26" s="25">
        <f>IF($CU26&gt;=RAM,"",IF($CU26-CY$103&lt;BeginnAlter,"",ROUND(v^($CU26+FaktorAlter)*$L26*$D26*0.5*(VLOOKUP($CU26-CY$103,Frauen!$G$9:$J$102,4)+VLOOKUP($CU26-CY$103+1,Frauen!$G$9:$J$102,4))*0.5*(VLOOKUP($CU26-CY$103,Frauen!$AZ$9:$BD$102,5)+VLOOKUP($CU26-CY$103+1,Frauen!$AZ$9:$BD$102,5)),RundDx)))</f>
        <v>3363989345</v>
      </c>
      <c r="CZ26" s="25">
        <f>IF($CU26&gt;=RAM,"",IF($CU26-CZ$103&lt;BeginnAlter,"",ROUND(v^($CU26+FaktorAlter)*$L26*$D26*0.5*(VLOOKUP($CU26-CZ$103,Frauen!$G$9:$J$102,4)+VLOOKUP($CU26-CZ$103+1,Frauen!$G$9:$J$102,4))*0.5*(VLOOKUP($CU26-CZ$103,Frauen!$AZ$9:$BD$102,5)+VLOOKUP($CU26-CZ$103+1,Frauen!$AZ$9:$BD$102,5)),RundDx)))</f>
        <v>3424799069</v>
      </c>
      <c r="DA26" s="25">
        <f>IF($CU26&gt;=RAM,"",IF($CU26-DA$103&lt;BeginnAlter,"",ROUND(v^($CU26+FaktorAlter)*$L26*$D26*0.5*(VLOOKUP($CU26-DA$103,Frauen!$G$9:$J$102,4)+VLOOKUP($CU26-DA$103+1,Frauen!$G$9:$J$102,4))*0.5*(VLOOKUP($CU26-DA$103,Frauen!$AZ$9:$BD$102,5)+VLOOKUP($CU26-DA$103+1,Frauen!$AZ$9:$BD$102,5)),RundDx)))</f>
        <v>3484188970</v>
      </c>
      <c r="DB26" s="25">
        <f>IF($CU26&gt;=RAM,"",IF($CU26-DB$103&lt;BeginnAlter,"",ROUND(v^($CU26+FaktorAlter)*$L26*$D26*0.5*(VLOOKUP($CU26-DB$103,Frauen!$G$9:$J$102,4)+VLOOKUP($CU26-DB$103+1,Frauen!$G$9:$J$102,4))*0.5*(VLOOKUP($CU26-DB$103,Frauen!$AZ$9:$BD$102,5)+VLOOKUP($CU26-DB$103+1,Frauen!$AZ$9:$BD$102,5)),RundDx)))</f>
        <v>3542300548</v>
      </c>
      <c r="DC26" s="25">
        <f>IF($CU26&gt;=RAM,"",IF($CU26-DC$103&lt;BeginnAlter,"",ROUND(v^($CU26+FaktorAlter)*$L26*$D26*0.5*(VLOOKUP($CU26-DC$103,Frauen!$G$9:$J$102,4)+VLOOKUP($CU26-DC$103+1,Frauen!$G$9:$J$102,4))*0.5*(VLOOKUP($CU26-DC$103,Frauen!$AZ$9:$BD$102,5)+VLOOKUP($CU26-DC$103+1,Frauen!$AZ$9:$BD$102,5)),RundDx)))</f>
        <v>3599161779</v>
      </c>
      <c r="DD26" s="25">
        <f>IF($CU26&gt;=RAM,"",IF($CU26-DD$103&lt;BeginnAlter,"",ROUND(v^($CU26+FaktorAlter)*$L26*$D26*0.5*(VLOOKUP($CU26-DD$103,Frauen!$G$9:$J$102,4)+VLOOKUP($CU26-DD$103+1,Frauen!$G$9:$J$102,4))*0.5*(VLOOKUP($CU26-DD$103,Frauen!$AZ$9:$BD$102,5)+VLOOKUP($CU26-DD$103+1,Frauen!$AZ$9:$BD$102,5)),RundDx)))</f>
        <v>3654786055</v>
      </c>
      <c r="DE26" s="25">
        <f>IF($CU26&gt;=RAM,"",IF($CU26-DE$103&lt;BeginnAlter,"",ROUND(v^($CU26+FaktorAlter)*$L26*$D26*0.5*(VLOOKUP($CU26-DE$103,Frauen!$G$9:$J$102,4)+VLOOKUP($CU26-DE$103+1,Frauen!$G$9:$J$102,4))*0.5*(VLOOKUP($CU26-DE$103,Frauen!$AZ$9:$BD$102,5)+VLOOKUP($CU26-DE$103+1,Frauen!$AZ$9:$BD$102,5)),RundDx)))</f>
        <v>3709170770</v>
      </c>
      <c r="DF26" s="25">
        <f>IF($CU26&gt;=RAM,"",IF($CU26-DF$103&lt;BeginnAlter,"",ROUND(v^($CU26+FaktorAlter)*$L26*$D26*0.5*(VLOOKUP($CU26-DF$103,Frauen!$G$9:$J$102,4)+VLOOKUP($CU26-DF$103+1,Frauen!$G$9:$J$102,4))*0.5*(VLOOKUP($CU26-DF$103,Frauen!$AZ$9:$BD$102,5)+VLOOKUP($CU26-DF$103+1,Frauen!$AZ$9:$BD$102,5)),RundDx)))</f>
        <v>3762352996</v>
      </c>
      <c r="DG26" s="25">
        <f>IF($CU26&gt;=RAM,"",IF($CU26-DG$103&lt;BeginnAlter,"",ROUND(v^($CU26+FaktorAlter)*$L26*$D26*0.5*(VLOOKUP($CU26-DG$103,Frauen!$G$9:$J$102,4)+VLOOKUP($CU26-DG$103+1,Frauen!$G$9:$J$102,4))*0.5*(VLOOKUP($CU26-DG$103,Frauen!$AZ$9:$BD$102,5)+VLOOKUP($CU26-DG$103+1,Frauen!$AZ$9:$BD$102,5)),RundDx)))</f>
        <v>3814354129</v>
      </c>
      <c r="DH26" s="25">
        <f>IF($CU26&gt;=RAM,"",IF($CU26-DH$103&lt;BeginnAlter,"",ROUND(v^($CU26+FaktorAlter)*$L26*$D26*0.5*(VLOOKUP($CU26-DH$103,Frauen!$G$9:$J$102,4)+VLOOKUP($CU26-DH$103+1,Frauen!$G$9:$J$102,4))*0.5*(VLOOKUP($CU26-DH$103,Frauen!$AZ$9:$BD$102,5)+VLOOKUP($CU26-DH$103+1,Frauen!$AZ$9:$BD$102,5)),RundDx)))</f>
        <v>3865266171</v>
      </c>
      <c r="DI26" s="25">
        <f>IF($CU26&gt;=RAM,"",IF($CU26-DI$103&lt;BeginnAlter,"",ROUND(v^($CU26+FaktorAlter)*$L26*$D26*0.5*(VLOOKUP($CU26-DI$103,Frauen!$G$9:$J$102,4)+VLOOKUP($CU26-DI$103+1,Frauen!$G$9:$J$102,4))*0.5*(VLOOKUP($CU26-DI$103,Frauen!$AZ$9:$BD$102,5)+VLOOKUP($CU26-DI$103+1,Frauen!$AZ$9:$BD$102,5)),RundDx)))</f>
        <v>3915183712</v>
      </c>
      <c r="DJ26" s="25">
        <f>IF($CU26&gt;=RAM,"",IF($CU26-DJ$103&lt;BeginnAlter,"",ROUND(v^($CU26+FaktorAlter)*$L26*$D26*0.5*(VLOOKUP($CU26-DJ$103,Frauen!$G$9:$J$102,4)+VLOOKUP($CU26-DJ$103+1,Frauen!$G$9:$J$102,4))*0.5*(VLOOKUP($CU26-DJ$103,Frauen!$AZ$9:$BD$102,5)+VLOOKUP($CU26-DJ$103+1,Frauen!$AZ$9:$BD$102,5)),RundDx)))</f>
        <v>3964135552</v>
      </c>
      <c r="DK26" s="25">
        <f>IF($CU26&gt;=RAM,"",IF($CU26-DK$103&lt;BeginnAlter,"",ROUND(v^($CU26+FaktorAlter)*$L26*$D26*0.5*(VLOOKUP($CU26-DK$103,Frauen!$G$9:$J$102,4)+VLOOKUP($CU26-DK$103+1,Frauen!$G$9:$J$102,4))*0.5*(VLOOKUP($CU26-DK$103,Frauen!$AZ$9:$BD$102,5)+VLOOKUP($CU26-DK$103+1,Frauen!$AZ$9:$BD$102,5)),RundDx)))</f>
        <v>4012084353</v>
      </c>
      <c r="DL26" s="25">
        <f>IF($CU26&gt;=RAM,"",IF($CU26-DL$103&lt;BeginnAlter,"",ROUND(v^($CU26+FaktorAlter)*$L26*$D26*0.5*(VLOOKUP($CU26-DL$103,Frauen!$G$9:$J$102,4)+VLOOKUP($CU26-DL$103+1,Frauen!$G$9:$J$102,4))*0.5*(VLOOKUP($CU26-DL$103,Frauen!$AZ$9:$BD$102,5)+VLOOKUP($CU26-DL$103+1,Frauen!$AZ$9:$BD$102,5)),RundDx)))</f>
        <v>4059042581</v>
      </c>
      <c r="DM26" s="25">
        <f>IF($CU26&gt;=RAM,"",IF($CU26-DM$103&lt;BeginnAlter,"",ROUND(v^($CU26+FaktorAlter)*$L26*$D26*0.5*(VLOOKUP($CU26-DM$103,Frauen!$G$9:$J$102,4)+VLOOKUP($CU26-DM$103+1,Frauen!$G$9:$J$102,4))*0.5*(VLOOKUP($CU26-DM$103,Frauen!$AZ$9:$BD$102,5)+VLOOKUP($CU26-DM$103+1,Frauen!$AZ$9:$BD$102,5)),RundDx)))</f>
        <v>4105023820</v>
      </c>
      <c r="DN26" s="25">
        <f>IF($CU26&gt;=RAM,"",IF($CU26-DN$103&lt;BeginnAlter,"",ROUND(v^($CU26+FaktorAlter)*$L26*$D26*0.5*(VLOOKUP($CU26-DN$103,Frauen!$G$9:$J$102,4)+VLOOKUP($CU26-DN$103+1,Frauen!$G$9:$J$102,4))*0.5*(VLOOKUP($CU26-DN$103,Frauen!$AZ$9:$BD$102,5)+VLOOKUP($CU26-DN$103+1,Frauen!$AZ$9:$BD$102,5)),RundDx)))</f>
        <v>4150111135</v>
      </c>
      <c r="DO26" s="25">
        <f>IF($CU26&gt;=RAM,"",IF($CU26-DO$103&lt;BeginnAlter,"",ROUND(v^($CU26+FaktorAlter)*$L26*$D26*0.5*(VLOOKUP($CU26-DO$103,Frauen!$G$9:$J$102,4)+VLOOKUP($CU26-DO$103+1,Frauen!$G$9:$J$102,4))*0.5*(VLOOKUP($CU26-DO$103,Frauen!$AZ$9:$BD$102,5)+VLOOKUP($CU26-DO$103+1,Frauen!$AZ$9:$BD$102,5)),RundDx)))</f>
        <v>4194320320</v>
      </c>
      <c r="DP26" s="25">
        <f>IF($CU26&gt;=RAM,"",IF($CU26-DP$103&lt;BeginnAlter,"",ROUND(v^($CU26+FaktorAlter)*$L26*$D26*0.5*(VLOOKUP($CU26-DP$103,Frauen!$G$9:$J$102,4)+VLOOKUP($CU26-DP$103+1,Frauen!$G$9:$J$102,4))*0.5*(VLOOKUP($CU26-DP$103,Frauen!$AZ$9:$BD$102,5)+VLOOKUP($CU26-DP$103+1,Frauen!$AZ$9:$BD$102,5)),RundDx)))</f>
        <v>4237599664</v>
      </c>
      <c r="DQ26" s="25">
        <f>IF($CU26&gt;=RAM,"",IF($CU26-DQ$103&lt;BeginnAlter,"",ROUND(v^($CU26+FaktorAlter)*$L26*$D26*0.5*(VLOOKUP($CU26-DQ$103,Frauen!$G$9:$J$102,4)+VLOOKUP($CU26-DQ$103+1,Frauen!$G$9:$J$102,4))*0.5*(VLOOKUP($CU26-DQ$103,Frauen!$AZ$9:$BD$102,5)+VLOOKUP($CU26-DQ$103+1,Frauen!$AZ$9:$BD$102,5)),RundDx)))</f>
        <v>4279945298</v>
      </c>
      <c r="DR26" s="25">
        <f>IF($CU26&gt;=RAM,"",IF($CU26-DR$103&lt;BeginnAlter,"",ROUND(v^($CU26+FaktorAlter)*$L26*$D26*0.5*(VLOOKUP($CU26-DR$103,Frauen!$G$9:$J$102,4)+VLOOKUP($CU26-DR$103+1,Frauen!$G$9:$J$102,4))*0.5*(VLOOKUP($CU26-DR$103,Frauen!$AZ$9:$BD$102,5)+VLOOKUP($CU26-DR$103+1,Frauen!$AZ$9:$BD$102,5)),RundDx)))</f>
        <v>4321400346</v>
      </c>
      <c r="DS26" s="25">
        <f>IF($CU26&gt;=RAM,"",IF($CU26-DS$103&lt;BeginnAlter,"",ROUND(v^($CU26+FaktorAlter)*$L26*$D26*0.5*(VLOOKUP($CU26-DS$103,Frauen!$G$9:$J$102,4)+VLOOKUP($CU26-DS$103+1,Frauen!$G$9:$J$102,4))*0.5*(VLOOKUP($CU26-DS$103,Frauen!$AZ$9:$BD$102,5)+VLOOKUP($CU26-DS$103+1,Frauen!$AZ$9:$BD$102,5)),RundDx)))</f>
        <v>4362075970</v>
      </c>
      <c r="DT26" s="25">
        <f>IF($CU26&gt;=RAM,"",IF($CU26-DT$103&lt;BeginnAlter,"",ROUND(v^($CU26+FaktorAlter)*$L26*$D26*0.5*(VLOOKUP($CU26-DT$103,Frauen!$G$9:$J$102,4)+VLOOKUP($CU26-DT$103+1,Frauen!$G$9:$J$102,4))*0.5*(VLOOKUP($CU26-DT$103,Frauen!$AZ$9:$BD$102,5)+VLOOKUP($CU26-DT$103+1,Frauen!$AZ$9:$BD$102,5)),RundDx)))</f>
        <v>4401877100</v>
      </c>
      <c r="DU26" s="25">
        <f>IF($CU26&gt;=RAM,"",IF($CU26-DU$103&lt;BeginnAlter,"",ROUND(v^($CU26+FaktorAlter)*$L26*$D26*0.5*(VLOOKUP($CU26-DU$103,Frauen!$G$9:$J$102,4)+VLOOKUP($CU26-DU$103+1,Frauen!$G$9:$J$102,4))*0.5*(VLOOKUP($CU26-DU$103,Frauen!$AZ$9:$BD$102,5)+VLOOKUP($CU26-DU$103+1,Frauen!$AZ$9:$BD$102,5)),RundDx)))</f>
        <v>4440845206</v>
      </c>
      <c r="DV26" s="25">
        <f>IF($CU26&gt;=RAM,"",IF($CU26-DV$103&lt;BeginnAlter,"",ROUND(v^($CU26+FaktorAlter)*$L26*$D26*0.5*(VLOOKUP($CU26-DV$103,Frauen!$G$9:$J$102,4)+VLOOKUP($CU26-DV$103+1,Frauen!$G$9:$J$102,4))*0.5*(VLOOKUP($CU26-DV$103,Frauen!$AZ$9:$BD$102,5)+VLOOKUP($CU26-DV$103+1,Frauen!$AZ$9:$BD$102,5)),RundDx)))</f>
        <v>4479043695</v>
      </c>
      <c r="DW26" s="25">
        <f>IF($CU26&gt;=RAM,"",IF($CU26-DW$103&lt;BeginnAlter,"",ROUND(v^($CU26+FaktorAlter)*$L26*$D26*0.5*(VLOOKUP($CU26-DW$103,Frauen!$G$9:$J$102,4)+VLOOKUP($CU26-DW$103+1,Frauen!$G$9:$J$102,4))*0.5*(VLOOKUP($CU26-DW$103,Frauen!$AZ$9:$BD$102,5)+VLOOKUP($CU26-DW$103+1,Frauen!$AZ$9:$BD$102,5)),RundDx)))</f>
        <v>4516444940</v>
      </c>
      <c r="DX26" s="25">
        <f>IF($CU26&gt;=RAM,"",IF($CU26-DX$103&lt;BeginnAlter,"",ROUND(v^($CU26+FaktorAlter)*$L26*$D26*0.5*(VLOOKUP($CU26-DX$103,Frauen!$G$9:$J$102,4)+VLOOKUP($CU26-DX$103+1,Frauen!$G$9:$J$102,4))*0.5*(VLOOKUP($CU26-DX$103,Frauen!$AZ$9:$BD$102,5)+VLOOKUP($CU26-DX$103+1,Frauen!$AZ$9:$BD$102,5)),RundDx)))</f>
        <v>4553089446</v>
      </c>
      <c r="DY26" s="25">
        <f>IF($CU26&gt;=RAM,"",IF($CU26-DY$103&lt;BeginnAlter,"",ROUND(v^($CU26+FaktorAlter)*$L26*$D26*0.5*(VLOOKUP($CU26-DY$103,Frauen!$G$9:$J$102,4)+VLOOKUP($CU26-DY$103+1,Frauen!$G$9:$J$102,4))*0.5*(VLOOKUP($CU26-DY$103,Frauen!$AZ$9:$BD$102,5)+VLOOKUP($CU26-DY$103+1,Frauen!$AZ$9:$BD$102,5)),RundDx)))</f>
        <v>4588902780</v>
      </c>
      <c r="DZ26" s="25">
        <f>IF($CU26&gt;=RAM,"",IF($CU26-DZ$103&lt;BeginnAlter,"",ROUND(v^($CU26+FaktorAlter)*$L26*$D26*0.5*(VLOOKUP($CU26-DZ$103,Frauen!$G$9:$J$102,4)+VLOOKUP($CU26-DZ$103+1,Frauen!$G$9:$J$102,4))*0.5*(VLOOKUP($CU26-DZ$103,Frauen!$AZ$9:$BD$102,5)+VLOOKUP($CU26-DZ$103+1,Frauen!$AZ$9:$BD$102,5)),RundDx)))</f>
        <v>4623902477</v>
      </c>
      <c r="EA26" s="43">
        <f>IF($CU26&gt;=RAM,"",IF($CU26-EA$103&lt;BeginnAlter,"",ROUND((SUM(CV26:CV$56)+SUM(FN$9:FN$56))/VLOOKUP($CU26,$AH$9:$AI$102,2)/VLOOKUP($CU26-EA$103,Frauen!$G$9:$J$102,4),Rundäx)))</f>
        <v>6.101</v>
      </c>
      <c r="EB26" s="43">
        <f>IF($CU26&gt;=RAM,"",IF($CU26-EB$103&lt;BeginnAlter,"",ROUND((SUM(CW26:CW$56)+SUM(FO$9:FO$56))/VLOOKUP($CU26,$AH$9:$AI$102,2)/VLOOKUP($CU26-EB$103,Frauen!$G$9:$J$102,4),Rundäx)))</f>
        <v>6.319</v>
      </c>
      <c r="EC26" s="43">
        <f>IF($CU26&gt;=RAM,"",IF($CU26-EC$103&lt;BeginnAlter,"",ROUND((SUM(CX26:CX$56)+SUM(FP$9:FP$56))/VLOOKUP($CU26,$AH$9:$AI$102,2)/VLOOKUP($CU26-EC$103,Frauen!$G$9:$J$102,4),Rundäx)))</f>
        <v>6.5380000000000003</v>
      </c>
      <c r="ED26" s="43">
        <f>IF($CU26&gt;=RAM,"",IF($CU26-ED$103&lt;BeginnAlter,"",ROUND((SUM(CY26:CY$56)+SUM(FQ$9:FQ$56))/VLOOKUP($CU26,$AH$9:$AI$102,2)/VLOOKUP($CU26-ED$103,Frauen!$G$9:$J$102,4),Rundäx)))</f>
        <v>6.76</v>
      </c>
      <c r="EE26" s="43">
        <f>IF($CU26&gt;=RAM,"",IF($CU26-EE$103&lt;BeginnAlter,"",ROUND((SUM(CZ26:CZ$56)+SUM(FR$9:FR$56))/VLOOKUP($CU26,$AH$9:$AI$102,2)/VLOOKUP($CU26-EE$103,Frauen!$G$9:$J$102,4),Rundäx)))</f>
        <v>6.984</v>
      </c>
      <c r="EF26" s="43">
        <f>IF($CU26&gt;=RAM,"",IF($CU26-EF$103&lt;BeginnAlter,"",ROUND((SUM(DA26:DA$56)+SUM(FS$9:FS$56))/VLOOKUP($CU26,$AH$9:$AI$102,2)/VLOOKUP($CU26-EF$103,Frauen!$G$9:$J$102,4),Rundäx)))</f>
        <v>7.21</v>
      </c>
      <c r="EG26" s="43">
        <f>IF($CU26&gt;=RAM,"",IF($CU26-EG$103&lt;BeginnAlter,"",ROUND((SUM(DB26:DB$56)+SUM(FT$9:FT$56))/VLOOKUP($CU26,$AH$9:$AI$102,2)/VLOOKUP($CU26-EG$103,Frauen!$G$9:$J$102,4),Rundäx)))</f>
        <v>7.4370000000000003</v>
      </c>
      <c r="EH26" s="43">
        <f>IF($CU26&gt;=RAM,"",IF($CU26-EH$103&lt;BeginnAlter,"",ROUND((SUM(DC26:DC$56)+SUM(FU$9:FU$56))/VLOOKUP($CU26,$AH$9:$AI$102,2)/VLOOKUP($CU26-EH$103,Frauen!$G$9:$J$102,4),Rundäx)))</f>
        <v>7.6660000000000004</v>
      </c>
      <c r="EI26" s="86"/>
      <c r="EJ26" s="35">
        <f t="shared" si="60"/>
        <v>34</v>
      </c>
      <c r="EK26" s="43">
        <f>IF($CU26&gt;=RAM,"",IF($CU26-EK$103&lt;BeginnAlter,"",ROUND((SUM(DD26:DD$56)+SUM(FV$9:FV$56))/VLOOKUP($CU26,$AH$9:$AI$102,2)/VLOOKUP($CU26-EK$103,Frauen!$G$9:$J$102,4),Rundäx)))</f>
        <v>7.8970000000000002</v>
      </c>
      <c r="EL26" s="43">
        <f>IF($CU26&gt;=RAM,"",IF($CU26-EL$103&lt;BeginnAlter,"",ROUND((SUM(DE26:DE$56)+SUM(FW$9:FW$56))/VLOOKUP($CU26,$AH$9:$AI$102,2)/VLOOKUP($CU26-EL$103,Frauen!$G$9:$J$102,4),Rundäx)))</f>
        <v>8.1300000000000008</v>
      </c>
      <c r="EM26" s="43">
        <f>IF($CU26&gt;=RAM,"",IF($CU26-EM$103&lt;BeginnAlter,"",ROUND((SUM(DF26:DF$56)+SUM(FX$9:FX$56))/VLOOKUP($CU26,$AH$9:$AI$102,2)/VLOOKUP($CU26-EM$103,Frauen!$G$9:$J$102,4),Rundäx)))</f>
        <v>8.3629999999999995</v>
      </c>
      <c r="EN26" s="43">
        <f>IF($CU26&gt;=RAM,"",IF($CU26-EN$103&lt;BeginnAlter,"",ROUND((SUM(DG26:DG$56)+SUM(FY$9:FY$56))/VLOOKUP($CU26,$AH$9:$AI$102,2)/VLOOKUP($CU26-EN$103,Frauen!$G$9:$J$102,4),Rundäx)))</f>
        <v>8.5980000000000008</v>
      </c>
      <c r="EO26" s="43">
        <f>IF($CU26&gt;=RAM,"",IF($CU26-EO$103&lt;BeginnAlter,"",ROUND((SUM(DH26:DH$56)+SUM(FZ$9:FZ$56))/VLOOKUP($CU26,$AH$9:$AI$102,2)/VLOOKUP($CU26-EO$103,Frauen!$G$9:$J$102,4),Rundäx)))</f>
        <v>8.8350000000000009</v>
      </c>
      <c r="EP26" s="43">
        <f>IF($CU26&gt;=RAM,"",IF($CU26-EP$103&lt;BeginnAlter,"",ROUND((SUM(DI26:DI$56)+SUM(GA$9:GA$56))/VLOOKUP($CU26,$AH$9:$AI$102,2)/VLOOKUP($CU26-EP$103,Frauen!$G$9:$J$102,4),Rundäx)))</f>
        <v>9.0719999999999992</v>
      </c>
      <c r="EQ26" s="43">
        <f>IF($CU26&gt;=RAM,"",IF($CU26-EQ$103&lt;BeginnAlter,"",ROUND((SUM(DJ26:DJ$56)+SUM(GB$9:GB$56))/VLOOKUP($CU26,$AH$9:$AI$102,2)/VLOOKUP($CU26-EQ$103,Frauen!$G$9:$J$102,4),Rundäx)))</f>
        <v>9.31</v>
      </c>
      <c r="ER26" s="43">
        <f>IF($CU26&gt;=RAM,"",IF($CU26-ER$103&lt;BeginnAlter,"",ROUND((SUM(DK26:DK$56)+SUM(GC$9:GC$56))/VLOOKUP($CU26,$AH$9:$AI$102,2)/VLOOKUP($CU26-ER$103,Frauen!$G$9:$J$102,4),Rundäx)))</f>
        <v>9.548</v>
      </c>
      <c r="ES26" s="86"/>
      <c r="ET26" s="35">
        <f t="shared" si="61"/>
        <v>34</v>
      </c>
      <c r="EU26" s="43">
        <f>IF($CU26&gt;=RAM,"",IF($CU26-EU$103&lt;BeginnAlter,"",ROUND((SUM(DL26:DL$56)+SUM(GD$9:GD$56))/VLOOKUP($CU26,$AH$9:$AI$102,2)/VLOOKUP($CU26-EU$103,Frauen!$G$9:$J$102,4),Rundäx)))</f>
        <v>9.7870000000000008</v>
      </c>
      <c r="EV26" s="43">
        <f>IF($CU26&gt;=RAM,"",IF($CU26-EV$103&lt;BeginnAlter,"",ROUND((SUM(DM26:DM$56)+SUM(GE$9:GE$56))/VLOOKUP($CU26,$AH$9:$AI$102,2)/VLOOKUP($CU26-EV$103,Frauen!$G$9:$J$102,4),Rundäx)))</f>
        <v>10.025</v>
      </c>
      <c r="EW26" s="43">
        <f>IF($CU26&gt;=RAM,"",IF($CU26-EW$103&lt;BeginnAlter,"",ROUND((SUM(DN26:DN$56)+SUM(GF$9:GF$56))/VLOOKUP($CU26,$AH$9:$AI$102,2)/VLOOKUP($CU26-EW$103,Frauen!$G$9:$J$102,4),Rundäx)))</f>
        <v>10.263999999999999</v>
      </c>
      <c r="EX26" s="43">
        <f>IF($CU26&gt;=RAM,"",IF($CU26-EX$103&lt;BeginnAlter,"",ROUND((SUM(DO26:DO$56)+SUM(GG$9:GG$56))/VLOOKUP($CU26,$AH$9:$AI$102,2)/VLOOKUP($CU26-EX$103,Frauen!$G$9:$J$102,4),Rundäx)))</f>
        <v>10.502000000000001</v>
      </c>
      <c r="EY26" s="43">
        <f>IF($CU26&gt;=RAM,"",IF($CU26-EY$103&lt;BeginnAlter,"",ROUND((SUM(DP26:DP$56)+SUM(GH$9:GH$56))/VLOOKUP($CU26,$AH$9:$AI$102,2)/VLOOKUP($CU26-EY$103,Frauen!$G$9:$J$102,4),Rundäx)))</f>
        <v>10.74</v>
      </c>
      <c r="EZ26" s="43">
        <f>IF($CU26&gt;=RAM,"",IF($CU26-EZ$103&lt;BeginnAlter,"",ROUND((SUM(DQ26:DQ$56)+SUM(GI$9:GI$56))/VLOOKUP($CU26,$AH$9:$AI$102,2)/VLOOKUP($CU26-EZ$103,Frauen!$G$9:$J$102,4),Rundäx)))</f>
        <v>10.976000000000001</v>
      </c>
      <c r="FA26" s="43">
        <f>IF($CU26&gt;=RAM,"",IF($CU26-FA$103&lt;BeginnAlter,"",ROUND((SUM(DR26:DR$56)+SUM(GJ$9:GJ$56))/VLOOKUP($CU26,$AH$9:$AI$102,2)/VLOOKUP($CU26-FA$103,Frauen!$G$9:$J$102,4),Rundäx)))</f>
        <v>11.211</v>
      </c>
      <c r="FB26" s="43">
        <f>IF($CU26&gt;=RAM,"",IF($CU26-FB$103&lt;BeginnAlter,"",ROUND((SUM(DS26:DS$56)+SUM(GK$9:GK$56))/VLOOKUP($CU26,$AH$9:$AI$102,2)/VLOOKUP($CU26-FB$103,Frauen!$G$9:$J$102,4),Rundäx)))</f>
        <v>11.445</v>
      </c>
      <c r="FC26" s="86"/>
      <c r="FD26" s="35">
        <f t="shared" si="62"/>
        <v>34</v>
      </c>
      <c r="FE26" s="43">
        <f>IF($CU26&gt;=RAM,"",IF($CU26-FE$103&lt;BeginnAlter,"",ROUND((SUM(DT26:DT$56)+SUM(GL$9:GL$56))/VLOOKUP($CU26,$AH$9:$AI$102,2)/VLOOKUP($CU26-FE$103,Frauen!$G$9:$J$102,4),Rundäx)))</f>
        <v>11.678000000000001</v>
      </c>
      <c r="FF26" s="43">
        <f>IF($CU26&gt;=RAM,"",IF($CU26-FF$103&lt;BeginnAlter,"",ROUND((SUM(DU26:DU$56)+SUM(GM$9:GM$56))/VLOOKUP($CU26,$AH$9:$AI$102,2)/VLOOKUP($CU26-FF$103,Frauen!$G$9:$J$102,4),Rundäx)))</f>
        <v>11.909000000000001</v>
      </c>
      <c r="FG26" s="43">
        <f>IF($CU26&gt;=RAM,"",IF($CU26-FG$103&lt;BeginnAlter,"",ROUND((SUM(DV26:DV$56)+SUM(GN$9:GN$56))/VLOOKUP($CU26,$AH$9:$AI$102,2)/VLOOKUP($CU26-FG$103,Frauen!$G$9:$J$102,4),Rundäx)))</f>
        <v>12.138</v>
      </c>
      <c r="FH26" s="43">
        <f>IF($CU26&gt;=RAM,"",IF($CU26-FH$103&lt;BeginnAlter,"",ROUND((SUM(DW26:DW$56)+SUM(GO$9:GO$56))/VLOOKUP($CU26,$AH$9:$AI$102,2)/VLOOKUP($CU26-FH$103,Frauen!$G$9:$J$102,4),Rundäx)))</f>
        <v>12.366</v>
      </c>
      <c r="FI26" s="43">
        <f>IF($CU26&gt;=RAM,"",IF($CU26-FI$103&lt;BeginnAlter,"",ROUND((SUM(DX26:DX$56)+SUM(GP$9:GP$56))/VLOOKUP($CU26,$AH$9:$AI$102,2)/VLOOKUP($CU26-FI$103,Frauen!$G$9:$J$102,4),Rundäx)))</f>
        <v>12.590999999999999</v>
      </c>
      <c r="FJ26" s="43">
        <f>IF($CU26&gt;=RAM,"",IF($CU26-FJ$103&lt;BeginnAlter,"",ROUND((SUM(DY26:DY$56)+SUM(GQ$9:GQ$56))/VLOOKUP($CU26,$AH$9:$AI$102,2)/VLOOKUP($CU26-FJ$103,Frauen!$G$9:$J$102,4),Rundäx)))</f>
        <v>12.814</v>
      </c>
      <c r="FK26" s="43">
        <f>IF($CU26&gt;=RAM,"",IF($CU26-FK$103&lt;BeginnAlter,"",ROUND((SUM(DZ26:DZ$56)+SUM(GR$9:GR$56))/VLOOKUP($CU26,$AH$9:$AI$102,2)/VLOOKUP($CU26-FK$103,Frauen!$G$9:$J$102,4),Rundäx)))</f>
        <v>13.036</v>
      </c>
      <c r="FL26" s="86"/>
      <c r="FM26" s="35">
        <f t="shared" si="68"/>
        <v>82</v>
      </c>
      <c r="FN26" s="25">
        <f>ROUND(v^($FM26+FaktorAlter)*VLOOKUP($FM26,$G$9:$J$102,4)*VLOOKUP($FM26,$A$9:$E$102,5)*0.5*(VLOOKUP($FM26-FN$103,Frauen!$G$9:$J$102,4)+VLOOKUP($FM26-FN$103+1,Frauen!$G$9:$J$102,4))*0.5*(VLOOKUP($FM26-FN$103,Frauen!$AZ$9:$BD$102,5)+VLOOKUP($FM26-FN$103+1,Frauen!$AZ$9:$BD$102,5)),RundDx)</f>
        <v>4952890</v>
      </c>
      <c r="FO26" s="25">
        <f>ROUND(v^($FM26+FaktorAlter)*VLOOKUP($FM26,$G$9:$J$102,4)*VLOOKUP($FM26,$A$9:$E$102,5)*0.5*(VLOOKUP($FM26-FO$103,Frauen!$G$9:$J$102,4)+VLOOKUP($FM26-FO$103+1,Frauen!$G$9:$J$102,4))*0.5*(VLOOKUP($FM26-FO$103,Frauen!$AZ$9:$BD$102,5)+VLOOKUP($FM26-FO$103+1,Frauen!$AZ$9:$BD$102,5)),RundDx)</f>
        <v>7828311</v>
      </c>
      <c r="FP26" s="25">
        <f>ROUND(v^($FM26+FaktorAlter)*VLOOKUP($FM26,$G$9:$J$102,4)*VLOOKUP($FM26,$A$9:$E$102,5)*0.5*(VLOOKUP($FM26-FP$103,Frauen!$G$9:$J$102,4)+VLOOKUP($FM26-FP$103+1,Frauen!$G$9:$J$102,4))*0.5*(VLOOKUP($FM26-FP$103,Frauen!$AZ$9:$BD$102,5)+VLOOKUP($FM26-FP$103+1,Frauen!$AZ$9:$BD$102,5)),RundDx)</f>
        <v>11852767</v>
      </c>
      <c r="FQ26" s="25">
        <f>ROUND(v^($FM26+FaktorAlter)*VLOOKUP($FM26,$G$9:$J$102,4)*VLOOKUP($FM26,$A$9:$E$102,5)*0.5*(VLOOKUP($FM26-FQ$103,Frauen!$G$9:$J$102,4)+VLOOKUP($FM26-FQ$103+1,Frauen!$G$9:$J$102,4))*0.5*(VLOOKUP($FM26-FQ$103,Frauen!$AZ$9:$BD$102,5)+VLOOKUP($FM26-FQ$103+1,Frauen!$AZ$9:$BD$102,5)),RundDx)</f>
        <v>17298909</v>
      </c>
      <c r="FR26" s="25">
        <f>ROUND(v^($FM26+FaktorAlter)*VLOOKUP($FM26,$G$9:$J$102,4)*VLOOKUP($FM26,$A$9:$E$102,5)*0.5*(VLOOKUP($FM26-FR$103,Frauen!$G$9:$J$102,4)+VLOOKUP($FM26-FR$103+1,Frauen!$G$9:$J$102,4))*0.5*(VLOOKUP($FM26-FR$103,Frauen!$AZ$9:$BD$102,5)+VLOOKUP($FM26-FR$103+1,Frauen!$AZ$9:$BD$102,5)),RundDx)</f>
        <v>24443288</v>
      </c>
      <c r="FS26" s="25">
        <f>ROUND(v^($FM26+FaktorAlter)*VLOOKUP($FM26,$G$9:$J$102,4)*VLOOKUP($FM26,$A$9:$E$102,5)*0.5*(VLOOKUP($FM26-FS$103,Frauen!$G$9:$J$102,4)+VLOOKUP($FM26-FS$103+1,Frauen!$G$9:$J$102,4))*0.5*(VLOOKUP($FM26-FS$103,Frauen!$AZ$9:$BD$102,5)+VLOOKUP($FM26-FS$103+1,Frauen!$AZ$9:$BD$102,5)),RundDx)</f>
        <v>33596621</v>
      </c>
      <c r="FT26" s="25">
        <f>ROUND(v^($FM26+FaktorAlter)*VLOOKUP($FM26,$G$9:$J$102,4)*VLOOKUP($FM26,$A$9:$E$102,5)*0.5*(VLOOKUP($FM26-FT$103,Frauen!$G$9:$J$102,4)+VLOOKUP($FM26-FT$103+1,Frauen!$G$9:$J$102,4))*0.5*(VLOOKUP($FM26-FT$103,Frauen!$AZ$9:$BD$102,5)+VLOOKUP($FM26-FT$103+1,Frauen!$AZ$9:$BD$102,5)),RundDx)</f>
        <v>44945738</v>
      </c>
      <c r="FU26" s="25">
        <f>ROUND(v^($FM26+FaktorAlter)*VLOOKUP($FM26,$G$9:$J$102,4)*VLOOKUP($FM26,$A$9:$E$102,5)*0.5*(VLOOKUP($FM26-FU$103,Frauen!$G$9:$J$102,4)+VLOOKUP($FM26-FU$103+1,Frauen!$G$9:$J$102,4))*0.5*(VLOOKUP($FM26-FU$103,Frauen!$AZ$9:$BD$102,5)+VLOOKUP($FM26-FU$103+1,Frauen!$AZ$9:$BD$102,5)),RundDx)</f>
        <v>58512773</v>
      </c>
      <c r="FV26" s="25">
        <f>ROUND(v^($FM26+FaktorAlter)*VLOOKUP($FM26,$G$9:$J$102,4)*VLOOKUP($FM26,$A$9:$E$102,5)*0.5*(VLOOKUP($FM26-FV$103,Frauen!$G$9:$J$102,4)+VLOOKUP($FM26-FV$103+1,Frauen!$G$9:$J$102,4))*0.5*(VLOOKUP($FM26-FV$103,Frauen!$AZ$9:$BD$102,5)+VLOOKUP($FM26-FV$103+1,Frauen!$AZ$9:$BD$102,5)),RundDx)</f>
        <v>74414104</v>
      </c>
      <c r="FW26" s="25">
        <f>ROUND(v^($FM26+FaktorAlter)*VLOOKUP($FM26,$G$9:$J$102,4)*VLOOKUP($FM26,$A$9:$E$102,5)*0.5*(VLOOKUP($FM26-FW$103,Frauen!$G$9:$J$102,4)+VLOOKUP($FM26-FW$103+1,Frauen!$G$9:$J$102,4))*0.5*(VLOOKUP($FM26-FW$103,Frauen!$AZ$9:$BD$102,5)+VLOOKUP($FM26-FW$103+1,Frauen!$AZ$9:$BD$102,5)),RundDx)</f>
        <v>92670133</v>
      </c>
      <c r="FX26" s="25">
        <f>ROUND(v^($FM26+FaktorAlter)*VLOOKUP($FM26,$G$9:$J$102,4)*VLOOKUP($FM26,$A$9:$E$102,5)*0.5*(VLOOKUP($FM26-FX$103,Frauen!$G$9:$J$102,4)+VLOOKUP($FM26-FX$103+1,Frauen!$G$9:$J$102,4))*0.5*(VLOOKUP($FM26-FX$103,Frauen!$AZ$9:$BD$102,5)+VLOOKUP($FM26-FX$103+1,Frauen!$AZ$9:$BD$102,5)),RundDx)</f>
        <v>113224498</v>
      </c>
      <c r="FY26" s="25">
        <f>ROUND(v^($FM26+FaktorAlter)*VLOOKUP($FM26,$G$9:$J$102,4)*VLOOKUP($FM26,$A$9:$E$102,5)*0.5*(VLOOKUP($FM26-FY$103,Frauen!$G$9:$J$102,4)+VLOOKUP($FM26-FY$103+1,Frauen!$G$9:$J$102,4))*0.5*(VLOOKUP($FM26-FY$103,Frauen!$AZ$9:$BD$102,5)+VLOOKUP($FM26-FY$103+1,Frauen!$AZ$9:$BD$102,5)),RundDx)</f>
        <v>135972590</v>
      </c>
      <c r="FZ26" s="25">
        <f>ROUND(v^($FM26+FaktorAlter)*VLOOKUP($FM26,$G$9:$J$102,4)*VLOOKUP($FM26,$A$9:$E$102,5)*0.5*(VLOOKUP($FM26-FZ$103,Frauen!$G$9:$J$102,4)+VLOOKUP($FM26-FZ$103+1,Frauen!$G$9:$J$102,4))*0.5*(VLOOKUP($FM26-FZ$103,Frauen!$AZ$9:$BD$102,5)+VLOOKUP($FM26-FZ$103+1,Frauen!$AZ$9:$BD$102,5)),RundDx)</f>
        <v>160696119</v>
      </c>
      <c r="GA26" s="25">
        <f>ROUND(v^($FM26+FaktorAlter)*VLOOKUP($FM26,$G$9:$J$102,4)*VLOOKUP($FM26,$A$9:$E$102,5)*0.5*(VLOOKUP($FM26-GA$103,Frauen!$G$9:$J$102,4)+VLOOKUP($FM26-GA$103+1,Frauen!$G$9:$J$102,4))*0.5*(VLOOKUP($FM26-GA$103,Frauen!$AZ$9:$BD$102,5)+VLOOKUP($FM26-GA$103+1,Frauen!$AZ$9:$BD$102,5)),RundDx)</f>
        <v>187133081</v>
      </c>
      <c r="GB26" s="25">
        <f>ROUND(v^($FM26+FaktorAlter)*VLOOKUP($FM26,$G$9:$J$102,4)*VLOOKUP($FM26,$A$9:$E$102,5)*0.5*(VLOOKUP($FM26-GB$103,Frauen!$G$9:$J$102,4)+VLOOKUP($FM26-GB$103+1,Frauen!$G$9:$J$102,4))*0.5*(VLOOKUP($FM26-GB$103,Frauen!$AZ$9:$BD$102,5)+VLOOKUP($FM26-GB$103+1,Frauen!$AZ$9:$BD$102,5)),RundDx)</f>
        <v>215024277</v>
      </c>
      <c r="GC26" s="25">
        <f>ROUND(v^($FM26+FaktorAlter)*VLOOKUP($FM26,$G$9:$J$102,4)*VLOOKUP($FM26,$A$9:$E$102,5)*0.5*(VLOOKUP($FM26-GC$103,Frauen!$G$9:$J$102,4)+VLOOKUP($FM26-GC$103+1,Frauen!$G$9:$J$102,4))*0.5*(VLOOKUP($FM26-GC$103,Frauen!$AZ$9:$BD$102,5)+VLOOKUP($FM26-GC$103+1,Frauen!$AZ$9:$BD$102,5)),RundDx)</f>
        <v>244062894</v>
      </c>
      <c r="GD26" s="25">
        <f>ROUND(v^($FM26+FaktorAlter)*VLOOKUP($FM26,$G$9:$J$102,4)*VLOOKUP($FM26,$A$9:$E$102,5)*0.5*(VLOOKUP($FM26-GD$103,Frauen!$G$9:$J$102,4)+VLOOKUP($FM26-GD$103+1,Frauen!$G$9:$J$102,4))*0.5*(VLOOKUP($FM26-GD$103,Frauen!$AZ$9:$BD$102,5)+VLOOKUP($FM26-GD$103+1,Frauen!$AZ$9:$BD$102,5)),RundDx)</f>
        <v>273959097</v>
      </c>
      <c r="GE26" s="25">
        <f>ROUND(v^($FM26+FaktorAlter)*VLOOKUP($FM26,$G$9:$J$102,4)*VLOOKUP($FM26,$A$9:$E$102,5)*0.5*(VLOOKUP($FM26-GE$103,Frauen!$G$9:$J$102,4)+VLOOKUP($FM26-GE$103+1,Frauen!$G$9:$J$102,4))*0.5*(VLOOKUP($FM26-GE$103,Frauen!$AZ$9:$BD$102,5)+VLOOKUP($FM26-GE$103+1,Frauen!$AZ$9:$BD$102,5)),RundDx)</f>
        <v>304515409</v>
      </c>
      <c r="GF26" s="25">
        <f>ROUND(v^($FM26+FaktorAlter)*VLOOKUP($FM26,$G$9:$J$102,4)*VLOOKUP($FM26,$A$9:$E$102,5)*0.5*(VLOOKUP($FM26-GF$103,Frauen!$G$9:$J$102,4)+VLOOKUP($FM26-GF$103+1,Frauen!$G$9:$J$102,4))*0.5*(VLOOKUP($FM26-GF$103,Frauen!$AZ$9:$BD$102,5)+VLOOKUP($FM26-GF$103+1,Frauen!$AZ$9:$BD$102,5)),RundDx)</f>
        <v>335634925</v>
      </c>
      <c r="GG26" s="25">
        <f>ROUND(v^($FM26+FaktorAlter)*VLOOKUP($FM26,$G$9:$J$102,4)*VLOOKUP($FM26,$A$9:$E$102,5)*0.5*(VLOOKUP($FM26-GG$103,Frauen!$G$9:$J$102,4)+VLOOKUP($FM26-GG$103+1,Frauen!$G$9:$J$102,4))*0.5*(VLOOKUP($FM26-GG$103,Frauen!$AZ$9:$BD$102,5)+VLOOKUP($FM26-GG$103+1,Frauen!$AZ$9:$BD$102,5)),RundDx)</f>
        <v>367185676</v>
      </c>
      <c r="GH26" s="25">
        <f>ROUND(v^($FM26+FaktorAlter)*VLOOKUP($FM26,$G$9:$J$102,4)*VLOOKUP($FM26,$A$9:$E$102,5)*0.5*(VLOOKUP($FM26-GH$103,Frauen!$G$9:$J$102,4)+VLOOKUP($FM26-GH$103+1,Frauen!$G$9:$J$102,4))*0.5*(VLOOKUP($FM26-GH$103,Frauen!$AZ$9:$BD$102,5)+VLOOKUP($FM26-GH$103+1,Frauen!$AZ$9:$BD$102,5)),RundDx)</f>
        <v>399141758</v>
      </c>
      <c r="GI26" s="25">
        <f>ROUND(v^($FM26+FaktorAlter)*VLOOKUP($FM26,$G$9:$J$102,4)*VLOOKUP($FM26,$A$9:$E$102,5)*0.5*(VLOOKUP($FM26-GI$103,Frauen!$G$9:$J$102,4)+VLOOKUP($FM26-GI$103+1,Frauen!$G$9:$J$102,4))*0.5*(VLOOKUP($FM26-GI$103,Frauen!$AZ$9:$BD$102,5)+VLOOKUP($FM26-GI$103+1,Frauen!$AZ$9:$BD$102,5)),RundDx)</f>
        <v>431581173</v>
      </c>
      <c r="GJ26" s="25">
        <f>ROUND(v^($FM26+FaktorAlter)*VLOOKUP($FM26,$G$9:$J$102,4)*VLOOKUP($FM26,$A$9:$E$102,5)*0.5*(VLOOKUP($FM26-GJ$103,Frauen!$G$9:$J$102,4)+VLOOKUP($FM26-GJ$103+1,Frauen!$G$9:$J$102,4))*0.5*(VLOOKUP($FM26-GJ$103,Frauen!$AZ$9:$BD$102,5)+VLOOKUP($FM26-GJ$103+1,Frauen!$AZ$9:$BD$102,5)),RundDx)</f>
        <v>464535502</v>
      </c>
      <c r="GK26" s="25">
        <f>ROUND(v^($FM26+FaktorAlter)*VLOOKUP($FM26,$G$9:$J$102,4)*VLOOKUP($FM26,$A$9:$E$102,5)*0.5*(VLOOKUP($FM26-GK$103,Frauen!$G$9:$J$102,4)+VLOOKUP($FM26-GK$103+1,Frauen!$G$9:$J$102,4))*0.5*(VLOOKUP($FM26-GK$103,Frauen!$AZ$9:$BD$102,5)+VLOOKUP($FM26-GK$103+1,Frauen!$AZ$9:$BD$102,5)),RundDx)</f>
        <v>498106686</v>
      </c>
      <c r="GL26" s="25">
        <f>ROUND(v^($FM26+FaktorAlter)*VLOOKUP($FM26,$G$9:$J$102,4)*VLOOKUP($FM26,$A$9:$E$102,5)*0.5*(VLOOKUP($FM26-GL$103,Frauen!$G$9:$J$102,4)+VLOOKUP($FM26-GL$103+1,Frauen!$G$9:$J$102,4))*0.5*(VLOOKUP($FM26-GL$103,Frauen!$AZ$9:$BD$102,5)+VLOOKUP($FM26-GL$103+1,Frauen!$AZ$9:$BD$102,5)),RundDx)</f>
        <v>532313598</v>
      </c>
      <c r="GM26" s="25">
        <f>ROUND(v^($FM26+FaktorAlter)*VLOOKUP($FM26,$G$9:$J$102,4)*VLOOKUP($FM26,$A$9:$E$102,5)*0.5*(VLOOKUP($FM26-GM$103,Frauen!$G$9:$J$102,4)+VLOOKUP($FM26-GM$103+1,Frauen!$G$9:$J$102,4))*0.5*(VLOOKUP($FM26-GM$103,Frauen!$AZ$9:$BD$102,5)+VLOOKUP($FM26-GM$103+1,Frauen!$AZ$9:$BD$102,5)),RundDx)</f>
        <v>567077598</v>
      </c>
      <c r="GN26" s="25">
        <f>ROUND(v^($FM26+FaktorAlter)*VLOOKUP($FM26,$G$9:$J$102,4)*VLOOKUP($FM26,$A$9:$E$102,5)*0.5*(VLOOKUP($FM26-GN$103,Frauen!$G$9:$J$102,4)+VLOOKUP($FM26-GN$103+1,Frauen!$G$9:$J$102,4))*0.5*(VLOOKUP($FM26-GN$103,Frauen!$AZ$9:$BD$102,5)+VLOOKUP($FM26-GN$103+1,Frauen!$AZ$9:$BD$102,5)),RundDx)</f>
        <v>602246726</v>
      </c>
      <c r="GO26" s="25">
        <f>ROUND(v^($FM26+FaktorAlter)*VLOOKUP($FM26,$G$9:$J$102,4)*VLOOKUP($FM26,$A$9:$E$102,5)*0.5*(VLOOKUP($FM26-GO$103,Frauen!$G$9:$J$102,4)+VLOOKUP($FM26-GO$103+1,Frauen!$G$9:$J$102,4))*0.5*(VLOOKUP($FM26-GO$103,Frauen!$AZ$9:$BD$102,5)+VLOOKUP($FM26-GO$103+1,Frauen!$AZ$9:$BD$102,5)),RundDx)</f>
        <v>637568502</v>
      </c>
      <c r="GP26" s="25">
        <f>ROUND(v^($FM26+FaktorAlter)*VLOOKUP($FM26,$G$9:$J$102,4)*VLOOKUP($FM26,$A$9:$E$102,5)*0.5*(VLOOKUP($FM26-GP$103,Frauen!$G$9:$J$102,4)+VLOOKUP($FM26-GP$103+1,Frauen!$G$9:$J$102,4))*0.5*(VLOOKUP($FM26-GP$103,Frauen!$AZ$9:$BD$102,5)+VLOOKUP($FM26-GP$103+1,Frauen!$AZ$9:$BD$102,5)),RundDx)</f>
        <v>672944568</v>
      </c>
      <c r="GQ26" s="25">
        <f>ROUND(v^($FM26+FaktorAlter)*VLOOKUP($FM26,$G$9:$J$102,4)*VLOOKUP($FM26,$A$9:$E$102,5)*0.5*(VLOOKUP($FM26-GQ$103,Frauen!$G$9:$J$102,4)+VLOOKUP($FM26-GQ$103+1,Frauen!$G$9:$J$102,4))*0.5*(VLOOKUP($FM26-GQ$103,Frauen!$AZ$9:$BD$102,5)+VLOOKUP($FM26-GQ$103+1,Frauen!$AZ$9:$BD$102,5)),RundDx)</f>
        <v>708309883</v>
      </c>
      <c r="GR26" s="25">
        <f>ROUND(v^($FM26+FaktorAlter)*VLOOKUP($FM26,$G$9:$J$102,4)*VLOOKUP($FM26,$A$9:$E$102,5)*0.5*(VLOOKUP($FM26-GR$103,Frauen!$G$9:$J$102,4)+VLOOKUP($FM26-GR$103+1,Frauen!$G$9:$J$102,4))*0.5*(VLOOKUP($FM26-GR$103,Frauen!$AZ$9:$BD$102,5)+VLOOKUP($FM26-GR$103+1,Frauen!$AZ$9:$BD$102,5)),RundDx)</f>
        <v>743424467</v>
      </c>
      <c r="GS26" s="24">
        <f>ROUND(SUM(FN26:FN$56)/VLOOKUP($FM26,$AQ$9:$AR$102,2)/VLOOKUP($FM26-GS$103,Frauen!$G$9:$J$102,4),Rundäx)</f>
        <v>0.26700000000000002</v>
      </c>
      <c r="GT26" s="24">
        <f>ROUND(SUM(FO26:FO$56)/VLOOKUP($FM26,$AQ$9:$AR$102,2)/VLOOKUP($FM26-GT$103,Frauen!$G$9:$J$102,4),Rundäx)</f>
        <v>0.32700000000000001</v>
      </c>
      <c r="GU26" s="24">
        <f>ROUND(SUM(FP26:FP$56)/VLOOKUP($FM26,$AQ$9:$AR$102,2)/VLOOKUP($FM26-GU$103,Frauen!$G$9:$J$102,4),Rundäx)</f>
        <v>0.39700000000000002</v>
      </c>
      <c r="GV26" s="24">
        <f>ROUND(SUM(FQ26:FQ$56)/VLOOKUP($FM26,$AQ$9:$AR$102,2)/VLOOKUP($FM26-GV$103,Frauen!$G$9:$J$102,4),Rundäx)</f>
        <v>0.47699999999999998</v>
      </c>
      <c r="GW26" s="24">
        <f>ROUND(SUM(FR26:FR$56)/VLOOKUP($FM26,$AQ$9:$AR$102,2)/VLOOKUP($FM26-GW$103,Frauen!$G$9:$J$102,4),Rundäx)</f>
        <v>0.56899999999999995</v>
      </c>
      <c r="GX26" s="24">
        <f>ROUND(SUM(FS26:FS$56)/VLOOKUP($FM26,$AQ$9:$AR$102,2)/VLOOKUP($FM26-GX$103,Frauen!$G$9:$J$102,4),Rundäx)</f>
        <v>0.67400000000000004</v>
      </c>
      <c r="GY26" s="24">
        <f>ROUND(SUM(FT26:FT$56)/VLOOKUP($FM26,$AQ$9:$AR$102,2)/VLOOKUP($FM26-GY$103,Frauen!$G$9:$J$102,4),Rundäx)</f>
        <v>0.79400000000000004</v>
      </c>
      <c r="GZ26" s="24">
        <f>ROUND(SUM(FU26:FU$56)/VLOOKUP($FM26,$AQ$9:$AR$102,2)/VLOOKUP($FM26-GZ$103,Frauen!$G$9:$J$102,4),Rundäx)</f>
        <v>0.92900000000000005</v>
      </c>
      <c r="HA26" s="86"/>
      <c r="HB26" s="35">
        <f t="shared" si="63"/>
        <v>82</v>
      </c>
      <c r="HC26" s="24">
        <f>ROUND(SUM(FV26:FV$56)/VLOOKUP($FM26,$AQ$9:$AR$102,2)/VLOOKUP($FM26-HC$103,Frauen!$G$9:$J$102,4),Rundäx)</f>
        <v>1.081</v>
      </c>
      <c r="HD26" s="24">
        <f>ROUND(SUM(FW26:FW$56)/VLOOKUP($FM26,$AQ$9:$AR$102,2)/VLOOKUP($FM26-HD$103,Frauen!$G$9:$J$102,4),Rundäx)</f>
        <v>1.252</v>
      </c>
      <c r="HE26" s="24">
        <f>ROUND(SUM(FX26:FX$56)/VLOOKUP($FM26,$AQ$9:$AR$102,2)/VLOOKUP($FM26-HE$103,Frauen!$G$9:$J$102,4),Rundäx)</f>
        <v>1.444</v>
      </c>
      <c r="HF26" s="24">
        <f>ROUND(SUM(FY26:FY$56)/VLOOKUP($FM26,$AQ$9:$AR$102,2)/VLOOKUP($FM26-HF$103,Frauen!$G$9:$J$102,4),Rundäx)</f>
        <v>1.659</v>
      </c>
      <c r="HG26" s="24">
        <f>ROUND(SUM(FZ26:FZ$56)/VLOOKUP($FM26,$AQ$9:$AR$102,2)/VLOOKUP($FM26-HG$103,Frauen!$G$9:$J$102,4),Rundäx)</f>
        <v>1.8979999999999999</v>
      </c>
      <c r="HH26" s="24">
        <f>ROUND(SUM(GA26:GA$56)/VLOOKUP($FM26,$AQ$9:$AR$102,2)/VLOOKUP($FM26-HH$103,Frauen!$G$9:$J$102,4),Rundäx)</f>
        <v>2.1629999999999998</v>
      </c>
      <c r="HI26" s="24">
        <f>ROUND(SUM(GB26:GB$56)/VLOOKUP($FM26,$AQ$9:$AR$102,2)/VLOOKUP($FM26-HI$103,Frauen!$G$9:$J$102,4),Rundäx)</f>
        <v>2.456</v>
      </c>
      <c r="HJ26" s="24">
        <f>ROUND(SUM(GC26:GC$56)/VLOOKUP($FM26,$AQ$9:$AR$102,2)/VLOOKUP($FM26-HJ$103,Frauen!$G$9:$J$102,4),Rundäx)</f>
        <v>2.7770000000000001</v>
      </c>
      <c r="HK26" s="86"/>
      <c r="HL26" s="35">
        <f t="shared" si="64"/>
        <v>82</v>
      </c>
      <c r="HM26" s="24">
        <f>ROUND(SUM(GD26:GD$56)/VLOOKUP($FM26,$AQ$9:$AR$102,2)/VLOOKUP($FM26-HM$103,Frauen!$G$9:$J$102,4),Rundäx)</f>
        <v>3.125</v>
      </c>
      <c r="HN26" s="24">
        <f>ROUND(SUM(GE26:GE$56)/VLOOKUP($FM26,$AQ$9:$AR$102,2)/VLOOKUP($FM26-HN$103,Frauen!$G$9:$J$102,4),Rundäx)</f>
        <v>3.5</v>
      </c>
      <c r="HO26" s="24">
        <f>ROUND(SUM(GF26:GF$56)/VLOOKUP($FM26,$AQ$9:$AR$102,2)/VLOOKUP($FM26-HO$103,Frauen!$G$9:$J$102,4),Rundäx)</f>
        <v>3.899</v>
      </c>
      <c r="HP26" s="24">
        <f>ROUND(SUM(GG26:GG$56)/VLOOKUP($FM26,$AQ$9:$AR$102,2)/VLOOKUP($FM26-HP$103,Frauen!$G$9:$J$102,4),Rundäx)</f>
        <v>4.32</v>
      </c>
      <c r="HQ26" s="24">
        <f>ROUND(SUM(GH26:GH$56)/VLOOKUP($FM26,$AQ$9:$AR$102,2)/VLOOKUP($FM26-HQ$103,Frauen!$G$9:$J$102,4),Rundäx)</f>
        <v>4.758</v>
      </c>
      <c r="HR26" s="24">
        <f>ROUND(SUM(GI26:GI$56)/VLOOKUP($FM26,$AQ$9:$AR$102,2)/VLOOKUP($FM26-HR$103,Frauen!$G$9:$J$102,4),Rundäx)</f>
        <v>5.2110000000000003</v>
      </c>
      <c r="HS26" s="24">
        <f>ROUND(SUM(GJ26:GJ$56)/VLOOKUP($FM26,$AQ$9:$AR$102,2)/VLOOKUP($FM26-HS$103,Frauen!$G$9:$J$102,4),Rundäx)</f>
        <v>5.673</v>
      </c>
      <c r="HT26" s="24">
        <f>ROUND(SUM(GK26:GK$56)/VLOOKUP($FM26,$AQ$9:$AR$102,2)/VLOOKUP($FM26-HT$103,Frauen!$G$9:$J$102,4),Rundäx)</f>
        <v>6.141</v>
      </c>
      <c r="HU26" s="86"/>
      <c r="HV26" s="35">
        <f t="shared" si="65"/>
        <v>82</v>
      </c>
      <c r="HW26" s="24">
        <f>ROUND(SUM(GL26:GL$56)/VLOOKUP($FM26,$AQ$9:$AR$102,2)/VLOOKUP($FM26-HW$103,Frauen!$G$9:$J$102,4),Rundäx)</f>
        <v>6.6109999999999998</v>
      </c>
      <c r="HX26" s="24">
        <f>ROUND(SUM(GM26:GM$56)/VLOOKUP($FM26,$AQ$9:$AR$102,2)/VLOOKUP($FM26-HX$103,Frauen!$G$9:$J$102,4),Rundäx)</f>
        <v>7.0830000000000002</v>
      </c>
      <c r="HY26" s="24">
        <f>ROUND(SUM(GN26:GN$56)/VLOOKUP($FM26,$AQ$9:$AR$102,2)/VLOOKUP($FM26-HY$103,Frauen!$G$9:$J$102,4),Rundäx)</f>
        <v>7.556</v>
      </c>
      <c r="HZ26" s="24">
        <f>ROUND(SUM(GO26:GO$56)/VLOOKUP($FM26,$AQ$9:$AR$102,2)/VLOOKUP($FM26-HZ$103,Frauen!$G$9:$J$102,4),Rundäx)</f>
        <v>8.0310000000000006</v>
      </c>
      <c r="IA26" s="24">
        <f>ROUND(SUM(GP26:GP$56)/VLOOKUP($FM26,$AQ$9:$AR$102,2)/VLOOKUP($FM26-IA$103,Frauen!$G$9:$J$102,4),Rundäx)</f>
        <v>8.5060000000000002</v>
      </c>
      <c r="IB26" s="24">
        <f>ROUND(SUM(GQ26:GQ$56)/VLOOKUP($FM26,$AQ$9:$AR$102,2)/VLOOKUP($FM26-IB$103,Frauen!$G$9:$J$102,4),Rundäx)</f>
        <v>8.9809999999999999</v>
      </c>
      <c r="IC26" s="24">
        <f>ROUND(SUM(GR26:GR$56)/VLOOKUP($FM26,$AQ$9:$AR$102,2)/VLOOKUP($FM26-IC$103,Frauen!$G$9:$J$102,4),Rundäx)</f>
        <v>9.4570000000000007</v>
      </c>
      <c r="ID26" s="89"/>
      <c r="IE26" s="35">
        <f t="shared" si="66"/>
        <v>34</v>
      </c>
      <c r="IF26" s="25">
        <f t="shared" si="31"/>
        <v>805</v>
      </c>
      <c r="IG26" s="25">
        <f>IF($IE26&lt;RAM,IF(S27&lt;=RAK,ROUND(SUM(IF26:INDEX(Dakx,RAM-BeginnAlter))+INDEX(Dax,RAM-BeginnAlter+1)*INDEX(äkx,1),RundDx),0),"")</f>
        <v>13823</v>
      </c>
      <c r="IH26" s="25">
        <f>IF($IE26&lt;RAM,IF(S27&lt;=RAK,ROUND(SUM(IG26:INDEX(Nakx,RAM-BeginnAlter))+INDEX(Dax,RAM-BeginnAlter+1)*INDEX(äkx,1),RundDx),0),"")</f>
        <v>134879</v>
      </c>
      <c r="II26" s="24">
        <f t="shared" si="32"/>
        <v>0.3</v>
      </c>
      <c r="IJ26" s="25">
        <f t="shared" si="33"/>
        <v>27358</v>
      </c>
      <c r="IK26" s="25">
        <f>IF($IE26&lt;RAM,IF(S27&lt;=RAK,SUM(IJ26:INDEX(Dikx,RAM-BeginnAlter))+INDEX(Dix,RAM-BeginnAlter+1)*INDEX(äkx,1),0),"")</f>
        <v>282675.83199999999</v>
      </c>
      <c r="IL26" s="24">
        <f t="shared" si="34"/>
        <v>3.625</v>
      </c>
      <c r="IM26" s="86"/>
      <c r="IN26" s="35">
        <f t="shared" si="67"/>
        <v>82</v>
      </c>
      <c r="IO26" s="25">
        <f>IF(AND(VLOOKUP(IN26+1,O$9:S$102,5)&lt;=RAK,VLOOKUP(IN26+1,O$9:S$102,5)&lt;&gt;""),ROUND(v^($IN26+FaktorAlter)*VLOOKUP(IN26,G$9:J$102,4)*VLOOKUP(IN26,A$9:E$102,5)*0.5*(VLOOKUP(IN26,O$9:R$102,4)+VLOOKUP(IN26+1,O$9:R$102,4))*(VLOOKUP(TRUNC(0.5*(VLOOKUP(IN26,O$9:S$102,5)+VLOOKUP(IN26+1,O$9:S$102,5)),0),$BF$9:$BH$36,3)+(0.5*(VLOOKUP(IN26,O$9:S$102,5)+VLOOKUP(IN26+1,O$9:S$102,5))-TRUNC(0.5*(VLOOKUP(IN26,O$9:S$102,5)+VLOOKUP(IN26+1,O$9:S$102,5)),0))*(VLOOKUP(TRUNC(0.5*(VLOOKUP(IN26,O$9:S$102,5)+VLOOKUP(IN26+1,O$9:S$102,5))+1,0),$BF$9:$BH$36,3)-VLOOKUP(TRUNC(0.5*(VLOOKUP(IN26,O$9:S$102,5)+VLOOKUP(IN26+1,O$9:S$102,5)),0),$BF$9:$BH$36,3))),RundDx),0)</f>
        <v>0</v>
      </c>
      <c r="IP26" s="25">
        <f>IF(AND(VLOOKUP(IN26+1,O$9:S$102,5)&lt;=RAK,VLOOKUP(IN26+1,O$9:S$102,5)&lt;&gt;""),SUM(IO26:IO$102),0)</f>
        <v>0</v>
      </c>
      <c r="IQ26" s="24">
        <f>IF(VLOOKUP(IN26+1,O$9:S$102,5)&lt;=RAK,ROUND(IP26/INDEX(Dx,$IN26-BeginnAlter+1),Rundäx),0)</f>
        <v>0</v>
      </c>
      <c r="IR26" s="86"/>
    </row>
    <row r="27" spans="1:252" ht="15.75" customHeight="1" x14ac:dyDescent="0.25">
      <c r="A27" s="35">
        <f t="shared" si="41"/>
        <v>35</v>
      </c>
      <c r="B27" s="77">
        <v>7.5101535278360762E-4</v>
      </c>
      <c r="C27" s="77">
        <v>1.1848208847524333E-3</v>
      </c>
      <c r="D27" s="77">
        <v>1.8213144453605272E-2</v>
      </c>
      <c r="E27" s="77">
        <v>9.3037366638015762E-4</v>
      </c>
      <c r="F27" s="86"/>
      <c r="G27" s="35">
        <f t="shared" si="42"/>
        <v>35</v>
      </c>
      <c r="H27" s="25">
        <f t="shared" si="37"/>
        <v>97934</v>
      </c>
      <c r="I27" s="25">
        <f t="shared" si="38"/>
        <v>951</v>
      </c>
      <c r="J27" s="25">
        <f t="shared" si="39"/>
        <v>98885</v>
      </c>
      <c r="K27" s="30">
        <f>IF(J27&gt;0,ROUND(SUM(J27:J$102)/J27-0.5,Rundex),"")</f>
        <v>44.4</v>
      </c>
      <c r="L27" s="25">
        <f t="shared" si="0"/>
        <v>163220</v>
      </c>
      <c r="M27" s="30">
        <f>IF(L27&gt;0,ROUND(SUM(L27:L$102)/L27-0.5,Rundex),"")</f>
        <v>31.9</v>
      </c>
      <c r="N27" s="86"/>
      <c r="O27" s="35">
        <f t="shared" si="43"/>
        <v>35</v>
      </c>
      <c r="P27" s="43">
        <v>0.5041050538669225</v>
      </c>
      <c r="Q27" s="78">
        <v>34.376780320527672</v>
      </c>
      <c r="R27" s="43">
        <v>1.3362568853647949</v>
      </c>
      <c r="S27" s="78">
        <v>6.8242657916017961</v>
      </c>
      <c r="T27" s="15">
        <v>9.296034688817123E-4</v>
      </c>
      <c r="U27" s="11">
        <f t="shared" si="40"/>
        <v>98883</v>
      </c>
      <c r="V27" s="30">
        <f>IF(U27&gt;0,ROUND(SUM(U27:U$102)/U27-0.5,Rundex),"")</f>
        <v>42.02</v>
      </c>
      <c r="W27" s="86"/>
      <c r="X27" s="35">
        <f t="shared" si="44"/>
        <v>35</v>
      </c>
      <c r="Y27" s="25">
        <f t="shared" si="1"/>
        <v>44949</v>
      </c>
      <c r="Z27" s="25">
        <f>IF($X27&lt;RAM,SUM(Y27:INDEX(Dax,RAM-BeginnAlter))," ")</f>
        <v>927013</v>
      </c>
      <c r="AA27" s="25">
        <f t="shared" si="2"/>
        <v>33</v>
      </c>
      <c r="AB27" s="25">
        <f>IF($X27&lt;RAM,SUM(AA27:INDEX(Cax,RAM-BeginnAlter))," ")</f>
        <v>2291</v>
      </c>
      <c r="AC27" s="25">
        <f t="shared" si="3"/>
        <v>53</v>
      </c>
      <c r="AD27" s="25">
        <f>IF($X27&lt;RAM,SUM(AC27:INDEX(Caix,RAM-BeginnAlter))," ")</f>
        <v>7582</v>
      </c>
      <c r="AE27" s="24">
        <f t="shared" si="4"/>
        <v>20.623999999999999</v>
      </c>
      <c r="AF27" s="24">
        <f t="shared" si="5"/>
        <v>20.315999999999999</v>
      </c>
      <c r="AG27" s="86"/>
      <c r="AH27" s="35">
        <f t="shared" si="45"/>
        <v>35</v>
      </c>
      <c r="AI27" s="25">
        <f t="shared" si="6"/>
        <v>74913</v>
      </c>
      <c r="AJ27" s="25">
        <f>IF($AH27&gt;RAM," ",IF($AH27&lt;RAM,SUM(AI27:INDEX(Dix,RAM-BeginnAlter))+INDEX(Nx,RAM-BeginnAlter+1),INDEX(Nx,RAM-BeginnAlter+1)))</f>
        <v>1598791</v>
      </c>
      <c r="AK27" s="25">
        <f>IF($AH27&lt;RAM,SUM(AI27:INDEX(Dix,RAM-BeginnAlter))," ")</f>
        <v>1301544</v>
      </c>
      <c r="AL27" s="24">
        <f t="shared" si="7"/>
        <v>21.341999999999999</v>
      </c>
      <c r="AM27" s="24">
        <f t="shared" si="8"/>
        <v>20.884</v>
      </c>
      <c r="AN27" s="24">
        <f t="shared" si="9"/>
        <v>17.373999999999999</v>
      </c>
      <c r="AO27" s="24">
        <f t="shared" si="10"/>
        <v>17.041</v>
      </c>
      <c r="AP27" s="86"/>
      <c r="AQ27" s="35">
        <f t="shared" si="46"/>
        <v>35</v>
      </c>
      <c r="AR27" s="25">
        <f t="shared" si="11"/>
        <v>45385</v>
      </c>
      <c r="AS27" s="25">
        <f>SUM(AR27:AR$94)</f>
        <v>1273888</v>
      </c>
      <c r="AT27" s="25">
        <f>IF($AQ27&lt;RAM,SUM(AR27:INDEX(Dx,RAM-BeginnAlter))," ")</f>
        <v>976641</v>
      </c>
      <c r="AU27" s="24">
        <f t="shared" si="12"/>
        <v>28.068000000000001</v>
      </c>
      <c r="AV27" s="24">
        <f t="shared" si="13"/>
        <v>27.61</v>
      </c>
      <c r="AW27" s="24">
        <f t="shared" si="14"/>
        <v>21.518999999999998</v>
      </c>
      <c r="AX27" s="24">
        <f t="shared" si="15"/>
        <v>21.268000000000001</v>
      </c>
      <c r="AY27" s="86"/>
      <c r="AZ27" s="35">
        <f t="shared" si="47"/>
        <v>35</v>
      </c>
      <c r="BA27" s="25">
        <f t="shared" si="16"/>
        <v>45384</v>
      </c>
      <c r="BB27" s="25">
        <f>SUM(BA27:BA$94)</f>
        <v>1231830</v>
      </c>
      <c r="BC27" s="24">
        <f t="shared" si="17"/>
        <v>27.141999999999999</v>
      </c>
      <c r="BD27" s="24">
        <f t="shared" si="18"/>
        <v>26.684000000000001</v>
      </c>
      <c r="BE27" s="86"/>
      <c r="BF27" s="35">
        <f t="shared" si="48"/>
        <v>18</v>
      </c>
      <c r="BG27" s="24">
        <f t="shared" si="19"/>
        <v>6.5540000000000003</v>
      </c>
      <c r="BH27" s="24">
        <f t="shared" si="20"/>
        <v>6.4880000000000004</v>
      </c>
      <c r="BI27" s="86"/>
      <c r="BJ27" s="35">
        <f t="shared" si="49"/>
        <v>35</v>
      </c>
      <c r="BK27" s="25">
        <f t="shared" si="21"/>
        <v>1096</v>
      </c>
      <c r="BL27" s="25">
        <f>IF(BJ27&lt;RAM,SUM(BK27:INDEX(Daix,RAM-BeginnAlter))," ")</f>
        <v>123376</v>
      </c>
      <c r="BM27" s="25">
        <f>IF(BJ27&lt;RAM,SUM(BL27:INDEX(Naix,RAM-BeginnAlter))," ")</f>
        <v>2716137</v>
      </c>
      <c r="BN27" s="24">
        <f t="shared" si="22"/>
        <v>4.6219999999999999</v>
      </c>
      <c r="BO27" s="24">
        <f t="shared" si="23"/>
        <v>2.7450000000000001</v>
      </c>
      <c r="BP27" s="86"/>
      <c r="BQ27" s="35">
        <f t="shared" si="50"/>
        <v>35</v>
      </c>
      <c r="BR27" s="25">
        <f t="shared" si="51"/>
        <v>889</v>
      </c>
      <c r="BS27" s="25">
        <f>IF(BQ27&lt;RAM,SUM(BR27:INDEX(Daixs,RAM-BeginnAlter))," ")</f>
        <v>44947</v>
      </c>
      <c r="BT27" s="25">
        <f>IF(BQ27&lt;RAM,SUM(BS27:INDEX(Naixs,RAM-BeginnAlter))," ")</f>
        <v>797185</v>
      </c>
      <c r="BU27" s="24">
        <f t="shared" si="52"/>
        <v>6.367</v>
      </c>
      <c r="BV27" s="24">
        <f t="shared" si="53"/>
        <v>1</v>
      </c>
      <c r="BW27" s="86"/>
      <c r="BX27" s="35">
        <f t="shared" si="54"/>
        <v>35</v>
      </c>
      <c r="BY27" s="10">
        <f t="shared" si="24"/>
        <v>12.428730372901745</v>
      </c>
      <c r="BZ27" s="11">
        <f t="shared" si="25"/>
        <v>885</v>
      </c>
      <c r="CA27" s="25">
        <f>IF(S28&lt;=RAK,IF($BX27&lt;RAM,SUM(BZ27:INDEX(Dazx,RAM-BeginnAlter)),""),"")</f>
        <v>17145</v>
      </c>
      <c r="CB27" s="24">
        <f t="shared" si="26"/>
        <v>0.38100000000000001</v>
      </c>
      <c r="CC27" s="25">
        <f t="shared" si="27"/>
        <v>29259</v>
      </c>
      <c r="CD27" s="24">
        <f t="shared" si="28"/>
        <v>19.902999999999999</v>
      </c>
      <c r="CE27" s="24">
        <f t="shared" si="29"/>
        <v>2.3E-2</v>
      </c>
      <c r="CF27" s="86"/>
      <c r="CG27" s="35">
        <f t="shared" si="55"/>
        <v>35</v>
      </c>
      <c r="CH27" s="25">
        <f>IF(CG27&lt;RAM,ROUND(v^($CG27+FaktorAlter)*$H27*($B27*0.5*($P27+$P28)*(VLOOKUP(TRUNC(0.5*($Q27+$Q28),0),Frauen!$AZ$9:$BD$95,5)+(0.5*($Q27+$Q28)-TRUNC(0.5*($Q27+$Q28),0))*(VLOOKUP(TRUNC(0.5*($Q27+$Q28)+1,0),Frauen!$AZ$9:$BD$95,5)-VLOOKUP(TRUNC(0.5*($Q27+$Q28),0),Frauen!$AZ$9:$BD$95,5)))+$C27*0.5*($CN27+$CN28)),RundDx),"")</f>
        <v>912</v>
      </c>
      <c r="CI27" s="25">
        <f>IF(CG27&lt;RAM,ROUND(SUM(CH27:INDEX(Dawx,RAM-BeginnAlter))+INDEX(Dax,RAM-BeginnAlter+1)*INDEX(äwx,1),RundDx),"")</f>
        <v>162705</v>
      </c>
      <c r="CJ27" s="25">
        <f>IF(CG27&lt;RAM,ROUND(SUM(CI27:INDEX(Nawx,RAM-BeginnAlter))+INDEX(Dax,RAM-BeginnAlter+1)*INDEX(äwx,1),RundDx),"")</f>
        <v>4158374</v>
      </c>
      <c r="CK27" s="24">
        <f t="shared" si="56"/>
        <v>3.62</v>
      </c>
      <c r="CL27" s="25">
        <f>IF(CG27&lt;RAM,ROUND(v^($CG27+FaktorAlter)*$L27*$D27*0.5*($P27+$P28)*(VLOOKUP(TRUNC(0.5*($Q27+$Q28),0),Frauen!$AZ$9:$BD$95,5)+(0.5*($Q27+$Q28)-TRUNC(0.5*($Q27+$Q28),0))*(VLOOKUP(TRUNC(0.5*($Q27+$Q28)+1,0),Frauen!$AZ$9:$BD$95,5)-VLOOKUP(TRUNC(0.5*($Q27+$Q28),0),Frauen!$AZ$9:$BD$95,5))),RundDx),"")</f>
        <v>20607</v>
      </c>
      <c r="CM27" s="25">
        <f>IF(CG27&lt;RAM,SUM(CL27:INDEX(Diwx,RAM-BeginnAlter))+INDEX(Dix,RAM-BeginnAlter+1)*INDEX(äwx,1),"")</f>
        <v>570947.41399999999</v>
      </c>
      <c r="CN27" s="24">
        <f t="shared" si="57"/>
        <v>7.6210000000000004</v>
      </c>
      <c r="CO27" s="86"/>
      <c r="CP27" s="35">
        <f t="shared" si="58"/>
        <v>83</v>
      </c>
      <c r="CQ27" s="11">
        <f>ROUND(v^($CP27+FaktorAlter)*VLOOKUP(CP27,G$9:J$102,4)*VLOOKUP(CP27,A$9:E$102,5)*0.5*(VLOOKUP(CP27,O$9:P$102,2)+VLOOKUP(CP27+1,O$9:P$102,2))*(VLOOKUP(TRUNC(0.5*(VLOOKUP(CP27,O$9:Q$102,3)+VLOOKUP(CP27+1,O$9:Q$102,3)),0),Frauen!$AZ$9:$BD$95,5)+(0.5*(VLOOKUP(CP27,O$9:Q$102,3)+VLOOKUP(CP27+1,O$9:Q$102,3))-TRUNC(0.5*(VLOOKUP(CP27,O$9:Q$102,3)+VLOOKUP(CP27+1,O$9:Q$102,3)),0))*(VLOOKUP(TRUNC(0.5*(VLOOKUP(CP27,O$9:Q$102,3)+VLOOKUP(CP27+1,O$9:Q$102,3))+1,0),Frauen!$AZ$9:$BD$95,5)-VLOOKUP(TRUNC(0.5*(VLOOKUP(CP27,O$9:Q$102,3)+VLOOKUP(CP27+1,O$9:Q$102,3)),0),Frauen!$AZ$9:$BD$95,5))),RundDx)</f>
        <v>3688</v>
      </c>
      <c r="CR27" s="25">
        <f>SUM(CQ27:CQ$56)</f>
        <v>23997</v>
      </c>
      <c r="CS27" s="24">
        <f t="shared" si="30"/>
        <v>3.4470000000000001</v>
      </c>
      <c r="CT27" s="86"/>
      <c r="CU27" s="35">
        <f t="shared" si="59"/>
        <v>35</v>
      </c>
      <c r="CV27" s="25">
        <f>IF($CU27&gt;=RAM,"",IF($CU27-CV$103&lt;BeginnAlter,"",ROUND(v^($CU27+FaktorAlter)*$L27*$D27*0.5*(VLOOKUP($CU27-CV$103,Frauen!$G$9:$J$102,4)+VLOOKUP($CU27-CV$103+1,Frauen!$G$9:$J$102,4))*0.5*(VLOOKUP($CU27-CV$103,Frauen!$AZ$9:$BD$102,5)+VLOOKUP($CU27-CV$103+1,Frauen!$AZ$9:$BD$102,5)),RundDx)))</f>
        <v>3049447701</v>
      </c>
      <c r="CW27" s="25">
        <f>IF($CU27&gt;=RAM,"",IF($CU27-CW$103&lt;BeginnAlter,"",ROUND(v^($CU27+FaktorAlter)*$L27*$D27*0.5*(VLOOKUP($CU27-CW$103,Frauen!$G$9:$J$102,4)+VLOOKUP($CU27-CW$103+1,Frauen!$G$9:$J$102,4))*0.5*(VLOOKUP($CU27-CW$103,Frauen!$AZ$9:$BD$102,5)+VLOOKUP($CU27-CW$103+1,Frauen!$AZ$9:$BD$102,5)),RundDx)))</f>
        <v>3114672773</v>
      </c>
      <c r="CX27" s="25">
        <f>IF($CU27&gt;=RAM,"",IF($CU27-CX$103&lt;BeginnAlter,"",ROUND(v^($CU27+FaktorAlter)*$L27*$D27*0.5*(VLOOKUP($CU27-CX$103,Frauen!$G$9:$J$102,4)+VLOOKUP($CU27-CX$103+1,Frauen!$G$9:$J$102,4))*0.5*(VLOOKUP($CU27-CX$103,Frauen!$AZ$9:$BD$102,5)+VLOOKUP($CU27-CX$103+1,Frauen!$AZ$9:$BD$102,5)),RundDx)))</f>
        <v>3178497320</v>
      </c>
      <c r="CY27" s="25">
        <f>IF($CU27&gt;=RAM,"",IF($CU27-CY$103&lt;BeginnAlter,"",ROUND(v^($CU27+FaktorAlter)*$L27*$D27*0.5*(VLOOKUP($CU27-CY$103,Frauen!$G$9:$J$102,4)+VLOOKUP($CU27-CY$103+1,Frauen!$G$9:$J$102,4))*0.5*(VLOOKUP($CU27-CY$103,Frauen!$AZ$9:$BD$102,5)+VLOOKUP($CU27-CY$103+1,Frauen!$AZ$9:$BD$102,5)),RundDx)))</f>
        <v>3240929816</v>
      </c>
      <c r="CZ27" s="25">
        <f>IF($CU27&gt;=RAM,"",IF($CU27-CZ$103&lt;BeginnAlter,"",ROUND(v^($CU27+FaktorAlter)*$L27*$D27*0.5*(VLOOKUP($CU27-CZ$103,Frauen!$G$9:$J$102,4)+VLOOKUP($CU27-CZ$103+1,Frauen!$G$9:$J$102,4))*0.5*(VLOOKUP($CU27-CZ$103,Frauen!$AZ$9:$BD$102,5)+VLOOKUP($CU27-CZ$103+1,Frauen!$AZ$9:$BD$102,5)),RundDx)))</f>
        <v>3302032646</v>
      </c>
      <c r="DA27" s="25">
        <f>IF($CU27&gt;=RAM,"",IF($CU27-DA$103&lt;BeginnAlter,"",ROUND(v^($CU27+FaktorAlter)*$L27*$D27*0.5*(VLOOKUP($CU27-DA$103,Frauen!$G$9:$J$102,4)+VLOOKUP($CU27-DA$103+1,Frauen!$G$9:$J$102,4))*0.5*(VLOOKUP($CU27-DA$103,Frauen!$AZ$9:$BD$102,5)+VLOOKUP($CU27-DA$103+1,Frauen!$AZ$9:$BD$102,5)),RundDx)))</f>
        <v>3361722399</v>
      </c>
      <c r="DB27" s="25">
        <f>IF($CU27&gt;=RAM,"",IF($CU27-DB$103&lt;BeginnAlter,"",ROUND(v^($CU27+FaktorAlter)*$L27*$D27*0.5*(VLOOKUP($CU27-DB$103,Frauen!$G$9:$J$102,4)+VLOOKUP($CU27-DB$103+1,Frauen!$G$9:$J$102,4))*0.5*(VLOOKUP($CU27-DB$103,Frauen!$AZ$9:$BD$102,5)+VLOOKUP($CU27-DB$103+1,Frauen!$AZ$9:$BD$102,5)),RundDx)))</f>
        <v>3420018479</v>
      </c>
      <c r="DC27" s="25">
        <f>IF($CU27&gt;=RAM,"",IF($CU27-DC$103&lt;BeginnAlter,"",ROUND(v^($CU27+FaktorAlter)*$L27*$D27*0.5*(VLOOKUP($CU27-DC$103,Frauen!$G$9:$J$102,4)+VLOOKUP($CU27-DC$103+1,Frauen!$G$9:$J$102,4))*0.5*(VLOOKUP($CU27-DC$103,Frauen!$AZ$9:$BD$102,5)+VLOOKUP($CU27-DC$103+1,Frauen!$AZ$9:$BD$102,5)),RundDx)))</f>
        <v>3477059780</v>
      </c>
      <c r="DD27" s="25">
        <f>IF($CU27&gt;=RAM,"",IF($CU27-DD$103&lt;BeginnAlter,"",ROUND(v^($CU27+FaktorAlter)*$L27*$D27*0.5*(VLOOKUP($CU27-DD$103,Frauen!$G$9:$J$102,4)+VLOOKUP($CU27-DD$103+1,Frauen!$G$9:$J$102,4))*0.5*(VLOOKUP($CU27-DD$103,Frauen!$AZ$9:$BD$102,5)+VLOOKUP($CU27-DD$103+1,Frauen!$AZ$9:$BD$102,5)),RundDx)))</f>
        <v>3532873762</v>
      </c>
      <c r="DE27" s="25">
        <f>IF($CU27&gt;=RAM,"",IF($CU27-DE$103&lt;BeginnAlter,"",ROUND(v^($CU27+FaktorAlter)*$L27*$D27*0.5*(VLOOKUP($CU27-DE$103,Frauen!$G$9:$J$102,4)+VLOOKUP($CU27-DE$103+1,Frauen!$G$9:$J$102,4))*0.5*(VLOOKUP($CU27-DE$103,Frauen!$AZ$9:$BD$102,5)+VLOOKUP($CU27-DE$103+1,Frauen!$AZ$9:$BD$102,5)),RundDx)))</f>
        <v>3587473571</v>
      </c>
      <c r="DF27" s="25">
        <f>IF($CU27&gt;=RAM,"",IF($CU27-DF$103&lt;BeginnAlter,"",ROUND(v^($CU27+FaktorAlter)*$L27*$D27*0.5*(VLOOKUP($CU27-DF$103,Frauen!$G$9:$J$102,4)+VLOOKUP($CU27-DF$103+1,Frauen!$G$9:$J$102,4))*0.5*(VLOOKUP($CU27-DF$103,Frauen!$AZ$9:$BD$102,5)+VLOOKUP($CU27-DF$103+1,Frauen!$AZ$9:$BD$102,5)),RundDx)))</f>
        <v>3640856649</v>
      </c>
      <c r="DG27" s="25">
        <f>IF($CU27&gt;=RAM,"",IF($CU27-DG$103&lt;BeginnAlter,"",ROUND(v^($CU27+FaktorAlter)*$L27*$D27*0.5*(VLOOKUP($CU27-DG$103,Frauen!$G$9:$J$102,4)+VLOOKUP($CU27-DG$103+1,Frauen!$G$9:$J$102,4))*0.5*(VLOOKUP($CU27-DG$103,Frauen!$AZ$9:$BD$102,5)+VLOOKUP($CU27-DG$103+1,Frauen!$AZ$9:$BD$102,5)),RundDx)))</f>
        <v>3693059384</v>
      </c>
      <c r="DH27" s="25">
        <f>IF($CU27&gt;=RAM,"",IF($CU27-DH$103&lt;BeginnAlter,"",ROUND(v^($CU27+FaktorAlter)*$L27*$D27*0.5*(VLOOKUP($CU27-DH$103,Frauen!$G$9:$J$102,4)+VLOOKUP($CU27-DH$103+1,Frauen!$G$9:$J$102,4))*0.5*(VLOOKUP($CU27-DH$103,Frauen!$AZ$9:$BD$102,5)+VLOOKUP($CU27-DH$103+1,Frauen!$AZ$9:$BD$102,5)),RundDx)))</f>
        <v>3744102780</v>
      </c>
      <c r="DI27" s="25">
        <f>IF($CU27&gt;=RAM,"",IF($CU27-DI$103&lt;BeginnAlter,"",ROUND(v^($CU27+FaktorAlter)*$L27*$D27*0.5*(VLOOKUP($CU27-DI$103,Frauen!$G$9:$J$102,4)+VLOOKUP($CU27-DI$103+1,Frauen!$G$9:$J$102,4))*0.5*(VLOOKUP($CU27-DI$103,Frauen!$AZ$9:$BD$102,5)+VLOOKUP($CU27-DI$103+1,Frauen!$AZ$9:$BD$102,5)),RundDx)))</f>
        <v>3794077143</v>
      </c>
      <c r="DJ27" s="25">
        <f>IF($CU27&gt;=RAM,"",IF($CU27-DJ$103&lt;BeginnAlter,"",ROUND(v^($CU27+FaktorAlter)*$L27*$D27*0.5*(VLOOKUP($CU27-DJ$103,Frauen!$G$9:$J$102,4)+VLOOKUP($CU27-DJ$103+1,Frauen!$G$9:$J$102,4))*0.5*(VLOOKUP($CU27-DJ$103,Frauen!$AZ$9:$BD$102,5)+VLOOKUP($CU27-DJ$103+1,Frauen!$AZ$9:$BD$102,5)),RundDx)))</f>
        <v>3843075322</v>
      </c>
      <c r="DK27" s="25">
        <f>IF($CU27&gt;=RAM,"",IF($CU27-DK$103&lt;BeginnAlter,"",ROUND(v^($CU27+FaktorAlter)*$L27*$D27*0.5*(VLOOKUP($CU27-DK$103,Frauen!$G$9:$J$102,4)+VLOOKUP($CU27-DK$103+1,Frauen!$G$9:$J$102,4))*0.5*(VLOOKUP($CU27-DK$103,Frauen!$AZ$9:$BD$102,5)+VLOOKUP($CU27-DK$103+1,Frauen!$AZ$9:$BD$102,5)),RundDx)))</f>
        <v>3891125585</v>
      </c>
      <c r="DL27" s="25">
        <f>IF($CU27&gt;=RAM,"",IF($CU27-DL$103&lt;BeginnAlter,"",ROUND(v^($CU27+FaktorAlter)*$L27*$D27*0.5*(VLOOKUP($CU27-DL$103,Frauen!$G$9:$J$102,4)+VLOOKUP($CU27-DL$103+1,Frauen!$G$9:$J$102,4))*0.5*(VLOOKUP($CU27-DL$103,Frauen!$AZ$9:$BD$102,5)+VLOOKUP($CU27-DL$103+1,Frauen!$AZ$9:$BD$102,5)),RundDx)))</f>
        <v>3938191282</v>
      </c>
      <c r="DM27" s="25">
        <f>IF($CU27&gt;=RAM,"",IF($CU27-DM$103&lt;BeginnAlter,"",ROUND(v^($CU27+FaktorAlter)*$L27*$D27*0.5*(VLOOKUP($CU27-DM$103,Frauen!$G$9:$J$102,4)+VLOOKUP($CU27-DM$103+1,Frauen!$G$9:$J$102,4))*0.5*(VLOOKUP($CU27-DM$103,Frauen!$AZ$9:$BD$102,5)+VLOOKUP($CU27-DM$103+1,Frauen!$AZ$9:$BD$102,5)),RundDx)))</f>
        <v>3984284651</v>
      </c>
      <c r="DN27" s="25">
        <f>IF($CU27&gt;=RAM,"",IF($CU27-DN$103&lt;BeginnAlter,"",ROUND(v^($CU27+FaktorAlter)*$L27*$D27*0.5*(VLOOKUP($CU27-DN$103,Frauen!$G$9:$J$102,4)+VLOOKUP($CU27-DN$103+1,Frauen!$G$9:$J$102,4))*0.5*(VLOOKUP($CU27-DN$103,Frauen!$AZ$9:$BD$102,5)+VLOOKUP($CU27-DN$103+1,Frauen!$AZ$9:$BD$102,5)),RundDx)))</f>
        <v>4029419025</v>
      </c>
      <c r="DO27" s="25">
        <f>IF($CU27&gt;=RAM,"",IF($CU27-DO$103&lt;BeginnAlter,"",ROUND(v^($CU27+FaktorAlter)*$L27*$D27*0.5*(VLOOKUP($CU27-DO$103,Frauen!$G$9:$J$102,4)+VLOOKUP($CU27-DO$103+1,Frauen!$G$9:$J$102,4))*0.5*(VLOOKUP($CU27-DO$103,Frauen!$AZ$9:$BD$102,5)+VLOOKUP($CU27-DO$103+1,Frauen!$AZ$9:$BD$102,5)),RundDx)))</f>
        <v>4073675938</v>
      </c>
      <c r="DP27" s="25">
        <f>IF($CU27&gt;=RAM,"",IF($CU27-DP$103&lt;BeginnAlter,"",ROUND(v^($CU27+FaktorAlter)*$L27*$D27*0.5*(VLOOKUP($CU27-DP$103,Frauen!$G$9:$J$102,4)+VLOOKUP($CU27-DP$103+1,Frauen!$G$9:$J$102,4))*0.5*(VLOOKUP($CU27-DP$103,Frauen!$AZ$9:$BD$102,5)+VLOOKUP($CU27-DP$103+1,Frauen!$AZ$9:$BD$102,5)),RundDx)))</f>
        <v>4117070896</v>
      </c>
      <c r="DQ27" s="25">
        <f>IF($CU27&gt;=RAM,"",IF($CU27-DQ$103&lt;BeginnAlter,"",ROUND(v^($CU27+FaktorAlter)*$L27*$D27*0.5*(VLOOKUP($CU27-DQ$103,Frauen!$G$9:$J$102,4)+VLOOKUP($CU27-DQ$103+1,Frauen!$G$9:$J$102,4))*0.5*(VLOOKUP($CU27-DQ$103,Frauen!$AZ$9:$BD$102,5)+VLOOKUP($CU27-DQ$103+1,Frauen!$AZ$9:$BD$102,5)),RundDx)))</f>
        <v>4159553137</v>
      </c>
      <c r="DR27" s="25">
        <f>IF($CU27&gt;=RAM,"",IF($CU27-DR$103&lt;BeginnAlter,"",ROUND(v^($CU27+FaktorAlter)*$L27*$D27*0.5*(VLOOKUP($CU27-DR$103,Frauen!$G$9:$J$102,4)+VLOOKUP($CU27-DR$103+1,Frauen!$G$9:$J$102,4))*0.5*(VLOOKUP($CU27-DR$103,Frauen!$AZ$9:$BD$102,5)+VLOOKUP($CU27-DR$103+1,Frauen!$AZ$9:$BD$102,5)),RundDx)))</f>
        <v>4201118865</v>
      </c>
      <c r="DS27" s="25">
        <f>IF($CU27&gt;=RAM,"",IF($CU27-DS$103&lt;BeginnAlter,"",ROUND(v^($CU27+FaktorAlter)*$L27*$D27*0.5*(VLOOKUP($CU27-DS$103,Frauen!$G$9:$J$102,4)+VLOOKUP($CU27-DS$103+1,Frauen!$G$9:$J$102,4))*0.5*(VLOOKUP($CU27-DS$103,Frauen!$AZ$9:$BD$102,5)+VLOOKUP($CU27-DS$103+1,Frauen!$AZ$9:$BD$102,5)),RundDx)))</f>
        <v>4241810409</v>
      </c>
      <c r="DT27" s="25">
        <f>IF($CU27&gt;=RAM,"",IF($CU27-DT$103&lt;BeginnAlter,"",ROUND(v^($CU27+FaktorAlter)*$L27*$D27*0.5*(VLOOKUP($CU27-DT$103,Frauen!$G$9:$J$102,4)+VLOOKUP($CU27-DT$103+1,Frauen!$G$9:$J$102,4))*0.5*(VLOOKUP($CU27-DT$103,Frauen!$AZ$9:$BD$102,5)+VLOOKUP($CU27-DT$103+1,Frauen!$AZ$9:$BD$102,5)),RundDx)))</f>
        <v>4281736884</v>
      </c>
      <c r="DU27" s="25">
        <f>IF($CU27&gt;=RAM,"",IF($CU27-DU$103&lt;BeginnAlter,"",ROUND(v^($CU27+FaktorAlter)*$L27*$D27*0.5*(VLOOKUP($CU27-DU$103,Frauen!$G$9:$J$102,4)+VLOOKUP($CU27-DU$103+1,Frauen!$G$9:$J$102,4))*0.5*(VLOOKUP($CU27-DU$103,Frauen!$AZ$9:$BD$102,5)+VLOOKUP($CU27-DU$103+1,Frauen!$AZ$9:$BD$102,5)),RundDx)))</f>
        <v>4320804972</v>
      </c>
      <c r="DV27" s="25">
        <f>IF($CU27&gt;=RAM,"",IF($CU27-DV$103&lt;BeginnAlter,"",ROUND(v^($CU27+FaktorAlter)*$L27*$D27*0.5*(VLOOKUP($CU27-DV$103,Frauen!$G$9:$J$102,4)+VLOOKUP($CU27-DV$103+1,Frauen!$G$9:$J$102,4))*0.5*(VLOOKUP($CU27-DV$103,Frauen!$AZ$9:$BD$102,5)+VLOOKUP($CU27-DV$103+1,Frauen!$AZ$9:$BD$102,5)),RundDx)))</f>
        <v>4359055378</v>
      </c>
      <c r="DW27" s="25">
        <f>IF($CU27&gt;=RAM,"",IF($CU27-DW$103&lt;BeginnAlter,"",ROUND(v^($CU27+FaktorAlter)*$L27*$D27*0.5*(VLOOKUP($CU27-DW$103,Frauen!$G$9:$J$102,4)+VLOOKUP($CU27-DW$103+1,Frauen!$G$9:$J$102,4))*0.5*(VLOOKUP($CU27-DW$103,Frauen!$AZ$9:$BD$102,5)+VLOOKUP($CU27-DW$103+1,Frauen!$AZ$9:$BD$102,5)),RundDx)))</f>
        <v>4396550341</v>
      </c>
      <c r="DX27" s="25">
        <f>IF($CU27&gt;=RAM,"",IF($CU27-DX$103&lt;BeginnAlter,"",ROUND(v^($CU27+FaktorAlter)*$L27*$D27*0.5*(VLOOKUP($CU27-DX$103,Frauen!$G$9:$J$102,4)+VLOOKUP($CU27-DX$103+1,Frauen!$G$9:$J$102,4))*0.5*(VLOOKUP($CU27-DX$103,Frauen!$AZ$9:$BD$102,5)+VLOOKUP($CU27-DX$103+1,Frauen!$AZ$9:$BD$102,5)),RundDx)))</f>
        <v>4433262745</v>
      </c>
      <c r="DY27" s="25">
        <f>IF($CU27&gt;=RAM,"",IF($CU27-DY$103&lt;BeginnAlter,"",ROUND(v^($CU27+FaktorAlter)*$L27*$D27*0.5*(VLOOKUP($CU27-DY$103,Frauen!$G$9:$J$102,4)+VLOOKUP($CU27-DY$103+1,Frauen!$G$9:$J$102,4))*0.5*(VLOOKUP($CU27-DY$103,Frauen!$AZ$9:$BD$102,5)+VLOOKUP($CU27-DY$103+1,Frauen!$AZ$9:$BD$102,5)),RundDx)))</f>
        <v>4469232346</v>
      </c>
      <c r="DZ27" s="25">
        <f>IF($CU27&gt;=RAM,"",IF($CU27-DZ$103&lt;BeginnAlter,"",ROUND(v^($CU27+FaktorAlter)*$L27*$D27*0.5*(VLOOKUP($CU27-DZ$103,Frauen!$G$9:$J$102,4)+VLOOKUP($CU27-DZ$103+1,Frauen!$G$9:$J$102,4))*0.5*(VLOOKUP($CU27-DZ$103,Frauen!$AZ$9:$BD$102,5)+VLOOKUP($CU27-DZ$103+1,Frauen!$AZ$9:$BD$102,5)),RundDx)))</f>
        <v>4504386083</v>
      </c>
      <c r="EA27" s="43">
        <f>IF($CU27&gt;=RAM,"",IF($CU27-EA$103&lt;BeginnAlter,"",ROUND((SUM(CV27:CV$56)+SUM(FN$9:FN$56))/VLOOKUP($CU27,$AH$9:$AI$102,2)/VLOOKUP($CU27-EA$103,Frauen!$G$9:$J$102,4),Rundäx)))</f>
        <v>5.931</v>
      </c>
      <c r="EB27" s="43">
        <f>IF($CU27&gt;=RAM,"",IF($CU27-EB$103&lt;BeginnAlter,"",ROUND((SUM(CW27:CW$56)+SUM(FO$9:FO$56))/VLOOKUP($CU27,$AH$9:$AI$102,2)/VLOOKUP($CU27-EB$103,Frauen!$G$9:$J$102,4),Rundäx)))</f>
        <v>6.149</v>
      </c>
      <c r="EC27" s="43">
        <f>IF($CU27&gt;=RAM,"",IF($CU27-EC$103&lt;BeginnAlter,"",ROUND((SUM(CX27:CX$56)+SUM(FP$9:FP$56))/VLOOKUP($CU27,$AH$9:$AI$102,2)/VLOOKUP($CU27-EC$103,Frauen!$G$9:$J$102,4),Rundäx)))</f>
        <v>6.37</v>
      </c>
      <c r="ED27" s="43">
        <f>IF($CU27&gt;=RAM,"",IF($CU27-ED$103&lt;BeginnAlter,"",ROUND((SUM(CY27:CY$56)+SUM(FQ$9:FQ$56))/VLOOKUP($CU27,$AH$9:$AI$102,2)/VLOOKUP($CU27-ED$103,Frauen!$G$9:$J$102,4),Rundäx)))</f>
        <v>6.5919999999999996</v>
      </c>
      <c r="EE27" s="43">
        <f>IF($CU27&gt;=RAM,"",IF($CU27-EE$103&lt;BeginnAlter,"",ROUND((SUM(CZ27:CZ$56)+SUM(FR$9:FR$56))/VLOOKUP($CU27,$AH$9:$AI$102,2)/VLOOKUP($CU27-EE$103,Frauen!$G$9:$J$102,4),Rundäx)))</f>
        <v>6.8170000000000002</v>
      </c>
      <c r="EF27" s="43">
        <f>IF($CU27&gt;=RAM,"",IF($CU27-EF$103&lt;BeginnAlter,"",ROUND((SUM(DA27:DA$56)+SUM(FS$9:FS$56))/VLOOKUP($CU27,$AH$9:$AI$102,2)/VLOOKUP($CU27-EF$103,Frauen!$G$9:$J$102,4),Rundäx)))</f>
        <v>7.0439999999999996</v>
      </c>
      <c r="EG27" s="43">
        <f>IF($CU27&gt;=RAM,"",IF($CU27-EG$103&lt;BeginnAlter,"",ROUND((SUM(DB27:DB$56)+SUM(FT$9:FT$56))/VLOOKUP($CU27,$AH$9:$AI$102,2)/VLOOKUP($CU27-EG$103,Frauen!$G$9:$J$102,4),Rundäx)))</f>
        <v>7.2729999999999997</v>
      </c>
      <c r="EH27" s="43">
        <f>IF($CU27&gt;=RAM,"",IF($CU27-EH$103&lt;BeginnAlter,"",ROUND((SUM(DC27:DC$56)+SUM(FU$9:FU$56))/VLOOKUP($CU27,$AH$9:$AI$102,2)/VLOOKUP($CU27-EH$103,Frauen!$G$9:$J$102,4),Rundäx)))</f>
        <v>7.5039999999999996</v>
      </c>
      <c r="EI27" s="86"/>
      <c r="EJ27" s="35">
        <f t="shared" si="60"/>
        <v>35</v>
      </c>
      <c r="EK27" s="43">
        <f>IF($CU27&gt;=RAM,"",IF($CU27-EK$103&lt;BeginnAlter,"",ROUND((SUM(DD27:DD$56)+SUM(FV$9:FV$56))/VLOOKUP($CU27,$AH$9:$AI$102,2)/VLOOKUP($CU27-EK$103,Frauen!$G$9:$J$102,4),Rundäx)))</f>
        <v>7.7370000000000001</v>
      </c>
      <c r="EL27" s="43">
        <f>IF($CU27&gt;=RAM,"",IF($CU27-EL$103&lt;BeginnAlter,"",ROUND((SUM(DE27:DE$56)+SUM(FW$9:FW$56))/VLOOKUP($CU27,$AH$9:$AI$102,2)/VLOOKUP($CU27-EL$103,Frauen!$G$9:$J$102,4),Rundäx)))</f>
        <v>7.9710000000000001</v>
      </c>
      <c r="EM27" s="43">
        <f>IF($CU27&gt;=RAM,"",IF($CU27-EM$103&lt;BeginnAlter,"",ROUND((SUM(DF27:DF$56)+SUM(FX$9:FX$56))/VLOOKUP($CU27,$AH$9:$AI$102,2)/VLOOKUP($CU27-EM$103,Frauen!$G$9:$J$102,4),Rundäx)))</f>
        <v>8.2070000000000007</v>
      </c>
      <c r="EN27" s="43">
        <f>IF($CU27&gt;=RAM,"",IF($CU27-EN$103&lt;BeginnAlter,"",ROUND((SUM(DG27:DG$56)+SUM(FY$9:FY$56))/VLOOKUP($CU27,$AH$9:$AI$102,2)/VLOOKUP($CU27-EN$103,Frauen!$G$9:$J$102,4),Rundäx)))</f>
        <v>8.4450000000000003</v>
      </c>
      <c r="EO27" s="43">
        <f>IF($CU27&gt;=RAM,"",IF($CU27-EO$103&lt;BeginnAlter,"",ROUND((SUM(DH27:DH$56)+SUM(FZ$9:FZ$56))/VLOOKUP($CU27,$AH$9:$AI$102,2)/VLOOKUP($CU27-EO$103,Frauen!$G$9:$J$102,4),Rundäx)))</f>
        <v>8.6839999999999993</v>
      </c>
      <c r="EP27" s="43">
        <f>IF($CU27&gt;=RAM,"",IF($CU27-EP$103&lt;BeginnAlter,"",ROUND((SUM(DI27:DI$56)+SUM(GA$9:GA$56))/VLOOKUP($CU27,$AH$9:$AI$102,2)/VLOOKUP($CU27-EP$103,Frauen!$G$9:$J$102,4),Rundäx)))</f>
        <v>8.9239999999999995</v>
      </c>
      <c r="EQ27" s="43">
        <f>IF($CU27&gt;=RAM,"",IF($CU27-EQ$103&lt;BeginnAlter,"",ROUND((SUM(DJ27:DJ$56)+SUM(GB$9:GB$56))/VLOOKUP($CU27,$AH$9:$AI$102,2)/VLOOKUP($CU27-EQ$103,Frauen!$G$9:$J$102,4),Rundäx)))</f>
        <v>9.1649999999999991</v>
      </c>
      <c r="ER27" s="43">
        <f>IF($CU27&gt;=RAM,"",IF($CU27-ER$103&lt;BeginnAlter,"",ROUND((SUM(DK27:DK$56)+SUM(GC$9:GC$56))/VLOOKUP($CU27,$AH$9:$AI$102,2)/VLOOKUP($CU27-ER$103,Frauen!$G$9:$J$102,4),Rundäx)))</f>
        <v>9.407</v>
      </c>
      <c r="ES27" s="86"/>
      <c r="ET27" s="35">
        <f t="shared" si="61"/>
        <v>35</v>
      </c>
      <c r="EU27" s="43">
        <f>IF($CU27&gt;=RAM,"",IF($CU27-EU$103&lt;BeginnAlter,"",ROUND((SUM(DL27:DL$56)+SUM(GD$9:GD$56))/VLOOKUP($CU27,$AH$9:$AI$102,2)/VLOOKUP($CU27-EU$103,Frauen!$G$9:$J$102,4),Rundäx)))</f>
        <v>9.65</v>
      </c>
      <c r="EV27" s="43">
        <f>IF($CU27&gt;=RAM,"",IF($CU27-EV$103&lt;BeginnAlter,"",ROUND((SUM(DM27:DM$56)+SUM(GE$9:GE$56))/VLOOKUP($CU27,$AH$9:$AI$102,2)/VLOOKUP($CU27-EV$103,Frauen!$G$9:$J$102,4),Rundäx)))</f>
        <v>9.8919999999999995</v>
      </c>
      <c r="EW27" s="43">
        <f>IF($CU27&gt;=RAM,"",IF($CU27-EW$103&lt;BeginnAlter,"",ROUND((SUM(DN27:DN$56)+SUM(GF$9:GF$56))/VLOOKUP($CU27,$AH$9:$AI$102,2)/VLOOKUP($CU27-EW$103,Frauen!$G$9:$J$102,4),Rundäx)))</f>
        <v>10.135</v>
      </c>
      <c r="EX27" s="43">
        <f>IF($CU27&gt;=RAM,"",IF($CU27-EX$103&lt;BeginnAlter,"",ROUND((SUM(DO27:DO$56)+SUM(GG$9:GG$56))/VLOOKUP($CU27,$AH$9:$AI$102,2)/VLOOKUP($CU27-EX$103,Frauen!$G$9:$J$102,4),Rundäx)))</f>
        <v>10.377000000000001</v>
      </c>
      <c r="EY27" s="43">
        <f>IF($CU27&gt;=RAM,"",IF($CU27-EY$103&lt;BeginnAlter,"",ROUND((SUM(DP27:DP$56)+SUM(GH$9:GH$56))/VLOOKUP($CU27,$AH$9:$AI$102,2)/VLOOKUP($CU27-EY$103,Frauen!$G$9:$J$102,4),Rundäx)))</f>
        <v>10.618</v>
      </c>
      <c r="EZ27" s="43">
        <f>IF($CU27&gt;=RAM,"",IF($CU27-EZ$103&lt;BeginnAlter,"",ROUND((SUM(DQ27:DQ$56)+SUM(GI$9:GI$56))/VLOOKUP($CU27,$AH$9:$AI$102,2)/VLOOKUP($CU27-EZ$103,Frauen!$G$9:$J$102,4),Rundäx)))</f>
        <v>10.859</v>
      </c>
      <c r="FA27" s="43">
        <f>IF($CU27&gt;=RAM,"",IF($CU27-FA$103&lt;BeginnAlter,"",ROUND((SUM(DR27:DR$56)+SUM(GJ$9:GJ$56))/VLOOKUP($CU27,$AH$9:$AI$102,2)/VLOOKUP($CU27-FA$103,Frauen!$G$9:$J$102,4),Rundäx)))</f>
        <v>11.099</v>
      </c>
      <c r="FB27" s="43">
        <f>IF($CU27&gt;=RAM,"",IF($CU27-FB$103&lt;BeginnAlter,"",ROUND((SUM(DS27:DS$56)+SUM(GK$9:GK$56))/VLOOKUP($CU27,$AH$9:$AI$102,2)/VLOOKUP($CU27-FB$103,Frauen!$G$9:$J$102,4),Rundäx)))</f>
        <v>11.337</v>
      </c>
      <c r="FC27" s="86"/>
      <c r="FD27" s="35">
        <f t="shared" si="62"/>
        <v>35</v>
      </c>
      <c r="FE27" s="43">
        <f>IF($CU27&gt;=RAM,"",IF($CU27-FE$103&lt;BeginnAlter,"",ROUND((SUM(DT27:DT$56)+SUM(GL$9:GL$56))/VLOOKUP($CU27,$AH$9:$AI$102,2)/VLOOKUP($CU27-FE$103,Frauen!$G$9:$J$102,4),Rundäx)))</f>
        <v>11.573</v>
      </c>
      <c r="FF27" s="43">
        <f>IF($CU27&gt;=RAM,"",IF($CU27-FF$103&lt;BeginnAlter,"",ROUND((SUM(DU27:DU$56)+SUM(GM$9:GM$56))/VLOOKUP($CU27,$AH$9:$AI$102,2)/VLOOKUP($CU27-FF$103,Frauen!$G$9:$J$102,4),Rundäx)))</f>
        <v>11.808999999999999</v>
      </c>
      <c r="FG27" s="43">
        <f>IF($CU27&gt;=RAM,"",IF($CU27-FG$103&lt;BeginnAlter,"",ROUND((SUM(DV27:DV$56)+SUM(GN$9:GN$56))/VLOOKUP($CU27,$AH$9:$AI$102,2)/VLOOKUP($CU27-FG$103,Frauen!$G$9:$J$102,4),Rundäx)))</f>
        <v>12.042</v>
      </c>
      <c r="FH27" s="43">
        <f>IF($CU27&gt;=RAM,"",IF($CU27-FH$103&lt;BeginnAlter,"",ROUND((SUM(DW27:DW$56)+SUM(GO$9:GO$56))/VLOOKUP($CU27,$AH$9:$AI$102,2)/VLOOKUP($CU27-FH$103,Frauen!$G$9:$J$102,4),Rundäx)))</f>
        <v>12.273</v>
      </c>
      <c r="FI27" s="43">
        <f>IF($CU27&gt;=RAM,"",IF($CU27-FI$103&lt;BeginnAlter,"",ROUND((SUM(DX27:DX$56)+SUM(GP$9:GP$56))/VLOOKUP($CU27,$AH$9:$AI$102,2)/VLOOKUP($CU27-FI$103,Frauen!$G$9:$J$102,4),Rundäx)))</f>
        <v>12.503</v>
      </c>
      <c r="FJ27" s="43">
        <f>IF($CU27&gt;=RAM,"",IF($CU27-FJ$103&lt;BeginnAlter,"",ROUND((SUM(DY27:DY$56)+SUM(GQ$9:GQ$56))/VLOOKUP($CU27,$AH$9:$AI$102,2)/VLOOKUP($CU27-FJ$103,Frauen!$G$9:$J$102,4),Rundäx)))</f>
        <v>12.73</v>
      </c>
      <c r="FK27" s="43">
        <f>IF($CU27&gt;=RAM,"",IF($CU27-FK$103&lt;BeginnAlter,"",ROUND((SUM(DZ27:DZ$56)+SUM(GR$9:GR$56))/VLOOKUP($CU27,$AH$9:$AI$102,2)/VLOOKUP($CU27-FK$103,Frauen!$G$9:$J$102,4),Rundäx)))</f>
        <v>12.955</v>
      </c>
      <c r="FL27" s="86"/>
      <c r="FM27" s="35">
        <f t="shared" si="68"/>
        <v>83</v>
      </c>
      <c r="FN27" s="25">
        <f>ROUND(v^($FM27+FaktorAlter)*VLOOKUP($FM27,$G$9:$J$102,4)*VLOOKUP($FM27,$A$9:$E$102,5)*0.5*(VLOOKUP($FM27-FN$103,Frauen!$G$9:$J$102,4)+VLOOKUP($FM27-FN$103+1,Frauen!$G$9:$J$102,4))*0.5*(VLOOKUP($FM27-FN$103,Frauen!$AZ$9:$BD$102,5)+VLOOKUP($FM27-FN$103+1,Frauen!$AZ$9:$BD$102,5)),RundDx)</f>
        <v>2991676</v>
      </c>
      <c r="FO27" s="25">
        <f>ROUND(v^($FM27+FaktorAlter)*VLOOKUP($FM27,$G$9:$J$102,4)*VLOOKUP($FM27,$A$9:$E$102,5)*0.5*(VLOOKUP($FM27-FO$103,Frauen!$G$9:$J$102,4)+VLOOKUP($FM27-FO$103+1,Frauen!$G$9:$J$102,4))*0.5*(VLOOKUP($FM27-FO$103,Frauen!$AZ$9:$BD$102,5)+VLOOKUP($FM27-FO$103+1,Frauen!$AZ$9:$BD$102,5)),RundDx)</f>
        <v>4983318</v>
      </c>
      <c r="FP27" s="25">
        <f>ROUND(v^($FM27+FaktorAlter)*VLOOKUP($FM27,$G$9:$J$102,4)*VLOOKUP($FM27,$A$9:$E$102,5)*0.5*(VLOOKUP($FM27-FP$103,Frauen!$G$9:$J$102,4)+VLOOKUP($FM27-FP$103+1,Frauen!$G$9:$J$102,4))*0.5*(VLOOKUP($FM27-FP$103,Frauen!$AZ$9:$BD$102,5)+VLOOKUP($FM27-FP$103+1,Frauen!$AZ$9:$BD$102,5)),RundDx)</f>
        <v>7876404</v>
      </c>
      <c r="FQ27" s="25">
        <f>ROUND(v^($FM27+FaktorAlter)*VLOOKUP($FM27,$G$9:$J$102,4)*VLOOKUP($FM27,$A$9:$E$102,5)*0.5*(VLOOKUP($FM27-FQ$103,Frauen!$G$9:$J$102,4)+VLOOKUP($FM27-FQ$103+1,Frauen!$G$9:$J$102,4))*0.5*(VLOOKUP($FM27-FQ$103,Frauen!$AZ$9:$BD$102,5)+VLOOKUP($FM27-FQ$103+1,Frauen!$AZ$9:$BD$102,5)),RundDx)</f>
        <v>11925584</v>
      </c>
      <c r="FR27" s="25">
        <f>ROUND(v^($FM27+FaktorAlter)*VLOOKUP($FM27,$G$9:$J$102,4)*VLOOKUP($FM27,$A$9:$E$102,5)*0.5*(VLOOKUP($FM27-FR$103,Frauen!$G$9:$J$102,4)+VLOOKUP($FM27-FR$103+1,Frauen!$G$9:$J$102,4))*0.5*(VLOOKUP($FM27-FR$103,Frauen!$AZ$9:$BD$102,5)+VLOOKUP($FM27-FR$103+1,Frauen!$AZ$9:$BD$102,5)),RundDx)</f>
        <v>17405184</v>
      </c>
      <c r="FS27" s="25">
        <f>ROUND(v^($FM27+FaktorAlter)*VLOOKUP($FM27,$G$9:$J$102,4)*VLOOKUP($FM27,$A$9:$E$102,5)*0.5*(VLOOKUP($FM27-FS$103,Frauen!$G$9:$J$102,4)+VLOOKUP($FM27-FS$103+1,Frauen!$G$9:$J$102,4))*0.5*(VLOOKUP($FM27-FS$103,Frauen!$AZ$9:$BD$102,5)+VLOOKUP($FM27-FS$103+1,Frauen!$AZ$9:$BD$102,5)),RundDx)</f>
        <v>24593455</v>
      </c>
      <c r="FT27" s="25">
        <f>ROUND(v^($FM27+FaktorAlter)*VLOOKUP($FM27,$G$9:$J$102,4)*VLOOKUP($FM27,$A$9:$E$102,5)*0.5*(VLOOKUP($FM27-FT$103,Frauen!$G$9:$J$102,4)+VLOOKUP($FM27-FT$103+1,Frauen!$G$9:$J$102,4))*0.5*(VLOOKUP($FM27-FT$103,Frauen!$AZ$9:$BD$102,5)+VLOOKUP($FM27-FT$103+1,Frauen!$AZ$9:$BD$102,5)),RundDx)</f>
        <v>33803021</v>
      </c>
      <c r="FU27" s="25">
        <f>ROUND(v^($FM27+FaktorAlter)*VLOOKUP($FM27,$G$9:$J$102,4)*VLOOKUP($FM27,$A$9:$E$102,5)*0.5*(VLOOKUP($FM27-FU$103,Frauen!$G$9:$J$102,4)+VLOOKUP($FM27-FU$103+1,Frauen!$G$9:$J$102,4))*0.5*(VLOOKUP($FM27-FU$103,Frauen!$AZ$9:$BD$102,5)+VLOOKUP($FM27-FU$103+1,Frauen!$AZ$9:$BD$102,5)),RundDx)</f>
        <v>45221861</v>
      </c>
      <c r="FV27" s="25">
        <f>ROUND(v^($FM27+FaktorAlter)*VLOOKUP($FM27,$G$9:$J$102,4)*VLOOKUP($FM27,$A$9:$E$102,5)*0.5*(VLOOKUP($FM27-FV$103,Frauen!$G$9:$J$102,4)+VLOOKUP($FM27-FV$103+1,Frauen!$G$9:$J$102,4))*0.5*(VLOOKUP($FM27-FV$103,Frauen!$AZ$9:$BD$102,5)+VLOOKUP($FM27-FV$103+1,Frauen!$AZ$9:$BD$102,5)),RundDx)</f>
        <v>58872244</v>
      </c>
      <c r="FW27" s="25">
        <f>ROUND(v^($FM27+FaktorAlter)*VLOOKUP($FM27,$G$9:$J$102,4)*VLOOKUP($FM27,$A$9:$E$102,5)*0.5*(VLOOKUP($FM27-FW$103,Frauen!$G$9:$J$102,4)+VLOOKUP($FM27-FW$103+1,Frauen!$G$9:$J$102,4))*0.5*(VLOOKUP($FM27-FW$103,Frauen!$AZ$9:$BD$102,5)+VLOOKUP($FM27-FW$103+1,Frauen!$AZ$9:$BD$102,5)),RundDx)</f>
        <v>74871265</v>
      </c>
      <c r="FX27" s="25">
        <f>ROUND(v^($FM27+FaktorAlter)*VLOOKUP($FM27,$G$9:$J$102,4)*VLOOKUP($FM27,$A$9:$E$102,5)*0.5*(VLOOKUP($FM27-FX$103,Frauen!$G$9:$J$102,4)+VLOOKUP($FM27-FX$103+1,Frauen!$G$9:$J$102,4))*0.5*(VLOOKUP($FM27-FX$103,Frauen!$AZ$9:$BD$102,5)+VLOOKUP($FM27-FX$103+1,Frauen!$AZ$9:$BD$102,5)),RundDx)</f>
        <v>93239450</v>
      </c>
      <c r="FY27" s="25">
        <f>ROUND(v^($FM27+FaktorAlter)*VLOOKUP($FM27,$G$9:$J$102,4)*VLOOKUP($FM27,$A$9:$E$102,5)*0.5*(VLOOKUP($FM27-FY$103,Frauen!$G$9:$J$102,4)+VLOOKUP($FM27-FY$103+1,Frauen!$G$9:$J$102,4))*0.5*(VLOOKUP($FM27-FY$103,Frauen!$AZ$9:$BD$102,5)+VLOOKUP($FM27-FY$103+1,Frauen!$AZ$9:$BD$102,5)),RundDx)</f>
        <v>113920090</v>
      </c>
      <c r="FZ27" s="25">
        <f>ROUND(v^($FM27+FaktorAlter)*VLOOKUP($FM27,$G$9:$J$102,4)*VLOOKUP($FM27,$A$9:$E$102,5)*0.5*(VLOOKUP($FM27-FZ$103,Frauen!$G$9:$J$102,4)+VLOOKUP($FM27-FZ$103+1,Frauen!$G$9:$J$102,4))*0.5*(VLOOKUP($FM27-FZ$103,Frauen!$AZ$9:$BD$102,5)+VLOOKUP($FM27-FZ$103+1,Frauen!$AZ$9:$BD$102,5)),RundDx)</f>
        <v>136807934</v>
      </c>
      <c r="GA27" s="25">
        <f>ROUND(v^($FM27+FaktorAlter)*VLOOKUP($FM27,$G$9:$J$102,4)*VLOOKUP($FM27,$A$9:$E$102,5)*0.5*(VLOOKUP($FM27-GA$103,Frauen!$G$9:$J$102,4)+VLOOKUP($FM27-GA$103+1,Frauen!$G$9:$J$102,4))*0.5*(VLOOKUP($FM27-GA$103,Frauen!$AZ$9:$BD$102,5)+VLOOKUP($FM27-GA$103+1,Frauen!$AZ$9:$BD$102,5)),RundDx)</f>
        <v>161683352</v>
      </c>
      <c r="GB27" s="25">
        <f>ROUND(v^($FM27+FaktorAlter)*VLOOKUP($FM27,$G$9:$J$102,4)*VLOOKUP($FM27,$A$9:$E$102,5)*0.5*(VLOOKUP($FM27-GB$103,Frauen!$G$9:$J$102,4)+VLOOKUP($FM27-GB$103+1,Frauen!$G$9:$J$102,4))*0.5*(VLOOKUP($FM27-GB$103,Frauen!$AZ$9:$BD$102,5)+VLOOKUP($FM27-GB$103+1,Frauen!$AZ$9:$BD$102,5)),RundDx)</f>
        <v>188282729</v>
      </c>
      <c r="GC27" s="25">
        <f>ROUND(v^($FM27+FaktorAlter)*VLOOKUP($FM27,$G$9:$J$102,4)*VLOOKUP($FM27,$A$9:$E$102,5)*0.5*(VLOOKUP($FM27-GC$103,Frauen!$G$9:$J$102,4)+VLOOKUP($FM27-GC$103+1,Frauen!$G$9:$J$102,4))*0.5*(VLOOKUP($FM27-GC$103,Frauen!$AZ$9:$BD$102,5)+VLOOKUP($FM27-GC$103+1,Frauen!$AZ$9:$BD$102,5)),RundDx)</f>
        <v>216345274</v>
      </c>
      <c r="GD27" s="25">
        <f>ROUND(v^($FM27+FaktorAlter)*VLOOKUP($FM27,$G$9:$J$102,4)*VLOOKUP($FM27,$A$9:$E$102,5)*0.5*(VLOOKUP($FM27-GD$103,Frauen!$G$9:$J$102,4)+VLOOKUP($FM27-GD$103+1,Frauen!$G$9:$J$102,4))*0.5*(VLOOKUP($FM27-GD$103,Frauen!$AZ$9:$BD$102,5)+VLOOKUP($FM27-GD$103+1,Frauen!$AZ$9:$BD$102,5)),RundDx)</f>
        <v>245562289</v>
      </c>
      <c r="GE27" s="25">
        <f>ROUND(v^($FM27+FaktorAlter)*VLOOKUP($FM27,$G$9:$J$102,4)*VLOOKUP($FM27,$A$9:$E$102,5)*0.5*(VLOOKUP($FM27-GE$103,Frauen!$G$9:$J$102,4)+VLOOKUP($FM27-GE$103+1,Frauen!$G$9:$J$102,4))*0.5*(VLOOKUP($FM27-GE$103,Frauen!$AZ$9:$BD$102,5)+VLOOKUP($FM27-GE$103+1,Frauen!$AZ$9:$BD$102,5)),RundDx)</f>
        <v>275642159</v>
      </c>
      <c r="GF27" s="25">
        <f>ROUND(v^($FM27+FaktorAlter)*VLOOKUP($FM27,$G$9:$J$102,4)*VLOOKUP($FM27,$A$9:$E$102,5)*0.5*(VLOOKUP($FM27-GF$103,Frauen!$G$9:$J$102,4)+VLOOKUP($FM27-GF$103+1,Frauen!$G$9:$J$102,4))*0.5*(VLOOKUP($FM27-GF$103,Frauen!$AZ$9:$BD$102,5)+VLOOKUP($FM27-GF$103+1,Frauen!$AZ$9:$BD$102,5)),RundDx)</f>
        <v>306386193</v>
      </c>
      <c r="GG27" s="25">
        <f>ROUND(v^($FM27+FaktorAlter)*VLOOKUP($FM27,$G$9:$J$102,4)*VLOOKUP($FM27,$A$9:$E$102,5)*0.5*(VLOOKUP($FM27-GG$103,Frauen!$G$9:$J$102,4)+VLOOKUP($FM27-GG$103+1,Frauen!$G$9:$J$102,4))*0.5*(VLOOKUP($FM27-GG$103,Frauen!$AZ$9:$BD$102,5)+VLOOKUP($FM27-GG$103+1,Frauen!$AZ$9:$BD$102,5)),RundDx)</f>
        <v>337696891</v>
      </c>
      <c r="GH27" s="25">
        <f>ROUND(v^($FM27+FaktorAlter)*VLOOKUP($FM27,$G$9:$J$102,4)*VLOOKUP($FM27,$A$9:$E$102,5)*0.5*(VLOOKUP($FM27-GH$103,Frauen!$G$9:$J$102,4)+VLOOKUP($FM27-GH$103+1,Frauen!$G$9:$J$102,4))*0.5*(VLOOKUP($FM27-GH$103,Frauen!$AZ$9:$BD$102,5)+VLOOKUP($FM27-GH$103+1,Frauen!$AZ$9:$BD$102,5)),RundDx)</f>
        <v>369441473</v>
      </c>
      <c r="GI27" s="25">
        <f>ROUND(v^($FM27+FaktorAlter)*VLOOKUP($FM27,$G$9:$J$102,4)*VLOOKUP($FM27,$A$9:$E$102,5)*0.5*(VLOOKUP($FM27-GI$103,Frauen!$G$9:$J$102,4)+VLOOKUP($FM27-GI$103+1,Frauen!$G$9:$J$102,4))*0.5*(VLOOKUP($FM27-GI$103,Frauen!$AZ$9:$BD$102,5)+VLOOKUP($FM27-GI$103+1,Frauen!$AZ$9:$BD$102,5)),RundDx)</f>
        <v>401593877</v>
      </c>
      <c r="GJ27" s="25">
        <f>ROUND(v^($FM27+FaktorAlter)*VLOOKUP($FM27,$G$9:$J$102,4)*VLOOKUP($FM27,$A$9:$E$102,5)*0.5*(VLOOKUP($FM27-GJ$103,Frauen!$G$9:$J$102,4)+VLOOKUP($FM27-GJ$103+1,Frauen!$G$9:$J$102,4))*0.5*(VLOOKUP($FM27-GJ$103,Frauen!$AZ$9:$BD$102,5)+VLOOKUP($FM27-GJ$103+1,Frauen!$AZ$9:$BD$102,5)),RundDx)</f>
        <v>434232582</v>
      </c>
      <c r="GK27" s="25">
        <f>ROUND(v^($FM27+FaktorAlter)*VLOOKUP($FM27,$G$9:$J$102,4)*VLOOKUP($FM27,$A$9:$E$102,5)*0.5*(VLOOKUP($FM27-GK$103,Frauen!$G$9:$J$102,4)+VLOOKUP($FM27-GK$103+1,Frauen!$G$9:$J$102,4))*0.5*(VLOOKUP($FM27-GK$103,Frauen!$AZ$9:$BD$102,5)+VLOOKUP($FM27-GK$103+1,Frauen!$AZ$9:$BD$102,5)),RundDx)</f>
        <v>467389366</v>
      </c>
      <c r="GL27" s="25">
        <f>ROUND(v^($FM27+FaktorAlter)*VLOOKUP($FM27,$G$9:$J$102,4)*VLOOKUP($FM27,$A$9:$E$102,5)*0.5*(VLOOKUP($FM27-GL$103,Frauen!$G$9:$J$102,4)+VLOOKUP($FM27-GL$103+1,Frauen!$G$9:$J$102,4))*0.5*(VLOOKUP($FM27-GL$103,Frauen!$AZ$9:$BD$102,5)+VLOOKUP($FM27-GL$103+1,Frauen!$AZ$9:$BD$102,5)),RundDx)</f>
        <v>501166793</v>
      </c>
      <c r="GM27" s="25">
        <f>ROUND(v^($FM27+FaktorAlter)*VLOOKUP($FM27,$G$9:$J$102,4)*VLOOKUP($FM27,$A$9:$E$102,5)*0.5*(VLOOKUP($FM27-GM$103,Frauen!$G$9:$J$102,4)+VLOOKUP($FM27-GM$103+1,Frauen!$G$9:$J$102,4))*0.5*(VLOOKUP($FM27-GM$103,Frauen!$AZ$9:$BD$102,5)+VLOOKUP($FM27-GM$103+1,Frauen!$AZ$9:$BD$102,5)),RundDx)</f>
        <v>535583854</v>
      </c>
      <c r="GN27" s="25">
        <f>ROUND(v^($FM27+FaktorAlter)*VLOOKUP($FM27,$G$9:$J$102,4)*VLOOKUP($FM27,$A$9:$E$102,5)*0.5*(VLOOKUP($FM27-GN$103,Frauen!$G$9:$J$102,4)+VLOOKUP($FM27-GN$103+1,Frauen!$G$9:$J$102,4))*0.5*(VLOOKUP($FM27-GN$103,Frauen!$AZ$9:$BD$102,5)+VLOOKUP($FM27-GN$103+1,Frauen!$AZ$9:$BD$102,5)),RundDx)</f>
        <v>570561426</v>
      </c>
      <c r="GO27" s="25">
        <f>ROUND(v^($FM27+FaktorAlter)*VLOOKUP($FM27,$G$9:$J$102,4)*VLOOKUP($FM27,$A$9:$E$102,5)*0.5*(VLOOKUP($FM27-GO$103,Frauen!$G$9:$J$102,4)+VLOOKUP($FM27-GO$103+1,Frauen!$G$9:$J$102,4))*0.5*(VLOOKUP($FM27-GO$103,Frauen!$AZ$9:$BD$102,5)+VLOOKUP($FM27-GO$103+1,Frauen!$AZ$9:$BD$102,5)),RundDx)</f>
        <v>605946615</v>
      </c>
      <c r="GP27" s="25">
        <f>ROUND(v^($FM27+FaktorAlter)*VLOOKUP($FM27,$G$9:$J$102,4)*VLOOKUP($FM27,$A$9:$E$102,5)*0.5*(VLOOKUP($FM27-GP$103,Frauen!$G$9:$J$102,4)+VLOOKUP($FM27-GP$103+1,Frauen!$G$9:$J$102,4))*0.5*(VLOOKUP($FM27-GP$103,Frauen!$AZ$9:$BD$102,5)+VLOOKUP($FM27-GP$103+1,Frauen!$AZ$9:$BD$102,5)),RundDx)</f>
        <v>641485389</v>
      </c>
      <c r="GQ27" s="25">
        <f>ROUND(v^($FM27+FaktorAlter)*VLOOKUP($FM27,$G$9:$J$102,4)*VLOOKUP($FM27,$A$9:$E$102,5)*0.5*(VLOOKUP($FM27-GQ$103,Frauen!$G$9:$J$102,4)+VLOOKUP($FM27-GQ$103+1,Frauen!$G$9:$J$102,4))*0.5*(VLOOKUP($FM27-GQ$103,Frauen!$AZ$9:$BD$102,5)+VLOOKUP($FM27-GQ$103+1,Frauen!$AZ$9:$BD$102,5)),RundDx)</f>
        <v>677078788</v>
      </c>
      <c r="GR27" s="25">
        <f>ROUND(v^($FM27+FaktorAlter)*VLOOKUP($FM27,$G$9:$J$102,4)*VLOOKUP($FM27,$A$9:$E$102,5)*0.5*(VLOOKUP($FM27-GR$103,Frauen!$G$9:$J$102,4)+VLOOKUP($FM27-GR$103+1,Frauen!$G$9:$J$102,4))*0.5*(VLOOKUP($FM27-GR$103,Frauen!$AZ$9:$BD$102,5)+VLOOKUP($FM27-GR$103+1,Frauen!$AZ$9:$BD$102,5)),RundDx)</f>
        <v>712661369</v>
      </c>
      <c r="GS27" s="24">
        <f>ROUND(SUM(FN27:FN$56)/VLOOKUP($FM27,$AQ$9:$AR$102,2)/VLOOKUP($FM27-GS$103,Frauen!$G$9:$J$102,4),Rundäx)</f>
        <v>0.23699999999999999</v>
      </c>
      <c r="GT27" s="24">
        <f>ROUND(SUM(FO27:FO$56)/VLOOKUP($FM27,$AQ$9:$AR$102,2)/VLOOKUP($FM27-GT$103,Frauen!$G$9:$J$102,4),Rundäx)</f>
        <v>0.29399999999999998</v>
      </c>
      <c r="GU27" s="24">
        <f>ROUND(SUM(FP27:FP$56)/VLOOKUP($FM27,$AQ$9:$AR$102,2)/VLOOKUP($FM27-GU$103,Frauen!$G$9:$J$102,4),Rundäx)</f>
        <v>0.36</v>
      </c>
      <c r="GV27" s="24">
        <f>ROUND(SUM(FQ27:FQ$56)/VLOOKUP($FM27,$AQ$9:$AR$102,2)/VLOOKUP($FM27-GV$103,Frauen!$G$9:$J$102,4),Rundäx)</f>
        <v>0.437</v>
      </c>
      <c r="GW27" s="24">
        <f>ROUND(SUM(FR27:FR$56)/VLOOKUP($FM27,$AQ$9:$AR$102,2)/VLOOKUP($FM27-GW$103,Frauen!$G$9:$J$102,4),Rundäx)</f>
        <v>0.52400000000000002</v>
      </c>
      <c r="GX27" s="24">
        <f>ROUND(SUM(FS27:FS$56)/VLOOKUP($FM27,$AQ$9:$AR$102,2)/VLOOKUP($FM27-GX$103,Frauen!$G$9:$J$102,4),Rundäx)</f>
        <v>0.624</v>
      </c>
      <c r="GY27" s="24">
        <f>ROUND(SUM(FT27:FT$56)/VLOOKUP($FM27,$AQ$9:$AR$102,2)/VLOOKUP($FM27-GY$103,Frauen!$G$9:$J$102,4),Rundäx)</f>
        <v>0.73799999999999999</v>
      </c>
      <c r="GZ27" s="24">
        <f>ROUND(SUM(FU27:FU$56)/VLOOKUP($FM27,$AQ$9:$AR$102,2)/VLOOKUP($FM27-GZ$103,Frauen!$G$9:$J$102,4),Rundäx)</f>
        <v>0.86699999999999999</v>
      </c>
      <c r="HA27" s="86"/>
      <c r="HB27" s="35">
        <f t="shared" si="63"/>
        <v>83</v>
      </c>
      <c r="HC27" s="24">
        <f>ROUND(SUM(FV27:FV$56)/VLOOKUP($FM27,$AQ$9:$AR$102,2)/VLOOKUP($FM27-HC$103,Frauen!$G$9:$J$102,4),Rundäx)</f>
        <v>1.0129999999999999</v>
      </c>
      <c r="HD27" s="24">
        <f>ROUND(SUM(FW27:FW$56)/VLOOKUP($FM27,$AQ$9:$AR$102,2)/VLOOKUP($FM27-HD$103,Frauen!$G$9:$J$102,4),Rundäx)</f>
        <v>1.177</v>
      </c>
      <c r="HE27" s="24">
        <f>ROUND(SUM(FX27:FX$56)/VLOOKUP($FM27,$AQ$9:$AR$102,2)/VLOOKUP($FM27-HE$103,Frauen!$G$9:$J$102,4),Rundäx)</f>
        <v>1.361</v>
      </c>
      <c r="HF27" s="24">
        <f>ROUND(SUM(FY27:FY$56)/VLOOKUP($FM27,$AQ$9:$AR$102,2)/VLOOKUP($FM27-HF$103,Frauen!$G$9:$J$102,4),Rundäx)</f>
        <v>1.5660000000000001</v>
      </c>
      <c r="HG27" s="24">
        <f>ROUND(SUM(FZ27:FZ$56)/VLOOKUP($FM27,$AQ$9:$AR$102,2)/VLOOKUP($FM27-HG$103,Frauen!$G$9:$J$102,4),Rundäx)</f>
        <v>1.7949999999999999</v>
      </c>
      <c r="HH27" s="24">
        <f>ROUND(SUM(GA27:GA$56)/VLOOKUP($FM27,$AQ$9:$AR$102,2)/VLOOKUP($FM27-HH$103,Frauen!$G$9:$J$102,4),Rundäx)</f>
        <v>2.0489999999999999</v>
      </c>
      <c r="HI27" s="24">
        <f>ROUND(SUM(GB27:GB$56)/VLOOKUP($FM27,$AQ$9:$AR$102,2)/VLOOKUP($FM27-HI$103,Frauen!$G$9:$J$102,4),Rundäx)</f>
        <v>2.33</v>
      </c>
      <c r="HJ27" s="24">
        <f>ROUND(SUM(GC27:GC$56)/VLOOKUP($FM27,$AQ$9:$AR$102,2)/VLOOKUP($FM27-HJ$103,Frauen!$G$9:$J$102,4),Rundäx)</f>
        <v>2.6389999999999998</v>
      </c>
      <c r="HK27" s="86"/>
      <c r="HL27" s="35">
        <f t="shared" si="64"/>
        <v>83</v>
      </c>
      <c r="HM27" s="24">
        <f>ROUND(SUM(GD27:GD$56)/VLOOKUP($FM27,$AQ$9:$AR$102,2)/VLOOKUP($FM27-HM$103,Frauen!$G$9:$J$102,4),Rundäx)</f>
        <v>2.9769999999999999</v>
      </c>
      <c r="HN27" s="24">
        <f>ROUND(SUM(GE27:GE$56)/VLOOKUP($FM27,$AQ$9:$AR$102,2)/VLOOKUP($FM27-HN$103,Frauen!$G$9:$J$102,4),Rundäx)</f>
        <v>3.3420000000000001</v>
      </c>
      <c r="HO27" s="24">
        <f>ROUND(SUM(GF27:GF$56)/VLOOKUP($FM27,$AQ$9:$AR$102,2)/VLOOKUP($FM27-HO$103,Frauen!$G$9:$J$102,4),Rundäx)</f>
        <v>3.7330000000000001</v>
      </c>
      <c r="HP27" s="24">
        <f>ROUND(SUM(GG27:GG$56)/VLOOKUP($FM27,$AQ$9:$AR$102,2)/VLOOKUP($FM27-HP$103,Frauen!$G$9:$J$102,4),Rundäx)</f>
        <v>4.1479999999999997</v>
      </c>
      <c r="HQ27" s="24">
        <f>ROUND(SUM(GH27:GH$56)/VLOOKUP($FM27,$AQ$9:$AR$102,2)/VLOOKUP($FM27-HQ$103,Frauen!$G$9:$J$102,4),Rundäx)</f>
        <v>4.585</v>
      </c>
      <c r="HR27" s="24">
        <f>ROUND(SUM(GI27:GI$56)/VLOOKUP($FM27,$AQ$9:$AR$102,2)/VLOOKUP($FM27-HR$103,Frauen!$G$9:$J$102,4),Rundäx)</f>
        <v>5.0380000000000003</v>
      </c>
      <c r="HS27" s="24">
        <f>ROUND(SUM(GJ27:GJ$56)/VLOOKUP($FM27,$AQ$9:$AR$102,2)/VLOOKUP($FM27-HS$103,Frauen!$G$9:$J$102,4),Rundäx)</f>
        <v>5.5039999999999996</v>
      </c>
      <c r="HT27" s="24">
        <f>ROUND(SUM(GK27:GK$56)/VLOOKUP($FM27,$AQ$9:$AR$102,2)/VLOOKUP($FM27-HT$103,Frauen!$G$9:$J$102,4),Rundäx)</f>
        <v>5.9770000000000003</v>
      </c>
      <c r="HU27" s="86"/>
      <c r="HV27" s="35">
        <f t="shared" si="65"/>
        <v>83</v>
      </c>
      <c r="HW27" s="24">
        <f>ROUND(SUM(GL27:GL$56)/VLOOKUP($FM27,$AQ$9:$AR$102,2)/VLOOKUP($FM27-HW$103,Frauen!$G$9:$J$102,4),Rundäx)</f>
        <v>6.4560000000000004</v>
      </c>
      <c r="HX27" s="24">
        <f>ROUND(SUM(GM27:GM$56)/VLOOKUP($FM27,$AQ$9:$AR$102,2)/VLOOKUP($FM27-HX$103,Frauen!$G$9:$J$102,4),Rundäx)</f>
        <v>6.9349999999999996</v>
      </c>
      <c r="HY27" s="24">
        <f>ROUND(SUM(GN27:GN$56)/VLOOKUP($FM27,$AQ$9:$AR$102,2)/VLOOKUP($FM27-HY$103,Frauen!$G$9:$J$102,4),Rundäx)</f>
        <v>7.415</v>
      </c>
      <c r="HZ27" s="24">
        <f>ROUND(SUM(GO27:GO$56)/VLOOKUP($FM27,$AQ$9:$AR$102,2)/VLOOKUP($FM27-HZ$103,Frauen!$G$9:$J$102,4),Rundäx)</f>
        <v>7.8959999999999999</v>
      </c>
      <c r="IA27" s="24">
        <f>ROUND(SUM(GP27:GP$56)/VLOOKUP($FM27,$AQ$9:$AR$102,2)/VLOOKUP($FM27-IA$103,Frauen!$G$9:$J$102,4),Rundäx)</f>
        <v>8.3780000000000001</v>
      </c>
      <c r="IB27" s="24">
        <f>ROUND(SUM(GQ27:GQ$56)/VLOOKUP($FM27,$AQ$9:$AR$102,2)/VLOOKUP($FM27-IB$103,Frauen!$G$9:$J$102,4),Rundäx)</f>
        <v>8.859</v>
      </c>
      <c r="IC27" s="24">
        <f>ROUND(SUM(GR27:GR$56)/VLOOKUP($FM27,$AQ$9:$AR$102,2)/VLOOKUP($FM27-IC$103,Frauen!$G$9:$J$102,4),Rundäx)</f>
        <v>9.34</v>
      </c>
      <c r="ID27" s="89"/>
      <c r="IE27" s="35">
        <f t="shared" si="66"/>
        <v>35</v>
      </c>
      <c r="IF27" s="25">
        <f t="shared" si="31"/>
        <v>839</v>
      </c>
      <c r="IG27" s="25">
        <f>IF($IE27&lt;RAM,IF(S28&lt;=RAK,ROUND(SUM(IF27:INDEX(Dakx,RAM-BeginnAlter))+INDEX(Dax,RAM-BeginnAlter+1)*INDEX(äkx,1),RundDx),0),"")</f>
        <v>13018</v>
      </c>
      <c r="IH27" s="25">
        <f>IF($IE27&lt;RAM,IF(S28&lt;=RAK,ROUND(SUM(IG27:INDEX(Nakx,RAM-BeginnAlter))+INDEX(Dax,RAM-BeginnAlter+1)*INDEX(äkx,1),RundDx),0),"")</f>
        <v>121056</v>
      </c>
      <c r="II27" s="24">
        <f t="shared" si="32"/>
        <v>0.28999999999999998</v>
      </c>
      <c r="IJ27" s="25">
        <f t="shared" si="33"/>
        <v>26920</v>
      </c>
      <c r="IK27" s="25">
        <f>IF($IE27&lt;RAM,IF(S28&lt;=RAK,SUM(IJ27:INDEX(Dikx,RAM-BeginnAlter))+INDEX(Dix,RAM-BeginnAlter+1)*INDEX(äkx,1),0),"")</f>
        <v>255317.83199999999</v>
      </c>
      <c r="IL27" s="24">
        <f t="shared" si="34"/>
        <v>3.4079999999999999</v>
      </c>
      <c r="IM27" s="86"/>
      <c r="IN27" s="35">
        <f t="shared" si="67"/>
        <v>83</v>
      </c>
      <c r="IO27" s="25">
        <f>IF(AND(VLOOKUP(IN27+1,O$9:S$102,5)&lt;=RAK,VLOOKUP(IN27+1,O$9:S$102,5)&lt;&gt;""),ROUND(v^($IN27+FaktorAlter)*VLOOKUP(IN27,G$9:J$102,4)*VLOOKUP(IN27,A$9:E$102,5)*0.5*(VLOOKUP(IN27,O$9:R$102,4)+VLOOKUP(IN27+1,O$9:R$102,4))*(VLOOKUP(TRUNC(0.5*(VLOOKUP(IN27,O$9:S$102,5)+VLOOKUP(IN27+1,O$9:S$102,5)),0),$BF$9:$BH$36,3)+(0.5*(VLOOKUP(IN27,O$9:S$102,5)+VLOOKUP(IN27+1,O$9:S$102,5))-TRUNC(0.5*(VLOOKUP(IN27,O$9:S$102,5)+VLOOKUP(IN27+1,O$9:S$102,5)),0))*(VLOOKUP(TRUNC(0.5*(VLOOKUP(IN27,O$9:S$102,5)+VLOOKUP(IN27+1,O$9:S$102,5))+1,0),$BF$9:$BH$36,3)-VLOOKUP(TRUNC(0.5*(VLOOKUP(IN27,O$9:S$102,5)+VLOOKUP(IN27+1,O$9:S$102,5)),0),$BF$9:$BH$36,3))),RundDx),0)</f>
        <v>0</v>
      </c>
      <c r="IP27" s="25">
        <f>IF(AND(VLOOKUP(IN27+1,O$9:S$102,5)&lt;=RAK,VLOOKUP(IN27+1,O$9:S$102,5)&lt;&gt;""),SUM(IO27:IO$102),0)</f>
        <v>0</v>
      </c>
      <c r="IQ27" s="24">
        <f>IF(VLOOKUP(IN27+1,O$9:S$102,5)&lt;=RAK,ROUND(IP27/INDEX(Dx,$IN27-BeginnAlter+1),Rundäx),0)</f>
        <v>0</v>
      </c>
      <c r="IR27" s="86"/>
    </row>
    <row r="28" spans="1:252" ht="15.75" customHeight="1" x14ac:dyDescent="0.25">
      <c r="A28" s="35">
        <f t="shared" si="41"/>
        <v>36</v>
      </c>
      <c r="B28" s="77">
        <v>8.1370680840480228E-4</v>
      </c>
      <c r="C28" s="77">
        <v>1.2788389973355362E-3</v>
      </c>
      <c r="D28" s="77">
        <v>1.8556193011932128E-2</v>
      </c>
      <c r="E28" s="77">
        <v>1.0223396394480888E-3</v>
      </c>
      <c r="F28" s="86"/>
      <c r="G28" s="35">
        <f t="shared" si="42"/>
        <v>36</v>
      </c>
      <c r="H28" s="25">
        <f t="shared" si="37"/>
        <v>97744</v>
      </c>
      <c r="I28" s="25">
        <f t="shared" si="38"/>
        <v>1049</v>
      </c>
      <c r="J28" s="25">
        <f t="shared" si="39"/>
        <v>98793</v>
      </c>
      <c r="K28" s="30">
        <f>IF(J28&gt;0,ROUND(SUM(J28:J$102)/J28-0.5,Rundex),"")</f>
        <v>43.44</v>
      </c>
      <c r="L28" s="25">
        <f t="shared" si="0"/>
        <v>160247</v>
      </c>
      <c r="M28" s="30">
        <f>IF(L28&gt;0,ROUND(SUM(L28:L$102)/L28-0.5,Rundex),"")</f>
        <v>31.48</v>
      </c>
      <c r="N28" s="86"/>
      <c r="O28" s="35">
        <f t="shared" si="43"/>
        <v>36</v>
      </c>
      <c r="P28" s="43">
        <v>0.53941079242130763</v>
      </c>
      <c r="Q28" s="78">
        <v>35.273499752274468</v>
      </c>
      <c r="R28" s="43">
        <v>1.3681176308485639</v>
      </c>
      <c r="S28" s="78">
        <v>7.4451006274185705</v>
      </c>
      <c r="T28" s="15">
        <v>1.0137520998658722E-3</v>
      </c>
      <c r="U28" s="11">
        <f t="shared" si="40"/>
        <v>98791</v>
      </c>
      <c r="V28" s="30">
        <f>IF(U28&gt;0,ROUND(SUM(U28:U$102)/U28-0.5,Rundex),"")</f>
        <v>41.06</v>
      </c>
      <c r="W28" s="86"/>
      <c r="X28" s="35">
        <f t="shared" si="44"/>
        <v>36</v>
      </c>
      <c r="Y28" s="25">
        <f t="shared" si="1"/>
        <v>43874</v>
      </c>
      <c r="Z28" s="25">
        <f>IF($X28&lt;RAM,SUM(Y28:INDEX(Dax,RAM-BeginnAlter))," ")</f>
        <v>882064</v>
      </c>
      <c r="AA28" s="25">
        <f t="shared" si="2"/>
        <v>35</v>
      </c>
      <c r="AB28" s="25">
        <f>IF($X28&lt;RAM,SUM(AA28:INDEX(Cax,RAM-BeginnAlter))," ")</f>
        <v>2258</v>
      </c>
      <c r="AC28" s="25">
        <f t="shared" si="3"/>
        <v>55</v>
      </c>
      <c r="AD28" s="25">
        <f>IF($X28&lt;RAM,SUM(AC28:INDEX(Caix,RAM-BeginnAlter))," ")</f>
        <v>7529</v>
      </c>
      <c r="AE28" s="24">
        <f t="shared" si="4"/>
        <v>20.103999999999999</v>
      </c>
      <c r="AF28" s="24">
        <f t="shared" si="5"/>
        <v>19.8</v>
      </c>
      <c r="AG28" s="86"/>
      <c r="AH28" s="35">
        <f t="shared" si="45"/>
        <v>36</v>
      </c>
      <c r="AI28" s="25">
        <f t="shared" si="6"/>
        <v>71930</v>
      </c>
      <c r="AJ28" s="25">
        <f>IF($AH28&gt;RAM," ",IF($AH28&lt;RAM,SUM(AI28:INDEX(Dix,RAM-BeginnAlter))+INDEX(Nx,RAM-BeginnAlter+1),INDEX(Nx,RAM-BeginnAlter+1)))</f>
        <v>1523878</v>
      </c>
      <c r="AK28" s="25">
        <f>IF($AH28&lt;RAM,SUM(AI28:INDEX(Dix,RAM-BeginnAlter))," ")</f>
        <v>1226631</v>
      </c>
      <c r="AL28" s="24">
        <f t="shared" si="7"/>
        <v>21.186</v>
      </c>
      <c r="AM28" s="24">
        <f t="shared" si="8"/>
        <v>20.727</v>
      </c>
      <c r="AN28" s="24">
        <f t="shared" si="9"/>
        <v>17.053000000000001</v>
      </c>
      <c r="AO28" s="24">
        <f t="shared" si="10"/>
        <v>16.725000000000001</v>
      </c>
      <c r="AP28" s="86"/>
      <c r="AQ28" s="35">
        <f t="shared" si="46"/>
        <v>36</v>
      </c>
      <c r="AR28" s="25">
        <f t="shared" si="11"/>
        <v>44345</v>
      </c>
      <c r="AS28" s="25">
        <f>SUM(AR28:AR$94)</f>
        <v>1228503</v>
      </c>
      <c r="AT28" s="25">
        <f>IF($AQ28&lt;RAM,SUM(AR28:INDEX(Dx,RAM-BeginnAlter))," ")</f>
        <v>931256</v>
      </c>
      <c r="AU28" s="24">
        <f t="shared" si="12"/>
        <v>27.702999999999999</v>
      </c>
      <c r="AV28" s="24">
        <f t="shared" si="13"/>
        <v>27.245000000000001</v>
      </c>
      <c r="AW28" s="24">
        <f t="shared" si="14"/>
        <v>21</v>
      </c>
      <c r="AX28" s="24">
        <f t="shared" si="15"/>
        <v>20.754000000000001</v>
      </c>
      <c r="AY28" s="86"/>
      <c r="AZ28" s="35">
        <f t="shared" si="47"/>
        <v>36</v>
      </c>
      <c r="BA28" s="25">
        <f t="shared" si="16"/>
        <v>44344</v>
      </c>
      <c r="BB28" s="25">
        <f>SUM(BA28:BA$94)</f>
        <v>1186446</v>
      </c>
      <c r="BC28" s="24">
        <f t="shared" si="17"/>
        <v>26.756</v>
      </c>
      <c r="BD28" s="24">
        <f t="shared" si="18"/>
        <v>26.297000000000001</v>
      </c>
      <c r="BE28" s="86"/>
      <c r="BF28" s="35">
        <f t="shared" si="48"/>
        <v>19</v>
      </c>
      <c r="BG28" s="24">
        <f t="shared" si="19"/>
        <v>5.6790000000000003</v>
      </c>
      <c r="BH28" s="24">
        <f t="shared" si="20"/>
        <v>5.6219999999999999</v>
      </c>
      <c r="BI28" s="86"/>
      <c r="BJ28" s="35">
        <f t="shared" si="49"/>
        <v>36</v>
      </c>
      <c r="BK28" s="25">
        <f t="shared" si="21"/>
        <v>1146</v>
      </c>
      <c r="BL28" s="25">
        <f>IF(BJ28&lt;RAM,SUM(BK28:INDEX(Daix,RAM-BeginnAlter))," ")</f>
        <v>122280</v>
      </c>
      <c r="BM28" s="25">
        <f>IF(BJ28&lt;RAM,SUM(BL28:INDEX(Naix,RAM-BeginnAlter))," ")</f>
        <v>2592761</v>
      </c>
      <c r="BN28" s="24">
        <f t="shared" si="22"/>
        <v>4.7350000000000003</v>
      </c>
      <c r="BO28" s="24">
        <f t="shared" si="23"/>
        <v>2.7869999999999999</v>
      </c>
      <c r="BP28" s="86"/>
      <c r="BQ28" s="35">
        <f t="shared" si="50"/>
        <v>36</v>
      </c>
      <c r="BR28" s="25">
        <f t="shared" si="51"/>
        <v>919</v>
      </c>
      <c r="BS28" s="25">
        <f>IF(BQ28&lt;RAM,SUM(BR28:INDEX(Daixs,RAM-BeginnAlter))," ")</f>
        <v>44058</v>
      </c>
      <c r="BT28" s="25">
        <f>IF(BQ28&lt;RAM,SUM(BS28:INDEX(Naixs,RAM-BeginnAlter))," ")</f>
        <v>752238</v>
      </c>
      <c r="BU28" s="24">
        <f t="shared" si="52"/>
        <v>6.5179999999999998</v>
      </c>
      <c r="BV28" s="24">
        <f t="shared" si="53"/>
        <v>1.004</v>
      </c>
      <c r="BW28" s="86"/>
      <c r="BX28" s="35">
        <f t="shared" si="54"/>
        <v>36</v>
      </c>
      <c r="BY28" s="10">
        <f t="shared" si="24"/>
        <v>12.411214654782638</v>
      </c>
      <c r="BZ28" s="11">
        <f t="shared" si="25"/>
        <v>947</v>
      </c>
      <c r="CA28" s="25">
        <f>IF(S29&lt;=RAK,IF($BX28&lt;RAM,SUM(BZ28:INDEX(Dazx,RAM-BeginnAlter)),""),"")</f>
        <v>16260</v>
      </c>
      <c r="CB28" s="24">
        <f t="shared" si="26"/>
        <v>0.371</v>
      </c>
      <c r="CC28" s="25">
        <f t="shared" si="27"/>
        <v>28973</v>
      </c>
      <c r="CD28" s="24">
        <f t="shared" si="28"/>
        <v>19.718</v>
      </c>
      <c r="CE28" s="24">
        <f t="shared" si="29"/>
        <v>2.3E-2</v>
      </c>
      <c r="CF28" s="86"/>
      <c r="CG28" s="35">
        <f t="shared" si="55"/>
        <v>36</v>
      </c>
      <c r="CH28" s="25">
        <f>IF(CG28&lt;RAM,ROUND(v^($CG28+FaktorAlter)*$H28*($B28*0.5*($P28+$P29)*(VLOOKUP(TRUNC(0.5*($Q28+$Q29),0),Frauen!$AZ$9:$BD$95,5)+(0.5*($Q28+$Q29)-TRUNC(0.5*($Q28+$Q29),0))*(VLOOKUP(TRUNC(0.5*($Q28+$Q29)+1,0),Frauen!$AZ$9:$BD$95,5)-VLOOKUP(TRUNC(0.5*($Q28+$Q29),0),Frauen!$AZ$9:$BD$95,5)))+$C28*0.5*($CN28+$CN29)),RundDx),"")</f>
        <v>993</v>
      </c>
      <c r="CI28" s="25">
        <f>IF(CG28&lt;RAM,ROUND(SUM(CH28:INDEX(Dawx,RAM-BeginnAlter))+INDEX(Dax,RAM-BeginnAlter+1)*INDEX(äwx,1),RundDx),"")</f>
        <v>161793</v>
      </c>
      <c r="CJ28" s="25">
        <f>IF(CG28&lt;RAM,ROUND(SUM(CI28:INDEX(Nawx,RAM-BeginnAlter))+INDEX(Dax,RAM-BeginnAlter+1)*INDEX(äwx,1),RundDx),"")</f>
        <v>3995669</v>
      </c>
      <c r="CK28" s="24">
        <f t="shared" si="56"/>
        <v>3.6880000000000002</v>
      </c>
      <c r="CL28" s="25">
        <f>IF(CG28&lt;RAM,ROUND(v^($CG28+FaktorAlter)*$L28*$D28*0.5*($P28+$P29)*(VLOOKUP(TRUNC(0.5*($Q28+$Q29),0),Frauen!$AZ$9:$BD$95,5)+(0.5*($Q28+$Q29)-TRUNC(0.5*($Q28+$Q29),0))*(VLOOKUP(TRUNC(0.5*($Q28+$Q29)+1,0),Frauen!$AZ$9:$BD$95,5)-VLOOKUP(TRUNC(0.5*($Q28+$Q29),0),Frauen!$AZ$9:$BD$95,5))),RundDx),"")</f>
        <v>21256</v>
      </c>
      <c r="CM28" s="25">
        <f>IF(CG28&lt;RAM,SUM(CL28:INDEX(Diwx,RAM-BeginnAlter))+INDEX(Dix,RAM-BeginnAlter+1)*INDEX(äwx,1),"")</f>
        <v>550340.41399999999</v>
      </c>
      <c r="CN28" s="24">
        <f t="shared" si="57"/>
        <v>7.6509999999999998</v>
      </c>
      <c r="CO28" s="86"/>
      <c r="CP28" s="35">
        <f t="shared" si="58"/>
        <v>84</v>
      </c>
      <c r="CQ28" s="11">
        <f>ROUND(v^($CP28+FaktorAlter)*VLOOKUP(CP28,G$9:J$102,4)*VLOOKUP(CP28,A$9:E$102,5)*0.5*(VLOOKUP(CP28,O$9:P$102,2)+VLOOKUP(CP28+1,O$9:P$102,2))*(VLOOKUP(TRUNC(0.5*(VLOOKUP(CP28,O$9:Q$102,3)+VLOOKUP(CP28+1,O$9:Q$102,3)),0),Frauen!$AZ$9:$BD$95,5)+(0.5*(VLOOKUP(CP28,O$9:Q$102,3)+VLOOKUP(CP28+1,O$9:Q$102,3))-TRUNC(0.5*(VLOOKUP(CP28,O$9:Q$102,3)+VLOOKUP(CP28+1,O$9:Q$102,3)),0))*(VLOOKUP(TRUNC(0.5*(VLOOKUP(CP28,O$9:Q$102,3)+VLOOKUP(CP28+1,O$9:Q$102,3))+1,0),Frauen!$AZ$9:$BD$95,5)-VLOOKUP(TRUNC(0.5*(VLOOKUP(CP28,O$9:Q$102,3)+VLOOKUP(CP28+1,O$9:Q$102,3)),0),Frauen!$AZ$9:$BD$95,5))),RundDx)</f>
        <v>3400</v>
      </c>
      <c r="CR28" s="25">
        <f>SUM(CQ28:CQ$56)</f>
        <v>20309</v>
      </c>
      <c r="CS28" s="24">
        <f t="shared" si="30"/>
        <v>3.25</v>
      </c>
      <c r="CT28" s="86"/>
      <c r="CU28" s="35">
        <f t="shared" si="59"/>
        <v>36</v>
      </c>
      <c r="CV28" s="25">
        <f>IF($CU28&gt;=RAM,"",IF($CU28-CV$103&lt;BeginnAlter,"",ROUND(v^($CU28+FaktorAlter)*$L28*$D28*0.5*(VLOOKUP($CU28-CV$103,Frauen!$G$9:$J$102,4)+VLOOKUP($CU28-CV$103+1,Frauen!$G$9:$J$102,4))*0.5*(VLOOKUP($CU28-CV$103,Frauen!$AZ$9:$BD$102,5)+VLOOKUP($CU28-CV$103+1,Frauen!$AZ$9:$BD$102,5)),RundDx)))</f>
        <v>2918055170</v>
      </c>
      <c r="CW28" s="25">
        <f>IF($CU28&gt;=RAM,"",IF($CU28-CW$103&lt;BeginnAlter,"",ROUND(v^($CU28+FaktorAlter)*$L28*$D28*0.5*(VLOOKUP($CU28-CW$103,Frauen!$G$9:$J$102,4)+VLOOKUP($CU28-CW$103+1,Frauen!$G$9:$J$102,4))*0.5*(VLOOKUP($CU28-CW$103,Frauen!$AZ$9:$BD$102,5)+VLOOKUP($CU28-CW$103+1,Frauen!$AZ$9:$BD$102,5)),RundDx)))</f>
        <v>2983172426</v>
      </c>
      <c r="CX28" s="25">
        <f>IF($CU28&gt;=RAM,"",IF($CU28-CX$103&lt;BeginnAlter,"",ROUND(v^($CU28+FaktorAlter)*$L28*$D28*0.5*(VLOOKUP($CU28-CX$103,Frauen!$G$9:$J$102,4)+VLOOKUP($CU28-CX$103+1,Frauen!$G$9:$J$102,4))*0.5*(VLOOKUP($CU28-CX$103,Frauen!$AZ$9:$BD$102,5)+VLOOKUP($CU28-CX$103+1,Frauen!$AZ$9:$BD$102,5)),RundDx)))</f>
        <v>3046979927</v>
      </c>
      <c r="CY28" s="25">
        <f>IF($CU28&gt;=RAM,"",IF($CU28-CY$103&lt;BeginnAlter,"",ROUND(v^($CU28+FaktorAlter)*$L28*$D28*0.5*(VLOOKUP($CU28-CY$103,Frauen!$G$9:$J$102,4)+VLOOKUP($CU28-CY$103+1,Frauen!$G$9:$J$102,4))*0.5*(VLOOKUP($CU28-CY$103,Frauen!$AZ$9:$BD$102,5)+VLOOKUP($CU28-CY$103+1,Frauen!$AZ$9:$BD$102,5)),RundDx)))</f>
        <v>3109417340</v>
      </c>
      <c r="CZ28" s="25">
        <f>IF($CU28&gt;=RAM,"",IF($CU28-CZ$103&lt;BeginnAlter,"",ROUND(v^($CU28+FaktorAlter)*$L28*$D28*0.5*(VLOOKUP($CU28-CZ$103,Frauen!$G$9:$J$102,4)+VLOOKUP($CU28-CZ$103+1,Frauen!$G$9:$J$102,4))*0.5*(VLOOKUP($CU28-CZ$103,Frauen!$AZ$9:$BD$102,5)+VLOOKUP($CU28-CZ$103+1,Frauen!$AZ$9:$BD$102,5)),RundDx)))</f>
        <v>3170492958</v>
      </c>
      <c r="DA28" s="25">
        <f>IF($CU28&gt;=RAM,"",IF($CU28-DA$103&lt;BeginnAlter,"",ROUND(v^($CU28+FaktorAlter)*$L28*$D28*0.5*(VLOOKUP($CU28-DA$103,Frauen!$G$9:$J$102,4)+VLOOKUP($CU28-DA$103+1,Frauen!$G$9:$J$102,4))*0.5*(VLOOKUP($CU28-DA$103,Frauen!$AZ$9:$BD$102,5)+VLOOKUP($CU28-DA$103+1,Frauen!$AZ$9:$BD$102,5)),RundDx)))</f>
        <v>3230267808</v>
      </c>
      <c r="DB28" s="25">
        <f>IF($CU28&gt;=RAM,"",IF($CU28-DB$103&lt;BeginnAlter,"",ROUND(v^($CU28+FaktorAlter)*$L28*$D28*0.5*(VLOOKUP($CU28-DB$103,Frauen!$G$9:$J$102,4)+VLOOKUP($CU28-DB$103+1,Frauen!$G$9:$J$102,4))*0.5*(VLOOKUP($CU28-DB$103,Frauen!$AZ$9:$BD$102,5)+VLOOKUP($CU28-DB$103+1,Frauen!$AZ$9:$BD$102,5)),RundDx)))</f>
        <v>3288660292</v>
      </c>
      <c r="DC28" s="25">
        <f>IF($CU28&gt;=RAM,"",IF($CU28-DC$103&lt;BeginnAlter,"",ROUND(v^($CU28+FaktorAlter)*$L28*$D28*0.5*(VLOOKUP($CU28-DC$103,Frauen!$G$9:$J$102,4)+VLOOKUP($CU28-DC$103+1,Frauen!$G$9:$J$102,4))*0.5*(VLOOKUP($CU28-DC$103,Frauen!$AZ$9:$BD$102,5)+VLOOKUP($CU28-DC$103+1,Frauen!$AZ$9:$BD$102,5)),RundDx)))</f>
        <v>3345689391</v>
      </c>
      <c r="DD28" s="25">
        <f>IF($CU28&gt;=RAM,"",IF($CU28-DD$103&lt;BeginnAlter,"",ROUND(v^($CU28+FaktorAlter)*$L28*$D28*0.5*(VLOOKUP($CU28-DD$103,Frauen!$G$9:$J$102,4)+VLOOKUP($CU28-DD$103+1,Frauen!$G$9:$J$102,4))*0.5*(VLOOKUP($CU28-DD$103,Frauen!$AZ$9:$BD$102,5)+VLOOKUP($CU28-DD$103+1,Frauen!$AZ$9:$BD$102,5)),RundDx)))</f>
        <v>3401490983</v>
      </c>
      <c r="DE28" s="25">
        <f>IF($CU28&gt;=RAM,"",IF($CU28-DE$103&lt;BeginnAlter,"",ROUND(v^($CU28+FaktorAlter)*$L28*$D28*0.5*(VLOOKUP($CU28-DE$103,Frauen!$G$9:$J$102,4)+VLOOKUP($CU28-DE$103+1,Frauen!$G$9:$J$102,4))*0.5*(VLOOKUP($CU28-DE$103,Frauen!$AZ$9:$BD$102,5)+VLOOKUP($CU28-DE$103+1,Frauen!$AZ$9:$BD$102,5)),RundDx)))</f>
        <v>3456091930</v>
      </c>
      <c r="DF28" s="25">
        <f>IF($CU28&gt;=RAM,"",IF($CU28-DF$103&lt;BeginnAlter,"",ROUND(v^($CU28+FaktorAlter)*$L28*$D28*0.5*(VLOOKUP($CU28-DF$103,Frauen!$G$9:$J$102,4)+VLOOKUP($CU28-DF$103+1,Frauen!$G$9:$J$102,4))*0.5*(VLOOKUP($CU28-DF$103,Frauen!$AZ$9:$BD$102,5)+VLOOKUP($CU28-DF$103+1,Frauen!$AZ$9:$BD$102,5)),RundDx)))</f>
        <v>3509505093</v>
      </c>
      <c r="DG28" s="25">
        <f>IF($CU28&gt;=RAM,"",IF($CU28-DG$103&lt;BeginnAlter,"",ROUND(v^($CU28+FaktorAlter)*$L28*$D28*0.5*(VLOOKUP($CU28-DG$103,Frauen!$G$9:$J$102,4)+VLOOKUP($CU28-DG$103+1,Frauen!$G$9:$J$102,4))*0.5*(VLOOKUP($CU28-DG$103,Frauen!$AZ$9:$BD$102,5)+VLOOKUP($CU28-DG$103+1,Frauen!$AZ$9:$BD$102,5)),RundDx)))</f>
        <v>3561727967</v>
      </c>
      <c r="DH28" s="25">
        <f>IF($CU28&gt;=RAM,"",IF($CU28-DH$103&lt;BeginnAlter,"",ROUND(v^($CU28+FaktorAlter)*$L28*$D28*0.5*(VLOOKUP($CU28-DH$103,Frauen!$G$9:$J$102,4)+VLOOKUP($CU28-DH$103+1,Frauen!$G$9:$J$102,4))*0.5*(VLOOKUP($CU28-DH$103,Frauen!$AZ$9:$BD$102,5)+VLOOKUP($CU28-DH$103+1,Frauen!$AZ$9:$BD$102,5)),RundDx)))</f>
        <v>3612796153</v>
      </c>
      <c r="DI28" s="25">
        <f>IF($CU28&gt;=RAM,"",IF($CU28-DI$103&lt;BeginnAlter,"",ROUND(v^($CU28+FaktorAlter)*$L28*$D28*0.5*(VLOOKUP($CU28-DI$103,Frauen!$G$9:$J$102,4)+VLOOKUP($CU28-DI$103+1,Frauen!$G$9:$J$102,4))*0.5*(VLOOKUP($CU28-DI$103,Frauen!$AZ$9:$BD$102,5)+VLOOKUP($CU28-DI$103+1,Frauen!$AZ$9:$BD$102,5)),RundDx)))</f>
        <v>3662730195</v>
      </c>
      <c r="DJ28" s="25">
        <f>IF($CU28&gt;=RAM,"",IF($CU28-DJ$103&lt;BeginnAlter,"",ROUND(v^($CU28+FaktorAlter)*$L28*$D28*0.5*(VLOOKUP($CU28-DJ$103,Frauen!$G$9:$J$102,4)+VLOOKUP($CU28-DJ$103+1,Frauen!$G$9:$J$102,4))*0.5*(VLOOKUP($CU28-DJ$103,Frauen!$AZ$9:$BD$102,5)+VLOOKUP($CU28-DJ$103+1,Frauen!$AZ$9:$BD$102,5)),RundDx)))</f>
        <v>3711618439</v>
      </c>
      <c r="DK28" s="25">
        <f>IF($CU28&gt;=RAM,"",IF($CU28-DK$103&lt;BeginnAlter,"",ROUND(v^($CU28+FaktorAlter)*$L28*$D28*0.5*(VLOOKUP($CU28-DK$103,Frauen!$G$9:$J$102,4)+VLOOKUP($CU28-DK$103+1,Frauen!$G$9:$J$102,4))*0.5*(VLOOKUP($CU28-DK$103,Frauen!$AZ$9:$BD$102,5)+VLOOKUP($CU28-DK$103+1,Frauen!$AZ$9:$BD$102,5)),RundDx)))</f>
        <v>3759551714</v>
      </c>
      <c r="DL28" s="25">
        <f>IF($CU28&gt;=RAM,"",IF($CU28-DL$103&lt;BeginnAlter,"",ROUND(v^($CU28+FaktorAlter)*$L28*$D28*0.5*(VLOOKUP($CU28-DL$103,Frauen!$G$9:$J$102,4)+VLOOKUP($CU28-DL$103+1,Frauen!$G$9:$J$102,4))*0.5*(VLOOKUP($CU28-DL$103,Frauen!$AZ$9:$BD$102,5)+VLOOKUP($CU28-DL$103+1,Frauen!$AZ$9:$BD$102,5)),RundDx)))</f>
        <v>3806557675</v>
      </c>
      <c r="DM28" s="25">
        <f>IF($CU28&gt;=RAM,"",IF($CU28-DM$103&lt;BeginnAlter,"",ROUND(v^($CU28+FaktorAlter)*$L28*$D28*0.5*(VLOOKUP($CU28-DM$103,Frauen!$G$9:$J$102,4)+VLOOKUP($CU28-DM$103+1,Frauen!$G$9:$J$102,4))*0.5*(VLOOKUP($CU28-DM$103,Frauen!$AZ$9:$BD$102,5)+VLOOKUP($CU28-DM$103+1,Frauen!$AZ$9:$BD$102,5)),RundDx)))</f>
        <v>3852600469</v>
      </c>
      <c r="DN28" s="25">
        <f>IF($CU28&gt;=RAM,"",IF($CU28-DN$103&lt;BeginnAlter,"",ROUND(v^($CU28+FaktorAlter)*$L28*$D28*0.5*(VLOOKUP($CU28-DN$103,Frauen!$G$9:$J$102,4)+VLOOKUP($CU28-DN$103+1,Frauen!$G$9:$J$102,4))*0.5*(VLOOKUP($CU28-DN$103,Frauen!$AZ$9:$BD$102,5)+VLOOKUP($CU28-DN$103+1,Frauen!$AZ$9:$BD$102,5)),RundDx)))</f>
        <v>3897692066</v>
      </c>
      <c r="DO28" s="25">
        <f>IF($CU28&gt;=RAM,"",IF($CU28-DO$103&lt;BeginnAlter,"",ROUND(v^($CU28+FaktorAlter)*$L28*$D28*0.5*(VLOOKUP($CU28-DO$103,Frauen!$G$9:$J$102,4)+VLOOKUP($CU28-DO$103+1,Frauen!$G$9:$J$102,4))*0.5*(VLOOKUP($CU28-DO$103,Frauen!$AZ$9:$BD$102,5)+VLOOKUP($CU28-DO$103+1,Frauen!$AZ$9:$BD$102,5)),RundDx)))</f>
        <v>3941845510</v>
      </c>
      <c r="DP28" s="25">
        <f>IF($CU28&gt;=RAM,"",IF($CU28-DP$103&lt;BeginnAlter,"",ROUND(v^($CU28+FaktorAlter)*$L28*$D28*0.5*(VLOOKUP($CU28-DP$103,Frauen!$G$9:$J$102,4)+VLOOKUP($CU28-DP$103+1,Frauen!$G$9:$J$102,4))*0.5*(VLOOKUP($CU28-DP$103,Frauen!$AZ$9:$BD$102,5)+VLOOKUP($CU28-DP$103+1,Frauen!$AZ$9:$BD$102,5)),RundDx)))</f>
        <v>3985140564</v>
      </c>
      <c r="DQ28" s="25">
        <f>IF($CU28&gt;=RAM,"",IF($CU28-DQ$103&lt;BeginnAlter,"",ROUND(v^($CU28+FaktorAlter)*$L28*$D28*0.5*(VLOOKUP($CU28-DQ$103,Frauen!$G$9:$J$102,4)+VLOOKUP($CU28-DQ$103+1,Frauen!$G$9:$J$102,4))*0.5*(VLOOKUP($CU28-DQ$103,Frauen!$AZ$9:$BD$102,5)+VLOOKUP($CU28-DQ$103+1,Frauen!$AZ$9:$BD$102,5)),RundDx)))</f>
        <v>4027592396</v>
      </c>
      <c r="DR28" s="25">
        <f>IF($CU28&gt;=RAM,"",IF($CU28-DR$103&lt;BeginnAlter,"",ROUND(v^($CU28+FaktorAlter)*$L28*$D28*0.5*(VLOOKUP($CU28-DR$103,Frauen!$G$9:$J$102,4)+VLOOKUP($CU28-DR$103+1,Frauen!$G$9:$J$102,4))*0.5*(VLOOKUP($CU28-DR$103,Frauen!$AZ$9:$BD$102,5)+VLOOKUP($CU28-DR$103+1,Frauen!$AZ$9:$BD$102,5)),RundDx)))</f>
        <v>4069151348</v>
      </c>
      <c r="DS28" s="25">
        <f>IF($CU28&gt;=RAM,"",IF($CU28-DS$103&lt;BeginnAlter,"",ROUND(v^($CU28+FaktorAlter)*$L28*$D28*0.5*(VLOOKUP($CU28-DS$103,Frauen!$G$9:$J$102,4)+VLOOKUP($CU28-DS$103+1,Frauen!$G$9:$J$102,4))*0.5*(VLOOKUP($CU28-DS$103,Frauen!$AZ$9:$BD$102,5)+VLOOKUP($CU28-DS$103+1,Frauen!$AZ$9:$BD$102,5)),RundDx)))</f>
        <v>4109813706</v>
      </c>
      <c r="DT28" s="25">
        <f>IF($CU28&gt;=RAM,"",IF($CU28-DT$103&lt;BeginnAlter,"",ROUND(v^($CU28+FaktorAlter)*$L28*$D28*0.5*(VLOOKUP($CU28-DT$103,Frauen!$G$9:$J$102,4)+VLOOKUP($CU28-DT$103+1,Frauen!$G$9:$J$102,4))*0.5*(VLOOKUP($CU28-DT$103,Frauen!$AZ$9:$BD$102,5)+VLOOKUP($CU28-DT$103+1,Frauen!$AZ$9:$BD$102,5)),RundDx)))</f>
        <v>4149620879</v>
      </c>
      <c r="DU28" s="25">
        <f>IF($CU28&gt;=RAM,"",IF($CU28-DU$103&lt;BeginnAlter,"",ROUND(v^($CU28+FaktorAlter)*$L28*$D28*0.5*(VLOOKUP($CU28-DU$103,Frauen!$G$9:$J$102,4)+VLOOKUP($CU28-DU$103+1,Frauen!$G$9:$J$102,4))*0.5*(VLOOKUP($CU28-DU$103,Frauen!$AZ$9:$BD$102,5)+VLOOKUP($CU28-DU$103+1,Frauen!$AZ$9:$BD$102,5)),RundDx)))</f>
        <v>4188679611</v>
      </c>
      <c r="DV28" s="25">
        <f>IF($CU28&gt;=RAM,"",IF($CU28-DV$103&lt;BeginnAlter,"",ROUND(v^($CU28+FaktorAlter)*$L28*$D28*0.5*(VLOOKUP($CU28-DV$103,Frauen!$G$9:$J$102,4)+VLOOKUP($CU28-DV$103+1,Frauen!$G$9:$J$102,4))*0.5*(VLOOKUP($CU28-DV$103,Frauen!$AZ$9:$BD$102,5)+VLOOKUP($CU28-DV$103+1,Frauen!$AZ$9:$BD$102,5)),RundDx)))</f>
        <v>4226898611</v>
      </c>
      <c r="DW28" s="25">
        <f>IF($CU28&gt;=RAM,"",IF($CU28-DW$103&lt;BeginnAlter,"",ROUND(v^($CU28+FaktorAlter)*$L28*$D28*0.5*(VLOOKUP($CU28-DW$103,Frauen!$G$9:$J$102,4)+VLOOKUP($CU28-DW$103+1,Frauen!$G$9:$J$102,4))*0.5*(VLOOKUP($CU28-DW$103,Frauen!$AZ$9:$BD$102,5)+VLOOKUP($CU28-DW$103+1,Frauen!$AZ$9:$BD$102,5)),RundDx)))</f>
        <v>4264317701</v>
      </c>
      <c r="DX28" s="25">
        <f>IF($CU28&gt;=RAM,"",IF($CU28-DX$103&lt;BeginnAlter,"",ROUND(v^($CU28+FaktorAlter)*$L28*$D28*0.5*(VLOOKUP($CU28-DX$103,Frauen!$G$9:$J$102,4)+VLOOKUP($CU28-DX$103+1,Frauen!$G$9:$J$102,4))*0.5*(VLOOKUP($CU28-DX$103,Frauen!$AZ$9:$BD$102,5)+VLOOKUP($CU28-DX$103+1,Frauen!$AZ$9:$BD$102,5)),RundDx)))</f>
        <v>4300997766</v>
      </c>
      <c r="DY28" s="25">
        <f>IF($CU28&gt;=RAM,"",IF($CU28-DY$103&lt;BeginnAlter,"",ROUND(v^($CU28+FaktorAlter)*$L28*$D28*0.5*(VLOOKUP($CU28-DY$103,Frauen!$G$9:$J$102,4)+VLOOKUP($CU28-DY$103+1,Frauen!$G$9:$J$102,4))*0.5*(VLOOKUP($CU28-DY$103,Frauen!$AZ$9:$BD$102,5)+VLOOKUP($CU28-DY$103+1,Frauen!$AZ$9:$BD$102,5)),RundDx)))</f>
        <v>4336912278</v>
      </c>
      <c r="DZ28" s="25">
        <f>IF($CU28&gt;=RAM,"",IF($CU28-DZ$103&lt;BeginnAlter,"",ROUND(v^($CU28+FaktorAlter)*$L28*$D28*0.5*(VLOOKUP($CU28-DZ$103,Frauen!$G$9:$J$102,4)+VLOOKUP($CU28-DZ$103+1,Frauen!$G$9:$J$102,4))*0.5*(VLOOKUP($CU28-DZ$103,Frauen!$AZ$9:$BD$102,5)+VLOOKUP($CU28-DZ$103+1,Frauen!$AZ$9:$BD$102,5)),RundDx)))</f>
        <v>4372100133</v>
      </c>
      <c r="EA28" s="43">
        <f>IF($CU28&gt;=RAM,"",IF($CU28-EA$103&lt;BeginnAlter,"",ROUND((SUM(CV28:CV$56)+SUM(FN$9:FN$56))/VLOOKUP($CU28,$AH$9:$AI$102,2)/VLOOKUP($CU28-EA$103,Frauen!$G$9:$J$102,4),Rundäx)))</f>
        <v>5.7560000000000002</v>
      </c>
      <c r="EB28" s="43">
        <f>IF($CU28&gt;=RAM,"",IF($CU28-EB$103&lt;BeginnAlter,"",ROUND((SUM(CW28:CW$56)+SUM(FO$9:FO$56))/VLOOKUP($CU28,$AH$9:$AI$102,2)/VLOOKUP($CU28-EB$103,Frauen!$G$9:$J$102,4),Rundäx)))</f>
        <v>5.9749999999999996</v>
      </c>
      <c r="EC28" s="43">
        <f>IF($CU28&gt;=RAM,"",IF($CU28-EC$103&lt;BeginnAlter,"",ROUND((SUM(CX28:CX$56)+SUM(FP$9:FP$56))/VLOOKUP($CU28,$AH$9:$AI$102,2)/VLOOKUP($CU28-EC$103,Frauen!$G$9:$J$102,4),Rundäx)))</f>
        <v>6.1950000000000003</v>
      </c>
      <c r="ED28" s="43">
        <f>IF($CU28&gt;=RAM,"",IF($CU28-ED$103&lt;BeginnAlter,"",ROUND((SUM(CY28:CY$56)+SUM(FQ$9:FQ$56))/VLOOKUP($CU28,$AH$9:$AI$102,2)/VLOOKUP($CU28-ED$103,Frauen!$G$9:$J$102,4),Rundäx)))</f>
        <v>6.4189999999999996</v>
      </c>
      <c r="EE28" s="43">
        <f>IF($CU28&gt;=RAM,"",IF($CU28-EE$103&lt;BeginnAlter,"",ROUND((SUM(CZ28:CZ$56)+SUM(FR$9:FR$56))/VLOOKUP($CU28,$AH$9:$AI$102,2)/VLOOKUP($CU28-EE$103,Frauen!$G$9:$J$102,4),Rundäx)))</f>
        <v>6.6440000000000001</v>
      </c>
      <c r="EF28" s="43">
        <f>IF($CU28&gt;=RAM,"",IF($CU28-EF$103&lt;BeginnAlter,"",ROUND((SUM(DA28:DA$56)+SUM(FS$9:FS$56))/VLOOKUP($CU28,$AH$9:$AI$102,2)/VLOOKUP($CU28-EF$103,Frauen!$G$9:$J$102,4),Rundäx)))</f>
        <v>6.8719999999999999</v>
      </c>
      <c r="EG28" s="43">
        <f>IF($CU28&gt;=RAM,"",IF($CU28-EG$103&lt;BeginnAlter,"",ROUND((SUM(DB28:DB$56)+SUM(FT$9:FT$56))/VLOOKUP($CU28,$AH$9:$AI$102,2)/VLOOKUP($CU28-EG$103,Frauen!$G$9:$J$102,4),Rundäx)))</f>
        <v>7.1020000000000003</v>
      </c>
      <c r="EH28" s="43">
        <f>IF($CU28&gt;=RAM,"",IF($CU28-EH$103&lt;BeginnAlter,"",ROUND((SUM(DC28:DC$56)+SUM(FU$9:FU$56))/VLOOKUP($CU28,$AH$9:$AI$102,2)/VLOOKUP($CU28-EH$103,Frauen!$G$9:$J$102,4),Rundäx)))</f>
        <v>7.335</v>
      </c>
      <c r="EI28" s="86"/>
      <c r="EJ28" s="35">
        <f t="shared" si="60"/>
        <v>36</v>
      </c>
      <c r="EK28" s="43">
        <f>IF($CU28&gt;=RAM,"",IF($CU28-EK$103&lt;BeginnAlter,"",ROUND((SUM(DD28:DD$56)+SUM(FV$9:FV$56))/VLOOKUP($CU28,$AH$9:$AI$102,2)/VLOOKUP($CU28-EK$103,Frauen!$G$9:$J$102,4),Rundäx)))</f>
        <v>7.57</v>
      </c>
      <c r="EL28" s="43">
        <f>IF($CU28&gt;=RAM,"",IF($CU28-EL$103&lt;BeginnAlter,"",ROUND((SUM(DE28:DE$56)+SUM(FW$9:FW$56))/VLOOKUP($CU28,$AH$9:$AI$102,2)/VLOOKUP($CU28-EL$103,Frauen!$G$9:$J$102,4),Rundäx)))</f>
        <v>7.806</v>
      </c>
      <c r="EM28" s="43">
        <f>IF($CU28&gt;=RAM,"",IF($CU28-EM$103&lt;BeginnAlter,"",ROUND((SUM(DF28:DF$56)+SUM(FX$9:FX$56))/VLOOKUP($CU28,$AH$9:$AI$102,2)/VLOOKUP($CU28-EM$103,Frauen!$G$9:$J$102,4),Rundäx)))</f>
        <v>8.0440000000000005</v>
      </c>
      <c r="EN28" s="43">
        <f>IF($CU28&gt;=RAM,"",IF($CU28-EN$103&lt;BeginnAlter,"",ROUND((SUM(DG28:DG$56)+SUM(FY$9:FY$56))/VLOOKUP($CU28,$AH$9:$AI$102,2)/VLOOKUP($CU28-EN$103,Frauen!$G$9:$J$102,4),Rundäx)))</f>
        <v>8.2850000000000001</v>
      </c>
      <c r="EO28" s="43">
        <f>IF($CU28&gt;=RAM,"",IF($CU28-EO$103&lt;BeginnAlter,"",ROUND((SUM(DH28:DH$56)+SUM(FZ$9:FZ$56))/VLOOKUP($CU28,$AH$9:$AI$102,2)/VLOOKUP($CU28-EO$103,Frauen!$G$9:$J$102,4),Rundäx)))</f>
        <v>8.5259999999999998</v>
      </c>
      <c r="EP28" s="43">
        <f>IF($CU28&gt;=RAM,"",IF($CU28-EP$103&lt;BeginnAlter,"",ROUND((SUM(DI28:DI$56)+SUM(GA$9:GA$56))/VLOOKUP($CU28,$AH$9:$AI$102,2)/VLOOKUP($CU28-EP$103,Frauen!$G$9:$J$102,4),Rundäx)))</f>
        <v>8.77</v>
      </c>
      <c r="EQ28" s="43">
        <f>IF($CU28&gt;=RAM,"",IF($CU28-EQ$103&lt;BeginnAlter,"",ROUND((SUM(DJ28:DJ$56)+SUM(GB$9:GB$56))/VLOOKUP($CU28,$AH$9:$AI$102,2)/VLOOKUP($CU28-EQ$103,Frauen!$G$9:$J$102,4),Rundäx)))</f>
        <v>9.0139999999999993</v>
      </c>
      <c r="ER28" s="43">
        <f>IF($CU28&gt;=RAM,"",IF($CU28-ER$103&lt;BeginnAlter,"",ROUND((SUM(DK28:DK$56)+SUM(GC$9:GC$56))/VLOOKUP($CU28,$AH$9:$AI$102,2)/VLOOKUP($CU28-ER$103,Frauen!$G$9:$J$102,4),Rundäx)))</f>
        <v>9.2590000000000003</v>
      </c>
      <c r="ES28" s="86"/>
      <c r="ET28" s="35">
        <f t="shared" si="61"/>
        <v>36</v>
      </c>
      <c r="EU28" s="43">
        <f>IF($CU28&gt;=RAM,"",IF($CU28-EU$103&lt;BeginnAlter,"",ROUND((SUM(DL28:DL$56)+SUM(GD$9:GD$56))/VLOOKUP($CU28,$AH$9:$AI$102,2)/VLOOKUP($CU28-EU$103,Frauen!$G$9:$J$102,4),Rundäx)))</f>
        <v>9.5050000000000008</v>
      </c>
      <c r="EV28" s="43">
        <f>IF($CU28&gt;=RAM,"",IF($CU28-EV$103&lt;BeginnAlter,"",ROUND((SUM(DM28:DM$56)+SUM(GE$9:GE$56))/VLOOKUP($CU28,$AH$9:$AI$102,2)/VLOOKUP($CU28-EV$103,Frauen!$G$9:$J$102,4),Rundäx)))</f>
        <v>9.7509999999999994</v>
      </c>
      <c r="EW28" s="43">
        <f>IF($CU28&gt;=RAM,"",IF($CU28-EW$103&lt;BeginnAlter,"",ROUND((SUM(DN28:DN$56)+SUM(GF$9:GF$56))/VLOOKUP($CU28,$AH$9:$AI$102,2)/VLOOKUP($CU28-EW$103,Frauen!$G$9:$J$102,4),Rundäx)))</f>
        <v>9.9979999999999993</v>
      </c>
      <c r="EX28" s="43">
        <f>IF($CU28&gt;=RAM,"",IF($CU28-EX$103&lt;BeginnAlter,"",ROUND((SUM(DO28:DO$56)+SUM(GG$9:GG$56))/VLOOKUP($CU28,$AH$9:$AI$102,2)/VLOOKUP($CU28-EX$103,Frauen!$G$9:$J$102,4),Rundäx)))</f>
        <v>10.244</v>
      </c>
      <c r="EY28" s="43">
        <f>IF($CU28&gt;=RAM,"",IF($CU28-EY$103&lt;BeginnAlter,"",ROUND((SUM(DP28:DP$56)+SUM(GH$9:GH$56))/VLOOKUP($CU28,$AH$9:$AI$102,2)/VLOOKUP($CU28-EY$103,Frauen!$G$9:$J$102,4),Rundäx)))</f>
        <v>10.49</v>
      </c>
      <c r="EZ28" s="43">
        <f>IF($CU28&gt;=RAM,"",IF($CU28-EZ$103&lt;BeginnAlter,"",ROUND((SUM(DQ28:DQ$56)+SUM(GI$9:GI$56))/VLOOKUP($CU28,$AH$9:$AI$102,2)/VLOOKUP($CU28-EZ$103,Frauen!$G$9:$J$102,4),Rundäx)))</f>
        <v>10.734999999999999</v>
      </c>
      <c r="FA28" s="43">
        <f>IF($CU28&gt;=RAM,"",IF($CU28-FA$103&lt;BeginnAlter,"",ROUND((SUM(DR28:DR$56)+SUM(GJ$9:GJ$56))/VLOOKUP($CU28,$AH$9:$AI$102,2)/VLOOKUP($CU28-FA$103,Frauen!$G$9:$J$102,4),Rundäx)))</f>
        <v>10.978</v>
      </c>
      <c r="FB28" s="43">
        <f>IF($CU28&gt;=RAM,"",IF($CU28-FB$103&lt;BeginnAlter,"",ROUND((SUM(DS28:DS$56)+SUM(GK$9:GK$56))/VLOOKUP($CU28,$AH$9:$AI$102,2)/VLOOKUP($CU28-FB$103,Frauen!$G$9:$J$102,4),Rundäx)))</f>
        <v>11.221</v>
      </c>
      <c r="FC28" s="86"/>
      <c r="FD28" s="35">
        <f t="shared" si="62"/>
        <v>36</v>
      </c>
      <c r="FE28" s="43">
        <f>IF($CU28&gt;=RAM,"",IF($CU28-FE$103&lt;BeginnAlter,"",ROUND((SUM(DT28:DT$56)+SUM(GL$9:GL$56))/VLOOKUP($CU28,$AH$9:$AI$102,2)/VLOOKUP($CU28-FE$103,Frauen!$G$9:$J$102,4),Rundäx)))</f>
        <v>11.462</v>
      </c>
      <c r="FF28" s="43">
        <f>IF($CU28&gt;=RAM,"",IF($CU28-FF$103&lt;BeginnAlter,"",ROUND((SUM(DU28:DU$56)+SUM(GM$9:GM$56))/VLOOKUP($CU28,$AH$9:$AI$102,2)/VLOOKUP($CU28-FF$103,Frauen!$G$9:$J$102,4),Rundäx)))</f>
        <v>11.701000000000001</v>
      </c>
      <c r="FG28" s="43">
        <f>IF($CU28&gt;=RAM,"",IF($CU28-FG$103&lt;BeginnAlter,"",ROUND((SUM(DV28:DV$56)+SUM(GN$9:GN$56))/VLOOKUP($CU28,$AH$9:$AI$102,2)/VLOOKUP($CU28-FG$103,Frauen!$G$9:$J$102,4),Rundäx)))</f>
        <v>11.939</v>
      </c>
      <c r="FH28" s="43">
        <f>IF($CU28&gt;=RAM,"",IF($CU28-FH$103&lt;BeginnAlter,"",ROUND((SUM(DW28:DW$56)+SUM(GO$9:GO$56))/VLOOKUP($CU28,$AH$9:$AI$102,2)/VLOOKUP($CU28-FH$103,Frauen!$G$9:$J$102,4),Rundäx)))</f>
        <v>12.173999999999999</v>
      </c>
      <c r="FI28" s="43">
        <f>IF($CU28&gt;=RAM,"",IF($CU28-FI$103&lt;BeginnAlter,"",ROUND((SUM(DX28:DX$56)+SUM(GP$9:GP$56))/VLOOKUP($CU28,$AH$9:$AI$102,2)/VLOOKUP($CU28-FI$103,Frauen!$G$9:$J$102,4),Rundäx)))</f>
        <v>12.407999999999999</v>
      </c>
      <c r="FJ28" s="43">
        <f>IF($CU28&gt;=RAM,"",IF($CU28-FJ$103&lt;BeginnAlter,"",ROUND((SUM(DY28:DY$56)+SUM(GQ$9:GQ$56))/VLOOKUP($CU28,$AH$9:$AI$102,2)/VLOOKUP($CU28-FJ$103,Frauen!$G$9:$J$102,4),Rundäx)))</f>
        <v>12.638999999999999</v>
      </c>
      <c r="FK28" s="43">
        <f>IF($CU28&gt;=RAM,"",IF($CU28-FK$103&lt;BeginnAlter,"",ROUND((SUM(DZ28:DZ$56)+SUM(GR$9:GR$56))/VLOOKUP($CU28,$AH$9:$AI$102,2)/VLOOKUP($CU28-FK$103,Frauen!$G$9:$J$102,4),Rundäx)))</f>
        <v>12.868</v>
      </c>
      <c r="FL28" s="86"/>
      <c r="FM28" s="35">
        <f t="shared" si="68"/>
        <v>84</v>
      </c>
      <c r="FN28" s="25">
        <f>ROUND(v^($FM28+FaktorAlter)*VLOOKUP($FM28,$G$9:$J$102,4)*VLOOKUP($FM28,$A$9:$E$102,5)*0.5*(VLOOKUP($FM28-FN$103,Frauen!$G$9:$J$102,4)+VLOOKUP($FM28-FN$103+1,Frauen!$G$9:$J$102,4))*0.5*(VLOOKUP($FM28-FN$103,Frauen!$AZ$9:$BD$102,5)+VLOOKUP($FM28-FN$103+1,Frauen!$AZ$9:$BD$102,5)),RundDx)</f>
        <v>1678376</v>
      </c>
      <c r="FO28" s="25">
        <f>ROUND(v^($FM28+FaktorAlter)*VLOOKUP($FM28,$G$9:$J$102,4)*VLOOKUP($FM28,$A$9:$E$102,5)*0.5*(VLOOKUP($FM28-FO$103,Frauen!$G$9:$J$102,4)+VLOOKUP($FM28-FO$103+1,Frauen!$G$9:$J$102,4))*0.5*(VLOOKUP($FM28-FO$103,Frauen!$AZ$9:$BD$102,5)+VLOOKUP($FM28-FO$103+1,Frauen!$AZ$9:$BD$102,5)),RundDx)</f>
        <v>2992632</v>
      </c>
      <c r="FP28" s="25">
        <f>ROUND(v^($FM28+FaktorAlter)*VLOOKUP($FM28,$G$9:$J$102,4)*VLOOKUP($FM28,$A$9:$E$102,5)*0.5*(VLOOKUP($FM28-FP$103,Frauen!$G$9:$J$102,4)+VLOOKUP($FM28-FP$103+1,Frauen!$G$9:$J$102,4))*0.5*(VLOOKUP($FM28-FP$103,Frauen!$AZ$9:$BD$102,5)+VLOOKUP($FM28-FP$103+1,Frauen!$AZ$9:$BD$102,5)),RundDx)</f>
        <v>4984911</v>
      </c>
      <c r="FQ28" s="25">
        <f>ROUND(v^($FM28+FaktorAlter)*VLOOKUP($FM28,$G$9:$J$102,4)*VLOOKUP($FM28,$A$9:$E$102,5)*0.5*(VLOOKUP($FM28-FQ$103,Frauen!$G$9:$J$102,4)+VLOOKUP($FM28-FQ$103+1,Frauen!$G$9:$J$102,4))*0.5*(VLOOKUP($FM28-FQ$103,Frauen!$AZ$9:$BD$102,5)+VLOOKUP($FM28-FQ$103+1,Frauen!$AZ$9:$BD$102,5)),RundDx)</f>
        <v>7878922</v>
      </c>
      <c r="FR28" s="25">
        <f>ROUND(v^($FM28+FaktorAlter)*VLOOKUP($FM28,$G$9:$J$102,4)*VLOOKUP($FM28,$A$9:$E$102,5)*0.5*(VLOOKUP($FM28-FR$103,Frauen!$G$9:$J$102,4)+VLOOKUP($FM28-FR$103+1,Frauen!$G$9:$J$102,4))*0.5*(VLOOKUP($FM28-FR$103,Frauen!$AZ$9:$BD$102,5)+VLOOKUP($FM28-FR$103+1,Frauen!$AZ$9:$BD$102,5)),RundDx)</f>
        <v>11929395</v>
      </c>
      <c r="FS28" s="25">
        <f>ROUND(v^($FM28+FaktorAlter)*VLOOKUP($FM28,$G$9:$J$102,4)*VLOOKUP($FM28,$A$9:$E$102,5)*0.5*(VLOOKUP($FM28-FS$103,Frauen!$G$9:$J$102,4)+VLOOKUP($FM28-FS$103+1,Frauen!$G$9:$J$102,4))*0.5*(VLOOKUP($FM28-FS$103,Frauen!$AZ$9:$BD$102,5)+VLOOKUP($FM28-FS$103+1,Frauen!$AZ$9:$BD$102,5)),RundDx)</f>
        <v>17410746</v>
      </c>
      <c r="FT28" s="25">
        <f>ROUND(v^($FM28+FaktorAlter)*VLOOKUP($FM28,$G$9:$J$102,4)*VLOOKUP($FM28,$A$9:$E$102,5)*0.5*(VLOOKUP($FM28-FT$103,Frauen!$G$9:$J$102,4)+VLOOKUP($FM28-FT$103+1,Frauen!$G$9:$J$102,4))*0.5*(VLOOKUP($FM28-FT$103,Frauen!$AZ$9:$BD$102,5)+VLOOKUP($FM28-FT$103+1,Frauen!$AZ$9:$BD$102,5)),RundDx)</f>
        <v>24601315</v>
      </c>
      <c r="FU28" s="25">
        <f>ROUND(v^($FM28+FaktorAlter)*VLOOKUP($FM28,$G$9:$J$102,4)*VLOOKUP($FM28,$A$9:$E$102,5)*0.5*(VLOOKUP($FM28-FU$103,Frauen!$G$9:$J$102,4)+VLOOKUP($FM28-FU$103+1,Frauen!$G$9:$J$102,4))*0.5*(VLOOKUP($FM28-FU$103,Frauen!$AZ$9:$BD$102,5)+VLOOKUP($FM28-FU$103+1,Frauen!$AZ$9:$BD$102,5)),RundDx)</f>
        <v>33813824</v>
      </c>
      <c r="FV28" s="25">
        <f>ROUND(v^($FM28+FaktorAlter)*VLOOKUP($FM28,$G$9:$J$102,4)*VLOOKUP($FM28,$A$9:$E$102,5)*0.5*(VLOOKUP($FM28-FV$103,Frauen!$G$9:$J$102,4)+VLOOKUP($FM28-FV$103+1,Frauen!$G$9:$J$102,4))*0.5*(VLOOKUP($FM28-FV$103,Frauen!$AZ$9:$BD$102,5)+VLOOKUP($FM28-FV$103+1,Frauen!$AZ$9:$BD$102,5)),RundDx)</f>
        <v>45236313</v>
      </c>
      <c r="FW28" s="25">
        <f>ROUND(v^($FM28+FaktorAlter)*VLOOKUP($FM28,$G$9:$J$102,4)*VLOOKUP($FM28,$A$9:$E$102,5)*0.5*(VLOOKUP($FM28-FW$103,Frauen!$G$9:$J$102,4)+VLOOKUP($FM28-FW$103+1,Frauen!$G$9:$J$102,4))*0.5*(VLOOKUP($FM28-FW$103,Frauen!$AZ$9:$BD$102,5)+VLOOKUP($FM28-FW$103+1,Frauen!$AZ$9:$BD$102,5)),RundDx)</f>
        <v>58891059</v>
      </c>
      <c r="FX28" s="25">
        <f>ROUND(v^($FM28+FaktorAlter)*VLOOKUP($FM28,$G$9:$J$102,4)*VLOOKUP($FM28,$A$9:$E$102,5)*0.5*(VLOOKUP($FM28-FX$103,Frauen!$G$9:$J$102,4)+VLOOKUP($FM28-FX$103+1,Frauen!$G$9:$J$102,4))*0.5*(VLOOKUP($FM28-FX$103,Frauen!$AZ$9:$BD$102,5)+VLOOKUP($FM28-FX$103+1,Frauen!$AZ$9:$BD$102,5)),RundDx)</f>
        <v>74895192</v>
      </c>
      <c r="FY28" s="25">
        <f>ROUND(v^($FM28+FaktorAlter)*VLOOKUP($FM28,$G$9:$J$102,4)*VLOOKUP($FM28,$A$9:$E$102,5)*0.5*(VLOOKUP($FM28-FY$103,Frauen!$G$9:$J$102,4)+VLOOKUP($FM28-FY$103+1,Frauen!$G$9:$J$102,4))*0.5*(VLOOKUP($FM28-FY$103,Frauen!$AZ$9:$BD$102,5)+VLOOKUP($FM28-FY$103+1,Frauen!$AZ$9:$BD$102,5)),RundDx)</f>
        <v>93269247</v>
      </c>
      <c r="FZ28" s="25">
        <f>ROUND(v^($FM28+FaktorAlter)*VLOOKUP($FM28,$G$9:$J$102,4)*VLOOKUP($FM28,$A$9:$E$102,5)*0.5*(VLOOKUP($FM28-FZ$103,Frauen!$G$9:$J$102,4)+VLOOKUP($FM28-FZ$103+1,Frauen!$G$9:$J$102,4))*0.5*(VLOOKUP($FM28-FZ$103,Frauen!$AZ$9:$BD$102,5)+VLOOKUP($FM28-FZ$103+1,Frauen!$AZ$9:$BD$102,5)),RundDx)</f>
        <v>113956496</v>
      </c>
      <c r="GA28" s="25">
        <f>ROUND(v^($FM28+FaktorAlter)*VLOOKUP($FM28,$G$9:$J$102,4)*VLOOKUP($FM28,$A$9:$E$102,5)*0.5*(VLOOKUP($FM28-GA$103,Frauen!$G$9:$J$102,4)+VLOOKUP($FM28-GA$103+1,Frauen!$G$9:$J$102,4))*0.5*(VLOOKUP($FM28-GA$103,Frauen!$AZ$9:$BD$102,5)+VLOOKUP($FM28-GA$103+1,Frauen!$AZ$9:$BD$102,5)),RundDx)</f>
        <v>136851655</v>
      </c>
      <c r="GB28" s="25">
        <f>ROUND(v^($FM28+FaktorAlter)*VLOOKUP($FM28,$G$9:$J$102,4)*VLOOKUP($FM28,$A$9:$E$102,5)*0.5*(VLOOKUP($FM28-GB$103,Frauen!$G$9:$J$102,4)+VLOOKUP($FM28-GB$103+1,Frauen!$G$9:$J$102,4))*0.5*(VLOOKUP($FM28-GB$103,Frauen!$AZ$9:$BD$102,5)+VLOOKUP($FM28-GB$103+1,Frauen!$AZ$9:$BD$102,5)),RundDx)</f>
        <v>161735022</v>
      </c>
      <c r="GC28" s="25">
        <f>ROUND(v^($FM28+FaktorAlter)*VLOOKUP($FM28,$G$9:$J$102,4)*VLOOKUP($FM28,$A$9:$E$102,5)*0.5*(VLOOKUP($FM28-GC$103,Frauen!$G$9:$J$102,4)+VLOOKUP($FM28-GC$103+1,Frauen!$G$9:$J$102,4))*0.5*(VLOOKUP($FM28-GC$103,Frauen!$AZ$9:$BD$102,5)+VLOOKUP($FM28-GC$103+1,Frauen!$AZ$9:$BD$102,5)),RundDx)</f>
        <v>188342899</v>
      </c>
      <c r="GD28" s="25">
        <f>ROUND(v^($FM28+FaktorAlter)*VLOOKUP($FM28,$G$9:$J$102,4)*VLOOKUP($FM28,$A$9:$E$102,5)*0.5*(VLOOKUP($FM28-GD$103,Frauen!$G$9:$J$102,4)+VLOOKUP($FM28-GD$103+1,Frauen!$G$9:$J$102,4))*0.5*(VLOOKUP($FM28-GD$103,Frauen!$AZ$9:$BD$102,5)+VLOOKUP($FM28-GD$103+1,Frauen!$AZ$9:$BD$102,5)),RundDx)</f>
        <v>216414412</v>
      </c>
      <c r="GE28" s="25">
        <f>ROUND(v^($FM28+FaktorAlter)*VLOOKUP($FM28,$G$9:$J$102,4)*VLOOKUP($FM28,$A$9:$E$102,5)*0.5*(VLOOKUP($FM28-GE$103,Frauen!$G$9:$J$102,4)+VLOOKUP($FM28-GE$103+1,Frauen!$G$9:$J$102,4))*0.5*(VLOOKUP($FM28-GE$103,Frauen!$AZ$9:$BD$102,5)+VLOOKUP($FM28-GE$103+1,Frauen!$AZ$9:$BD$102,5)),RundDx)</f>
        <v>245640764</v>
      </c>
      <c r="GF28" s="25">
        <f>ROUND(v^($FM28+FaktorAlter)*VLOOKUP($FM28,$G$9:$J$102,4)*VLOOKUP($FM28,$A$9:$E$102,5)*0.5*(VLOOKUP($FM28-GF$103,Frauen!$G$9:$J$102,4)+VLOOKUP($FM28-GF$103+1,Frauen!$G$9:$J$102,4))*0.5*(VLOOKUP($FM28-GF$103,Frauen!$AZ$9:$BD$102,5)+VLOOKUP($FM28-GF$103+1,Frauen!$AZ$9:$BD$102,5)),RundDx)</f>
        <v>275730247</v>
      </c>
      <c r="GG28" s="25">
        <f>ROUND(v^($FM28+FaktorAlter)*VLOOKUP($FM28,$G$9:$J$102,4)*VLOOKUP($FM28,$A$9:$E$102,5)*0.5*(VLOOKUP($FM28-GG$103,Frauen!$G$9:$J$102,4)+VLOOKUP($FM28-GG$103+1,Frauen!$G$9:$J$102,4))*0.5*(VLOOKUP($FM28-GG$103,Frauen!$AZ$9:$BD$102,5)+VLOOKUP($FM28-GG$103+1,Frauen!$AZ$9:$BD$102,5)),RundDx)</f>
        <v>306484106</v>
      </c>
      <c r="GH28" s="25">
        <f>ROUND(v^($FM28+FaktorAlter)*VLOOKUP($FM28,$G$9:$J$102,4)*VLOOKUP($FM28,$A$9:$E$102,5)*0.5*(VLOOKUP($FM28-GH$103,Frauen!$G$9:$J$102,4)+VLOOKUP($FM28-GH$103+1,Frauen!$G$9:$J$102,4))*0.5*(VLOOKUP($FM28-GH$103,Frauen!$AZ$9:$BD$102,5)+VLOOKUP($FM28-GH$103+1,Frauen!$AZ$9:$BD$102,5)),RundDx)</f>
        <v>337804810</v>
      </c>
      <c r="GI28" s="25">
        <f>ROUND(v^($FM28+FaktorAlter)*VLOOKUP($FM28,$G$9:$J$102,4)*VLOOKUP($FM28,$A$9:$E$102,5)*0.5*(VLOOKUP($FM28-GI$103,Frauen!$G$9:$J$102,4)+VLOOKUP($FM28-GI$103+1,Frauen!$G$9:$J$102,4))*0.5*(VLOOKUP($FM28-GI$103,Frauen!$AZ$9:$BD$102,5)+VLOOKUP($FM28-GI$103+1,Frauen!$AZ$9:$BD$102,5)),RundDx)</f>
        <v>369559537</v>
      </c>
      <c r="GJ28" s="25">
        <f>ROUND(v^($FM28+FaktorAlter)*VLOOKUP($FM28,$G$9:$J$102,4)*VLOOKUP($FM28,$A$9:$E$102,5)*0.5*(VLOOKUP($FM28-GJ$103,Frauen!$G$9:$J$102,4)+VLOOKUP($FM28-GJ$103+1,Frauen!$G$9:$J$102,4))*0.5*(VLOOKUP($FM28-GJ$103,Frauen!$AZ$9:$BD$102,5)+VLOOKUP($FM28-GJ$103+1,Frauen!$AZ$9:$BD$102,5)),RundDx)</f>
        <v>401722216</v>
      </c>
      <c r="GK28" s="25">
        <f>ROUND(v^($FM28+FaktorAlter)*VLOOKUP($FM28,$G$9:$J$102,4)*VLOOKUP($FM28,$A$9:$E$102,5)*0.5*(VLOOKUP($FM28-GK$103,Frauen!$G$9:$J$102,4)+VLOOKUP($FM28-GK$103+1,Frauen!$G$9:$J$102,4))*0.5*(VLOOKUP($FM28-GK$103,Frauen!$AZ$9:$BD$102,5)+VLOOKUP($FM28-GK$103+1,Frauen!$AZ$9:$BD$102,5)),RundDx)</f>
        <v>434371352</v>
      </c>
      <c r="GL28" s="25">
        <f>ROUND(v^($FM28+FaktorAlter)*VLOOKUP($FM28,$G$9:$J$102,4)*VLOOKUP($FM28,$A$9:$E$102,5)*0.5*(VLOOKUP($FM28-GL$103,Frauen!$G$9:$J$102,4)+VLOOKUP($FM28-GL$103+1,Frauen!$G$9:$J$102,4))*0.5*(VLOOKUP($FM28-GL$103,Frauen!$AZ$9:$BD$102,5)+VLOOKUP($FM28-GL$103+1,Frauen!$AZ$9:$BD$102,5)),RundDx)</f>
        <v>467538732</v>
      </c>
      <c r="GM28" s="25">
        <f>ROUND(v^($FM28+FaktorAlter)*VLOOKUP($FM28,$G$9:$J$102,4)*VLOOKUP($FM28,$A$9:$E$102,5)*0.5*(VLOOKUP($FM28-GM$103,Frauen!$G$9:$J$102,4)+VLOOKUP($FM28-GM$103+1,Frauen!$G$9:$J$102,4))*0.5*(VLOOKUP($FM28-GM$103,Frauen!$AZ$9:$BD$102,5)+VLOOKUP($FM28-GM$103+1,Frauen!$AZ$9:$BD$102,5)),RundDx)</f>
        <v>501326954</v>
      </c>
      <c r="GN28" s="25">
        <f>ROUND(v^($FM28+FaktorAlter)*VLOOKUP($FM28,$G$9:$J$102,4)*VLOOKUP($FM28,$A$9:$E$102,5)*0.5*(VLOOKUP($FM28-GN$103,Frauen!$G$9:$J$102,4)+VLOOKUP($FM28-GN$103+1,Frauen!$G$9:$J$102,4))*0.5*(VLOOKUP($FM28-GN$103,Frauen!$AZ$9:$BD$102,5)+VLOOKUP($FM28-GN$103+1,Frauen!$AZ$9:$BD$102,5)),RundDx)</f>
        <v>535755014</v>
      </c>
      <c r="GO28" s="25">
        <f>ROUND(v^($FM28+FaktorAlter)*VLOOKUP($FM28,$G$9:$J$102,4)*VLOOKUP($FM28,$A$9:$E$102,5)*0.5*(VLOOKUP($FM28-GO$103,Frauen!$G$9:$J$102,4)+VLOOKUP($FM28-GO$103+1,Frauen!$G$9:$J$102,4))*0.5*(VLOOKUP($FM28-GO$103,Frauen!$AZ$9:$BD$102,5)+VLOOKUP($FM28-GO$103+1,Frauen!$AZ$9:$BD$102,5)),RundDx)</f>
        <v>570743764</v>
      </c>
      <c r="GP28" s="25">
        <f>ROUND(v^($FM28+FaktorAlter)*VLOOKUP($FM28,$G$9:$J$102,4)*VLOOKUP($FM28,$A$9:$E$102,5)*0.5*(VLOOKUP($FM28-GP$103,Frauen!$G$9:$J$102,4)+VLOOKUP($FM28-GP$103+1,Frauen!$G$9:$J$102,4))*0.5*(VLOOKUP($FM28-GP$103,Frauen!$AZ$9:$BD$102,5)+VLOOKUP($FM28-GP$103+1,Frauen!$AZ$9:$BD$102,5)),RundDx)</f>
        <v>606140261</v>
      </c>
      <c r="GQ28" s="25">
        <f>ROUND(v^($FM28+FaktorAlter)*VLOOKUP($FM28,$G$9:$J$102,4)*VLOOKUP($FM28,$A$9:$E$102,5)*0.5*(VLOOKUP($FM28-GQ$103,Frauen!$G$9:$J$102,4)+VLOOKUP($FM28-GQ$103+1,Frauen!$G$9:$J$102,4))*0.5*(VLOOKUP($FM28-GQ$103,Frauen!$AZ$9:$BD$102,5)+VLOOKUP($FM28-GQ$103+1,Frauen!$AZ$9:$BD$102,5)),RundDx)</f>
        <v>641690392</v>
      </c>
      <c r="GR28" s="25">
        <f>ROUND(v^($FM28+FaktorAlter)*VLOOKUP($FM28,$G$9:$J$102,4)*VLOOKUP($FM28,$A$9:$E$102,5)*0.5*(VLOOKUP($FM28-GR$103,Frauen!$G$9:$J$102,4)+VLOOKUP($FM28-GR$103+1,Frauen!$G$9:$J$102,4))*0.5*(VLOOKUP($FM28-GR$103,Frauen!$AZ$9:$BD$102,5)+VLOOKUP($FM28-GR$103+1,Frauen!$AZ$9:$BD$102,5)),RundDx)</f>
        <v>677295166</v>
      </c>
      <c r="GS28" s="24">
        <f>ROUND(SUM(FN28:FN$56)/VLOOKUP($FM28,$AQ$9:$AR$102,2)/VLOOKUP($FM28-GS$103,Frauen!$G$9:$J$102,4),Rundäx)</f>
        <v>0.20799999999999999</v>
      </c>
      <c r="GT28" s="24">
        <f>ROUND(SUM(FO28:FO$56)/VLOOKUP($FM28,$AQ$9:$AR$102,2)/VLOOKUP($FM28-GT$103,Frauen!$G$9:$J$102,4),Rundäx)</f>
        <v>0.26200000000000001</v>
      </c>
      <c r="GU28" s="24">
        <f>ROUND(SUM(FP28:FP$56)/VLOOKUP($FM28,$AQ$9:$AR$102,2)/VLOOKUP($FM28-GU$103,Frauen!$G$9:$J$102,4),Rundäx)</f>
        <v>0.32500000000000001</v>
      </c>
      <c r="GV28" s="24">
        <f>ROUND(SUM(FQ28:FQ$56)/VLOOKUP($FM28,$AQ$9:$AR$102,2)/VLOOKUP($FM28-GV$103,Frauen!$G$9:$J$102,4),Rundäx)</f>
        <v>0.39700000000000002</v>
      </c>
      <c r="GW28" s="24">
        <f>ROUND(SUM(FR28:FR$56)/VLOOKUP($FM28,$AQ$9:$AR$102,2)/VLOOKUP($FM28-GW$103,Frauen!$G$9:$J$102,4),Rundäx)</f>
        <v>0.48</v>
      </c>
      <c r="GX28" s="24">
        <f>ROUND(SUM(FS28:FS$56)/VLOOKUP($FM28,$AQ$9:$AR$102,2)/VLOOKUP($FM28-GX$103,Frauen!$G$9:$J$102,4),Rundäx)</f>
        <v>0.57599999999999996</v>
      </c>
      <c r="GY28" s="24">
        <f>ROUND(SUM(FT28:FT$56)/VLOOKUP($FM28,$AQ$9:$AR$102,2)/VLOOKUP($FM28-GY$103,Frauen!$G$9:$J$102,4),Rundäx)</f>
        <v>0.68400000000000005</v>
      </c>
      <c r="GZ28" s="24">
        <f>ROUND(SUM(FU28:FU$56)/VLOOKUP($FM28,$AQ$9:$AR$102,2)/VLOOKUP($FM28-GZ$103,Frauen!$G$9:$J$102,4),Rundäx)</f>
        <v>0.80800000000000005</v>
      </c>
      <c r="HA28" s="86"/>
      <c r="HB28" s="35">
        <f t="shared" si="63"/>
        <v>84</v>
      </c>
      <c r="HC28" s="24">
        <f>ROUND(SUM(FV28:FV$56)/VLOOKUP($FM28,$AQ$9:$AR$102,2)/VLOOKUP($FM28-HC$103,Frauen!$G$9:$J$102,4),Rundäx)</f>
        <v>0.94799999999999995</v>
      </c>
      <c r="HD28" s="24">
        <f>ROUND(SUM(FW28:FW$56)/VLOOKUP($FM28,$AQ$9:$AR$102,2)/VLOOKUP($FM28-HD$103,Frauen!$G$9:$J$102,4),Rundäx)</f>
        <v>1.105</v>
      </c>
      <c r="HE28" s="24">
        <f>ROUND(SUM(FX28:FX$56)/VLOOKUP($FM28,$AQ$9:$AR$102,2)/VLOOKUP($FM28-HE$103,Frauen!$G$9:$J$102,4),Rundäx)</f>
        <v>1.2809999999999999</v>
      </c>
      <c r="HF28" s="24">
        <f>ROUND(SUM(FY28:FY$56)/VLOOKUP($FM28,$AQ$9:$AR$102,2)/VLOOKUP($FM28-HF$103,Frauen!$G$9:$J$102,4),Rundäx)</f>
        <v>1.478</v>
      </c>
      <c r="HG28" s="24">
        <f>ROUND(SUM(FZ28:FZ$56)/VLOOKUP($FM28,$AQ$9:$AR$102,2)/VLOOKUP($FM28-HG$103,Frauen!$G$9:$J$102,4),Rundäx)</f>
        <v>1.6970000000000001</v>
      </c>
      <c r="HH28" s="24">
        <f>ROUND(SUM(GA28:GA$56)/VLOOKUP($FM28,$AQ$9:$AR$102,2)/VLOOKUP($FM28-HH$103,Frauen!$G$9:$J$102,4),Rundäx)</f>
        <v>1.94</v>
      </c>
      <c r="HI28" s="24">
        <f>ROUND(SUM(GB28:GB$56)/VLOOKUP($FM28,$AQ$9:$AR$102,2)/VLOOKUP($FM28-HI$103,Frauen!$G$9:$J$102,4),Rundäx)</f>
        <v>2.2090000000000001</v>
      </c>
      <c r="HJ28" s="24">
        <f>ROUND(SUM(GC28:GC$56)/VLOOKUP($FM28,$AQ$9:$AR$102,2)/VLOOKUP($FM28-HJ$103,Frauen!$G$9:$J$102,4),Rundäx)</f>
        <v>2.5059999999999998</v>
      </c>
      <c r="HK28" s="86"/>
      <c r="HL28" s="35">
        <f t="shared" si="64"/>
        <v>84</v>
      </c>
      <c r="HM28" s="24">
        <f>ROUND(SUM(GD28:GD$56)/VLOOKUP($FM28,$AQ$9:$AR$102,2)/VLOOKUP($FM28-HM$103,Frauen!$G$9:$J$102,4),Rundäx)</f>
        <v>2.831</v>
      </c>
      <c r="HN28" s="24">
        <f>ROUND(SUM(GE28:GE$56)/VLOOKUP($FM28,$AQ$9:$AR$102,2)/VLOOKUP($FM28-HN$103,Frauen!$G$9:$J$102,4),Rundäx)</f>
        <v>3.1850000000000001</v>
      </c>
      <c r="HO28" s="24">
        <f>ROUND(SUM(GF28:GF$56)/VLOOKUP($FM28,$AQ$9:$AR$102,2)/VLOOKUP($FM28-HO$103,Frauen!$G$9:$J$102,4),Rundäx)</f>
        <v>3.5659999999999998</v>
      </c>
      <c r="HP28" s="24">
        <f>ROUND(SUM(GG28:GG$56)/VLOOKUP($FM28,$AQ$9:$AR$102,2)/VLOOKUP($FM28-HP$103,Frauen!$G$9:$J$102,4),Rundäx)</f>
        <v>3.9729999999999999</v>
      </c>
      <c r="HQ28" s="24">
        <f>ROUND(SUM(GH28:GH$56)/VLOOKUP($FM28,$AQ$9:$AR$102,2)/VLOOKUP($FM28-HQ$103,Frauen!$G$9:$J$102,4),Rundäx)</f>
        <v>4.4039999999999999</v>
      </c>
      <c r="HR28" s="24">
        <f>ROUND(SUM(GI28:GI$56)/VLOOKUP($FM28,$AQ$9:$AR$102,2)/VLOOKUP($FM28-HR$103,Frauen!$G$9:$J$102,4),Rundäx)</f>
        <v>4.8550000000000004</v>
      </c>
      <c r="HS28" s="24">
        <f>ROUND(SUM(GJ28:GJ$56)/VLOOKUP($FM28,$AQ$9:$AR$102,2)/VLOOKUP($FM28-HS$103,Frauen!$G$9:$J$102,4),Rundäx)</f>
        <v>5.3209999999999997</v>
      </c>
      <c r="HT28" s="24">
        <f>ROUND(SUM(GK28:GK$56)/VLOOKUP($FM28,$AQ$9:$AR$102,2)/VLOOKUP($FM28-HT$103,Frauen!$G$9:$J$102,4),Rundäx)</f>
        <v>5.7990000000000004</v>
      </c>
      <c r="HU28" s="86"/>
      <c r="HV28" s="35">
        <f t="shared" si="65"/>
        <v>84</v>
      </c>
      <c r="HW28" s="24">
        <f>ROUND(SUM(GL28:GL$56)/VLOOKUP($FM28,$AQ$9:$AR$102,2)/VLOOKUP($FM28-HW$103,Frauen!$G$9:$J$102,4),Rundäx)</f>
        <v>6.2839999999999998</v>
      </c>
      <c r="HX28" s="24">
        <f>ROUND(SUM(GM28:GM$56)/VLOOKUP($FM28,$AQ$9:$AR$102,2)/VLOOKUP($FM28-HX$103,Frauen!$G$9:$J$102,4),Rundäx)</f>
        <v>6.7709999999999999</v>
      </c>
      <c r="HY28" s="24">
        <f>ROUND(SUM(GN28:GN$56)/VLOOKUP($FM28,$AQ$9:$AR$102,2)/VLOOKUP($FM28-HY$103,Frauen!$G$9:$J$102,4),Rundäx)</f>
        <v>7.2590000000000003</v>
      </c>
      <c r="HZ28" s="24">
        <f>ROUND(SUM(GO28:GO$56)/VLOOKUP($FM28,$AQ$9:$AR$102,2)/VLOOKUP($FM28-HZ$103,Frauen!$G$9:$J$102,4),Rundäx)</f>
        <v>7.7460000000000004</v>
      </c>
      <c r="IA28" s="24">
        <f>ROUND(SUM(GP28:GP$56)/VLOOKUP($FM28,$AQ$9:$AR$102,2)/VLOOKUP($FM28-IA$103,Frauen!$G$9:$J$102,4),Rundäx)</f>
        <v>8.234</v>
      </c>
      <c r="IB28" s="24">
        <f>ROUND(SUM(GQ28:GQ$56)/VLOOKUP($FM28,$AQ$9:$AR$102,2)/VLOOKUP($FM28-IB$103,Frauen!$G$9:$J$102,4),Rundäx)</f>
        <v>8.7219999999999995</v>
      </c>
      <c r="IC28" s="24">
        <f>ROUND(SUM(GR28:GR$56)/VLOOKUP($FM28,$AQ$9:$AR$102,2)/VLOOKUP($FM28-IC$103,Frauen!$G$9:$J$102,4),Rundäx)</f>
        <v>9.2089999999999996</v>
      </c>
      <c r="ID28" s="89"/>
      <c r="IE28" s="35">
        <f t="shared" si="66"/>
        <v>36</v>
      </c>
      <c r="IF28" s="25">
        <f t="shared" si="31"/>
        <v>866</v>
      </c>
      <c r="IG28" s="25">
        <f>IF($IE28&lt;RAM,IF(S29&lt;=RAK,ROUND(SUM(IF28:INDEX(Dakx,RAM-BeginnAlter))+INDEX(Dax,RAM-BeginnAlter+1)*INDEX(äkx,1),RundDx),0),"")</f>
        <v>12179</v>
      </c>
      <c r="IH28" s="25">
        <f>IF($IE28&lt;RAM,IF(S29&lt;=RAK,ROUND(SUM(IG28:INDEX(Nakx,RAM-BeginnAlter))+INDEX(Dax,RAM-BeginnAlter+1)*INDEX(äkx,1),RundDx),0),"")</f>
        <v>108038</v>
      </c>
      <c r="II28" s="24">
        <f t="shared" si="32"/>
        <v>0.27800000000000002</v>
      </c>
      <c r="IJ28" s="25">
        <f t="shared" si="33"/>
        <v>26034</v>
      </c>
      <c r="IK28" s="25">
        <f>IF($IE28&lt;RAM,IF(S29&lt;=RAK,SUM(IJ28:INDEX(Dikx,RAM-BeginnAlter))+INDEX(Dix,RAM-BeginnAlter+1)*INDEX(äkx,1),0),"")</f>
        <v>228397.83199999999</v>
      </c>
      <c r="IL28" s="24">
        <f t="shared" si="34"/>
        <v>3.1749999999999998</v>
      </c>
      <c r="IM28" s="86"/>
      <c r="IN28" s="35">
        <f t="shared" si="67"/>
        <v>84</v>
      </c>
      <c r="IO28" s="25"/>
      <c r="IP28" s="25"/>
      <c r="IQ28" s="24"/>
      <c r="IR28" s="86"/>
    </row>
    <row r="29" spans="1:252" ht="15.75" customHeight="1" x14ac:dyDescent="0.25">
      <c r="A29" s="35">
        <f t="shared" si="41"/>
        <v>37</v>
      </c>
      <c r="B29" s="77">
        <v>8.8190884091442624E-4</v>
      </c>
      <c r="C29" s="77">
        <v>1.3705418116228307E-3</v>
      </c>
      <c r="D29" s="77">
        <v>1.8856030731223439E-2</v>
      </c>
      <c r="E29" s="77">
        <v>1.1044461557168095E-3</v>
      </c>
      <c r="F29" s="86"/>
      <c r="G29" s="35">
        <f t="shared" si="42"/>
        <v>37</v>
      </c>
      <c r="H29" s="25">
        <f t="shared" si="37"/>
        <v>97539</v>
      </c>
      <c r="I29" s="25">
        <f t="shared" si="38"/>
        <v>1153</v>
      </c>
      <c r="J29" s="25">
        <f t="shared" si="39"/>
        <v>98692</v>
      </c>
      <c r="K29" s="30">
        <f>IF(J29&gt;0,ROUND(SUM(J29:J$102)/J29-0.5,Rundex),"")</f>
        <v>42.48</v>
      </c>
      <c r="L29" s="25">
        <f t="shared" si="0"/>
        <v>157273</v>
      </c>
      <c r="M29" s="30">
        <f>IF(L29&gt;0,ROUND(SUM(L29:L$102)/L29-0.5,Rundex),"")</f>
        <v>31.07</v>
      </c>
      <c r="N29" s="86"/>
      <c r="O29" s="35">
        <f t="shared" si="43"/>
        <v>37</v>
      </c>
      <c r="P29" s="43">
        <v>0.57226908436137269</v>
      </c>
      <c r="Q29" s="78">
        <v>36.170219184021263</v>
      </c>
      <c r="R29" s="43">
        <v>1.3829991113947773</v>
      </c>
      <c r="S29" s="78">
        <v>8.0532975333846508</v>
      </c>
      <c r="T29" s="15">
        <v>1.1046581703105796E-3</v>
      </c>
      <c r="U29" s="11">
        <f t="shared" si="40"/>
        <v>98691</v>
      </c>
      <c r="V29" s="30">
        <f>IF(U29&gt;0,ROUND(SUM(U29:U$102)/U29-0.5,Rundex),"")</f>
        <v>40.1</v>
      </c>
      <c r="W29" s="86"/>
      <c r="X29" s="35">
        <f t="shared" si="44"/>
        <v>37</v>
      </c>
      <c r="Y29" s="25">
        <f t="shared" si="1"/>
        <v>42819</v>
      </c>
      <c r="Z29" s="25">
        <f>IF($X29&lt;RAM,SUM(Y29:INDEX(Dax,RAM-BeginnAlter))," ")</f>
        <v>838190</v>
      </c>
      <c r="AA29" s="25">
        <f t="shared" si="2"/>
        <v>37</v>
      </c>
      <c r="AB29" s="25">
        <f>IF($X29&lt;RAM,SUM(AA29:INDEX(Cax,RAM-BeginnAlter))," ")</f>
        <v>2223</v>
      </c>
      <c r="AC29" s="25">
        <f t="shared" si="3"/>
        <v>58</v>
      </c>
      <c r="AD29" s="25">
        <f>IF($X29&lt;RAM,SUM(AC29:INDEX(Caix,RAM-BeginnAlter))," ")</f>
        <v>7474</v>
      </c>
      <c r="AE29" s="24">
        <f t="shared" si="4"/>
        <v>19.574999999999999</v>
      </c>
      <c r="AF29" s="24">
        <f t="shared" si="5"/>
        <v>19.274999999999999</v>
      </c>
      <c r="AG29" s="86"/>
      <c r="AH29" s="35">
        <f t="shared" si="45"/>
        <v>37</v>
      </c>
      <c r="AI29" s="25">
        <f t="shared" si="6"/>
        <v>69042</v>
      </c>
      <c r="AJ29" s="25">
        <f>IF($AH29&gt;RAM," ",IF($AH29&lt;RAM,SUM(AI29:INDEX(Dix,RAM-BeginnAlter))+INDEX(Nx,RAM-BeginnAlter+1),INDEX(Nx,RAM-BeginnAlter+1)))</f>
        <v>1451948</v>
      </c>
      <c r="AK29" s="25">
        <f>IF($AH29&lt;RAM,SUM(AI29:INDEX(Dix,RAM-BeginnAlter))," ")</f>
        <v>1154701</v>
      </c>
      <c r="AL29" s="24">
        <f t="shared" si="7"/>
        <v>21.03</v>
      </c>
      <c r="AM29" s="24">
        <f t="shared" si="8"/>
        <v>20.571999999999999</v>
      </c>
      <c r="AN29" s="24">
        <f t="shared" si="9"/>
        <v>16.725000000000001</v>
      </c>
      <c r="AO29" s="24">
        <f t="shared" si="10"/>
        <v>16.402000000000001</v>
      </c>
      <c r="AP29" s="86"/>
      <c r="AQ29" s="35">
        <f t="shared" si="46"/>
        <v>37</v>
      </c>
      <c r="AR29" s="25">
        <f t="shared" si="11"/>
        <v>43325</v>
      </c>
      <c r="AS29" s="25">
        <f>SUM(AR29:AR$94)</f>
        <v>1184158</v>
      </c>
      <c r="AT29" s="25">
        <f>IF($AQ29&lt;RAM,SUM(AR29:INDEX(Dx,RAM-BeginnAlter))," ")</f>
        <v>886911</v>
      </c>
      <c r="AU29" s="24">
        <f t="shared" si="12"/>
        <v>27.332000000000001</v>
      </c>
      <c r="AV29" s="24">
        <f t="shared" si="13"/>
        <v>26.873999999999999</v>
      </c>
      <c r="AW29" s="24">
        <f t="shared" si="14"/>
        <v>20.471</v>
      </c>
      <c r="AX29" s="24">
        <f t="shared" si="15"/>
        <v>20.228999999999999</v>
      </c>
      <c r="AY29" s="86"/>
      <c r="AZ29" s="35">
        <f t="shared" si="47"/>
        <v>37</v>
      </c>
      <c r="BA29" s="25">
        <f t="shared" si="16"/>
        <v>43325</v>
      </c>
      <c r="BB29" s="25">
        <f>SUM(BA29:BA$94)</f>
        <v>1142102</v>
      </c>
      <c r="BC29" s="24">
        <f t="shared" si="17"/>
        <v>26.361000000000001</v>
      </c>
      <c r="BD29" s="24">
        <f t="shared" si="18"/>
        <v>25.902999999999999</v>
      </c>
      <c r="BE29" s="86"/>
      <c r="BF29" s="35">
        <f t="shared" si="48"/>
        <v>20</v>
      </c>
      <c r="BG29" s="24">
        <f t="shared" si="19"/>
        <v>4.7850000000000001</v>
      </c>
      <c r="BH29" s="24">
        <f t="shared" si="20"/>
        <v>4.7359999999999998</v>
      </c>
      <c r="BI29" s="86"/>
      <c r="BJ29" s="35">
        <f t="shared" si="49"/>
        <v>37</v>
      </c>
      <c r="BK29" s="25">
        <f t="shared" si="21"/>
        <v>1189</v>
      </c>
      <c r="BL29" s="25">
        <f>IF(BJ29&lt;RAM,SUM(BK29:INDEX(Daix,RAM-BeginnAlter))," ")</f>
        <v>121134</v>
      </c>
      <c r="BM29" s="25">
        <f>IF(BJ29&lt;RAM,SUM(BL29:INDEX(Naix,RAM-BeginnAlter))," ")</f>
        <v>2470481</v>
      </c>
      <c r="BN29" s="24">
        <f t="shared" si="22"/>
        <v>4.8520000000000003</v>
      </c>
      <c r="BO29" s="24">
        <f t="shared" si="23"/>
        <v>2.8290000000000002</v>
      </c>
      <c r="BP29" s="86"/>
      <c r="BQ29" s="35">
        <f t="shared" si="50"/>
        <v>37</v>
      </c>
      <c r="BR29" s="25">
        <f t="shared" si="51"/>
        <v>942</v>
      </c>
      <c r="BS29" s="25">
        <f>IF(BQ29&lt;RAM,SUM(BR29:INDEX(Daixs,RAM-BeginnAlter))," ")</f>
        <v>43139</v>
      </c>
      <c r="BT29" s="25">
        <f>IF(BQ29&lt;RAM,SUM(BS29:INDEX(Naixs,RAM-BeginnAlter))," ")</f>
        <v>708180</v>
      </c>
      <c r="BU29" s="24">
        <f t="shared" si="52"/>
        <v>6.673</v>
      </c>
      <c r="BV29" s="24">
        <f t="shared" si="53"/>
        <v>1.0069999999999999</v>
      </c>
      <c r="BW29" s="86"/>
      <c r="BX29" s="35">
        <f t="shared" si="54"/>
        <v>37</v>
      </c>
      <c r="BY29" s="10">
        <f t="shared" si="24"/>
        <v>11.909719699642167</v>
      </c>
      <c r="BZ29" s="11">
        <f t="shared" si="25"/>
        <v>955</v>
      </c>
      <c r="CA29" s="25">
        <f>IF(S30&lt;=RAK,IF($BX29&lt;RAM,SUM(BZ29:INDEX(Dazx,RAM-BeginnAlter)),""),"")</f>
        <v>15313</v>
      </c>
      <c r="CB29" s="24">
        <f t="shared" si="26"/>
        <v>0.35799999999999998</v>
      </c>
      <c r="CC29" s="25">
        <f t="shared" si="27"/>
        <v>28678</v>
      </c>
      <c r="CD29" s="24">
        <f t="shared" si="28"/>
        <v>19.526</v>
      </c>
      <c r="CE29" s="24">
        <f t="shared" si="29"/>
        <v>2.4E-2</v>
      </c>
      <c r="CF29" s="86"/>
      <c r="CG29" s="35">
        <f t="shared" si="55"/>
        <v>37</v>
      </c>
      <c r="CH29" s="25">
        <f>IF(CG29&lt;RAM,ROUND(v^($CG29+FaktorAlter)*$H29*($B29*0.5*($P29+$P30)*(VLOOKUP(TRUNC(0.5*($Q29+$Q30),0),Frauen!$AZ$9:$BD$95,5)+(0.5*($Q29+$Q30)-TRUNC(0.5*($Q29+$Q30),0))*(VLOOKUP(TRUNC(0.5*($Q29+$Q30)+1,0),Frauen!$AZ$9:$BD$95,5)-VLOOKUP(TRUNC(0.5*($Q29+$Q30),0),Frauen!$AZ$9:$BD$95,5)))+$C29*0.5*($CN29+$CN30)),RundDx),"")</f>
        <v>1073</v>
      </c>
      <c r="CI29" s="25">
        <f>IF(CG29&lt;RAM,ROUND(SUM(CH29:INDEX(Dawx,RAM-BeginnAlter))+INDEX(Dax,RAM-BeginnAlter+1)*INDEX(äwx,1),RundDx),"")</f>
        <v>160800</v>
      </c>
      <c r="CJ29" s="25">
        <f>IF(CG29&lt;RAM,ROUND(SUM(CI29:INDEX(Nawx,RAM-BeginnAlter))+INDEX(Dax,RAM-BeginnAlter+1)*INDEX(äwx,1),RundDx),"")</f>
        <v>3833876</v>
      </c>
      <c r="CK29" s="24">
        <f t="shared" si="56"/>
        <v>3.7549999999999999</v>
      </c>
      <c r="CL29" s="25">
        <f>IF(CG29&lt;RAM,ROUND(v^($CG29+FaktorAlter)*$L29*$D29*0.5*($P29+$P30)*(VLOOKUP(TRUNC(0.5*($Q29+$Q30),0),Frauen!$AZ$9:$BD$95,5)+(0.5*($Q29+$Q30)-TRUNC(0.5*($Q29+$Q30),0))*(VLOOKUP(TRUNC(0.5*($Q29+$Q30)+1,0),Frauen!$AZ$9:$BD$95,5)-VLOOKUP(TRUNC(0.5*($Q29+$Q30),0),Frauen!$AZ$9:$BD$95,5))),RundDx),"")</f>
        <v>21680</v>
      </c>
      <c r="CM29" s="25">
        <f>IF(CG29&lt;RAM,SUM(CL29:INDEX(Diwx,RAM-BeginnAlter))+INDEX(Dix,RAM-BeginnAlter+1)*INDEX(äwx,1),"")</f>
        <v>529084.41399999999</v>
      </c>
      <c r="CN29" s="24">
        <f t="shared" si="57"/>
        <v>7.6630000000000003</v>
      </c>
      <c r="CO29" s="86"/>
      <c r="CP29" s="35">
        <f t="shared" si="58"/>
        <v>85</v>
      </c>
      <c r="CQ29" s="11">
        <f>ROUND(v^($CP29+FaktorAlter)*VLOOKUP(CP29,G$9:J$102,4)*VLOOKUP(CP29,A$9:E$102,5)*0.5*(VLOOKUP(CP29,O$9:P$102,2)+VLOOKUP(CP29+1,O$9:P$102,2))*(VLOOKUP(TRUNC(0.5*(VLOOKUP(CP29,O$9:Q$102,3)+VLOOKUP(CP29+1,O$9:Q$102,3)),0),Frauen!$AZ$9:$BD$95,5)+(0.5*(VLOOKUP(CP29,O$9:Q$102,3)+VLOOKUP(CP29+1,O$9:Q$102,3))-TRUNC(0.5*(VLOOKUP(CP29,O$9:Q$102,3)+VLOOKUP(CP29+1,O$9:Q$102,3)),0))*(VLOOKUP(TRUNC(0.5*(VLOOKUP(CP29,O$9:Q$102,3)+VLOOKUP(CP29+1,O$9:Q$102,3))+1,0),Frauen!$AZ$9:$BD$95,5)-VLOOKUP(TRUNC(0.5*(VLOOKUP(CP29,O$9:Q$102,3)+VLOOKUP(CP29+1,O$9:Q$102,3)),0),Frauen!$AZ$9:$BD$95,5))),RundDx)</f>
        <v>3091</v>
      </c>
      <c r="CR29" s="25">
        <f>SUM(CQ29:CQ$56)</f>
        <v>16909</v>
      </c>
      <c r="CS29" s="24">
        <f t="shared" si="30"/>
        <v>3.0449999999999999</v>
      </c>
      <c r="CT29" s="86"/>
      <c r="CU29" s="35">
        <f t="shared" si="59"/>
        <v>37</v>
      </c>
      <c r="CV29" s="25">
        <f>IF($CU29&gt;=RAM,"",IF($CU29-CV$103&lt;BeginnAlter,"",ROUND(v^($CU29+FaktorAlter)*$L29*$D29*0.5*(VLOOKUP($CU29-CV$103,Frauen!$G$9:$J$102,4)+VLOOKUP($CU29-CV$103+1,Frauen!$G$9:$J$102,4))*0.5*(VLOOKUP($CU29-CV$103,Frauen!$AZ$9:$BD$102,5)+VLOOKUP($CU29-CV$103+1,Frauen!$AZ$9:$BD$102,5)),RundDx)))</f>
        <v>2781534599</v>
      </c>
      <c r="CW29" s="25">
        <f>IF($CU29&gt;=RAM,"",IF($CU29-CW$103&lt;BeginnAlter,"",ROUND(v^($CU29+FaktorAlter)*$L29*$D29*0.5*(VLOOKUP($CU29-CW$103,Frauen!$G$9:$J$102,4)+VLOOKUP($CU29-CW$103+1,Frauen!$G$9:$J$102,4))*0.5*(VLOOKUP($CU29-CW$103,Frauen!$AZ$9:$BD$102,5)+VLOOKUP($CU29-CW$103+1,Frauen!$AZ$9:$BD$102,5)),RundDx)))</f>
        <v>2846137263</v>
      </c>
      <c r="CX29" s="25">
        <f>IF($CU29&gt;=RAM,"",IF($CU29-CX$103&lt;BeginnAlter,"",ROUND(v^($CU29+FaktorAlter)*$L29*$D29*0.5*(VLOOKUP($CU29-CX$103,Frauen!$G$9:$J$102,4)+VLOOKUP($CU29-CX$103+1,Frauen!$G$9:$J$102,4))*0.5*(VLOOKUP($CU29-CX$103,Frauen!$AZ$9:$BD$102,5)+VLOOKUP($CU29-CX$103+1,Frauen!$AZ$9:$BD$102,5)),RundDx)))</f>
        <v>2909649650</v>
      </c>
      <c r="CY29" s="25">
        <f>IF($CU29&gt;=RAM,"",IF($CU29-CY$103&lt;BeginnAlter,"",ROUND(v^($CU29+FaktorAlter)*$L29*$D29*0.5*(VLOOKUP($CU29-CY$103,Frauen!$G$9:$J$102,4)+VLOOKUP($CU29-CY$103+1,Frauen!$G$9:$J$102,4))*0.5*(VLOOKUP($CU29-CY$103,Frauen!$AZ$9:$BD$102,5)+VLOOKUP($CU29-CY$103+1,Frauen!$AZ$9:$BD$102,5)),RundDx)))</f>
        <v>2971884562</v>
      </c>
      <c r="CZ29" s="25">
        <f>IF($CU29&gt;=RAM,"",IF($CU29-CZ$103&lt;BeginnAlter,"",ROUND(v^($CU29+FaktorAlter)*$L29*$D29*0.5*(VLOOKUP($CU29-CZ$103,Frauen!$G$9:$J$102,4)+VLOOKUP($CU29-CZ$103+1,Frauen!$G$9:$J$102,4))*0.5*(VLOOKUP($CU29-CZ$103,Frauen!$AZ$9:$BD$102,5)+VLOOKUP($CU29-CZ$103+1,Frauen!$AZ$9:$BD$102,5)),RundDx)))</f>
        <v>3032783153</v>
      </c>
      <c r="DA29" s="25">
        <f>IF($CU29&gt;=RAM,"",IF($CU29-DA$103&lt;BeginnAlter,"",ROUND(v^($CU29+FaktorAlter)*$L29*$D29*0.5*(VLOOKUP($CU29-DA$103,Frauen!$G$9:$J$102,4)+VLOOKUP($CU29-DA$103+1,Frauen!$G$9:$J$102,4))*0.5*(VLOOKUP($CU29-DA$103,Frauen!$AZ$9:$BD$102,5)+VLOOKUP($CU29-DA$103+1,Frauen!$AZ$9:$BD$102,5)),RundDx)))</f>
        <v>3092353511</v>
      </c>
      <c r="DB29" s="25">
        <f>IF($CU29&gt;=RAM,"",IF($CU29-DB$103&lt;BeginnAlter,"",ROUND(v^($CU29+FaktorAlter)*$L29*$D29*0.5*(VLOOKUP($CU29-DB$103,Frauen!$G$9:$J$102,4)+VLOOKUP($CU29-DB$103+1,Frauen!$G$9:$J$102,4))*0.5*(VLOOKUP($CU29-DB$103,Frauen!$AZ$9:$BD$102,5)+VLOOKUP($CU29-DB$103+1,Frauen!$AZ$9:$BD$102,5)),RundDx)))</f>
        <v>3150655160</v>
      </c>
      <c r="DC29" s="25">
        <f>IF($CU29&gt;=RAM,"",IF($CU29-DC$103&lt;BeginnAlter,"",ROUND(v^($CU29+FaktorAlter)*$L29*$D29*0.5*(VLOOKUP($CU29-DC$103,Frauen!$G$9:$J$102,4)+VLOOKUP($CU29-DC$103+1,Frauen!$G$9:$J$102,4))*0.5*(VLOOKUP($CU29-DC$103,Frauen!$AZ$9:$BD$102,5)+VLOOKUP($CU29-DC$103+1,Frauen!$AZ$9:$BD$102,5)),RundDx)))</f>
        <v>3207608512</v>
      </c>
      <c r="DD29" s="25">
        <f>IF($CU29&gt;=RAM,"",IF($CU29-DD$103&lt;BeginnAlter,"",ROUND(v^($CU29+FaktorAlter)*$L29*$D29*0.5*(VLOOKUP($CU29-DD$103,Frauen!$G$9:$J$102,4)+VLOOKUP($CU29-DD$103+1,Frauen!$G$9:$J$102,4))*0.5*(VLOOKUP($CU29-DD$103,Frauen!$AZ$9:$BD$102,5)+VLOOKUP($CU29-DD$103+1,Frauen!$AZ$9:$BD$102,5)),RundDx)))</f>
        <v>3263232082</v>
      </c>
      <c r="DE29" s="25">
        <f>IF($CU29&gt;=RAM,"",IF($CU29-DE$103&lt;BeginnAlter,"",ROUND(v^($CU29+FaktorAlter)*$L29*$D29*0.5*(VLOOKUP($CU29-DE$103,Frauen!$G$9:$J$102,4)+VLOOKUP($CU29-DE$103+1,Frauen!$G$9:$J$102,4))*0.5*(VLOOKUP($CU29-DE$103,Frauen!$AZ$9:$BD$102,5)+VLOOKUP($CU29-DE$103+1,Frauen!$AZ$9:$BD$102,5)),RundDx)))</f>
        <v>3317658397</v>
      </c>
      <c r="DF29" s="25">
        <f>IF($CU29&gt;=RAM,"",IF($CU29-DF$103&lt;BeginnAlter,"",ROUND(v^($CU29+FaktorAlter)*$L29*$D29*0.5*(VLOOKUP($CU29-DF$103,Frauen!$G$9:$J$102,4)+VLOOKUP($CU29-DF$103+1,Frauen!$G$9:$J$102,4))*0.5*(VLOOKUP($CU29-DF$103,Frauen!$AZ$9:$BD$102,5)+VLOOKUP($CU29-DF$103+1,Frauen!$AZ$9:$BD$102,5)),RundDx)))</f>
        <v>3370913658</v>
      </c>
      <c r="DG29" s="25">
        <f>IF($CU29&gt;=RAM,"",IF($CU29-DG$103&lt;BeginnAlter,"",ROUND(v^($CU29+FaktorAlter)*$L29*$D29*0.5*(VLOOKUP($CU29-DG$103,Frauen!$G$9:$J$102,4)+VLOOKUP($CU29-DG$103+1,Frauen!$G$9:$J$102,4))*0.5*(VLOOKUP($CU29-DG$103,Frauen!$AZ$9:$BD$102,5)+VLOOKUP($CU29-DG$103+1,Frauen!$AZ$9:$BD$102,5)),RundDx)))</f>
        <v>3423010409</v>
      </c>
      <c r="DH29" s="25">
        <f>IF($CU29&gt;=RAM,"",IF($CU29-DH$103&lt;BeginnAlter,"",ROUND(v^($CU29+FaktorAlter)*$L29*$D29*0.5*(VLOOKUP($CU29-DH$103,Frauen!$G$9:$J$102,4)+VLOOKUP($CU29-DH$103+1,Frauen!$G$9:$J$102,4))*0.5*(VLOOKUP($CU29-DH$103,Frauen!$AZ$9:$BD$102,5)+VLOOKUP($CU29-DH$103+1,Frauen!$AZ$9:$BD$102,5)),RundDx)))</f>
        <v>3473946207</v>
      </c>
      <c r="DI29" s="25">
        <f>IF($CU29&gt;=RAM,"",IF($CU29-DI$103&lt;BeginnAlter,"",ROUND(v^($CU29+FaktorAlter)*$L29*$D29*0.5*(VLOOKUP($CU29-DI$103,Frauen!$G$9:$J$102,4)+VLOOKUP($CU29-DI$103+1,Frauen!$G$9:$J$102,4))*0.5*(VLOOKUP($CU29-DI$103,Frauen!$AZ$9:$BD$102,5)+VLOOKUP($CU29-DI$103+1,Frauen!$AZ$9:$BD$102,5)),RundDx)))</f>
        <v>3523755774</v>
      </c>
      <c r="DJ29" s="25">
        <f>IF($CU29&gt;=RAM,"",IF($CU29-DJ$103&lt;BeginnAlter,"",ROUND(v^($CU29+FaktorAlter)*$L29*$D29*0.5*(VLOOKUP($CU29-DJ$103,Frauen!$G$9:$J$102,4)+VLOOKUP($CU29-DJ$103+1,Frauen!$G$9:$J$102,4))*0.5*(VLOOKUP($CU29-DJ$103,Frauen!$AZ$9:$BD$102,5)+VLOOKUP($CU29-DJ$103+1,Frauen!$AZ$9:$BD$102,5)),RundDx)))</f>
        <v>3572459150</v>
      </c>
      <c r="DK29" s="25">
        <f>IF($CU29&gt;=RAM,"",IF($CU29-DK$103&lt;BeginnAlter,"",ROUND(v^($CU29+FaktorAlter)*$L29*$D29*0.5*(VLOOKUP($CU29-DK$103,Frauen!$G$9:$J$102,4)+VLOOKUP($CU29-DK$103+1,Frauen!$G$9:$J$102,4))*0.5*(VLOOKUP($CU29-DK$103,Frauen!$AZ$9:$BD$102,5)+VLOOKUP($CU29-DK$103+1,Frauen!$AZ$9:$BD$102,5)),RundDx)))</f>
        <v>3620142503</v>
      </c>
      <c r="DL29" s="25">
        <f>IF($CU29&gt;=RAM,"",IF($CU29-DL$103&lt;BeginnAlter,"",ROUND(v^($CU29+FaktorAlter)*$L29*$D29*0.5*(VLOOKUP($CU29-DL$103,Frauen!$G$9:$J$102,4)+VLOOKUP($CU29-DL$103+1,Frauen!$G$9:$J$102,4))*0.5*(VLOOKUP($CU29-DL$103,Frauen!$AZ$9:$BD$102,5)+VLOOKUP($CU29-DL$103+1,Frauen!$AZ$9:$BD$102,5)),RundDx)))</f>
        <v>3666894422</v>
      </c>
      <c r="DM29" s="25">
        <f>IF($CU29&gt;=RAM,"",IF($CU29-DM$103&lt;BeginnAlter,"",ROUND(v^($CU29+FaktorAlter)*$L29*$D29*0.5*(VLOOKUP($CU29-DM$103,Frauen!$G$9:$J$102,4)+VLOOKUP($CU29-DM$103+1,Frauen!$G$9:$J$102,4))*0.5*(VLOOKUP($CU29-DM$103,Frauen!$AZ$9:$BD$102,5)+VLOOKUP($CU29-DM$103+1,Frauen!$AZ$9:$BD$102,5)),RundDx)))</f>
        <v>3712741882</v>
      </c>
      <c r="DN29" s="25">
        <f>IF($CU29&gt;=RAM,"",IF($CU29-DN$103&lt;BeginnAlter,"",ROUND(v^($CU29+FaktorAlter)*$L29*$D29*0.5*(VLOOKUP($CU29-DN$103,Frauen!$G$9:$J$102,4)+VLOOKUP($CU29-DN$103+1,Frauen!$G$9:$J$102,4))*0.5*(VLOOKUP($CU29-DN$103,Frauen!$AZ$9:$BD$102,5)+VLOOKUP($CU29-DN$103+1,Frauen!$AZ$9:$BD$102,5)),RundDx)))</f>
        <v>3757649912</v>
      </c>
      <c r="DO29" s="25">
        <f>IF($CU29&gt;=RAM,"",IF($CU29-DO$103&lt;BeginnAlter,"",ROUND(v^($CU29+FaktorAlter)*$L29*$D29*0.5*(VLOOKUP($CU29-DO$103,Frauen!$G$9:$J$102,4)+VLOOKUP($CU29-DO$103+1,Frauen!$G$9:$J$102,4))*0.5*(VLOOKUP($CU29-DO$103,Frauen!$AZ$9:$BD$102,5)+VLOOKUP($CU29-DO$103+1,Frauen!$AZ$9:$BD$102,5)),RundDx)))</f>
        <v>3801630189</v>
      </c>
      <c r="DP29" s="25">
        <f>IF($CU29&gt;=RAM,"",IF($CU29-DP$103&lt;BeginnAlter,"",ROUND(v^($CU29+FaktorAlter)*$L29*$D29*0.5*(VLOOKUP($CU29-DP$103,Frauen!$G$9:$J$102,4)+VLOOKUP($CU29-DP$103+1,Frauen!$G$9:$J$102,4))*0.5*(VLOOKUP($CU29-DP$103,Frauen!$AZ$9:$BD$102,5)+VLOOKUP($CU29-DP$103+1,Frauen!$AZ$9:$BD$102,5)),RundDx)))</f>
        <v>3844695435</v>
      </c>
      <c r="DQ29" s="25">
        <f>IF($CU29&gt;=RAM,"",IF($CU29-DQ$103&lt;BeginnAlter,"",ROUND(v^($CU29+FaktorAlter)*$L29*$D29*0.5*(VLOOKUP($CU29-DQ$103,Frauen!$G$9:$J$102,4)+VLOOKUP($CU29-DQ$103+1,Frauen!$G$9:$J$102,4))*0.5*(VLOOKUP($CU29-DQ$103,Frauen!$AZ$9:$BD$102,5)+VLOOKUP($CU29-DQ$103+1,Frauen!$AZ$9:$BD$102,5)),RundDx)))</f>
        <v>3886923447</v>
      </c>
      <c r="DR29" s="25">
        <f>IF($CU29&gt;=RAM,"",IF($CU29-DR$103&lt;BeginnAlter,"",ROUND(v^($CU29+FaktorAlter)*$L29*$D29*0.5*(VLOOKUP($CU29-DR$103,Frauen!$G$9:$J$102,4)+VLOOKUP($CU29-DR$103+1,Frauen!$G$9:$J$102,4))*0.5*(VLOOKUP($CU29-DR$103,Frauen!$AZ$9:$BD$102,5)+VLOOKUP($CU29-DR$103+1,Frauen!$AZ$9:$BD$102,5)),RundDx)))</f>
        <v>3928329017</v>
      </c>
      <c r="DS29" s="25">
        <f>IF($CU29&gt;=RAM,"",IF($CU29-DS$103&lt;BeginnAlter,"",ROUND(v^($CU29+FaktorAlter)*$L29*$D29*0.5*(VLOOKUP($CU29-DS$103,Frauen!$G$9:$J$102,4)+VLOOKUP($CU29-DS$103+1,Frauen!$G$9:$J$102,4))*0.5*(VLOOKUP($CU29-DS$103,Frauen!$AZ$9:$BD$102,5)+VLOOKUP($CU29-DS$103+1,Frauen!$AZ$9:$BD$102,5)),RundDx)))</f>
        <v>3968863714</v>
      </c>
      <c r="DT29" s="25">
        <f>IF($CU29&gt;=RAM,"",IF($CU29-DT$103&lt;BeginnAlter,"",ROUND(v^($CU29+FaktorAlter)*$L29*$D29*0.5*(VLOOKUP($CU29-DT$103,Frauen!$G$9:$J$102,4)+VLOOKUP($CU29-DT$103+1,Frauen!$G$9:$J$102,4))*0.5*(VLOOKUP($CU29-DT$103,Frauen!$AZ$9:$BD$102,5)+VLOOKUP($CU29-DT$103+1,Frauen!$AZ$9:$BD$102,5)),RundDx)))</f>
        <v>4008523914</v>
      </c>
      <c r="DU29" s="25">
        <f>IF($CU29&gt;=RAM,"",IF($CU29-DU$103&lt;BeginnAlter,"",ROUND(v^($CU29+FaktorAlter)*$L29*$D29*0.5*(VLOOKUP($CU29-DU$103,Frauen!$G$9:$J$102,4)+VLOOKUP($CU29-DU$103+1,Frauen!$G$9:$J$102,4))*0.5*(VLOOKUP($CU29-DU$103,Frauen!$AZ$9:$BD$102,5)+VLOOKUP($CU29-DU$103+1,Frauen!$AZ$9:$BD$102,5)),RundDx)))</f>
        <v>4047350006</v>
      </c>
      <c r="DV29" s="25">
        <f>IF($CU29&gt;=RAM,"",IF($CU29-DV$103&lt;BeginnAlter,"",ROUND(v^($CU29+FaktorAlter)*$L29*$D29*0.5*(VLOOKUP($CU29-DV$103,Frauen!$G$9:$J$102,4)+VLOOKUP($CU29-DV$103+1,Frauen!$G$9:$J$102,4))*0.5*(VLOOKUP($CU29-DV$103,Frauen!$AZ$9:$BD$102,5)+VLOOKUP($CU29-DV$103+1,Frauen!$AZ$9:$BD$102,5)),RundDx)))</f>
        <v>4085446103</v>
      </c>
      <c r="DW29" s="25">
        <f>IF($CU29&gt;=RAM,"",IF($CU29-DW$103&lt;BeginnAlter,"",ROUND(v^($CU29+FaktorAlter)*$L29*$D29*0.5*(VLOOKUP($CU29-DW$103,Frauen!$G$9:$J$102,4)+VLOOKUP($CU29-DW$103+1,Frauen!$G$9:$J$102,4))*0.5*(VLOOKUP($CU29-DW$103,Frauen!$AZ$9:$BD$102,5)+VLOOKUP($CU29-DW$103+1,Frauen!$AZ$9:$BD$102,5)),RundDx)))</f>
        <v>4122723164</v>
      </c>
      <c r="DX29" s="25">
        <f>IF($CU29&gt;=RAM,"",IF($CU29-DX$103&lt;BeginnAlter,"",ROUND(v^($CU29+FaktorAlter)*$L29*$D29*0.5*(VLOOKUP($CU29-DX$103,Frauen!$G$9:$J$102,4)+VLOOKUP($CU29-DX$103+1,Frauen!$G$9:$J$102,4))*0.5*(VLOOKUP($CU29-DX$103,Frauen!$AZ$9:$BD$102,5)+VLOOKUP($CU29-DX$103+1,Frauen!$AZ$9:$BD$102,5)),RundDx)))</f>
        <v>4159220029</v>
      </c>
      <c r="DY29" s="25">
        <f>IF($CU29&gt;=RAM,"",IF($CU29-DY$103&lt;BeginnAlter,"",ROUND(v^($CU29+FaktorAlter)*$L29*$D29*0.5*(VLOOKUP($CU29-DY$103,Frauen!$G$9:$J$102,4)+VLOOKUP($CU29-DY$103+1,Frauen!$G$9:$J$102,4))*0.5*(VLOOKUP($CU29-DY$103,Frauen!$AZ$9:$BD$102,5)+VLOOKUP($CU29-DY$103+1,Frauen!$AZ$9:$BD$102,5)),RundDx)))</f>
        <v>4194996083</v>
      </c>
      <c r="DZ29" s="25">
        <f>IF($CU29&gt;=RAM,"",IF($CU29-DZ$103&lt;BeginnAlter,"",ROUND(v^($CU29+FaktorAlter)*$L29*$D29*0.5*(VLOOKUP($CU29-DZ$103,Frauen!$G$9:$J$102,4)+VLOOKUP($CU29-DZ$103+1,Frauen!$G$9:$J$102,4))*0.5*(VLOOKUP($CU29-DZ$103,Frauen!$AZ$9:$BD$102,5)+VLOOKUP($CU29-DZ$103+1,Frauen!$AZ$9:$BD$102,5)),RundDx)))</f>
        <v>4230025453</v>
      </c>
      <c r="EA29" s="43">
        <f>IF($CU29&gt;=RAM,"",IF($CU29-EA$103&lt;BeginnAlter,"",ROUND((SUM(CV29:CV$56)+SUM(FN$9:FN$56))/VLOOKUP($CU29,$AH$9:$AI$102,2)/VLOOKUP($CU29-EA$103,Frauen!$G$9:$J$102,4),Rundäx)))</f>
        <v>5.577</v>
      </c>
      <c r="EB29" s="43">
        <f>IF($CU29&gt;=RAM,"",IF($CU29-EB$103&lt;BeginnAlter,"",ROUND((SUM(CW29:CW$56)+SUM(FO$9:FO$56))/VLOOKUP($CU29,$AH$9:$AI$102,2)/VLOOKUP($CU29-EB$103,Frauen!$G$9:$J$102,4),Rundäx)))</f>
        <v>5.7960000000000003</v>
      </c>
      <c r="EC29" s="43">
        <f>IF($CU29&gt;=RAM,"",IF($CU29-EC$103&lt;BeginnAlter,"",ROUND((SUM(CX29:CX$56)+SUM(FP$9:FP$56))/VLOOKUP($CU29,$AH$9:$AI$102,2)/VLOOKUP($CU29-EC$103,Frauen!$G$9:$J$102,4),Rundäx)))</f>
        <v>6.0170000000000003</v>
      </c>
      <c r="ED29" s="43">
        <f>IF($CU29&gt;=RAM,"",IF($CU29-ED$103&lt;BeginnAlter,"",ROUND((SUM(CY29:CY$56)+SUM(FQ$9:FQ$56))/VLOOKUP($CU29,$AH$9:$AI$102,2)/VLOOKUP($CU29-ED$103,Frauen!$G$9:$J$102,4),Rundäx)))</f>
        <v>6.24</v>
      </c>
      <c r="EE29" s="43">
        <f>IF($CU29&gt;=RAM,"",IF($CU29-EE$103&lt;BeginnAlter,"",ROUND((SUM(CZ29:CZ$56)+SUM(FR$9:FR$56))/VLOOKUP($CU29,$AH$9:$AI$102,2)/VLOOKUP($CU29-EE$103,Frauen!$G$9:$J$102,4),Rundäx)))</f>
        <v>6.4660000000000002</v>
      </c>
      <c r="EF29" s="43">
        <f>IF($CU29&gt;=RAM,"",IF($CU29-EF$103&lt;BeginnAlter,"",ROUND((SUM(DA29:DA$56)+SUM(FS$9:FS$56))/VLOOKUP($CU29,$AH$9:$AI$102,2)/VLOOKUP($CU29-EF$103,Frauen!$G$9:$J$102,4),Rundäx)))</f>
        <v>6.6950000000000003</v>
      </c>
      <c r="EG29" s="43">
        <f>IF($CU29&gt;=RAM,"",IF($CU29-EG$103&lt;BeginnAlter,"",ROUND((SUM(DB29:DB$56)+SUM(FT$9:FT$56))/VLOOKUP($CU29,$AH$9:$AI$102,2)/VLOOKUP($CU29-EG$103,Frauen!$G$9:$J$102,4),Rundäx)))</f>
        <v>6.9269999999999996</v>
      </c>
      <c r="EH29" s="43">
        <f>IF($CU29&gt;=RAM,"",IF($CU29-EH$103&lt;BeginnAlter,"",ROUND((SUM(DC29:DC$56)+SUM(FU$9:FU$56))/VLOOKUP($CU29,$AH$9:$AI$102,2)/VLOOKUP($CU29-EH$103,Frauen!$G$9:$J$102,4),Rundäx)))</f>
        <v>7.16</v>
      </c>
      <c r="EI29" s="86"/>
      <c r="EJ29" s="35">
        <f t="shared" si="60"/>
        <v>37</v>
      </c>
      <c r="EK29" s="43">
        <f>IF($CU29&gt;=RAM,"",IF($CU29-EK$103&lt;BeginnAlter,"",ROUND((SUM(DD29:DD$56)+SUM(FV$9:FV$56))/VLOOKUP($CU29,$AH$9:$AI$102,2)/VLOOKUP($CU29-EK$103,Frauen!$G$9:$J$102,4),Rundäx)))</f>
        <v>7.3970000000000002</v>
      </c>
      <c r="EL29" s="43">
        <f>IF($CU29&gt;=RAM,"",IF($CU29-EL$103&lt;BeginnAlter,"",ROUND((SUM(DE29:DE$56)+SUM(FW$9:FW$56))/VLOOKUP($CU29,$AH$9:$AI$102,2)/VLOOKUP($CU29-EL$103,Frauen!$G$9:$J$102,4),Rundäx)))</f>
        <v>7.6349999999999998</v>
      </c>
      <c r="EM29" s="43">
        <f>IF($CU29&gt;=RAM,"",IF($CU29-EM$103&lt;BeginnAlter,"",ROUND((SUM(DF29:DF$56)+SUM(FX$9:FX$56))/VLOOKUP($CU29,$AH$9:$AI$102,2)/VLOOKUP($CU29-EM$103,Frauen!$G$9:$J$102,4),Rundäx)))</f>
        <v>7.8760000000000003</v>
      </c>
      <c r="EN29" s="43">
        <f>IF($CU29&gt;=RAM,"",IF($CU29-EN$103&lt;BeginnAlter,"",ROUND((SUM(DG29:DG$56)+SUM(FY$9:FY$56))/VLOOKUP($CU29,$AH$9:$AI$102,2)/VLOOKUP($CU29-EN$103,Frauen!$G$9:$J$102,4),Rundäx)))</f>
        <v>8.1180000000000003</v>
      </c>
      <c r="EO29" s="43">
        <f>IF($CU29&gt;=RAM,"",IF($CU29-EO$103&lt;BeginnAlter,"",ROUND((SUM(DH29:DH$56)+SUM(FZ$9:FZ$56))/VLOOKUP($CU29,$AH$9:$AI$102,2)/VLOOKUP($CU29-EO$103,Frauen!$G$9:$J$102,4),Rundäx)))</f>
        <v>8.3629999999999995</v>
      </c>
      <c r="EP29" s="43">
        <f>IF($CU29&gt;=RAM,"",IF($CU29-EP$103&lt;BeginnAlter,"",ROUND((SUM(DI29:DI$56)+SUM(GA$9:GA$56))/VLOOKUP($CU29,$AH$9:$AI$102,2)/VLOOKUP($CU29-EP$103,Frauen!$G$9:$J$102,4),Rundäx)))</f>
        <v>8.609</v>
      </c>
      <c r="EQ29" s="43">
        <f>IF($CU29&gt;=RAM,"",IF($CU29-EQ$103&lt;BeginnAlter,"",ROUND((SUM(DJ29:DJ$56)+SUM(GB$9:GB$56))/VLOOKUP($CU29,$AH$9:$AI$102,2)/VLOOKUP($CU29-EQ$103,Frauen!$G$9:$J$102,4),Rundäx)))</f>
        <v>8.8559999999999999</v>
      </c>
      <c r="ER29" s="43">
        <f>IF($CU29&gt;=RAM,"",IF($CU29-ER$103&lt;BeginnAlter,"",ROUND((SUM(DK29:DK$56)+SUM(GC$9:GC$56))/VLOOKUP($CU29,$AH$9:$AI$102,2)/VLOOKUP($CU29-ER$103,Frauen!$G$9:$J$102,4),Rundäx)))</f>
        <v>9.1050000000000004</v>
      </c>
      <c r="ES29" s="86"/>
      <c r="ET29" s="35">
        <f t="shared" si="61"/>
        <v>37</v>
      </c>
      <c r="EU29" s="43">
        <f>IF($CU29&gt;=RAM,"",IF($CU29-EU$103&lt;BeginnAlter,"",ROUND((SUM(DL29:DL$56)+SUM(GD$9:GD$56))/VLOOKUP($CU29,$AH$9:$AI$102,2)/VLOOKUP($CU29-EU$103,Frauen!$G$9:$J$102,4),Rundäx)))</f>
        <v>9.3539999999999992</v>
      </c>
      <c r="EV29" s="43">
        <f>IF($CU29&gt;=RAM,"",IF($CU29-EV$103&lt;BeginnAlter,"",ROUND((SUM(DM29:DM$56)+SUM(GE$9:GE$56))/VLOOKUP($CU29,$AH$9:$AI$102,2)/VLOOKUP($CU29-EV$103,Frauen!$G$9:$J$102,4),Rundäx)))</f>
        <v>9.6039999999999992</v>
      </c>
      <c r="EW29" s="43">
        <f>IF($CU29&gt;=RAM,"",IF($CU29-EW$103&lt;BeginnAlter,"",ROUND((SUM(DN29:DN$56)+SUM(GF$9:GF$56))/VLOOKUP($CU29,$AH$9:$AI$102,2)/VLOOKUP($CU29-EW$103,Frauen!$G$9:$J$102,4),Rundäx)))</f>
        <v>9.8539999999999992</v>
      </c>
      <c r="EX29" s="43">
        <f>IF($CU29&gt;=RAM,"",IF($CU29-EX$103&lt;BeginnAlter,"",ROUND((SUM(DO29:DO$56)+SUM(GG$9:GG$56))/VLOOKUP($CU29,$AH$9:$AI$102,2)/VLOOKUP($CU29-EX$103,Frauen!$G$9:$J$102,4),Rundäx)))</f>
        <v>10.105</v>
      </c>
      <c r="EY29" s="43">
        <f>IF($CU29&gt;=RAM,"",IF($CU29-EY$103&lt;BeginnAlter,"",ROUND((SUM(DP29:DP$56)+SUM(GH$9:GH$56))/VLOOKUP($CU29,$AH$9:$AI$102,2)/VLOOKUP($CU29-EY$103,Frauen!$G$9:$J$102,4),Rundäx)))</f>
        <v>10.355</v>
      </c>
      <c r="EZ29" s="43">
        <f>IF($CU29&gt;=RAM,"",IF($CU29-EZ$103&lt;BeginnAlter,"",ROUND((SUM(DQ29:DQ$56)+SUM(GI$9:GI$56))/VLOOKUP($CU29,$AH$9:$AI$102,2)/VLOOKUP($CU29-EZ$103,Frauen!$G$9:$J$102,4),Rundäx)))</f>
        <v>10.603999999999999</v>
      </c>
      <c r="FA29" s="43">
        <f>IF($CU29&gt;=RAM,"",IF($CU29-FA$103&lt;BeginnAlter,"",ROUND((SUM(DR29:DR$56)+SUM(GJ$9:GJ$56))/VLOOKUP($CU29,$AH$9:$AI$102,2)/VLOOKUP($CU29-FA$103,Frauen!$G$9:$J$102,4),Rundäx)))</f>
        <v>10.852</v>
      </c>
      <c r="FB29" s="43">
        <f>IF($CU29&gt;=RAM,"",IF($CU29-FB$103&lt;BeginnAlter,"",ROUND((SUM(DS29:DS$56)+SUM(GK$9:GK$56))/VLOOKUP($CU29,$AH$9:$AI$102,2)/VLOOKUP($CU29-FB$103,Frauen!$G$9:$J$102,4),Rundäx)))</f>
        <v>11.099</v>
      </c>
      <c r="FC29" s="86"/>
      <c r="FD29" s="35">
        <f t="shared" si="62"/>
        <v>37</v>
      </c>
      <c r="FE29" s="43">
        <f>IF($CU29&gt;=RAM,"",IF($CU29-FE$103&lt;BeginnAlter,"",ROUND((SUM(DT29:DT$56)+SUM(GL$9:GL$56))/VLOOKUP($CU29,$AH$9:$AI$102,2)/VLOOKUP($CU29-FE$103,Frauen!$G$9:$J$102,4),Rundäx)))</f>
        <v>11.343999999999999</v>
      </c>
      <c r="FF29" s="43">
        <f>IF($CU29&gt;=RAM,"",IF($CU29-FF$103&lt;BeginnAlter,"",ROUND((SUM(DU29:DU$56)+SUM(GM$9:GM$56))/VLOOKUP($CU29,$AH$9:$AI$102,2)/VLOOKUP($CU29-FF$103,Frauen!$G$9:$J$102,4),Rundäx)))</f>
        <v>11.587999999999999</v>
      </c>
      <c r="FG29" s="43">
        <f>IF($CU29&gt;=RAM,"",IF($CU29-FG$103&lt;BeginnAlter,"",ROUND((SUM(DV29:DV$56)+SUM(GN$9:GN$56))/VLOOKUP($CU29,$AH$9:$AI$102,2)/VLOOKUP($CU29-FG$103,Frauen!$G$9:$J$102,4),Rundäx)))</f>
        <v>11.83</v>
      </c>
      <c r="FH29" s="43">
        <f>IF($CU29&gt;=RAM,"",IF($CU29-FH$103&lt;BeginnAlter,"",ROUND((SUM(DW29:DW$56)+SUM(GO$9:GO$56))/VLOOKUP($CU29,$AH$9:$AI$102,2)/VLOOKUP($CU29-FH$103,Frauen!$G$9:$J$102,4),Rundäx)))</f>
        <v>12.069000000000001</v>
      </c>
      <c r="FI29" s="43">
        <f>IF($CU29&gt;=RAM,"",IF($CU29-FI$103&lt;BeginnAlter,"",ROUND((SUM(DX29:DX$56)+SUM(GP$9:GP$56))/VLOOKUP($CU29,$AH$9:$AI$102,2)/VLOOKUP($CU29-FI$103,Frauen!$G$9:$J$102,4),Rundäx)))</f>
        <v>12.307</v>
      </c>
      <c r="FJ29" s="43">
        <f>IF($CU29&gt;=RAM,"",IF($CU29-FJ$103&lt;BeginnAlter,"",ROUND((SUM(DY29:DY$56)+SUM(GQ$9:GQ$56))/VLOOKUP($CU29,$AH$9:$AI$102,2)/VLOOKUP($CU29-FJ$103,Frauen!$G$9:$J$102,4),Rundäx)))</f>
        <v>12.542</v>
      </c>
      <c r="FK29" s="43">
        <f>IF($CU29&gt;=RAM,"",IF($CU29-FK$103&lt;BeginnAlter,"",ROUND((SUM(DZ29:DZ$56)+SUM(GR$9:GR$56))/VLOOKUP($CU29,$AH$9:$AI$102,2)/VLOOKUP($CU29-FK$103,Frauen!$G$9:$J$102,4),Rundäx)))</f>
        <v>12.775</v>
      </c>
      <c r="FL29" s="86"/>
      <c r="FM29" s="35">
        <f t="shared" si="68"/>
        <v>85</v>
      </c>
      <c r="FN29" s="25">
        <f>ROUND(v^($FM29+FaktorAlter)*VLOOKUP($FM29,$G$9:$J$102,4)*VLOOKUP($FM29,$A$9:$E$102,5)*0.5*(VLOOKUP($FM29-FN$103,Frauen!$G$9:$J$102,4)+VLOOKUP($FM29-FN$103+1,Frauen!$G$9:$J$102,4))*0.5*(VLOOKUP($FM29-FN$103,Frauen!$AZ$9:$BD$102,5)+VLOOKUP($FM29-FN$103+1,Frauen!$AZ$9:$BD$102,5)),RundDx)</f>
        <v>859724</v>
      </c>
      <c r="FO29" s="25">
        <f>ROUND(v^($FM29+FaktorAlter)*VLOOKUP($FM29,$G$9:$J$102,4)*VLOOKUP($FM29,$A$9:$E$102,5)*0.5*(VLOOKUP($FM29-FO$103,Frauen!$G$9:$J$102,4)+VLOOKUP($FM29-FO$103+1,Frauen!$G$9:$J$102,4))*0.5*(VLOOKUP($FM29-FO$103,Frauen!$AZ$9:$BD$102,5)+VLOOKUP($FM29-FO$103+1,Frauen!$AZ$9:$BD$102,5)),RundDx)</f>
        <v>1666589</v>
      </c>
      <c r="FP29" s="25">
        <f>ROUND(v^($FM29+FaktorAlter)*VLOOKUP($FM29,$G$9:$J$102,4)*VLOOKUP($FM29,$A$9:$E$102,5)*0.5*(VLOOKUP($FM29-FP$103,Frauen!$G$9:$J$102,4)+VLOOKUP($FM29-FP$103+1,Frauen!$G$9:$J$102,4))*0.5*(VLOOKUP($FM29-FP$103,Frauen!$AZ$9:$BD$102,5)+VLOOKUP($FM29-FP$103+1,Frauen!$AZ$9:$BD$102,5)),RundDx)</f>
        <v>2971615</v>
      </c>
      <c r="FQ29" s="25">
        <f>ROUND(v^($FM29+FaktorAlter)*VLOOKUP($FM29,$G$9:$J$102,4)*VLOOKUP($FM29,$A$9:$E$102,5)*0.5*(VLOOKUP($FM29-FQ$103,Frauen!$G$9:$J$102,4)+VLOOKUP($FM29-FQ$103+1,Frauen!$G$9:$J$102,4))*0.5*(VLOOKUP($FM29-FQ$103,Frauen!$AZ$9:$BD$102,5)+VLOOKUP($FM29-FQ$103+1,Frauen!$AZ$9:$BD$102,5)),RundDx)</f>
        <v>4949902</v>
      </c>
      <c r="FR29" s="25">
        <f>ROUND(v^($FM29+FaktorAlter)*VLOOKUP($FM29,$G$9:$J$102,4)*VLOOKUP($FM29,$A$9:$E$102,5)*0.5*(VLOOKUP($FM29-FR$103,Frauen!$G$9:$J$102,4)+VLOOKUP($FM29-FR$103+1,Frauen!$G$9:$J$102,4))*0.5*(VLOOKUP($FM29-FR$103,Frauen!$AZ$9:$BD$102,5)+VLOOKUP($FM29-FR$103+1,Frauen!$AZ$9:$BD$102,5)),RundDx)</f>
        <v>7823588</v>
      </c>
      <c r="FS29" s="25">
        <f>ROUND(v^($FM29+FaktorAlter)*VLOOKUP($FM29,$G$9:$J$102,4)*VLOOKUP($FM29,$A$9:$E$102,5)*0.5*(VLOOKUP($FM29-FS$103,Frauen!$G$9:$J$102,4)+VLOOKUP($FM29-FS$103+1,Frauen!$G$9:$J$102,4))*0.5*(VLOOKUP($FM29-FS$103,Frauen!$AZ$9:$BD$102,5)+VLOOKUP($FM29-FS$103+1,Frauen!$AZ$9:$BD$102,5)),RundDx)</f>
        <v>11845615</v>
      </c>
      <c r="FT29" s="25">
        <f>ROUND(v^($FM29+FaktorAlter)*VLOOKUP($FM29,$G$9:$J$102,4)*VLOOKUP($FM29,$A$9:$E$102,5)*0.5*(VLOOKUP($FM29-FT$103,Frauen!$G$9:$J$102,4)+VLOOKUP($FM29-FT$103+1,Frauen!$G$9:$J$102,4))*0.5*(VLOOKUP($FM29-FT$103,Frauen!$AZ$9:$BD$102,5)+VLOOKUP($FM29-FT$103+1,Frauen!$AZ$9:$BD$102,5)),RundDx)</f>
        <v>17288471</v>
      </c>
      <c r="FU29" s="25">
        <f>ROUND(v^($FM29+FaktorAlter)*VLOOKUP($FM29,$G$9:$J$102,4)*VLOOKUP($FM29,$A$9:$E$102,5)*0.5*(VLOOKUP($FM29-FU$103,Frauen!$G$9:$J$102,4)+VLOOKUP($FM29-FU$103+1,Frauen!$G$9:$J$102,4))*0.5*(VLOOKUP($FM29-FU$103,Frauen!$AZ$9:$BD$102,5)+VLOOKUP($FM29-FU$103+1,Frauen!$AZ$9:$BD$102,5)),RundDx)</f>
        <v>24428540</v>
      </c>
      <c r="FV29" s="25">
        <f>ROUND(v^($FM29+FaktorAlter)*VLOOKUP($FM29,$G$9:$J$102,4)*VLOOKUP($FM29,$A$9:$E$102,5)*0.5*(VLOOKUP($FM29-FV$103,Frauen!$G$9:$J$102,4)+VLOOKUP($FM29-FV$103+1,Frauen!$G$9:$J$102,4))*0.5*(VLOOKUP($FM29-FV$103,Frauen!$AZ$9:$BD$102,5)+VLOOKUP($FM29-FV$103+1,Frauen!$AZ$9:$BD$102,5)),RundDx)</f>
        <v>33576350</v>
      </c>
      <c r="FW29" s="25">
        <f>ROUND(v^($FM29+FaktorAlter)*VLOOKUP($FM29,$G$9:$J$102,4)*VLOOKUP($FM29,$A$9:$E$102,5)*0.5*(VLOOKUP($FM29-FW$103,Frauen!$G$9:$J$102,4)+VLOOKUP($FM29-FW$103+1,Frauen!$G$9:$J$102,4))*0.5*(VLOOKUP($FM29-FW$103,Frauen!$AZ$9:$BD$102,5)+VLOOKUP($FM29-FW$103+1,Frauen!$AZ$9:$BD$102,5)),RundDx)</f>
        <v>44918618</v>
      </c>
      <c r="FX29" s="25">
        <f>ROUND(v^($FM29+FaktorAlter)*VLOOKUP($FM29,$G$9:$J$102,4)*VLOOKUP($FM29,$A$9:$E$102,5)*0.5*(VLOOKUP($FM29-FX$103,Frauen!$G$9:$J$102,4)+VLOOKUP($FM29-FX$103+1,Frauen!$G$9:$J$102,4))*0.5*(VLOOKUP($FM29-FX$103,Frauen!$AZ$9:$BD$102,5)+VLOOKUP($FM29-FX$103+1,Frauen!$AZ$9:$BD$102,5)),RundDx)</f>
        <v>58477467</v>
      </c>
      <c r="FY29" s="25">
        <f>ROUND(v^($FM29+FaktorAlter)*VLOOKUP($FM29,$G$9:$J$102,4)*VLOOKUP($FM29,$A$9:$E$102,5)*0.5*(VLOOKUP($FM29-FY$103,Frauen!$G$9:$J$102,4)+VLOOKUP($FM29-FY$103+1,Frauen!$G$9:$J$102,4))*0.5*(VLOOKUP($FM29-FY$103,Frauen!$AZ$9:$BD$102,5)+VLOOKUP($FM29-FY$103+1,Frauen!$AZ$9:$BD$102,5)),RundDx)</f>
        <v>74369204</v>
      </c>
      <c r="FZ29" s="25">
        <f>ROUND(v^($FM29+FaktorAlter)*VLOOKUP($FM29,$G$9:$J$102,4)*VLOOKUP($FM29,$A$9:$E$102,5)*0.5*(VLOOKUP($FM29-FZ$103,Frauen!$G$9:$J$102,4)+VLOOKUP($FM29-FZ$103+1,Frauen!$G$9:$J$102,4))*0.5*(VLOOKUP($FM29-FZ$103,Frauen!$AZ$9:$BD$102,5)+VLOOKUP($FM29-FZ$103+1,Frauen!$AZ$9:$BD$102,5)),RundDx)</f>
        <v>92614218</v>
      </c>
      <c r="GA29" s="25">
        <f>ROUND(v^($FM29+FaktorAlter)*VLOOKUP($FM29,$G$9:$J$102,4)*VLOOKUP($FM29,$A$9:$E$102,5)*0.5*(VLOOKUP($FM29-GA$103,Frauen!$G$9:$J$102,4)+VLOOKUP($FM29-GA$103+1,Frauen!$G$9:$J$102,4))*0.5*(VLOOKUP($FM29-GA$103,Frauen!$AZ$9:$BD$102,5)+VLOOKUP($FM29-GA$103+1,Frauen!$AZ$9:$BD$102,5)),RundDx)</f>
        <v>113156181</v>
      </c>
      <c r="GB29" s="25">
        <f>ROUND(v^($FM29+FaktorAlter)*VLOOKUP($FM29,$G$9:$J$102,4)*VLOOKUP($FM29,$A$9:$E$102,5)*0.5*(VLOOKUP($FM29-GB$103,Frauen!$G$9:$J$102,4)+VLOOKUP($FM29-GB$103+1,Frauen!$G$9:$J$102,4))*0.5*(VLOOKUP($FM29-GB$103,Frauen!$AZ$9:$BD$102,5)+VLOOKUP($FM29-GB$103+1,Frauen!$AZ$9:$BD$102,5)),RundDx)</f>
        <v>135890547</v>
      </c>
      <c r="GC29" s="25">
        <f>ROUND(v^($FM29+FaktorAlter)*VLOOKUP($FM29,$G$9:$J$102,4)*VLOOKUP($FM29,$A$9:$E$102,5)*0.5*(VLOOKUP($FM29-GC$103,Frauen!$G$9:$J$102,4)+VLOOKUP($FM29-GC$103+1,Frauen!$G$9:$J$102,4))*0.5*(VLOOKUP($FM29-GC$103,Frauen!$AZ$9:$BD$102,5)+VLOOKUP($FM29-GC$103+1,Frauen!$AZ$9:$BD$102,5)),RundDx)</f>
        <v>160599158</v>
      </c>
      <c r="GD29" s="25">
        <f>ROUND(v^($FM29+FaktorAlter)*VLOOKUP($FM29,$G$9:$J$102,4)*VLOOKUP($FM29,$A$9:$E$102,5)*0.5*(VLOOKUP($FM29-GD$103,Frauen!$G$9:$J$102,4)+VLOOKUP($FM29-GD$103+1,Frauen!$G$9:$J$102,4))*0.5*(VLOOKUP($FM29-GD$103,Frauen!$AZ$9:$BD$102,5)+VLOOKUP($FM29-GD$103+1,Frauen!$AZ$9:$BD$102,5)),RundDx)</f>
        <v>187020169</v>
      </c>
      <c r="GE29" s="25">
        <f>ROUND(v^($FM29+FaktorAlter)*VLOOKUP($FM29,$G$9:$J$102,4)*VLOOKUP($FM29,$A$9:$E$102,5)*0.5*(VLOOKUP($FM29-GE$103,Frauen!$G$9:$J$102,4)+VLOOKUP($FM29-GE$103+1,Frauen!$G$9:$J$102,4))*0.5*(VLOOKUP($FM29-GE$103,Frauen!$AZ$9:$BD$102,5)+VLOOKUP($FM29-GE$103+1,Frauen!$AZ$9:$BD$102,5)),RundDx)</f>
        <v>214894536</v>
      </c>
      <c r="GF29" s="25">
        <f>ROUND(v^($FM29+FaktorAlter)*VLOOKUP($FM29,$G$9:$J$102,4)*VLOOKUP($FM29,$A$9:$E$102,5)*0.5*(VLOOKUP($FM29-GF$103,Frauen!$G$9:$J$102,4)+VLOOKUP($FM29-GF$103+1,Frauen!$G$9:$J$102,4))*0.5*(VLOOKUP($FM29-GF$103,Frauen!$AZ$9:$BD$102,5)+VLOOKUP($FM29-GF$103+1,Frauen!$AZ$9:$BD$102,5)),RundDx)</f>
        <v>243915631</v>
      </c>
      <c r="GG29" s="25">
        <f>ROUND(v^($FM29+FaktorAlter)*VLOOKUP($FM29,$G$9:$J$102,4)*VLOOKUP($FM29,$A$9:$E$102,5)*0.5*(VLOOKUP($FM29-GG$103,Frauen!$G$9:$J$102,4)+VLOOKUP($FM29-GG$103+1,Frauen!$G$9:$J$102,4))*0.5*(VLOOKUP($FM29-GG$103,Frauen!$AZ$9:$BD$102,5)+VLOOKUP($FM29-GG$103+1,Frauen!$AZ$9:$BD$102,5)),RundDx)</f>
        <v>273793796</v>
      </c>
      <c r="GH29" s="25">
        <f>ROUND(v^($FM29+FaktorAlter)*VLOOKUP($FM29,$G$9:$J$102,4)*VLOOKUP($FM29,$A$9:$E$102,5)*0.5*(VLOOKUP($FM29-GH$103,Frauen!$G$9:$J$102,4)+VLOOKUP($FM29-GH$103+1,Frauen!$G$9:$J$102,4))*0.5*(VLOOKUP($FM29-GH$103,Frauen!$AZ$9:$BD$102,5)+VLOOKUP($FM29-GH$103+1,Frauen!$AZ$9:$BD$102,5)),RundDx)</f>
        <v>304331671</v>
      </c>
      <c r="GI29" s="25">
        <f>ROUND(v^($FM29+FaktorAlter)*VLOOKUP($FM29,$G$9:$J$102,4)*VLOOKUP($FM29,$A$9:$E$102,5)*0.5*(VLOOKUP($FM29-GI$103,Frauen!$G$9:$J$102,4)+VLOOKUP($FM29-GI$103+1,Frauen!$G$9:$J$102,4))*0.5*(VLOOKUP($FM29-GI$103,Frauen!$AZ$9:$BD$102,5)+VLOOKUP($FM29-GI$103+1,Frauen!$AZ$9:$BD$102,5)),RundDx)</f>
        <v>335432410</v>
      </c>
      <c r="GJ29" s="25">
        <f>ROUND(v^($FM29+FaktorAlter)*VLOOKUP($FM29,$G$9:$J$102,4)*VLOOKUP($FM29,$A$9:$E$102,5)*0.5*(VLOOKUP($FM29-GJ$103,Frauen!$G$9:$J$102,4)+VLOOKUP($FM29-GJ$103+1,Frauen!$G$9:$J$102,4))*0.5*(VLOOKUP($FM29-GJ$103,Frauen!$AZ$9:$BD$102,5)+VLOOKUP($FM29-GJ$103+1,Frauen!$AZ$9:$BD$102,5)),RundDx)</f>
        <v>366964124</v>
      </c>
      <c r="GK29" s="25">
        <f>ROUND(v^($FM29+FaktorAlter)*VLOOKUP($FM29,$G$9:$J$102,4)*VLOOKUP($FM29,$A$9:$E$102,5)*0.5*(VLOOKUP($FM29-GK$103,Frauen!$G$9:$J$102,4)+VLOOKUP($FM29-GK$103+1,Frauen!$G$9:$J$102,4))*0.5*(VLOOKUP($FM29-GK$103,Frauen!$AZ$9:$BD$102,5)+VLOOKUP($FM29-GK$103+1,Frauen!$AZ$9:$BD$102,5)),RundDx)</f>
        <v>398900925</v>
      </c>
      <c r="GL29" s="25">
        <f>ROUND(v^($FM29+FaktorAlter)*VLOOKUP($FM29,$G$9:$J$102,4)*VLOOKUP($FM29,$A$9:$E$102,5)*0.5*(VLOOKUP($FM29-GL$103,Frauen!$G$9:$J$102,4)+VLOOKUP($FM29-GL$103+1,Frauen!$G$9:$J$102,4))*0.5*(VLOOKUP($FM29-GL$103,Frauen!$AZ$9:$BD$102,5)+VLOOKUP($FM29-GL$103+1,Frauen!$AZ$9:$BD$102,5)),RundDx)</f>
        <v>431320766</v>
      </c>
      <c r="GM29" s="25">
        <f>ROUND(v^($FM29+FaktorAlter)*VLOOKUP($FM29,$G$9:$J$102,4)*VLOOKUP($FM29,$A$9:$E$102,5)*0.5*(VLOOKUP($FM29-GM$103,Frauen!$G$9:$J$102,4)+VLOOKUP($FM29-GM$103+1,Frauen!$G$9:$J$102,4))*0.5*(VLOOKUP($FM29-GM$103,Frauen!$AZ$9:$BD$102,5)+VLOOKUP($FM29-GM$103+1,Frauen!$AZ$9:$BD$102,5)),RundDx)</f>
        <v>464255212</v>
      </c>
      <c r="GN29" s="25">
        <f>ROUND(v^($FM29+FaktorAlter)*VLOOKUP($FM29,$G$9:$J$102,4)*VLOOKUP($FM29,$A$9:$E$102,5)*0.5*(VLOOKUP($FM29-GN$103,Frauen!$G$9:$J$102,4)+VLOOKUP($FM29-GN$103+1,Frauen!$G$9:$J$102,4))*0.5*(VLOOKUP($FM29-GN$103,Frauen!$AZ$9:$BD$102,5)+VLOOKUP($FM29-GN$103+1,Frauen!$AZ$9:$BD$102,5)),RundDx)</f>
        <v>497806139</v>
      </c>
      <c r="GO29" s="25">
        <f>ROUND(v^($FM29+FaktorAlter)*VLOOKUP($FM29,$G$9:$J$102,4)*VLOOKUP($FM29,$A$9:$E$102,5)*0.5*(VLOOKUP($FM29-GO$103,Frauen!$G$9:$J$102,4)+VLOOKUP($FM29-GO$103+1,Frauen!$G$9:$J$102,4))*0.5*(VLOOKUP($FM29-GO$103,Frauen!$AZ$9:$BD$102,5)+VLOOKUP($FM29-GO$103+1,Frauen!$AZ$9:$BD$102,5)),RundDx)</f>
        <v>531992411</v>
      </c>
      <c r="GP29" s="25">
        <f>ROUND(v^($FM29+FaktorAlter)*VLOOKUP($FM29,$G$9:$J$102,4)*VLOOKUP($FM29,$A$9:$E$102,5)*0.5*(VLOOKUP($FM29-GP$103,Frauen!$G$9:$J$102,4)+VLOOKUP($FM29-GP$103+1,Frauen!$G$9:$J$102,4))*0.5*(VLOOKUP($FM29-GP$103,Frauen!$AZ$9:$BD$102,5)+VLOOKUP($FM29-GP$103+1,Frauen!$AZ$9:$BD$102,5)),RundDx)</f>
        <v>566735435</v>
      </c>
      <c r="GQ29" s="25">
        <f>ROUND(v^($FM29+FaktorAlter)*VLOOKUP($FM29,$G$9:$J$102,4)*VLOOKUP($FM29,$A$9:$E$102,5)*0.5*(VLOOKUP($FM29-GQ$103,Frauen!$G$9:$J$102,4)+VLOOKUP($FM29-GQ$103+1,Frauen!$G$9:$J$102,4))*0.5*(VLOOKUP($FM29-GQ$103,Frauen!$AZ$9:$BD$102,5)+VLOOKUP($FM29-GQ$103+1,Frauen!$AZ$9:$BD$102,5)),RundDx)</f>
        <v>601883344</v>
      </c>
      <c r="GR29" s="25">
        <f>ROUND(v^($FM29+FaktorAlter)*VLOOKUP($FM29,$G$9:$J$102,4)*VLOOKUP($FM29,$A$9:$E$102,5)*0.5*(VLOOKUP($FM29-GR$103,Frauen!$G$9:$J$102,4)+VLOOKUP($FM29-GR$103+1,Frauen!$G$9:$J$102,4))*0.5*(VLOOKUP($FM29-GR$103,Frauen!$AZ$9:$BD$102,5)+VLOOKUP($FM29-GR$103+1,Frauen!$AZ$9:$BD$102,5)),RundDx)</f>
        <v>637183807</v>
      </c>
      <c r="GS29" s="24">
        <f>ROUND(SUM(FN29:FN$56)/VLOOKUP($FM29,$AQ$9:$AR$102,2)/VLOOKUP($FM29-GS$103,Frauen!$G$9:$J$102,4),Rundäx)</f>
        <v>0.17899999999999999</v>
      </c>
      <c r="GT29" s="24">
        <f>ROUND(SUM(FO29:FO$56)/VLOOKUP($FM29,$AQ$9:$AR$102,2)/VLOOKUP($FM29-GT$103,Frauen!$G$9:$J$102,4),Rundäx)</f>
        <v>0.23100000000000001</v>
      </c>
      <c r="GU29" s="24">
        <f>ROUND(SUM(FP29:FP$56)/VLOOKUP($FM29,$AQ$9:$AR$102,2)/VLOOKUP($FM29-GU$103,Frauen!$G$9:$J$102,4),Rundäx)</f>
        <v>0.28999999999999998</v>
      </c>
      <c r="GV29" s="24">
        <f>ROUND(SUM(FQ29:FQ$56)/VLOOKUP($FM29,$AQ$9:$AR$102,2)/VLOOKUP($FM29-GV$103,Frauen!$G$9:$J$102,4),Rundäx)</f>
        <v>0.35899999999999999</v>
      </c>
      <c r="GW29" s="24">
        <f>ROUND(SUM(FR29:FR$56)/VLOOKUP($FM29,$AQ$9:$AR$102,2)/VLOOKUP($FM29-GW$103,Frauen!$G$9:$J$102,4),Rundäx)</f>
        <v>0.438</v>
      </c>
      <c r="GX29" s="24">
        <f>ROUND(SUM(FS29:FS$56)/VLOOKUP($FM29,$AQ$9:$AR$102,2)/VLOOKUP($FM29-GX$103,Frauen!$G$9:$J$102,4),Rundäx)</f>
        <v>0.52900000000000003</v>
      </c>
      <c r="GY29" s="24">
        <f>ROUND(SUM(FT29:FT$56)/VLOOKUP($FM29,$AQ$9:$AR$102,2)/VLOOKUP($FM29-GY$103,Frauen!$G$9:$J$102,4),Rundäx)</f>
        <v>0.63200000000000001</v>
      </c>
      <c r="GZ29" s="24">
        <f>ROUND(SUM(FU29:FU$56)/VLOOKUP($FM29,$AQ$9:$AR$102,2)/VLOOKUP($FM29-GZ$103,Frauen!$G$9:$J$102,4),Rundäx)</f>
        <v>0.75</v>
      </c>
      <c r="HA29" s="86"/>
      <c r="HB29" s="35">
        <f t="shared" si="63"/>
        <v>85</v>
      </c>
      <c r="HC29" s="24">
        <f>ROUND(SUM(FV29:FV$56)/VLOOKUP($FM29,$AQ$9:$AR$102,2)/VLOOKUP($FM29-HC$103,Frauen!$G$9:$J$102,4),Rundäx)</f>
        <v>0.88400000000000001</v>
      </c>
      <c r="HD29" s="24">
        <f>ROUND(SUM(FW29:FW$56)/VLOOKUP($FM29,$AQ$9:$AR$102,2)/VLOOKUP($FM29-HD$103,Frauen!$G$9:$J$102,4),Rundäx)</f>
        <v>1.0349999999999999</v>
      </c>
      <c r="HE29" s="24">
        <f>ROUND(SUM(FX29:FX$56)/VLOOKUP($FM29,$AQ$9:$AR$102,2)/VLOOKUP($FM29-HE$103,Frauen!$G$9:$J$102,4),Rundäx)</f>
        <v>1.204</v>
      </c>
      <c r="HF29" s="24">
        <f>ROUND(SUM(FY29:FY$56)/VLOOKUP($FM29,$AQ$9:$AR$102,2)/VLOOKUP($FM29-HF$103,Frauen!$G$9:$J$102,4),Rundäx)</f>
        <v>1.3919999999999999</v>
      </c>
      <c r="HG29" s="24">
        <f>ROUND(SUM(FZ29:FZ$56)/VLOOKUP($FM29,$AQ$9:$AR$102,2)/VLOOKUP($FM29-HG$103,Frauen!$G$9:$J$102,4),Rundäx)</f>
        <v>1.6020000000000001</v>
      </c>
      <c r="HH29" s="24">
        <f>ROUND(SUM(GA29:GA$56)/VLOOKUP($FM29,$AQ$9:$AR$102,2)/VLOOKUP($FM29-HH$103,Frauen!$G$9:$J$102,4),Rundäx)</f>
        <v>1.835</v>
      </c>
      <c r="HI29" s="24">
        <f>ROUND(SUM(GB29:GB$56)/VLOOKUP($FM29,$AQ$9:$AR$102,2)/VLOOKUP($FM29-HI$103,Frauen!$G$9:$J$102,4),Rundäx)</f>
        <v>2.093</v>
      </c>
      <c r="HJ29" s="24">
        <f>ROUND(SUM(GC29:GC$56)/VLOOKUP($FM29,$AQ$9:$AR$102,2)/VLOOKUP($FM29-HJ$103,Frauen!$G$9:$J$102,4),Rundäx)</f>
        <v>2.3769999999999998</v>
      </c>
      <c r="HK29" s="86"/>
      <c r="HL29" s="35">
        <f t="shared" si="64"/>
        <v>85</v>
      </c>
      <c r="HM29" s="24">
        <f>ROUND(SUM(GD29:GD$56)/VLOOKUP($FM29,$AQ$9:$AR$102,2)/VLOOKUP($FM29-HM$103,Frauen!$G$9:$J$102,4),Rundäx)</f>
        <v>2.69</v>
      </c>
      <c r="HN29" s="24">
        <f>ROUND(SUM(GE29:GE$56)/VLOOKUP($FM29,$AQ$9:$AR$102,2)/VLOOKUP($FM29-HN$103,Frauen!$G$9:$J$102,4),Rundäx)</f>
        <v>3.0310000000000001</v>
      </c>
      <c r="HO29" s="24">
        <f>ROUND(SUM(GF29:GF$56)/VLOOKUP($FM29,$AQ$9:$AR$102,2)/VLOOKUP($FM29-HO$103,Frauen!$G$9:$J$102,4),Rundäx)</f>
        <v>3.4</v>
      </c>
      <c r="HP29" s="24">
        <f>ROUND(SUM(GG29:GG$56)/VLOOKUP($FM29,$AQ$9:$AR$102,2)/VLOOKUP($FM29-HP$103,Frauen!$G$9:$J$102,4),Rundäx)</f>
        <v>3.7970000000000002</v>
      </c>
      <c r="HQ29" s="24">
        <f>ROUND(SUM(GH29:GH$56)/VLOOKUP($FM29,$AQ$9:$AR$102,2)/VLOOKUP($FM29-HQ$103,Frauen!$G$9:$J$102,4),Rundäx)</f>
        <v>4.2190000000000003</v>
      </c>
      <c r="HR29" s="24">
        <f>ROUND(SUM(GI29:GI$56)/VLOOKUP($FM29,$AQ$9:$AR$102,2)/VLOOKUP($FM29-HR$103,Frauen!$G$9:$J$102,4),Rundäx)</f>
        <v>4.6639999999999997</v>
      </c>
      <c r="HS29" s="24">
        <f>ROUND(SUM(GJ29:GJ$56)/VLOOKUP($FM29,$AQ$9:$AR$102,2)/VLOOKUP($FM29-HS$103,Frauen!$G$9:$J$102,4),Rundäx)</f>
        <v>5.1280000000000001</v>
      </c>
      <c r="HT29" s="24">
        <f>ROUND(SUM(GK29:GK$56)/VLOOKUP($FM29,$AQ$9:$AR$102,2)/VLOOKUP($FM29-HT$103,Frauen!$G$9:$J$102,4),Rundäx)</f>
        <v>5.6059999999999999</v>
      </c>
      <c r="HU29" s="86"/>
      <c r="HV29" s="35">
        <f t="shared" si="65"/>
        <v>85</v>
      </c>
      <c r="HW29" s="24">
        <f>ROUND(SUM(GL29:GL$56)/VLOOKUP($FM29,$AQ$9:$AR$102,2)/VLOOKUP($FM29-HW$103,Frauen!$G$9:$J$102,4),Rundäx)</f>
        <v>6.0949999999999998</v>
      </c>
      <c r="HX29" s="24">
        <f>ROUND(SUM(GM29:GM$56)/VLOOKUP($FM29,$AQ$9:$AR$102,2)/VLOOKUP($FM29-HX$103,Frauen!$G$9:$J$102,4),Rundäx)</f>
        <v>6.5890000000000004</v>
      </c>
      <c r="HY29" s="24">
        <f>ROUND(SUM(GN29:GN$56)/VLOOKUP($FM29,$AQ$9:$AR$102,2)/VLOOKUP($FM29-HY$103,Frauen!$G$9:$J$102,4),Rundäx)</f>
        <v>7.085</v>
      </c>
      <c r="HZ29" s="24">
        <f>ROUND(SUM(GO29:GO$56)/VLOOKUP($FM29,$AQ$9:$AR$102,2)/VLOOKUP($FM29-HZ$103,Frauen!$G$9:$J$102,4),Rundäx)</f>
        <v>7.58</v>
      </c>
      <c r="IA29" s="24">
        <f>ROUND(SUM(GP29:GP$56)/VLOOKUP($FM29,$AQ$9:$AR$102,2)/VLOOKUP($FM29-IA$103,Frauen!$G$9:$J$102,4),Rundäx)</f>
        <v>8.0739999999999998</v>
      </c>
      <c r="IB29" s="24">
        <f>ROUND(SUM(GQ29:GQ$56)/VLOOKUP($FM29,$AQ$9:$AR$102,2)/VLOOKUP($FM29-IB$103,Frauen!$G$9:$J$102,4),Rundäx)</f>
        <v>8.5679999999999996</v>
      </c>
      <c r="IC29" s="24">
        <f>ROUND(SUM(GR29:GR$56)/VLOOKUP($FM29,$AQ$9:$AR$102,2)/VLOOKUP($FM29-IC$103,Frauen!$G$9:$J$102,4),Rundäx)</f>
        <v>9.0619999999999994</v>
      </c>
      <c r="ID29" s="89"/>
      <c r="IE29" s="35">
        <f t="shared" si="66"/>
        <v>37</v>
      </c>
      <c r="IF29" s="25">
        <f t="shared" si="31"/>
        <v>882</v>
      </c>
      <c r="IG29" s="25">
        <f>IF($IE29&lt;RAM,IF(S30&lt;=RAK,ROUND(SUM(IF29:INDEX(Dakx,RAM-BeginnAlter))+INDEX(Dax,RAM-BeginnAlter+1)*INDEX(äkx,1),RundDx),0),"")</f>
        <v>11313</v>
      </c>
      <c r="IH29" s="25">
        <f>IF($IE29&lt;RAM,IF(S30&lt;=RAK,ROUND(SUM(IG29:INDEX(Nakx,RAM-BeginnAlter))+INDEX(Dax,RAM-BeginnAlter+1)*INDEX(äkx,1),RundDx),0),"")</f>
        <v>95859</v>
      </c>
      <c r="II29" s="24">
        <f t="shared" si="32"/>
        <v>0.26400000000000001</v>
      </c>
      <c r="IJ29" s="25">
        <f t="shared" si="33"/>
        <v>24780</v>
      </c>
      <c r="IK29" s="25">
        <f>IF($IE29&lt;RAM,IF(S30&lt;=RAK,SUM(IJ29:INDEX(Dikx,RAM-BeginnAlter))+INDEX(Dix,RAM-BeginnAlter+1)*INDEX(äkx,1),0),"")</f>
        <v>202363.83199999999</v>
      </c>
      <c r="IL29" s="24">
        <f t="shared" si="34"/>
        <v>2.931</v>
      </c>
      <c r="IM29" s="86"/>
      <c r="IN29" s="35">
        <f t="shared" si="67"/>
        <v>85</v>
      </c>
      <c r="IO29" s="25"/>
      <c r="IP29" s="25"/>
      <c r="IQ29" s="24"/>
      <c r="IR29" s="86"/>
    </row>
    <row r="30" spans="1:252" ht="15.75" customHeight="1" x14ac:dyDescent="0.25">
      <c r="A30" s="35">
        <f t="shared" si="41"/>
        <v>38</v>
      </c>
      <c r="B30" s="77">
        <v>9.5417713630102511E-4</v>
      </c>
      <c r="C30" s="77">
        <v>1.4599274241461218E-3</v>
      </c>
      <c r="D30" s="77">
        <v>1.9116401109156696E-2</v>
      </c>
      <c r="E30" s="77">
        <v>1.1969609364698153E-3</v>
      </c>
      <c r="F30" s="86"/>
      <c r="G30" s="35">
        <f t="shared" si="42"/>
        <v>38</v>
      </c>
      <c r="H30" s="25">
        <f t="shared" si="37"/>
        <v>97319</v>
      </c>
      <c r="I30" s="25">
        <f t="shared" si="38"/>
        <v>1264</v>
      </c>
      <c r="J30" s="25">
        <f t="shared" si="39"/>
        <v>98583</v>
      </c>
      <c r="K30" s="30">
        <f>IF(J30&gt;0,ROUND(SUM(J30:J$102)/J30-0.5,Rundex),"")</f>
        <v>41.53</v>
      </c>
      <c r="L30" s="25">
        <f t="shared" si="0"/>
        <v>154307</v>
      </c>
      <c r="M30" s="30">
        <f>IF(L30&gt;0,ROUND(SUM(L30:L$102)/L30-0.5,Rundex),"")</f>
        <v>30.65</v>
      </c>
      <c r="N30" s="86"/>
      <c r="O30" s="35">
        <f t="shared" si="43"/>
        <v>38</v>
      </c>
      <c r="P30" s="43">
        <v>0.60257439756792919</v>
      </c>
      <c r="Q30" s="78">
        <v>37.066938615768059</v>
      </c>
      <c r="R30" s="43">
        <v>1.3815352049915677</v>
      </c>
      <c r="S30" s="78">
        <v>8.6488565095000443</v>
      </c>
      <c r="T30" s="15">
        <v>1.2007647866197901E-3</v>
      </c>
      <c r="U30" s="11">
        <f t="shared" si="40"/>
        <v>98582</v>
      </c>
      <c r="V30" s="30">
        <f>IF(U30&gt;0,ROUND(SUM(U30:U$102)/U30-0.5,Rundex),"")</f>
        <v>39.14</v>
      </c>
      <c r="W30" s="86"/>
      <c r="X30" s="35">
        <f t="shared" si="44"/>
        <v>38</v>
      </c>
      <c r="Y30" s="25">
        <f t="shared" si="1"/>
        <v>41782</v>
      </c>
      <c r="Z30" s="25">
        <f>IF($X30&lt;RAM,SUM(Y30:INDEX(Dax,RAM-BeginnAlter))," ")</f>
        <v>795371</v>
      </c>
      <c r="AA30" s="25">
        <f t="shared" si="2"/>
        <v>39</v>
      </c>
      <c r="AB30" s="25">
        <f>IF($X30&lt;RAM,SUM(AA30:INDEX(Cax,RAM-BeginnAlter))," ")</f>
        <v>2186</v>
      </c>
      <c r="AC30" s="25">
        <f t="shared" si="3"/>
        <v>60</v>
      </c>
      <c r="AD30" s="25">
        <f>IF($X30&lt;RAM,SUM(AC30:INDEX(Caix,RAM-BeginnAlter))," ")</f>
        <v>7416</v>
      </c>
      <c r="AE30" s="24">
        <f t="shared" si="4"/>
        <v>19.036000000000001</v>
      </c>
      <c r="AF30" s="24">
        <f t="shared" si="5"/>
        <v>18.739999999999998</v>
      </c>
      <c r="AG30" s="86"/>
      <c r="AH30" s="35">
        <f t="shared" si="45"/>
        <v>38</v>
      </c>
      <c r="AI30" s="25">
        <f t="shared" si="6"/>
        <v>66249</v>
      </c>
      <c r="AJ30" s="25">
        <f>IF($AH30&gt;RAM," ",IF($AH30&lt;RAM,SUM(AI30:INDEX(Dix,RAM-BeginnAlter))+INDEX(Nx,RAM-BeginnAlter+1),INDEX(Nx,RAM-BeginnAlter+1)))</f>
        <v>1382906</v>
      </c>
      <c r="AK30" s="25">
        <f>IF($AH30&lt;RAM,SUM(AI30:INDEX(Dix,RAM-BeginnAlter))," ")</f>
        <v>1085659</v>
      </c>
      <c r="AL30" s="24">
        <f t="shared" si="7"/>
        <v>20.873999999999999</v>
      </c>
      <c r="AM30" s="24">
        <f t="shared" si="8"/>
        <v>20.416</v>
      </c>
      <c r="AN30" s="24">
        <f t="shared" si="9"/>
        <v>16.388000000000002</v>
      </c>
      <c r="AO30" s="24">
        <f t="shared" si="10"/>
        <v>16.071000000000002</v>
      </c>
      <c r="AP30" s="86"/>
      <c r="AQ30" s="35">
        <f t="shared" si="46"/>
        <v>38</v>
      </c>
      <c r="AR30" s="25">
        <f t="shared" si="11"/>
        <v>42325</v>
      </c>
      <c r="AS30" s="25">
        <f>SUM(AR30:AR$94)</f>
        <v>1140833</v>
      </c>
      <c r="AT30" s="25">
        <f>IF($AQ30&lt;RAM,SUM(AR30:INDEX(Dx,RAM-BeginnAlter))," ")</f>
        <v>843586</v>
      </c>
      <c r="AU30" s="24">
        <f t="shared" si="12"/>
        <v>26.954000000000001</v>
      </c>
      <c r="AV30" s="24">
        <f t="shared" si="13"/>
        <v>26.495999999999999</v>
      </c>
      <c r="AW30" s="24">
        <f t="shared" si="14"/>
        <v>19.931000000000001</v>
      </c>
      <c r="AX30" s="24">
        <f t="shared" si="15"/>
        <v>19.695</v>
      </c>
      <c r="AY30" s="86"/>
      <c r="AZ30" s="35">
        <f t="shared" si="47"/>
        <v>38</v>
      </c>
      <c r="BA30" s="25">
        <f t="shared" si="16"/>
        <v>42324</v>
      </c>
      <c r="BB30" s="25">
        <f>SUM(BA30:BA$94)</f>
        <v>1098777</v>
      </c>
      <c r="BC30" s="24">
        <f t="shared" si="17"/>
        <v>25.960999999999999</v>
      </c>
      <c r="BD30" s="24">
        <f t="shared" si="18"/>
        <v>25.503</v>
      </c>
      <c r="BE30" s="86"/>
      <c r="BF30" s="35">
        <f t="shared" si="48"/>
        <v>21</v>
      </c>
      <c r="BG30" s="24">
        <f t="shared" si="19"/>
        <v>3.87</v>
      </c>
      <c r="BH30" s="24">
        <f t="shared" si="20"/>
        <v>3.831</v>
      </c>
      <c r="BI30" s="86"/>
      <c r="BJ30" s="35">
        <f t="shared" si="49"/>
        <v>38</v>
      </c>
      <c r="BK30" s="25">
        <f t="shared" si="21"/>
        <v>1227</v>
      </c>
      <c r="BL30" s="25">
        <f>IF(BJ30&lt;RAM,SUM(BK30:INDEX(Daix,RAM-BeginnAlter))," ")</f>
        <v>119945</v>
      </c>
      <c r="BM30" s="25">
        <f>IF(BJ30&lt;RAM,SUM(BL30:INDEX(Naix,RAM-BeginnAlter))," ")</f>
        <v>2349347</v>
      </c>
      <c r="BN30" s="24">
        <f t="shared" si="22"/>
        <v>4.9720000000000004</v>
      </c>
      <c r="BO30" s="24">
        <f t="shared" si="23"/>
        <v>2.871</v>
      </c>
      <c r="BP30" s="86"/>
      <c r="BQ30" s="35">
        <f t="shared" si="50"/>
        <v>38</v>
      </c>
      <c r="BR30" s="25">
        <f t="shared" si="51"/>
        <v>959</v>
      </c>
      <c r="BS30" s="25">
        <f>IF(BQ30&lt;RAM,SUM(BR30:INDEX(Daixs,RAM-BeginnAlter))," ")</f>
        <v>42197</v>
      </c>
      <c r="BT30" s="25">
        <f>IF(BQ30&lt;RAM,SUM(BS30:INDEX(Naixs,RAM-BeginnAlter))," ")</f>
        <v>665041</v>
      </c>
      <c r="BU30" s="24">
        <f t="shared" si="52"/>
        <v>6.8330000000000002</v>
      </c>
      <c r="BV30" s="24">
        <f t="shared" si="53"/>
        <v>1.01</v>
      </c>
      <c r="BW30" s="86"/>
      <c r="BX30" s="35">
        <f t="shared" si="54"/>
        <v>38</v>
      </c>
      <c r="BY30" s="10">
        <f t="shared" si="24"/>
        <v>11.896684110092712</v>
      </c>
      <c r="BZ30" s="11">
        <f t="shared" si="25"/>
        <v>985</v>
      </c>
      <c r="CA30" s="25">
        <f>IF(S31&lt;=RAK,IF($BX30&lt;RAM,SUM(BZ30:INDEX(Dazx,RAM-BeginnAlter)),""),"")</f>
        <v>14358</v>
      </c>
      <c r="CB30" s="24">
        <f t="shared" si="26"/>
        <v>0.34399999999999997</v>
      </c>
      <c r="CC30" s="25">
        <f t="shared" si="27"/>
        <v>28376</v>
      </c>
      <c r="CD30" s="24">
        <f t="shared" si="28"/>
        <v>19.327000000000002</v>
      </c>
      <c r="CE30" s="24">
        <f t="shared" si="29"/>
        <v>2.4E-2</v>
      </c>
      <c r="CF30" s="86"/>
      <c r="CG30" s="35">
        <f t="shared" si="55"/>
        <v>38</v>
      </c>
      <c r="CH30" s="25">
        <f>IF(CG30&lt;RAM,ROUND(v^($CG30+FaktorAlter)*$H30*($B30*0.5*($P30+$P31)*(VLOOKUP(TRUNC(0.5*($Q30+$Q31),0),Frauen!$AZ$9:$BD$95,5)+(0.5*($Q30+$Q31)-TRUNC(0.5*($Q30+$Q31),0))*(VLOOKUP(TRUNC(0.5*($Q30+$Q31)+1,0),Frauen!$AZ$9:$BD$95,5)-VLOOKUP(TRUNC(0.5*($Q30+$Q31),0),Frauen!$AZ$9:$BD$95,5)))+$C30*0.5*($CN30+$CN31)),RundDx),"")</f>
        <v>1151</v>
      </c>
      <c r="CI30" s="25">
        <f>IF(CG30&lt;RAM,ROUND(SUM(CH30:INDEX(Dawx,RAM-BeginnAlter))+INDEX(Dax,RAM-BeginnAlter+1)*INDEX(äwx,1),RundDx),"")</f>
        <v>159727</v>
      </c>
      <c r="CJ30" s="25">
        <f>IF(CG30&lt;RAM,ROUND(SUM(CI30:INDEX(Nawx,RAM-BeginnAlter))+INDEX(Dax,RAM-BeginnAlter+1)*INDEX(äwx,1),RundDx),"")</f>
        <v>3673076</v>
      </c>
      <c r="CK30" s="24">
        <f t="shared" si="56"/>
        <v>3.823</v>
      </c>
      <c r="CL30" s="25">
        <f>IF(CG30&lt;RAM,ROUND(v^($CG30+FaktorAlter)*$L30*$D30*0.5*($P30+$P31)*(VLOOKUP(TRUNC(0.5*($Q30+$Q31),0),Frauen!$AZ$9:$BD$95,5)+(0.5*($Q30+$Q31)-TRUNC(0.5*($Q30+$Q31),0))*(VLOOKUP(TRUNC(0.5*($Q30+$Q31)+1,0),Frauen!$AZ$9:$BD$95,5)-VLOOKUP(TRUNC(0.5*($Q30+$Q31),0),Frauen!$AZ$9:$BD$95,5))),RundDx),"")</f>
        <v>21893</v>
      </c>
      <c r="CM30" s="25">
        <f>IF(CG30&lt;RAM,SUM(CL30:INDEX(Diwx,RAM-BeginnAlter))+INDEX(Dix,RAM-BeginnAlter+1)*INDEX(äwx,1),"")</f>
        <v>507404.41399999999</v>
      </c>
      <c r="CN30" s="24">
        <f t="shared" si="57"/>
        <v>7.6589999999999998</v>
      </c>
      <c r="CO30" s="86"/>
      <c r="CP30" s="35">
        <f t="shared" si="58"/>
        <v>86</v>
      </c>
      <c r="CQ30" s="11">
        <f>ROUND(v^($CP30+FaktorAlter)*VLOOKUP(CP30,G$9:J$102,4)*VLOOKUP(CP30,A$9:E$102,5)*0.5*(VLOOKUP(CP30,O$9:P$102,2)+VLOOKUP(CP30+1,O$9:P$102,2))*(VLOOKUP(TRUNC(0.5*(VLOOKUP(CP30,O$9:Q$102,3)+VLOOKUP(CP30+1,O$9:Q$102,3)),0),Frauen!$AZ$9:$BD$95,5)+(0.5*(VLOOKUP(CP30,O$9:Q$102,3)+VLOOKUP(CP30+1,O$9:Q$102,3))-TRUNC(0.5*(VLOOKUP(CP30,O$9:Q$102,3)+VLOOKUP(CP30+1,O$9:Q$102,3)),0))*(VLOOKUP(TRUNC(0.5*(VLOOKUP(CP30,O$9:Q$102,3)+VLOOKUP(CP30+1,O$9:Q$102,3))+1,0),Frauen!$AZ$9:$BD$95,5)-VLOOKUP(TRUNC(0.5*(VLOOKUP(CP30,O$9:Q$102,3)+VLOOKUP(CP30+1,O$9:Q$102,3)),0),Frauen!$AZ$9:$BD$95,5))),RundDx)</f>
        <v>2764</v>
      </c>
      <c r="CR30" s="25">
        <f>SUM(CQ30:CQ$56)</f>
        <v>13818</v>
      </c>
      <c r="CS30" s="24">
        <f t="shared" si="30"/>
        <v>2.8340000000000001</v>
      </c>
      <c r="CT30" s="86"/>
      <c r="CU30" s="35">
        <f t="shared" si="59"/>
        <v>38</v>
      </c>
      <c r="CV30" s="25">
        <f>IF($CU30&gt;=RAM,"",IF($CU30-CV$103&lt;BeginnAlter,"",ROUND(v^($CU30+FaktorAlter)*$L30*$D30*0.5*(VLOOKUP($CU30-CV$103,Frauen!$G$9:$J$102,4)+VLOOKUP($CU30-CV$103+1,Frauen!$G$9:$J$102,4))*0.5*(VLOOKUP($CU30-CV$103,Frauen!$AZ$9:$BD$102,5)+VLOOKUP($CU30-CV$103+1,Frauen!$AZ$9:$BD$102,5)),RundDx)))</f>
        <v>2642264713</v>
      </c>
      <c r="CW30" s="25">
        <f>IF($CU30&gt;=RAM,"",IF($CU30-CW$103&lt;BeginnAlter,"",ROUND(v^($CU30+FaktorAlter)*$L30*$D30*0.5*(VLOOKUP($CU30-CW$103,Frauen!$G$9:$J$102,4)+VLOOKUP($CU30-CW$103+1,Frauen!$G$9:$J$102,4))*0.5*(VLOOKUP($CU30-CW$103,Frauen!$AZ$9:$BD$102,5)+VLOOKUP($CU30-CW$103+1,Frauen!$AZ$9:$BD$102,5)),RundDx)))</f>
        <v>2705879571</v>
      </c>
      <c r="CX30" s="25">
        <f>IF($CU30&gt;=RAM,"",IF($CU30-CX$103&lt;BeginnAlter,"",ROUND(v^($CU30+FaktorAlter)*$L30*$D30*0.5*(VLOOKUP($CU30-CX$103,Frauen!$G$9:$J$102,4)+VLOOKUP($CU30-CX$103+1,Frauen!$G$9:$J$102,4))*0.5*(VLOOKUP($CU30-CX$103,Frauen!$AZ$9:$BD$102,5)+VLOOKUP($CU30-CX$103+1,Frauen!$AZ$9:$BD$102,5)),RundDx)))</f>
        <v>2768725106</v>
      </c>
      <c r="CY30" s="25">
        <f>IF($CU30&gt;=RAM,"",IF($CU30-CY$103&lt;BeginnAlter,"",ROUND(v^($CU30+FaktorAlter)*$L30*$D30*0.5*(VLOOKUP($CU30-CY$103,Frauen!$G$9:$J$102,4)+VLOOKUP($CU30-CY$103+1,Frauen!$G$9:$J$102,4))*0.5*(VLOOKUP($CU30-CY$103,Frauen!$AZ$9:$BD$102,5)+VLOOKUP($CU30-CY$103+1,Frauen!$AZ$9:$BD$102,5)),RundDx)))</f>
        <v>2830510017</v>
      </c>
      <c r="CZ30" s="25">
        <f>IF($CU30&gt;=RAM,"",IF($CU30-CZ$103&lt;BeginnAlter,"",ROUND(v^($CU30+FaktorAlter)*$L30*$D30*0.5*(VLOOKUP($CU30-CZ$103,Frauen!$G$9:$J$102,4)+VLOOKUP($CU30-CZ$103+1,Frauen!$G$9:$J$102,4))*0.5*(VLOOKUP($CU30-CZ$103,Frauen!$AZ$9:$BD$102,5)+VLOOKUP($CU30-CZ$103+1,Frauen!$AZ$9:$BD$102,5)),RundDx)))</f>
        <v>2891052200</v>
      </c>
      <c r="DA30" s="25">
        <f>IF($CU30&gt;=RAM,"",IF($CU30-DA$103&lt;BeginnAlter,"",ROUND(v^($CU30+FaktorAlter)*$L30*$D30*0.5*(VLOOKUP($CU30-DA$103,Frauen!$G$9:$J$102,4)+VLOOKUP($CU30-DA$103+1,Frauen!$G$9:$J$102,4))*0.5*(VLOOKUP($CU30-DA$103,Frauen!$AZ$9:$BD$102,5)+VLOOKUP($CU30-DA$103+1,Frauen!$AZ$9:$BD$102,5)),RundDx)))</f>
        <v>2950294409</v>
      </c>
      <c r="DB30" s="25">
        <f>IF($CU30&gt;=RAM,"",IF($CU30-DB$103&lt;BeginnAlter,"",ROUND(v^($CU30+FaktorAlter)*$L30*$D30*0.5*(VLOOKUP($CU30-DB$103,Frauen!$G$9:$J$102,4)+VLOOKUP($CU30-DB$103+1,Frauen!$G$9:$J$102,4))*0.5*(VLOOKUP($CU30-DB$103,Frauen!$AZ$9:$BD$102,5)+VLOOKUP($CU30-DB$103+1,Frauen!$AZ$9:$BD$102,5)),RundDx)))</f>
        <v>3008244511</v>
      </c>
      <c r="DC30" s="25">
        <f>IF($CU30&gt;=RAM,"",IF($CU30-DC$103&lt;BeginnAlter,"",ROUND(v^($CU30+FaktorAlter)*$L30*$D30*0.5*(VLOOKUP($CU30-DC$103,Frauen!$G$9:$J$102,4)+VLOOKUP($CU30-DC$103+1,Frauen!$G$9:$J$102,4))*0.5*(VLOOKUP($CU30-DC$103,Frauen!$AZ$9:$BD$102,5)+VLOOKUP($CU30-DC$103+1,Frauen!$AZ$9:$BD$102,5)),RundDx)))</f>
        <v>3064960412</v>
      </c>
      <c r="DD30" s="25">
        <f>IF($CU30&gt;=RAM,"",IF($CU30-DD$103&lt;BeginnAlter,"",ROUND(v^($CU30+FaktorAlter)*$L30*$D30*0.5*(VLOOKUP($CU30-DD$103,Frauen!$G$9:$J$102,4)+VLOOKUP($CU30-DD$103+1,Frauen!$G$9:$J$102,4))*0.5*(VLOOKUP($CU30-DD$103,Frauen!$AZ$9:$BD$102,5)+VLOOKUP($CU30-DD$103+1,Frauen!$AZ$9:$BD$102,5)),RundDx)))</f>
        <v>3120364689</v>
      </c>
      <c r="DE30" s="25">
        <f>IF($CU30&gt;=RAM,"",IF($CU30-DE$103&lt;BeginnAlter,"",ROUND(v^($CU30+FaktorAlter)*$L30*$D30*0.5*(VLOOKUP($CU30-DE$103,Frauen!$G$9:$J$102,4)+VLOOKUP($CU30-DE$103+1,Frauen!$G$9:$J$102,4))*0.5*(VLOOKUP($CU30-DE$103,Frauen!$AZ$9:$BD$102,5)+VLOOKUP($CU30-DE$103+1,Frauen!$AZ$9:$BD$102,5)),RundDx)))</f>
        <v>3174475352</v>
      </c>
      <c r="DF30" s="25">
        <f>IF($CU30&gt;=RAM,"",IF($CU30-DF$103&lt;BeginnAlter,"",ROUND(v^($CU30+FaktorAlter)*$L30*$D30*0.5*(VLOOKUP($CU30-DF$103,Frauen!$G$9:$J$102,4)+VLOOKUP($CU30-DF$103+1,Frauen!$G$9:$J$102,4))*0.5*(VLOOKUP($CU30-DF$103,Frauen!$AZ$9:$BD$102,5)+VLOOKUP($CU30-DF$103+1,Frauen!$AZ$9:$BD$102,5)),RundDx)))</f>
        <v>3227421324</v>
      </c>
      <c r="DG30" s="25">
        <f>IF($CU30&gt;=RAM,"",IF($CU30-DG$103&lt;BeginnAlter,"",ROUND(v^($CU30+FaktorAlter)*$L30*$D30*0.5*(VLOOKUP($CU30-DG$103,Frauen!$G$9:$J$102,4)+VLOOKUP($CU30-DG$103+1,Frauen!$G$9:$J$102,4))*0.5*(VLOOKUP($CU30-DG$103,Frauen!$AZ$9:$BD$102,5)+VLOOKUP($CU30-DG$103+1,Frauen!$AZ$9:$BD$102,5)),RundDx)))</f>
        <v>3279228094</v>
      </c>
      <c r="DH30" s="25">
        <f>IF($CU30&gt;=RAM,"",IF($CU30-DH$103&lt;BeginnAlter,"",ROUND(v^($CU30+FaktorAlter)*$L30*$D30*0.5*(VLOOKUP($CU30-DH$103,Frauen!$G$9:$J$102,4)+VLOOKUP($CU30-DH$103+1,Frauen!$G$9:$J$102,4))*0.5*(VLOOKUP($CU30-DH$103,Frauen!$AZ$9:$BD$102,5)+VLOOKUP($CU30-DH$103+1,Frauen!$AZ$9:$BD$102,5)),RundDx)))</f>
        <v>3329907864</v>
      </c>
      <c r="DI30" s="25">
        <f>IF($CU30&gt;=RAM,"",IF($CU30-DI$103&lt;BeginnAlter,"",ROUND(v^($CU30+FaktorAlter)*$L30*$D30*0.5*(VLOOKUP($CU30-DI$103,Frauen!$G$9:$J$102,4)+VLOOKUP($CU30-DI$103+1,Frauen!$G$9:$J$102,4))*0.5*(VLOOKUP($CU30-DI$103,Frauen!$AZ$9:$BD$102,5)+VLOOKUP($CU30-DI$103+1,Frauen!$AZ$9:$BD$102,5)),RundDx)))</f>
        <v>3379458258</v>
      </c>
      <c r="DJ30" s="25">
        <f>IF($CU30&gt;=RAM,"",IF($CU30-DJ$103&lt;BeginnAlter,"",ROUND(v^($CU30+FaktorAlter)*$L30*$D30*0.5*(VLOOKUP($CU30-DJ$103,Frauen!$G$9:$J$102,4)+VLOOKUP($CU30-DJ$103+1,Frauen!$G$9:$J$102,4))*0.5*(VLOOKUP($CU30-DJ$103,Frauen!$AZ$9:$BD$102,5)+VLOOKUP($CU30-DJ$103+1,Frauen!$AZ$9:$BD$102,5)),RundDx)))</f>
        <v>3427913054</v>
      </c>
      <c r="DK30" s="25">
        <f>IF($CU30&gt;=RAM,"",IF($CU30-DK$103&lt;BeginnAlter,"",ROUND(v^($CU30+FaktorAlter)*$L30*$D30*0.5*(VLOOKUP($CU30-DK$103,Frauen!$G$9:$J$102,4)+VLOOKUP($CU30-DK$103+1,Frauen!$G$9:$J$102,4))*0.5*(VLOOKUP($CU30-DK$103,Frauen!$AZ$9:$BD$102,5)+VLOOKUP($CU30-DK$103+1,Frauen!$AZ$9:$BD$102,5)),RundDx)))</f>
        <v>3475291745</v>
      </c>
      <c r="DL30" s="25">
        <f>IF($CU30&gt;=RAM,"",IF($CU30-DL$103&lt;BeginnAlter,"",ROUND(v^($CU30+FaktorAlter)*$L30*$D30*0.5*(VLOOKUP($CU30-DL$103,Frauen!$G$9:$J$102,4)+VLOOKUP($CU30-DL$103+1,Frauen!$G$9:$J$102,4))*0.5*(VLOOKUP($CU30-DL$103,Frauen!$AZ$9:$BD$102,5)+VLOOKUP($CU30-DL$103+1,Frauen!$AZ$9:$BD$102,5)),RundDx)))</f>
        <v>3521678157</v>
      </c>
      <c r="DM30" s="25">
        <f>IF($CU30&gt;=RAM,"",IF($CU30-DM$103&lt;BeginnAlter,"",ROUND(v^($CU30+FaktorAlter)*$L30*$D30*0.5*(VLOOKUP($CU30-DM$103,Frauen!$G$9:$J$102,4)+VLOOKUP($CU30-DM$103+1,Frauen!$G$9:$J$102,4))*0.5*(VLOOKUP($CU30-DM$103,Frauen!$AZ$9:$BD$102,5)+VLOOKUP($CU30-DM$103+1,Frauen!$AZ$9:$BD$102,5)),RundDx)))</f>
        <v>3567158470</v>
      </c>
      <c r="DN30" s="25">
        <f>IF($CU30&gt;=RAM,"",IF($CU30-DN$103&lt;BeginnAlter,"",ROUND(v^($CU30+FaktorAlter)*$L30*$D30*0.5*(VLOOKUP($CU30-DN$103,Frauen!$G$9:$J$102,4)+VLOOKUP($CU30-DN$103+1,Frauen!$G$9:$J$102,4))*0.5*(VLOOKUP($CU30-DN$103,Frauen!$AZ$9:$BD$102,5)+VLOOKUP($CU30-DN$103+1,Frauen!$AZ$9:$BD$102,5)),RundDx)))</f>
        <v>3611758924</v>
      </c>
      <c r="DO30" s="25">
        <f>IF($CU30&gt;=RAM,"",IF($CU30-DO$103&lt;BeginnAlter,"",ROUND(v^($CU30+FaktorAlter)*$L30*$D30*0.5*(VLOOKUP($CU30-DO$103,Frauen!$G$9:$J$102,4)+VLOOKUP($CU30-DO$103+1,Frauen!$G$9:$J$102,4))*0.5*(VLOOKUP($CU30-DO$103,Frauen!$AZ$9:$BD$102,5)+VLOOKUP($CU30-DO$103+1,Frauen!$AZ$9:$BD$102,5)),RundDx)))</f>
        <v>3655445499</v>
      </c>
      <c r="DP30" s="25">
        <f>IF($CU30&gt;=RAM,"",IF($CU30-DP$103&lt;BeginnAlter,"",ROUND(v^($CU30+FaktorAlter)*$L30*$D30*0.5*(VLOOKUP($CU30-DP$103,Frauen!$G$9:$J$102,4)+VLOOKUP($CU30-DP$103+1,Frauen!$G$9:$J$102,4))*0.5*(VLOOKUP($CU30-DP$103,Frauen!$AZ$9:$BD$102,5)+VLOOKUP($CU30-DP$103+1,Frauen!$AZ$9:$BD$102,5)),RundDx)))</f>
        <v>3698229556</v>
      </c>
      <c r="DQ30" s="25">
        <f>IF($CU30&gt;=RAM,"",IF($CU30-DQ$103&lt;BeginnAlter,"",ROUND(v^($CU30+FaktorAlter)*$L30*$D30*0.5*(VLOOKUP($CU30-DQ$103,Frauen!$G$9:$J$102,4)+VLOOKUP($CU30-DQ$103+1,Frauen!$G$9:$J$102,4))*0.5*(VLOOKUP($CU30-DQ$103,Frauen!$AZ$9:$BD$102,5)+VLOOKUP($CU30-DQ$103+1,Frauen!$AZ$9:$BD$102,5)),RundDx)))</f>
        <v>3740123469</v>
      </c>
      <c r="DR30" s="25">
        <f>IF($CU30&gt;=RAM,"",IF($CU30-DR$103&lt;BeginnAlter,"",ROUND(v^($CU30+FaktorAlter)*$L30*$D30*0.5*(VLOOKUP($CU30-DR$103,Frauen!$G$9:$J$102,4)+VLOOKUP($CU30-DR$103+1,Frauen!$G$9:$J$102,4))*0.5*(VLOOKUP($CU30-DR$103,Frauen!$AZ$9:$BD$102,5)+VLOOKUP($CU30-DR$103+1,Frauen!$AZ$9:$BD$102,5)),RundDx)))</f>
        <v>3781202920</v>
      </c>
      <c r="DS30" s="25">
        <f>IF($CU30&gt;=RAM,"",IF($CU30-DS$103&lt;BeginnAlter,"",ROUND(v^($CU30+FaktorAlter)*$L30*$D30*0.5*(VLOOKUP($CU30-DS$103,Frauen!$G$9:$J$102,4)+VLOOKUP($CU30-DS$103+1,Frauen!$G$9:$J$102,4))*0.5*(VLOOKUP($CU30-DS$103,Frauen!$AZ$9:$BD$102,5)+VLOOKUP($CU30-DS$103+1,Frauen!$AZ$9:$BD$102,5)),RundDx)))</f>
        <v>3821482299</v>
      </c>
      <c r="DT30" s="25">
        <f>IF($CU30&gt;=RAM,"",IF($CU30-DT$103&lt;BeginnAlter,"",ROUND(v^($CU30+FaktorAlter)*$L30*$D30*0.5*(VLOOKUP($CU30-DT$103,Frauen!$G$9:$J$102,4)+VLOOKUP($CU30-DT$103+1,Frauen!$G$9:$J$102,4))*0.5*(VLOOKUP($CU30-DT$103,Frauen!$AZ$9:$BD$102,5)+VLOOKUP($CU30-DT$103+1,Frauen!$AZ$9:$BD$102,5)),RundDx)))</f>
        <v>3860914492</v>
      </c>
      <c r="DU30" s="25">
        <f>IF($CU30&gt;=RAM,"",IF($CU30-DU$103&lt;BeginnAlter,"",ROUND(v^($CU30+FaktorAlter)*$L30*$D30*0.5*(VLOOKUP($CU30-DU$103,Frauen!$G$9:$J$102,4)+VLOOKUP($CU30-DU$103+1,Frauen!$G$9:$J$102,4))*0.5*(VLOOKUP($CU30-DU$103,Frauen!$AZ$9:$BD$102,5)+VLOOKUP($CU30-DU$103+1,Frauen!$AZ$9:$BD$102,5)),RundDx)))</f>
        <v>3899495973</v>
      </c>
      <c r="DV30" s="25">
        <f>IF($CU30&gt;=RAM,"",IF($CU30-DV$103&lt;BeginnAlter,"",ROUND(v^($CU30+FaktorAlter)*$L30*$D30*0.5*(VLOOKUP($CU30-DV$103,Frauen!$G$9:$J$102,4)+VLOOKUP($CU30-DV$103+1,Frauen!$G$9:$J$102,4))*0.5*(VLOOKUP($CU30-DV$103,Frauen!$AZ$9:$BD$102,5)+VLOOKUP($CU30-DV$103+1,Frauen!$AZ$9:$BD$102,5)),RundDx)))</f>
        <v>3937266033</v>
      </c>
      <c r="DW30" s="25">
        <f>IF($CU30&gt;=RAM,"",IF($CU30-DW$103&lt;BeginnAlter,"",ROUND(v^($CU30+FaktorAlter)*$L30*$D30*0.5*(VLOOKUP($CU30-DW$103,Frauen!$G$9:$J$102,4)+VLOOKUP($CU30-DW$103+1,Frauen!$G$9:$J$102,4))*0.5*(VLOOKUP($CU30-DW$103,Frauen!$AZ$9:$BD$102,5)+VLOOKUP($CU30-DW$103+1,Frauen!$AZ$9:$BD$102,5)),RundDx)))</f>
        <v>3974325954</v>
      </c>
      <c r="DX30" s="25">
        <f>IF($CU30&gt;=RAM,"",IF($CU30-DX$103&lt;BeginnAlter,"",ROUND(v^($CU30+FaktorAlter)*$L30*$D30*0.5*(VLOOKUP($CU30-DX$103,Frauen!$G$9:$J$102,4)+VLOOKUP($CU30-DX$103+1,Frauen!$G$9:$J$102,4))*0.5*(VLOOKUP($CU30-DX$103,Frauen!$AZ$9:$BD$102,5)+VLOOKUP($CU30-DX$103+1,Frauen!$AZ$9:$BD$102,5)),RundDx)))</f>
        <v>4010589115</v>
      </c>
      <c r="DY30" s="25">
        <f>IF($CU30&gt;=RAM,"",IF($CU30-DY$103&lt;BeginnAlter,"",ROUND(v^($CU30+FaktorAlter)*$L30*$D30*0.5*(VLOOKUP($CU30-DY$103,Frauen!$G$9:$J$102,4)+VLOOKUP($CU30-DY$103+1,Frauen!$G$9:$J$102,4))*0.5*(VLOOKUP($CU30-DY$103,Frauen!$AZ$9:$BD$102,5)+VLOOKUP($CU30-DY$103+1,Frauen!$AZ$9:$BD$102,5)),RundDx)))</f>
        <v>4046093301</v>
      </c>
      <c r="DZ30" s="25">
        <f>IF($CU30&gt;=RAM,"",IF($CU30-DZ$103&lt;BeginnAlter,"",ROUND(v^($CU30+FaktorAlter)*$L30*$D30*0.5*(VLOOKUP($CU30-DZ$103,Frauen!$G$9:$J$102,4)+VLOOKUP($CU30-DZ$103+1,Frauen!$G$9:$J$102,4))*0.5*(VLOOKUP($CU30-DZ$103,Frauen!$AZ$9:$BD$102,5)+VLOOKUP($CU30-DZ$103+1,Frauen!$AZ$9:$BD$102,5)),RundDx)))</f>
        <v>4080896281</v>
      </c>
      <c r="EA30" s="43">
        <f>IF($CU30&gt;=RAM,"",IF($CU30-EA$103&lt;BeginnAlter,"",ROUND((SUM(CV30:CV$56)+SUM(FN$9:FN$56))/VLOOKUP($CU30,$AH$9:$AI$102,2)/VLOOKUP($CU30-EA$103,Frauen!$G$9:$J$102,4),Rundäx)))</f>
        <v>5.3949999999999996</v>
      </c>
      <c r="EB30" s="43">
        <f>IF($CU30&gt;=RAM,"",IF($CU30-EB$103&lt;BeginnAlter,"",ROUND((SUM(CW30:CW$56)+SUM(FO$9:FO$56))/VLOOKUP($CU30,$AH$9:$AI$102,2)/VLOOKUP($CU30-EB$103,Frauen!$G$9:$J$102,4),Rundäx)))</f>
        <v>5.6130000000000004</v>
      </c>
      <c r="EC30" s="43">
        <f>IF($CU30&gt;=RAM,"",IF($CU30-EC$103&lt;BeginnAlter,"",ROUND((SUM(CX30:CX$56)+SUM(FP$9:FP$56))/VLOOKUP($CU30,$AH$9:$AI$102,2)/VLOOKUP($CU30-EC$103,Frauen!$G$9:$J$102,4),Rundäx)))</f>
        <v>5.8339999999999996</v>
      </c>
      <c r="ED30" s="43">
        <f>IF($CU30&gt;=RAM,"",IF($CU30-ED$103&lt;BeginnAlter,"",ROUND((SUM(CY30:CY$56)+SUM(FQ$9:FQ$56))/VLOOKUP($CU30,$AH$9:$AI$102,2)/VLOOKUP($CU30-ED$103,Frauen!$G$9:$J$102,4),Rundäx)))</f>
        <v>6.0579999999999998</v>
      </c>
      <c r="EE30" s="43">
        <f>IF($CU30&gt;=RAM,"",IF($CU30-EE$103&lt;BeginnAlter,"",ROUND((SUM(CZ30:CZ$56)+SUM(FR$9:FR$56))/VLOOKUP($CU30,$AH$9:$AI$102,2)/VLOOKUP($CU30-EE$103,Frauen!$G$9:$J$102,4),Rundäx)))</f>
        <v>6.2839999999999998</v>
      </c>
      <c r="EF30" s="43">
        <f>IF($CU30&gt;=RAM,"",IF($CU30-EF$103&lt;BeginnAlter,"",ROUND((SUM(DA30:DA$56)+SUM(FS$9:FS$56))/VLOOKUP($CU30,$AH$9:$AI$102,2)/VLOOKUP($CU30-EF$103,Frauen!$G$9:$J$102,4),Rundäx)))</f>
        <v>6.5140000000000002</v>
      </c>
      <c r="EG30" s="43">
        <f>IF($CU30&gt;=RAM,"",IF($CU30-EG$103&lt;BeginnAlter,"",ROUND((SUM(DB30:DB$56)+SUM(FT$9:FT$56))/VLOOKUP($CU30,$AH$9:$AI$102,2)/VLOOKUP($CU30-EG$103,Frauen!$G$9:$J$102,4),Rundäx)))</f>
        <v>6.7460000000000004</v>
      </c>
      <c r="EH30" s="43">
        <f>IF($CU30&gt;=RAM,"",IF($CU30-EH$103&lt;BeginnAlter,"",ROUND((SUM(DC30:DC$56)+SUM(FU$9:FU$56))/VLOOKUP($CU30,$AH$9:$AI$102,2)/VLOOKUP($CU30-EH$103,Frauen!$G$9:$J$102,4),Rundäx)))</f>
        <v>6.9809999999999999</v>
      </c>
      <c r="EI30" s="86"/>
      <c r="EJ30" s="35">
        <f t="shared" si="60"/>
        <v>38</v>
      </c>
      <c r="EK30" s="43">
        <f>IF($CU30&gt;=RAM,"",IF($CU30-EK$103&lt;BeginnAlter,"",ROUND((SUM(DD30:DD$56)+SUM(FV$9:FV$56))/VLOOKUP($CU30,$AH$9:$AI$102,2)/VLOOKUP($CU30-EK$103,Frauen!$G$9:$J$102,4),Rundäx)))</f>
        <v>7.2190000000000003</v>
      </c>
      <c r="EL30" s="43">
        <f>IF($CU30&gt;=RAM,"",IF($CU30-EL$103&lt;BeginnAlter,"",ROUND((SUM(DE30:DE$56)+SUM(FW$9:FW$56))/VLOOKUP($CU30,$AH$9:$AI$102,2)/VLOOKUP($CU30-EL$103,Frauen!$G$9:$J$102,4),Rundäx)))</f>
        <v>7.4589999999999996</v>
      </c>
      <c r="EM30" s="43">
        <f>IF($CU30&gt;=RAM,"",IF($CU30-EM$103&lt;BeginnAlter,"",ROUND((SUM(DF30:DF$56)+SUM(FX$9:FX$56))/VLOOKUP($CU30,$AH$9:$AI$102,2)/VLOOKUP($CU30-EM$103,Frauen!$G$9:$J$102,4),Rundäx)))</f>
        <v>7.702</v>
      </c>
      <c r="EN30" s="43">
        <f>IF($CU30&gt;=RAM,"",IF($CU30-EN$103&lt;BeginnAlter,"",ROUND((SUM(DG30:DG$56)+SUM(FY$9:FY$56))/VLOOKUP($CU30,$AH$9:$AI$102,2)/VLOOKUP($CU30-EN$103,Frauen!$G$9:$J$102,4),Rundäx)))</f>
        <v>7.9470000000000001</v>
      </c>
      <c r="EO30" s="43">
        <f>IF($CU30&gt;=RAM,"",IF($CU30-EO$103&lt;BeginnAlter,"",ROUND((SUM(DH30:DH$56)+SUM(FZ$9:FZ$56))/VLOOKUP($CU30,$AH$9:$AI$102,2)/VLOOKUP($CU30-EO$103,Frauen!$G$9:$J$102,4),Rundäx)))</f>
        <v>8.1940000000000008</v>
      </c>
      <c r="EP30" s="43">
        <f>IF($CU30&gt;=RAM,"",IF($CU30-EP$103&lt;BeginnAlter,"",ROUND((SUM(DI30:DI$56)+SUM(GA$9:GA$56))/VLOOKUP($CU30,$AH$9:$AI$102,2)/VLOOKUP($CU30-EP$103,Frauen!$G$9:$J$102,4),Rundäx)))</f>
        <v>8.4429999999999996</v>
      </c>
      <c r="EQ30" s="43">
        <f>IF($CU30&gt;=RAM,"",IF($CU30-EQ$103&lt;BeginnAlter,"",ROUND((SUM(DJ30:DJ$56)+SUM(GB$9:GB$56))/VLOOKUP($CU30,$AH$9:$AI$102,2)/VLOOKUP($CU30-EQ$103,Frauen!$G$9:$J$102,4),Rundäx)))</f>
        <v>8.6929999999999996</v>
      </c>
      <c r="ER30" s="43">
        <f>IF($CU30&gt;=RAM,"",IF($CU30-ER$103&lt;BeginnAlter,"",ROUND((SUM(DK30:DK$56)+SUM(GC$9:GC$56))/VLOOKUP($CU30,$AH$9:$AI$102,2)/VLOOKUP($CU30-ER$103,Frauen!$G$9:$J$102,4),Rundäx)))</f>
        <v>8.9450000000000003</v>
      </c>
      <c r="ES30" s="86"/>
      <c r="ET30" s="35">
        <f t="shared" si="61"/>
        <v>38</v>
      </c>
      <c r="EU30" s="43">
        <f>IF($CU30&gt;=RAM,"",IF($CU30-EU$103&lt;BeginnAlter,"",ROUND((SUM(DL30:DL$56)+SUM(GD$9:GD$56))/VLOOKUP($CU30,$AH$9:$AI$102,2)/VLOOKUP($CU30-EU$103,Frauen!$G$9:$J$102,4),Rundäx)))</f>
        <v>9.1980000000000004</v>
      </c>
      <c r="EV30" s="43">
        <f>IF($CU30&gt;=RAM,"",IF($CU30-EV$103&lt;BeginnAlter,"",ROUND((SUM(DM30:DM$56)+SUM(GE$9:GE$56))/VLOOKUP($CU30,$AH$9:$AI$102,2)/VLOOKUP($CU30-EV$103,Frauen!$G$9:$J$102,4),Rundäx)))</f>
        <v>9.4510000000000005</v>
      </c>
      <c r="EW30" s="43">
        <f>IF($CU30&gt;=RAM,"",IF($CU30-EW$103&lt;BeginnAlter,"",ROUND((SUM(DN30:DN$56)+SUM(GF$9:GF$56))/VLOOKUP($CU30,$AH$9:$AI$102,2)/VLOOKUP($CU30-EW$103,Frauen!$G$9:$J$102,4),Rundäx)))</f>
        <v>9.7050000000000001</v>
      </c>
      <c r="EX30" s="43">
        <f>IF($CU30&gt;=RAM,"",IF($CU30-EX$103&lt;BeginnAlter,"",ROUND((SUM(DO30:DO$56)+SUM(GG$9:GG$56))/VLOOKUP($CU30,$AH$9:$AI$102,2)/VLOOKUP($CU30-EX$103,Frauen!$G$9:$J$102,4),Rundäx)))</f>
        <v>9.9600000000000009</v>
      </c>
      <c r="EY30" s="43">
        <f>IF($CU30&gt;=RAM,"",IF($CU30-EY$103&lt;BeginnAlter,"",ROUND((SUM(DP30:DP$56)+SUM(GH$9:GH$56))/VLOOKUP($CU30,$AH$9:$AI$102,2)/VLOOKUP($CU30-EY$103,Frauen!$G$9:$J$102,4),Rundäx)))</f>
        <v>10.214</v>
      </c>
      <c r="EZ30" s="43">
        <f>IF($CU30&gt;=RAM,"",IF($CU30-EZ$103&lt;BeginnAlter,"",ROUND((SUM(DQ30:DQ$56)+SUM(GI$9:GI$56))/VLOOKUP($CU30,$AH$9:$AI$102,2)/VLOOKUP($CU30-EZ$103,Frauen!$G$9:$J$102,4),Rundäx)))</f>
        <v>10.467000000000001</v>
      </c>
      <c r="FA30" s="43">
        <f>IF($CU30&gt;=RAM,"",IF($CU30-FA$103&lt;BeginnAlter,"",ROUND((SUM(DR30:DR$56)+SUM(GJ$9:GJ$56))/VLOOKUP($CU30,$AH$9:$AI$102,2)/VLOOKUP($CU30-FA$103,Frauen!$G$9:$J$102,4),Rundäx)))</f>
        <v>10.72</v>
      </c>
      <c r="FB30" s="43">
        <f>IF($CU30&gt;=RAM,"",IF($CU30-FB$103&lt;BeginnAlter,"",ROUND((SUM(DS30:DS$56)+SUM(GK$9:GK$56))/VLOOKUP($CU30,$AH$9:$AI$102,2)/VLOOKUP($CU30-FB$103,Frauen!$G$9:$J$102,4),Rundäx)))</f>
        <v>10.971</v>
      </c>
      <c r="FC30" s="86"/>
      <c r="FD30" s="35">
        <f t="shared" si="62"/>
        <v>38</v>
      </c>
      <c r="FE30" s="43">
        <f>IF($CU30&gt;=RAM,"",IF($CU30-FE$103&lt;BeginnAlter,"",ROUND((SUM(DT30:DT$56)+SUM(GL$9:GL$56))/VLOOKUP($CU30,$AH$9:$AI$102,2)/VLOOKUP($CU30-FE$103,Frauen!$G$9:$J$102,4),Rundäx)))</f>
        <v>11.221</v>
      </c>
      <c r="FF30" s="43">
        <f>IF($CU30&gt;=RAM,"",IF($CU30-FF$103&lt;BeginnAlter,"",ROUND((SUM(DU30:DU$56)+SUM(GM$9:GM$56))/VLOOKUP($CU30,$AH$9:$AI$102,2)/VLOOKUP($CU30-FF$103,Frauen!$G$9:$J$102,4),Rundäx)))</f>
        <v>11.468999999999999</v>
      </c>
      <c r="FG30" s="43">
        <f>IF($CU30&gt;=RAM,"",IF($CU30-FG$103&lt;BeginnAlter,"",ROUND((SUM(DV30:DV$56)+SUM(GN$9:GN$56))/VLOOKUP($CU30,$AH$9:$AI$102,2)/VLOOKUP($CU30-FG$103,Frauen!$G$9:$J$102,4),Rundäx)))</f>
        <v>11.715</v>
      </c>
      <c r="FH30" s="43">
        <f>IF($CU30&gt;=RAM,"",IF($CU30-FH$103&lt;BeginnAlter,"",ROUND((SUM(DW30:DW$56)+SUM(GO$9:GO$56))/VLOOKUP($CU30,$AH$9:$AI$102,2)/VLOOKUP($CU30-FH$103,Frauen!$G$9:$J$102,4),Rundäx)))</f>
        <v>11.959</v>
      </c>
      <c r="FI30" s="43">
        <f>IF($CU30&gt;=RAM,"",IF($CU30-FI$103&lt;BeginnAlter,"",ROUND((SUM(DX30:DX$56)+SUM(GP$9:GP$56))/VLOOKUP($CU30,$AH$9:$AI$102,2)/VLOOKUP($CU30-FI$103,Frauen!$G$9:$J$102,4),Rundäx)))</f>
        <v>12.201000000000001</v>
      </c>
      <c r="FJ30" s="43">
        <f>IF($CU30&gt;=RAM,"",IF($CU30-FJ$103&lt;BeginnAlter,"",ROUND((SUM(DY30:DY$56)+SUM(GQ$9:GQ$56))/VLOOKUP($CU30,$AH$9:$AI$102,2)/VLOOKUP($CU30-FJ$103,Frauen!$G$9:$J$102,4),Rundäx)))</f>
        <v>12.441000000000001</v>
      </c>
      <c r="FK30" s="43">
        <f>IF($CU30&gt;=RAM,"",IF($CU30-FK$103&lt;BeginnAlter,"",ROUND((SUM(DZ30:DZ$56)+SUM(GR$9:GR$56))/VLOOKUP($CU30,$AH$9:$AI$102,2)/VLOOKUP($CU30-FK$103,Frauen!$G$9:$J$102,4),Rundäx)))</f>
        <v>12.678000000000001</v>
      </c>
      <c r="FL30" s="86"/>
      <c r="FM30" s="35">
        <f t="shared" si="68"/>
        <v>86</v>
      </c>
      <c r="FN30" s="25">
        <f>ROUND(v^($FM30+FaktorAlter)*VLOOKUP($FM30,$G$9:$J$102,4)*VLOOKUP($FM30,$A$9:$E$102,5)*0.5*(VLOOKUP($FM30-FN$103,Frauen!$G$9:$J$102,4)+VLOOKUP($FM30-FN$103+1,Frauen!$G$9:$J$102,4))*0.5*(VLOOKUP($FM30-FN$103,Frauen!$AZ$9:$BD$102,5)+VLOOKUP($FM30-FN$103+1,Frauen!$AZ$9:$BD$102,5)),RundDx)</f>
        <v>384941</v>
      </c>
      <c r="FO30" s="25">
        <f>ROUND(v^($FM30+FaktorAlter)*VLOOKUP($FM30,$G$9:$J$102,4)*VLOOKUP($FM30,$A$9:$E$102,5)*0.5*(VLOOKUP($FM30-FO$103,Frauen!$G$9:$J$102,4)+VLOOKUP($FM30-FO$103+1,Frauen!$G$9:$J$102,4))*0.5*(VLOOKUP($FM30-FO$103,Frauen!$AZ$9:$BD$102,5)+VLOOKUP($FM30-FO$103+1,Frauen!$AZ$9:$BD$102,5)),RundDx)</f>
        <v>845800</v>
      </c>
      <c r="FP30" s="25">
        <f>ROUND(v^($FM30+FaktorAlter)*VLOOKUP($FM30,$G$9:$J$102,4)*VLOOKUP($FM30,$A$9:$E$102,5)*0.5*(VLOOKUP($FM30-FP$103,Frauen!$G$9:$J$102,4)+VLOOKUP($FM30-FP$103+1,Frauen!$G$9:$J$102,4))*0.5*(VLOOKUP($FM30-FP$103,Frauen!$AZ$9:$BD$102,5)+VLOOKUP($FM30-FP$103+1,Frauen!$AZ$9:$BD$102,5)),RundDx)</f>
        <v>1639597</v>
      </c>
      <c r="FQ30" s="25">
        <f>ROUND(v^($FM30+FaktorAlter)*VLOOKUP($FM30,$G$9:$J$102,4)*VLOOKUP($FM30,$A$9:$E$102,5)*0.5*(VLOOKUP($FM30-FQ$103,Frauen!$G$9:$J$102,4)+VLOOKUP($FM30-FQ$103+1,Frauen!$G$9:$J$102,4))*0.5*(VLOOKUP($FM30-FQ$103,Frauen!$AZ$9:$BD$102,5)+VLOOKUP($FM30-FQ$103+1,Frauen!$AZ$9:$BD$102,5)),RundDx)</f>
        <v>2923487</v>
      </c>
      <c r="FR30" s="25">
        <f>ROUND(v^($FM30+FaktorAlter)*VLOOKUP($FM30,$G$9:$J$102,4)*VLOOKUP($FM30,$A$9:$E$102,5)*0.5*(VLOOKUP($FM30-FR$103,Frauen!$G$9:$J$102,4)+VLOOKUP($FM30-FR$103+1,Frauen!$G$9:$J$102,4))*0.5*(VLOOKUP($FM30-FR$103,Frauen!$AZ$9:$BD$102,5)+VLOOKUP($FM30-FR$103+1,Frauen!$AZ$9:$BD$102,5)),RundDx)</f>
        <v>4869734</v>
      </c>
      <c r="FS30" s="25">
        <f>ROUND(v^($FM30+FaktorAlter)*VLOOKUP($FM30,$G$9:$J$102,4)*VLOOKUP($FM30,$A$9:$E$102,5)*0.5*(VLOOKUP($FM30-FS$103,Frauen!$G$9:$J$102,4)+VLOOKUP($FM30-FS$103+1,Frauen!$G$9:$J$102,4))*0.5*(VLOOKUP($FM30-FS$103,Frauen!$AZ$9:$BD$102,5)+VLOOKUP($FM30-FS$103+1,Frauen!$AZ$9:$BD$102,5)),RundDx)</f>
        <v>7696878</v>
      </c>
      <c r="FT30" s="25">
        <f>ROUND(v^($FM30+FaktorAlter)*VLOOKUP($FM30,$G$9:$J$102,4)*VLOOKUP($FM30,$A$9:$E$102,5)*0.5*(VLOOKUP($FM30-FT$103,Frauen!$G$9:$J$102,4)+VLOOKUP($FM30-FT$103+1,Frauen!$G$9:$J$102,4))*0.5*(VLOOKUP($FM30-FT$103,Frauen!$AZ$9:$BD$102,5)+VLOOKUP($FM30-FT$103+1,Frauen!$AZ$9:$BD$102,5)),RundDx)</f>
        <v>11653766</v>
      </c>
      <c r="FU30" s="25">
        <f>ROUND(v^($FM30+FaktorAlter)*VLOOKUP($FM30,$G$9:$J$102,4)*VLOOKUP($FM30,$A$9:$E$102,5)*0.5*(VLOOKUP($FM30-FU$103,Frauen!$G$9:$J$102,4)+VLOOKUP($FM30-FU$103+1,Frauen!$G$9:$J$102,4))*0.5*(VLOOKUP($FM30-FU$103,Frauen!$AZ$9:$BD$102,5)+VLOOKUP($FM30-FU$103+1,Frauen!$AZ$9:$BD$102,5)),RundDx)</f>
        <v>17008470</v>
      </c>
      <c r="FV30" s="25">
        <f>ROUND(v^($FM30+FaktorAlter)*VLOOKUP($FM30,$G$9:$J$102,4)*VLOOKUP($FM30,$A$9:$E$102,5)*0.5*(VLOOKUP($FM30-FV$103,Frauen!$G$9:$J$102,4)+VLOOKUP($FM30-FV$103+1,Frauen!$G$9:$J$102,4))*0.5*(VLOOKUP($FM30-FV$103,Frauen!$AZ$9:$BD$102,5)+VLOOKUP($FM30-FV$103+1,Frauen!$AZ$9:$BD$102,5)),RundDx)</f>
        <v>24032900</v>
      </c>
      <c r="FW30" s="25">
        <f>ROUND(v^($FM30+FaktorAlter)*VLOOKUP($FM30,$G$9:$J$102,4)*VLOOKUP($FM30,$A$9:$E$102,5)*0.5*(VLOOKUP($FM30-FW$103,Frauen!$G$9:$J$102,4)+VLOOKUP($FM30-FW$103+1,Frauen!$G$9:$J$102,4))*0.5*(VLOOKUP($FM30-FW$103,Frauen!$AZ$9:$BD$102,5)+VLOOKUP($FM30-FW$103+1,Frauen!$AZ$9:$BD$102,5)),RundDx)</f>
        <v>33032553</v>
      </c>
      <c r="FX30" s="25">
        <f>ROUND(v^($FM30+FaktorAlter)*VLOOKUP($FM30,$G$9:$J$102,4)*VLOOKUP($FM30,$A$9:$E$102,5)*0.5*(VLOOKUP($FM30-FX$103,Frauen!$G$9:$J$102,4)+VLOOKUP($FM30-FX$103+1,Frauen!$G$9:$J$102,4))*0.5*(VLOOKUP($FM30-FX$103,Frauen!$AZ$9:$BD$102,5)+VLOOKUP($FM30-FX$103+1,Frauen!$AZ$9:$BD$102,5)),RundDx)</f>
        <v>44191125</v>
      </c>
      <c r="FY30" s="25">
        <f>ROUND(v^($FM30+FaktorAlter)*VLOOKUP($FM30,$G$9:$J$102,4)*VLOOKUP($FM30,$A$9:$E$102,5)*0.5*(VLOOKUP($FM30-FY$103,Frauen!$G$9:$J$102,4)+VLOOKUP($FM30-FY$103+1,Frauen!$G$9:$J$102,4))*0.5*(VLOOKUP($FM30-FY$103,Frauen!$AZ$9:$BD$102,5)+VLOOKUP($FM30-FY$103+1,Frauen!$AZ$9:$BD$102,5)),RundDx)</f>
        <v>57530377</v>
      </c>
      <c r="FZ30" s="25">
        <f>ROUND(v^($FM30+FaktorAlter)*VLOOKUP($FM30,$G$9:$J$102,4)*VLOOKUP($FM30,$A$9:$E$102,5)*0.5*(VLOOKUP($FM30-FZ$103,Frauen!$G$9:$J$102,4)+VLOOKUP($FM30-FZ$103+1,Frauen!$G$9:$J$102,4))*0.5*(VLOOKUP($FM30-FZ$103,Frauen!$AZ$9:$BD$102,5)+VLOOKUP($FM30-FZ$103+1,Frauen!$AZ$9:$BD$102,5)),RundDx)</f>
        <v>73164734</v>
      </c>
      <c r="GA30" s="25">
        <f>ROUND(v^($FM30+FaktorAlter)*VLOOKUP($FM30,$G$9:$J$102,4)*VLOOKUP($FM30,$A$9:$E$102,5)*0.5*(VLOOKUP($FM30-GA$103,Frauen!$G$9:$J$102,4)+VLOOKUP($FM30-GA$103+1,Frauen!$G$9:$J$102,4))*0.5*(VLOOKUP($FM30-GA$103,Frauen!$AZ$9:$BD$102,5)+VLOOKUP($FM30-GA$103+1,Frauen!$AZ$9:$BD$102,5)),RundDx)</f>
        <v>91114255</v>
      </c>
      <c r="GB30" s="25">
        <f>ROUND(v^($FM30+FaktorAlter)*VLOOKUP($FM30,$G$9:$J$102,4)*VLOOKUP($FM30,$A$9:$E$102,5)*0.5*(VLOOKUP($FM30-GB$103,Frauen!$G$9:$J$102,4)+VLOOKUP($FM30-GB$103+1,Frauen!$G$9:$J$102,4))*0.5*(VLOOKUP($FM30-GB$103,Frauen!$AZ$9:$BD$102,5)+VLOOKUP($FM30-GB$103+1,Frauen!$AZ$9:$BD$102,5)),RundDx)</f>
        <v>111323524</v>
      </c>
      <c r="GC30" s="25">
        <f>ROUND(v^($FM30+FaktorAlter)*VLOOKUP($FM30,$G$9:$J$102,4)*VLOOKUP($FM30,$A$9:$E$102,5)*0.5*(VLOOKUP($FM30-GC$103,Frauen!$G$9:$J$102,4)+VLOOKUP($FM30-GC$103+1,Frauen!$G$9:$J$102,4))*0.5*(VLOOKUP($FM30-GC$103,Frauen!$AZ$9:$BD$102,5)+VLOOKUP($FM30-GC$103+1,Frauen!$AZ$9:$BD$102,5)),RundDx)</f>
        <v>133689688</v>
      </c>
      <c r="GD30" s="25">
        <f>ROUND(v^($FM30+FaktorAlter)*VLOOKUP($FM30,$G$9:$J$102,4)*VLOOKUP($FM30,$A$9:$E$102,5)*0.5*(VLOOKUP($FM30-GD$103,Frauen!$G$9:$J$102,4)+VLOOKUP($FM30-GD$103+1,Frauen!$G$9:$J$102,4))*0.5*(VLOOKUP($FM30-GD$103,Frauen!$AZ$9:$BD$102,5)+VLOOKUP($FM30-GD$103+1,Frauen!$AZ$9:$BD$102,5)),RundDx)</f>
        <v>157998123</v>
      </c>
      <c r="GE30" s="25">
        <f>ROUND(v^($FM30+FaktorAlter)*VLOOKUP($FM30,$G$9:$J$102,4)*VLOOKUP($FM30,$A$9:$E$102,5)*0.5*(VLOOKUP($FM30-GE$103,Frauen!$G$9:$J$102,4)+VLOOKUP($FM30-GE$103+1,Frauen!$G$9:$J$102,4))*0.5*(VLOOKUP($FM30-GE$103,Frauen!$AZ$9:$BD$102,5)+VLOOKUP($FM30-GE$103+1,Frauen!$AZ$9:$BD$102,5)),RundDx)</f>
        <v>183991224</v>
      </c>
      <c r="GF30" s="25">
        <f>ROUND(v^($FM30+FaktorAlter)*VLOOKUP($FM30,$G$9:$J$102,4)*VLOOKUP($FM30,$A$9:$E$102,5)*0.5*(VLOOKUP($FM30-GF$103,Frauen!$G$9:$J$102,4)+VLOOKUP($FM30-GF$103+1,Frauen!$G$9:$J$102,4))*0.5*(VLOOKUP($FM30-GF$103,Frauen!$AZ$9:$BD$102,5)+VLOOKUP($FM30-GF$103+1,Frauen!$AZ$9:$BD$102,5)),RundDx)</f>
        <v>211414143</v>
      </c>
      <c r="GG30" s="25">
        <f>ROUND(v^($FM30+FaktorAlter)*VLOOKUP($FM30,$G$9:$J$102,4)*VLOOKUP($FM30,$A$9:$E$102,5)*0.5*(VLOOKUP($FM30-GG$103,Frauen!$G$9:$J$102,4)+VLOOKUP($FM30-GG$103+1,Frauen!$G$9:$J$102,4))*0.5*(VLOOKUP($FM30-GG$103,Frauen!$AZ$9:$BD$102,5)+VLOOKUP($FM30-GG$103+1,Frauen!$AZ$9:$BD$102,5)),RundDx)</f>
        <v>239965218</v>
      </c>
      <c r="GH30" s="25">
        <f>ROUND(v^($FM30+FaktorAlter)*VLOOKUP($FM30,$G$9:$J$102,4)*VLOOKUP($FM30,$A$9:$E$102,5)*0.5*(VLOOKUP($FM30-GH$103,Frauen!$G$9:$J$102,4)+VLOOKUP($FM30-GH$103+1,Frauen!$G$9:$J$102,4))*0.5*(VLOOKUP($FM30-GH$103,Frauen!$AZ$9:$BD$102,5)+VLOOKUP($FM30-GH$103+1,Frauen!$AZ$9:$BD$102,5)),RundDx)</f>
        <v>269359482</v>
      </c>
      <c r="GI30" s="25">
        <f>ROUND(v^($FM30+FaktorAlter)*VLOOKUP($FM30,$G$9:$J$102,4)*VLOOKUP($FM30,$A$9:$E$102,5)*0.5*(VLOOKUP($FM30-GI$103,Frauen!$G$9:$J$102,4)+VLOOKUP($FM30-GI$103+1,Frauen!$G$9:$J$102,4))*0.5*(VLOOKUP($FM30-GI$103,Frauen!$AZ$9:$BD$102,5)+VLOOKUP($FM30-GI$103+1,Frauen!$AZ$9:$BD$102,5)),RundDx)</f>
        <v>299402770</v>
      </c>
      <c r="GJ30" s="25">
        <f>ROUND(v^($FM30+FaktorAlter)*VLOOKUP($FM30,$G$9:$J$102,4)*VLOOKUP($FM30,$A$9:$E$102,5)*0.5*(VLOOKUP($FM30-GJ$103,Frauen!$G$9:$J$102,4)+VLOOKUP($FM30-GJ$103+1,Frauen!$G$9:$J$102,4))*0.5*(VLOOKUP($FM30-GJ$103,Frauen!$AZ$9:$BD$102,5)+VLOOKUP($FM30-GJ$103+1,Frauen!$AZ$9:$BD$102,5)),RundDx)</f>
        <v>329999807</v>
      </c>
      <c r="GK30" s="25">
        <f>ROUND(v^($FM30+FaktorAlter)*VLOOKUP($FM30,$G$9:$J$102,4)*VLOOKUP($FM30,$A$9:$E$102,5)*0.5*(VLOOKUP($FM30-GK$103,Frauen!$G$9:$J$102,4)+VLOOKUP($FM30-GK$103+1,Frauen!$G$9:$J$102,4))*0.5*(VLOOKUP($FM30-GK$103,Frauen!$AZ$9:$BD$102,5)+VLOOKUP($FM30-GK$103+1,Frauen!$AZ$9:$BD$102,5)),RundDx)</f>
        <v>361020839</v>
      </c>
      <c r="GL30" s="25">
        <f>ROUND(v^($FM30+FaktorAlter)*VLOOKUP($FM30,$G$9:$J$102,4)*VLOOKUP($FM30,$A$9:$E$102,5)*0.5*(VLOOKUP($FM30-GL$103,Frauen!$G$9:$J$102,4)+VLOOKUP($FM30-GL$103+1,Frauen!$G$9:$J$102,4))*0.5*(VLOOKUP($FM30-GL$103,Frauen!$AZ$9:$BD$102,5)+VLOOKUP($FM30-GL$103+1,Frauen!$AZ$9:$BD$102,5)),RundDx)</f>
        <v>392440398</v>
      </c>
      <c r="GM30" s="25">
        <f>ROUND(v^($FM30+FaktorAlter)*VLOOKUP($FM30,$G$9:$J$102,4)*VLOOKUP($FM30,$A$9:$E$102,5)*0.5*(VLOOKUP($FM30-GM$103,Frauen!$G$9:$J$102,4)+VLOOKUP($FM30-GM$103+1,Frauen!$G$9:$J$102,4))*0.5*(VLOOKUP($FM30-GM$103,Frauen!$AZ$9:$BD$102,5)+VLOOKUP($FM30-GM$103+1,Frauen!$AZ$9:$BD$102,5)),RundDx)</f>
        <v>424335173</v>
      </c>
      <c r="GN30" s="25">
        <f>ROUND(v^($FM30+FaktorAlter)*VLOOKUP($FM30,$G$9:$J$102,4)*VLOOKUP($FM30,$A$9:$E$102,5)*0.5*(VLOOKUP($FM30-GN$103,Frauen!$G$9:$J$102,4)+VLOOKUP($FM30-GN$103+1,Frauen!$G$9:$J$102,4))*0.5*(VLOOKUP($FM30-GN$103,Frauen!$AZ$9:$BD$102,5)+VLOOKUP($FM30-GN$103+1,Frauen!$AZ$9:$BD$102,5)),RundDx)</f>
        <v>456736218</v>
      </c>
      <c r="GO30" s="25">
        <f>ROUND(v^($FM30+FaktorAlter)*VLOOKUP($FM30,$G$9:$J$102,4)*VLOOKUP($FM30,$A$9:$E$102,5)*0.5*(VLOOKUP($FM30-GO$103,Frauen!$G$9:$J$102,4)+VLOOKUP($FM30-GO$103+1,Frauen!$G$9:$J$102,4))*0.5*(VLOOKUP($FM30-GO$103,Frauen!$AZ$9:$BD$102,5)+VLOOKUP($FM30-GO$103+1,Frauen!$AZ$9:$BD$102,5)),RundDx)</f>
        <v>489743761</v>
      </c>
      <c r="GP30" s="25">
        <f>ROUND(v^($FM30+FaktorAlter)*VLOOKUP($FM30,$G$9:$J$102,4)*VLOOKUP($FM30,$A$9:$E$102,5)*0.5*(VLOOKUP($FM30-GP$103,Frauen!$G$9:$J$102,4)+VLOOKUP($FM30-GP$103+1,Frauen!$G$9:$J$102,4))*0.5*(VLOOKUP($FM30-GP$103,Frauen!$AZ$9:$BD$102,5)+VLOOKUP($FM30-GP$103+1,Frauen!$AZ$9:$BD$102,5)),RundDx)</f>
        <v>523376358</v>
      </c>
      <c r="GQ30" s="25">
        <f>ROUND(v^($FM30+FaktorAlter)*VLOOKUP($FM30,$G$9:$J$102,4)*VLOOKUP($FM30,$A$9:$E$102,5)*0.5*(VLOOKUP($FM30-GQ$103,Frauen!$G$9:$J$102,4)+VLOOKUP($FM30-GQ$103+1,Frauen!$G$9:$J$102,4))*0.5*(VLOOKUP($FM30-GQ$103,Frauen!$AZ$9:$BD$102,5)+VLOOKUP($FM30-GQ$103+1,Frauen!$AZ$9:$BD$102,5)),RundDx)</f>
        <v>557556690</v>
      </c>
      <c r="GR30" s="25">
        <f>ROUND(v^($FM30+FaktorAlter)*VLOOKUP($FM30,$G$9:$J$102,4)*VLOOKUP($FM30,$A$9:$E$102,5)*0.5*(VLOOKUP($FM30-GR$103,Frauen!$G$9:$J$102,4)+VLOOKUP($FM30-GR$103+1,Frauen!$G$9:$J$102,4))*0.5*(VLOOKUP($FM30-GR$103,Frauen!$AZ$9:$BD$102,5)+VLOOKUP($FM30-GR$103+1,Frauen!$AZ$9:$BD$102,5)),RundDx)</f>
        <v>592135350</v>
      </c>
      <c r="GS30" s="24">
        <f>ROUND(SUM(FN30:FN$56)/VLOOKUP($FM30,$AQ$9:$AR$102,2)/VLOOKUP($FM30-GS$103,Frauen!$G$9:$J$102,4),Rundäx)</f>
        <v>0.14799999999999999</v>
      </c>
      <c r="GT30" s="24">
        <f>ROUND(SUM(FO30:FO$56)/VLOOKUP($FM30,$AQ$9:$AR$102,2)/VLOOKUP($FM30-GT$103,Frauen!$G$9:$J$102,4),Rundäx)</f>
        <v>0.19900000000000001</v>
      </c>
      <c r="GU30" s="24">
        <f>ROUND(SUM(FP30:FP$56)/VLOOKUP($FM30,$AQ$9:$AR$102,2)/VLOOKUP($FM30-GU$103,Frauen!$G$9:$J$102,4),Rundäx)</f>
        <v>0.25600000000000001</v>
      </c>
      <c r="GV30" s="24">
        <f>ROUND(SUM(FQ30:FQ$56)/VLOOKUP($FM30,$AQ$9:$AR$102,2)/VLOOKUP($FM30-GV$103,Frauen!$G$9:$J$102,4),Rundäx)</f>
        <v>0.32200000000000001</v>
      </c>
      <c r="GW30" s="24">
        <f>ROUND(SUM(FR30:FR$56)/VLOOKUP($FM30,$AQ$9:$AR$102,2)/VLOOKUP($FM30-GW$103,Frauen!$G$9:$J$102,4),Rundäx)</f>
        <v>0.39700000000000002</v>
      </c>
      <c r="GX30" s="24">
        <f>ROUND(SUM(FS30:FS$56)/VLOOKUP($FM30,$AQ$9:$AR$102,2)/VLOOKUP($FM30-GX$103,Frauen!$G$9:$J$102,4),Rundäx)</f>
        <v>0.48399999999999999</v>
      </c>
      <c r="GY30" s="24">
        <f>ROUND(SUM(FT30:FT$56)/VLOOKUP($FM30,$AQ$9:$AR$102,2)/VLOOKUP($FM30-GY$103,Frauen!$G$9:$J$102,4),Rundäx)</f>
        <v>0.58199999999999996</v>
      </c>
      <c r="GZ30" s="24">
        <f>ROUND(SUM(FU30:FU$56)/VLOOKUP($FM30,$AQ$9:$AR$102,2)/VLOOKUP($FM30-GZ$103,Frauen!$G$9:$J$102,4),Rundäx)</f>
        <v>0.69399999999999995</v>
      </c>
      <c r="HA30" s="86"/>
      <c r="HB30" s="35">
        <f t="shared" si="63"/>
        <v>86</v>
      </c>
      <c r="HC30" s="24">
        <f>ROUND(SUM(FV30:FV$56)/VLOOKUP($FM30,$AQ$9:$AR$102,2)/VLOOKUP($FM30-HC$103,Frauen!$G$9:$J$102,4),Rundäx)</f>
        <v>0.82199999999999995</v>
      </c>
      <c r="HD30" s="24">
        <f>ROUND(SUM(FW30:FW$56)/VLOOKUP($FM30,$AQ$9:$AR$102,2)/VLOOKUP($FM30-HD$103,Frauen!$G$9:$J$102,4),Rundäx)</f>
        <v>0.96599999999999997</v>
      </c>
      <c r="HE30" s="24">
        <f>ROUND(SUM(FX30:FX$56)/VLOOKUP($FM30,$AQ$9:$AR$102,2)/VLOOKUP($FM30-HE$103,Frauen!$G$9:$J$102,4),Rundäx)</f>
        <v>1.1279999999999999</v>
      </c>
      <c r="HF30" s="24">
        <f>ROUND(SUM(FY30:FY$56)/VLOOKUP($FM30,$AQ$9:$AR$102,2)/VLOOKUP($FM30-HF$103,Frauen!$G$9:$J$102,4),Rundäx)</f>
        <v>1.31</v>
      </c>
      <c r="HG30" s="24">
        <f>ROUND(SUM(FZ30:FZ$56)/VLOOKUP($FM30,$AQ$9:$AR$102,2)/VLOOKUP($FM30-HG$103,Frauen!$G$9:$J$102,4),Rundäx)</f>
        <v>1.5109999999999999</v>
      </c>
      <c r="HH30" s="24">
        <f>ROUND(SUM(GA30:GA$56)/VLOOKUP($FM30,$AQ$9:$AR$102,2)/VLOOKUP($FM30-HH$103,Frauen!$G$9:$J$102,4),Rundäx)</f>
        <v>1.734</v>
      </c>
      <c r="HI30" s="24">
        <f>ROUND(SUM(GB30:GB$56)/VLOOKUP($FM30,$AQ$9:$AR$102,2)/VLOOKUP($FM30-HI$103,Frauen!$G$9:$J$102,4),Rundäx)</f>
        <v>1.9810000000000001</v>
      </c>
      <c r="HJ30" s="24">
        <f>ROUND(SUM(GC30:GC$56)/VLOOKUP($FM30,$AQ$9:$AR$102,2)/VLOOKUP($FM30-HJ$103,Frauen!$G$9:$J$102,4),Rundäx)</f>
        <v>2.2530000000000001</v>
      </c>
      <c r="HK30" s="86"/>
      <c r="HL30" s="35">
        <f t="shared" si="64"/>
        <v>86</v>
      </c>
      <c r="HM30" s="24">
        <f>ROUND(SUM(GD30:GD$56)/VLOOKUP($FM30,$AQ$9:$AR$102,2)/VLOOKUP($FM30-HM$103,Frauen!$G$9:$J$102,4),Rundäx)</f>
        <v>2.5529999999999999</v>
      </c>
      <c r="HN30" s="24">
        <f>ROUND(SUM(GE30:GE$56)/VLOOKUP($FM30,$AQ$9:$AR$102,2)/VLOOKUP($FM30-HN$103,Frauen!$G$9:$J$102,4),Rundäx)</f>
        <v>2.88</v>
      </c>
      <c r="HO30" s="24">
        <f>ROUND(SUM(GF30:GF$56)/VLOOKUP($FM30,$AQ$9:$AR$102,2)/VLOOKUP($FM30-HO$103,Frauen!$G$9:$J$102,4),Rundäx)</f>
        <v>3.2360000000000002</v>
      </c>
      <c r="HP30" s="24">
        <f>ROUND(SUM(GG30:GG$56)/VLOOKUP($FM30,$AQ$9:$AR$102,2)/VLOOKUP($FM30-HP$103,Frauen!$G$9:$J$102,4),Rundäx)</f>
        <v>3.621</v>
      </c>
      <c r="HQ30" s="24">
        <f>ROUND(SUM(GH30:GH$56)/VLOOKUP($FM30,$AQ$9:$AR$102,2)/VLOOKUP($FM30-HQ$103,Frauen!$G$9:$J$102,4),Rundäx)</f>
        <v>4.032</v>
      </c>
      <c r="HR30" s="24">
        <f>ROUND(SUM(GI30:GI$56)/VLOOKUP($FM30,$AQ$9:$AR$102,2)/VLOOKUP($FM30-HR$103,Frauen!$G$9:$J$102,4),Rundäx)</f>
        <v>4.468</v>
      </c>
      <c r="HS30" s="24">
        <f>ROUND(SUM(GJ30:GJ$56)/VLOOKUP($FM30,$AQ$9:$AR$102,2)/VLOOKUP($FM30-HS$103,Frauen!$G$9:$J$102,4),Rundäx)</f>
        <v>4.9260000000000002</v>
      </c>
      <c r="HT30" s="24">
        <f>ROUND(SUM(GK30:GK$56)/VLOOKUP($FM30,$AQ$9:$AR$102,2)/VLOOKUP($FM30-HT$103,Frauen!$G$9:$J$102,4),Rundäx)</f>
        <v>5.4020000000000001</v>
      </c>
      <c r="HU30" s="86"/>
      <c r="HV30" s="35">
        <f t="shared" si="65"/>
        <v>86</v>
      </c>
      <c r="HW30" s="24">
        <f>ROUND(SUM(GL30:GL$56)/VLOOKUP($FM30,$AQ$9:$AR$102,2)/VLOOKUP($FM30-HW$103,Frauen!$G$9:$J$102,4),Rundäx)</f>
        <v>5.8920000000000003</v>
      </c>
      <c r="HX30" s="24">
        <f>ROUND(SUM(GM30:GM$56)/VLOOKUP($FM30,$AQ$9:$AR$102,2)/VLOOKUP($FM30-HX$103,Frauen!$G$9:$J$102,4),Rundäx)</f>
        <v>6.39</v>
      </c>
      <c r="HY30" s="24">
        <f>ROUND(SUM(GN30:GN$56)/VLOOKUP($FM30,$AQ$9:$AR$102,2)/VLOOKUP($FM30-HY$103,Frauen!$G$9:$J$102,4),Rundäx)</f>
        <v>6.8929999999999998</v>
      </c>
      <c r="HZ30" s="24">
        <f>ROUND(SUM(GO30:GO$56)/VLOOKUP($FM30,$AQ$9:$AR$102,2)/VLOOKUP($FM30-HZ$103,Frauen!$G$9:$J$102,4),Rundäx)</f>
        <v>7.3959999999999999</v>
      </c>
      <c r="IA30" s="24">
        <f>ROUND(SUM(GP30:GP$56)/VLOOKUP($FM30,$AQ$9:$AR$102,2)/VLOOKUP($FM30-IA$103,Frauen!$G$9:$J$102,4),Rundäx)</f>
        <v>7.8970000000000002</v>
      </c>
      <c r="IB30" s="24">
        <f>ROUND(SUM(GQ30:GQ$56)/VLOOKUP($FM30,$AQ$9:$AR$102,2)/VLOOKUP($FM30-IB$103,Frauen!$G$9:$J$102,4),Rundäx)</f>
        <v>8.3970000000000002</v>
      </c>
      <c r="IC30" s="24">
        <f>ROUND(SUM(GR30:GR$56)/VLOOKUP($FM30,$AQ$9:$AR$102,2)/VLOOKUP($FM30-IC$103,Frauen!$G$9:$J$102,4),Rundäx)</f>
        <v>8.8960000000000008</v>
      </c>
      <c r="ID30" s="89"/>
      <c r="IE30" s="35">
        <f t="shared" si="66"/>
        <v>38</v>
      </c>
      <c r="IF30" s="25">
        <f t="shared" si="31"/>
        <v>886</v>
      </c>
      <c r="IG30" s="25">
        <f>IF($IE30&lt;RAM,IF(S31&lt;=RAK,ROUND(SUM(IF30:INDEX(Dakx,RAM-BeginnAlter))+INDEX(Dax,RAM-BeginnAlter+1)*INDEX(äkx,1),RundDx),0),"")</f>
        <v>10431</v>
      </c>
      <c r="IH30" s="25">
        <f>IF($IE30&lt;RAM,IF(S31&lt;=RAK,ROUND(SUM(IG30:INDEX(Nakx,RAM-BeginnAlter))+INDEX(Dax,RAM-BeginnAlter+1)*INDEX(äkx,1),RundDx),0),"")</f>
        <v>84546</v>
      </c>
      <c r="II30" s="24">
        <f t="shared" si="32"/>
        <v>0.25</v>
      </c>
      <c r="IJ30" s="25">
        <f t="shared" si="33"/>
        <v>23244</v>
      </c>
      <c r="IK30" s="25">
        <f>IF($IE30&lt;RAM,IF(S31&lt;=RAK,SUM(IJ30:INDEX(Dikx,RAM-BeginnAlter))+INDEX(Dix,RAM-BeginnAlter+1)*INDEX(äkx,1),0),"")</f>
        <v>177583.83199999999</v>
      </c>
      <c r="IL30" s="24">
        <f t="shared" si="34"/>
        <v>2.681</v>
      </c>
      <c r="IM30" s="86"/>
      <c r="IN30" s="35">
        <f t="shared" si="67"/>
        <v>86</v>
      </c>
      <c r="IO30" s="25"/>
      <c r="IP30" s="25"/>
      <c r="IQ30" s="24"/>
      <c r="IR30" s="86"/>
    </row>
    <row r="31" spans="1:252" ht="15.75" customHeight="1" x14ac:dyDescent="0.25">
      <c r="A31" s="35">
        <f t="shared" si="41"/>
        <v>39</v>
      </c>
      <c r="B31" s="77">
        <v>1.0292263209344804E-3</v>
      </c>
      <c r="C31" s="77">
        <v>1.5481278471447238E-3</v>
      </c>
      <c r="D31" s="77">
        <v>1.9341047643409406E-2</v>
      </c>
      <c r="E31" s="77">
        <v>1.2999542984817314E-3</v>
      </c>
      <c r="F31" s="86"/>
      <c r="G31" s="35">
        <f t="shared" si="42"/>
        <v>39</v>
      </c>
      <c r="H31" s="25">
        <f t="shared" si="37"/>
        <v>97084</v>
      </c>
      <c r="I31" s="25">
        <f t="shared" si="38"/>
        <v>1381</v>
      </c>
      <c r="J31" s="25">
        <f t="shared" si="39"/>
        <v>98465</v>
      </c>
      <c r="K31" s="30">
        <f>IF(J31&gt;0,ROUND(SUM(J31:J$102)/J31-0.5,Rundex),"")</f>
        <v>40.58</v>
      </c>
      <c r="L31" s="25">
        <f t="shared" si="0"/>
        <v>151357</v>
      </c>
      <c r="M31" s="30">
        <f>IF(L31&gt;0,ROUND(SUM(L31:L$102)/L31-0.5,Rundex),"")</f>
        <v>30.24</v>
      </c>
      <c r="N31" s="86"/>
      <c r="O31" s="35">
        <f t="shared" si="43"/>
        <v>39</v>
      </c>
      <c r="P31" s="43">
        <v>0.63026916699656499</v>
      </c>
      <c r="Q31" s="78">
        <v>37.963658047514855</v>
      </c>
      <c r="R31" s="43">
        <v>1.364671264129043</v>
      </c>
      <c r="S31" s="78">
        <v>9.2317775557647455</v>
      </c>
      <c r="T31" s="15">
        <v>1.3006878243408959E-3</v>
      </c>
      <c r="U31" s="11">
        <f t="shared" si="40"/>
        <v>98464</v>
      </c>
      <c r="V31" s="30">
        <f>IF(U31&gt;0,ROUND(SUM(U31:U$102)/U31-0.5,Rundex),"")</f>
        <v>38.19</v>
      </c>
      <c r="W31" s="86"/>
      <c r="X31" s="35">
        <f t="shared" si="44"/>
        <v>39</v>
      </c>
      <c r="Y31" s="25">
        <f t="shared" si="1"/>
        <v>40764</v>
      </c>
      <c r="Z31" s="25">
        <f>IF($X31&lt;RAM,SUM(Y31:INDEX(Dax,RAM-BeginnAlter))," ")</f>
        <v>753589</v>
      </c>
      <c r="AA31" s="25">
        <f t="shared" si="2"/>
        <v>41</v>
      </c>
      <c r="AB31" s="25">
        <f>IF($X31&lt;RAM,SUM(AA31:INDEX(Cax,RAM-BeginnAlter))," ")</f>
        <v>2147</v>
      </c>
      <c r="AC31" s="25">
        <f t="shared" si="3"/>
        <v>62</v>
      </c>
      <c r="AD31" s="25">
        <f>IF($X31&lt;RAM,SUM(AC31:INDEX(Caix,RAM-BeginnAlter))," ")</f>
        <v>7356</v>
      </c>
      <c r="AE31" s="24">
        <f t="shared" si="4"/>
        <v>18.486999999999998</v>
      </c>
      <c r="AF31" s="24">
        <f t="shared" si="5"/>
        <v>18.195</v>
      </c>
      <c r="AG31" s="86"/>
      <c r="AH31" s="35">
        <f t="shared" si="45"/>
        <v>39</v>
      </c>
      <c r="AI31" s="25">
        <f t="shared" si="6"/>
        <v>63553</v>
      </c>
      <c r="AJ31" s="25">
        <f>IF($AH31&gt;RAM," ",IF($AH31&lt;RAM,SUM(AI31:INDEX(Dix,RAM-BeginnAlter))+INDEX(Nx,RAM-BeginnAlter+1),INDEX(Nx,RAM-BeginnAlter+1)))</f>
        <v>1316657</v>
      </c>
      <c r="AK31" s="25">
        <f>IF($AH31&lt;RAM,SUM(AI31:INDEX(Dix,RAM-BeginnAlter))," ")</f>
        <v>1019410</v>
      </c>
      <c r="AL31" s="24">
        <f t="shared" si="7"/>
        <v>20.716999999999999</v>
      </c>
      <c r="AM31" s="24">
        <f t="shared" si="8"/>
        <v>20.259</v>
      </c>
      <c r="AN31" s="24">
        <f t="shared" si="9"/>
        <v>16.04</v>
      </c>
      <c r="AO31" s="24">
        <f t="shared" si="10"/>
        <v>15.73</v>
      </c>
      <c r="AP31" s="86"/>
      <c r="AQ31" s="35">
        <f t="shared" si="46"/>
        <v>39</v>
      </c>
      <c r="AR31" s="25">
        <f t="shared" si="11"/>
        <v>41344</v>
      </c>
      <c r="AS31" s="25">
        <f>SUM(AR31:AR$94)</f>
        <v>1098508</v>
      </c>
      <c r="AT31" s="25">
        <f>IF($AQ31&lt;RAM,SUM(AR31:INDEX(Dx,RAM-BeginnAlter))," ")</f>
        <v>801261</v>
      </c>
      <c r="AU31" s="24">
        <f t="shared" si="12"/>
        <v>26.57</v>
      </c>
      <c r="AV31" s="24">
        <f t="shared" si="13"/>
        <v>26.111999999999998</v>
      </c>
      <c r="AW31" s="24">
        <f t="shared" si="14"/>
        <v>19.38</v>
      </c>
      <c r="AX31" s="24">
        <f t="shared" si="15"/>
        <v>19.149000000000001</v>
      </c>
      <c r="AY31" s="86"/>
      <c r="AZ31" s="35">
        <f t="shared" si="47"/>
        <v>39</v>
      </c>
      <c r="BA31" s="25">
        <f t="shared" si="16"/>
        <v>41344</v>
      </c>
      <c r="BB31" s="25">
        <f>SUM(BA31:BA$94)</f>
        <v>1056453</v>
      </c>
      <c r="BC31" s="24">
        <f t="shared" si="17"/>
        <v>25.553000000000001</v>
      </c>
      <c r="BD31" s="24">
        <f t="shared" si="18"/>
        <v>25.094000000000001</v>
      </c>
      <c r="BE31" s="86"/>
      <c r="BF31" s="35">
        <f t="shared" si="48"/>
        <v>22</v>
      </c>
      <c r="BG31" s="24">
        <f t="shared" si="19"/>
        <v>2.9340000000000002</v>
      </c>
      <c r="BH31" s="24">
        <f t="shared" si="20"/>
        <v>2.9049999999999998</v>
      </c>
      <c r="BI31" s="86"/>
      <c r="BJ31" s="35">
        <f t="shared" si="49"/>
        <v>39</v>
      </c>
      <c r="BK31" s="25">
        <f t="shared" si="21"/>
        <v>1259</v>
      </c>
      <c r="BL31" s="25">
        <f>IF(BJ31&lt;RAM,SUM(BK31:INDEX(Daix,RAM-BeginnAlter))," ")</f>
        <v>118718</v>
      </c>
      <c r="BM31" s="25">
        <f>IF(BJ31&lt;RAM,SUM(BL31:INDEX(Naix,RAM-BeginnAlter))," ")</f>
        <v>2229402</v>
      </c>
      <c r="BN31" s="24">
        <f t="shared" si="22"/>
        <v>5.0960000000000001</v>
      </c>
      <c r="BO31" s="24">
        <f t="shared" si="23"/>
        <v>2.9119999999999999</v>
      </c>
      <c r="BP31" s="86"/>
      <c r="BQ31" s="35">
        <f t="shared" si="50"/>
        <v>39</v>
      </c>
      <c r="BR31" s="25">
        <f t="shared" si="51"/>
        <v>971</v>
      </c>
      <c r="BS31" s="25">
        <f>IF(BQ31&lt;RAM,SUM(BR31:INDEX(Daixs,RAM-BeginnAlter))," ")</f>
        <v>41238</v>
      </c>
      <c r="BT31" s="25">
        <f>IF(BQ31&lt;RAM,SUM(BS31:INDEX(Naixs,RAM-BeginnAlter))," ")</f>
        <v>622844</v>
      </c>
      <c r="BU31" s="24">
        <f t="shared" si="52"/>
        <v>6.9969999999999999</v>
      </c>
      <c r="BV31" s="24">
        <f t="shared" si="53"/>
        <v>1.012</v>
      </c>
      <c r="BW31" s="86"/>
      <c r="BX31" s="35">
        <f t="shared" si="54"/>
        <v>39</v>
      </c>
      <c r="BY31" s="10">
        <f t="shared" si="24"/>
        <v>11.380007489486214</v>
      </c>
      <c r="BZ31" s="11">
        <f t="shared" si="25"/>
        <v>958</v>
      </c>
      <c r="CA31" s="25">
        <f>IF(S32&lt;=RAK,IF($BX31&lt;RAM,SUM(BZ31:INDEX(Dazx,RAM-BeginnAlter)),""),"")</f>
        <v>13373</v>
      </c>
      <c r="CB31" s="24">
        <f t="shared" si="26"/>
        <v>0.32800000000000001</v>
      </c>
      <c r="CC31" s="25">
        <f t="shared" si="27"/>
        <v>28066</v>
      </c>
      <c r="CD31" s="24">
        <f t="shared" si="28"/>
        <v>19.12</v>
      </c>
      <c r="CE31" s="24">
        <f t="shared" si="29"/>
        <v>2.5000000000000001E-2</v>
      </c>
      <c r="CF31" s="86"/>
      <c r="CG31" s="35">
        <f t="shared" si="55"/>
        <v>39</v>
      </c>
      <c r="CH31" s="25">
        <f>IF(CG31&lt;RAM,ROUND(v^($CG31+FaktorAlter)*$H31*($B31*0.5*($P31+$P32)*(VLOOKUP(TRUNC(0.5*($Q31+$Q32),0),Frauen!$AZ$9:$BD$95,5)+(0.5*($Q31+$Q32)-TRUNC(0.5*($Q31+$Q32),0))*(VLOOKUP(TRUNC(0.5*($Q31+$Q32)+1,0),Frauen!$AZ$9:$BD$95,5)-VLOOKUP(TRUNC(0.5*($Q31+$Q32),0),Frauen!$AZ$9:$BD$95,5)))+$C31*0.5*($CN31+$CN32)),RundDx),"")</f>
        <v>1224</v>
      </c>
      <c r="CI31" s="25">
        <f>IF(CG31&lt;RAM,ROUND(SUM(CH31:INDEX(Dawx,RAM-BeginnAlter))+INDEX(Dax,RAM-BeginnAlter+1)*INDEX(äwx,1),RundDx),"")</f>
        <v>158576</v>
      </c>
      <c r="CJ31" s="25">
        <f>IF(CG31&lt;RAM,ROUND(SUM(CI31:INDEX(Nawx,RAM-BeginnAlter))+INDEX(Dax,RAM-BeginnAlter+1)*INDEX(äwx,1),RundDx),"")</f>
        <v>3513349</v>
      </c>
      <c r="CK31" s="24">
        <f t="shared" si="56"/>
        <v>3.89</v>
      </c>
      <c r="CL31" s="25">
        <f>IF(CG31&lt;RAM,ROUND(v^($CG31+FaktorAlter)*$L31*$D31*0.5*($P31+$P32)*(VLOOKUP(TRUNC(0.5*($Q31+$Q32),0),Frauen!$AZ$9:$BD$95,5)+(0.5*($Q31+$Q32)-TRUNC(0.5*($Q31+$Q32),0))*(VLOOKUP(TRUNC(0.5*($Q31+$Q32)+1,0),Frauen!$AZ$9:$BD$95,5)-VLOOKUP(TRUNC(0.5*($Q31+$Q32),0),Frauen!$AZ$9:$BD$95,5))),RundDx),"")</f>
        <v>21913</v>
      </c>
      <c r="CM31" s="25">
        <f>IF(CG31&lt;RAM,SUM(CL31:INDEX(Diwx,RAM-BeginnAlter))+INDEX(Dix,RAM-BeginnAlter+1)*INDEX(äwx,1),"")</f>
        <v>485511.41399999999</v>
      </c>
      <c r="CN31" s="24">
        <f t="shared" si="57"/>
        <v>7.6390000000000002</v>
      </c>
      <c r="CO31" s="86"/>
      <c r="CP31" s="35">
        <f t="shared" si="58"/>
        <v>87</v>
      </c>
      <c r="CQ31" s="11">
        <f>ROUND(v^($CP31+FaktorAlter)*VLOOKUP(CP31,G$9:J$102,4)*VLOOKUP(CP31,A$9:E$102,5)*0.5*(VLOOKUP(CP31,O$9:P$102,2)+VLOOKUP(CP31+1,O$9:P$102,2))*(VLOOKUP(TRUNC(0.5*(VLOOKUP(CP31,O$9:Q$102,3)+VLOOKUP(CP31+1,O$9:Q$102,3)),0),Frauen!$AZ$9:$BD$95,5)+(0.5*(VLOOKUP(CP31,O$9:Q$102,3)+VLOOKUP(CP31+1,O$9:Q$102,3))-TRUNC(0.5*(VLOOKUP(CP31,O$9:Q$102,3)+VLOOKUP(CP31+1,O$9:Q$102,3)),0))*(VLOOKUP(TRUNC(0.5*(VLOOKUP(CP31,O$9:Q$102,3)+VLOOKUP(CP31+1,O$9:Q$102,3))+1,0),Frauen!$AZ$9:$BD$95,5)-VLOOKUP(TRUNC(0.5*(VLOOKUP(CP31,O$9:Q$102,3)+VLOOKUP(CP31+1,O$9:Q$102,3)),0),Frauen!$AZ$9:$BD$95,5))),RundDx)</f>
        <v>2424</v>
      </c>
      <c r="CR31" s="25">
        <f>SUM(CQ31:CQ$56)</f>
        <v>11054</v>
      </c>
      <c r="CS31" s="24">
        <f t="shared" si="30"/>
        <v>2.6179999999999999</v>
      </c>
      <c r="CT31" s="86"/>
      <c r="CU31" s="35">
        <f t="shared" si="59"/>
        <v>39</v>
      </c>
      <c r="CV31" s="25">
        <f>IF($CU31&gt;=RAM,"",IF($CU31-CV$103&lt;BeginnAlter,"",ROUND(v^($CU31+FaktorAlter)*$L31*$D31*0.5*(VLOOKUP($CU31-CV$103,Frauen!$G$9:$J$102,4)+VLOOKUP($CU31-CV$103+1,Frauen!$G$9:$J$102,4))*0.5*(VLOOKUP($CU31-CV$103,Frauen!$AZ$9:$BD$102,5)+VLOOKUP($CU31-CV$103+1,Frauen!$AZ$9:$BD$102,5)),RundDx)))</f>
        <v>2502145097</v>
      </c>
      <c r="CW31" s="25">
        <f>IF($CU31&gt;=RAM,"",IF($CU31-CW$103&lt;BeginnAlter,"",ROUND(v^($CU31+FaktorAlter)*$L31*$D31*0.5*(VLOOKUP($CU31-CW$103,Frauen!$G$9:$J$102,4)+VLOOKUP($CU31-CW$103+1,Frauen!$G$9:$J$102,4))*0.5*(VLOOKUP($CU31-CW$103,Frauen!$AZ$9:$BD$102,5)+VLOOKUP($CU31-CW$103+1,Frauen!$AZ$9:$BD$102,5)),RundDx)))</f>
        <v>2564506190</v>
      </c>
      <c r="CX31" s="25">
        <f>IF($CU31&gt;=RAM,"",IF($CU31-CX$103&lt;BeginnAlter,"",ROUND(v^($CU31+FaktorAlter)*$L31*$D31*0.5*(VLOOKUP($CU31-CX$103,Frauen!$G$9:$J$102,4)+VLOOKUP($CU31-CX$103+1,Frauen!$G$9:$J$102,4))*0.5*(VLOOKUP($CU31-CX$103,Frauen!$AZ$9:$BD$102,5)+VLOOKUP($CU31-CX$103+1,Frauen!$AZ$9:$BD$102,5)),RundDx)))</f>
        <v>2626248943</v>
      </c>
      <c r="CY31" s="25">
        <f>IF($CU31&gt;=RAM,"",IF($CU31-CY$103&lt;BeginnAlter,"",ROUND(v^($CU31+FaktorAlter)*$L31*$D31*0.5*(VLOOKUP($CU31-CY$103,Frauen!$G$9:$J$102,4)+VLOOKUP($CU31-CY$103+1,Frauen!$G$9:$J$102,4))*0.5*(VLOOKUP($CU31-CY$103,Frauen!$AZ$9:$BD$102,5)+VLOOKUP($CU31-CY$103+1,Frauen!$AZ$9:$BD$102,5)),RundDx)))</f>
        <v>2687245012</v>
      </c>
      <c r="CZ31" s="25">
        <f>IF($CU31&gt;=RAM,"",IF($CU31-CZ$103&lt;BeginnAlter,"",ROUND(v^($CU31+FaktorAlter)*$L31*$D31*0.5*(VLOOKUP($CU31-CZ$103,Frauen!$G$9:$J$102,4)+VLOOKUP($CU31-CZ$103+1,Frauen!$G$9:$J$102,4))*0.5*(VLOOKUP($CU31-CZ$103,Frauen!$AZ$9:$BD$102,5)+VLOOKUP($CU31-CZ$103+1,Frauen!$AZ$9:$BD$102,5)),RundDx)))</f>
        <v>2747211672</v>
      </c>
      <c r="DA31" s="25">
        <f>IF($CU31&gt;=RAM,"",IF($CU31-DA$103&lt;BeginnAlter,"",ROUND(v^($CU31+FaktorAlter)*$L31*$D31*0.5*(VLOOKUP($CU31-DA$103,Frauen!$G$9:$J$102,4)+VLOOKUP($CU31-DA$103+1,Frauen!$G$9:$J$102,4))*0.5*(VLOOKUP($CU31-DA$103,Frauen!$AZ$9:$BD$102,5)+VLOOKUP($CU31-DA$103+1,Frauen!$AZ$9:$BD$102,5)),RundDx)))</f>
        <v>2805972175</v>
      </c>
      <c r="DB31" s="25">
        <f>IF($CU31&gt;=RAM,"",IF($CU31-DB$103&lt;BeginnAlter,"",ROUND(v^($CU31+FaktorAlter)*$L31*$D31*0.5*(VLOOKUP($CU31-DB$103,Frauen!$G$9:$J$102,4)+VLOOKUP($CU31-DB$103+1,Frauen!$G$9:$J$102,4))*0.5*(VLOOKUP($CU31-DB$103,Frauen!$AZ$9:$BD$102,5)+VLOOKUP($CU31-DB$103+1,Frauen!$AZ$9:$BD$102,5)),RundDx)))</f>
        <v>2863470960</v>
      </c>
      <c r="DC31" s="25">
        <f>IF($CU31&gt;=RAM,"",IF($CU31-DC$103&lt;BeginnAlter,"",ROUND(v^($CU31+FaktorAlter)*$L31*$D31*0.5*(VLOOKUP($CU31-DC$103,Frauen!$G$9:$J$102,4)+VLOOKUP($CU31-DC$103+1,Frauen!$G$9:$J$102,4))*0.5*(VLOOKUP($CU31-DC$103,Frauen!$AZ$9:$BD$102,5)+VLOOKUP($CU31-DC$103+1,Frauen!$AZ$9:$BD$102,5)),RundDx)))</f>
        <v>2919715664</v>
      </c>
      <c r="DD31" s="25">
        <f>IF($CU31&gt;=RAM,"",IF($CU31-DD$103&lt;BeginnAlter,"",ROUND(v^($CU31+FaktorAlter)*$L31*$D31*0.5*(VLOOKUP($CU31-DD$103,Frauen!$G$9:$J$102,4)+VLOOKUP($CU31-DD$103+1,Frauen!$G$9:$J$102,4))*0.5*(VLOOKUP($CU31-DD$103,Frauen!$AZ$9:$BD$102,5)+VLOOKUP($CU31-DD$103+1,Frauen!$AZ$9:$BD$102,5)),RundDx)))</f>
        <v>2974762487</v>
      </c>
      <c r="DE31" s="25">
        <f>IF($CU31&gt;=RAM,"",IF($CU31-DE$103&lt;BeginnAlter,"",ROUND(v^($CU31+FaktorAlter)*$L31*$D31*0.5*(VLOOKUP($CU31-DE$103,Frauen!$G$9:$J$102,4)+VLOOKUP($CU31-DE$103+1,Frauen!$G$9:$J$102,4))*0.5*(VLOOKUP($CU31-DE$103,Frauen!$AZ$9:$BD$102,5)+VLOOKUP($CU31-DE$103+1,Frauen!$AZ$9:$BD$102,5)),RundDx)))</f>
        <v>3028536286</v>
      </c>
      <c r="DF31" s="25">
        <f>IF($CU31&gt;=RAM,"",IF($CU31-DF$103&lt;BeginnAlter,"",ROUND(v^($CU31+FaktorAlter)*$L31*$D31*0.5*(VLOOKUP($CU31-DF$103,Frauen!$G$9:$J$102,4)+VLOOKUP($CU31-DF$103+1,Frauen!$G$9:$J$102,4))*0.5*(VLOOKUP($CU31-DF$103,Frauen!$AZ$9:$BD$102,5)+VLOOKUP($CU31-DF$103+1,Frauen!$AZ$9:$BD$102,5)),RundDx)))</f>
        <v>3081054540</v>
      </c>
      <c r="DG31" s="25">
        <f>IF($CU31&gt;=RAM,"",IF($CU31-DG$103&lt;BeginnAlter,"",ROUND(v^($CU31+FaktorAlter)*$L31*$D31*0.5*(VLOOKUP($CU31-DG$103,Frauen!$G$9:$J$102,4)+VLOOKUP($CU31-DG$103+1,Frauen!$G$9:$J$102,4))*0.5*(VLOOKUP($CU31-DG$103,Frauen!$AZ$9:$BD$102,5)+VLOOKUP($CU31-DG$103+1,Frauen!$AZ$9:$BD$102,5)),RundDx)))</f>
        <v>3132442379</v>
      </c>
      <c r="DH31" s="25">
        <f>IF($CU31&gt;=RAM,"",IF($CU31-DH$103&lt;BeginnAlter,"",ROUND(v^($CU31+FaktorAlter)*$L31*$D31*0.5*(VLOOKUP($CU31-DH$103,Frauen!$G$9:$J$102,4)+VLOOKUP($CU31-DH$103+1,Frauen!$G$9:$J$102,4))*0.5*(VLOOKUP($CU31-DH$103,Frauen!$AZ$9:$BD$102,5)+VLOOKUP($CU31-DH$103+1,Frauen!$AZ$9:$BD$102,5)),RundDx)))</f>
        <v>3182724541</v>
      </c>
      <c r="DI31" s="25">
        <f>IF($CU31&gt;=RAM,"",IF($CU31-DI$103&lt;BeginnAlter,"",ROUND(v^($CU31+FaktorAlter)*$L31*$D31*0.5*(VLOOKUP($CU31-DI$103,Frauen!$G$9:$J$102,4)+VLOOKUP($CU31-DI$103+1,Frauen!$G$9:$J$102,4))*0.5*(VLOOKUP($CU31-DI$103,Frauen!$AZ$9:$BD$102,5)+VLOOKUP($CU31-DI$103+1,Frauen!$AZ$9:$BD$102,5)),RundDx)))</f>
        <v>3231912869</v>
      </c>
      <c r="DJ31" s="25">
        <f>IF($CU31&gt;=RAM,"",IF($CU31-DJ$103&lt;BeginnAlter,"",ROUND(v^($CU31+FaktorAlter)*$L31*$D31*0.5*(VLOOKUP($CU31-DJ$103,Frauen!$G$9:$J$102,4)+VLOOKUP($CU31-DJ$103+1,Frauen!$G$9:$J$102,4))*0.5*(VLOOKUP($CU31-DJ$103,Frauen!$AZ$9:$BD$102,5)+VLOOKUP($CU31-DJ$103+1,Frauen!$AZ$9:$BD$102,5)),RundDx)))</f>
        <v>3280005057</v>
      </c>
      <c r="DK31" s="25">
        <f>IF($CU31&gt;=RAM,"",IF($CU31-DK$103&lt;BeginnAlter,"",ROUND(v^($CU31+FaktorAlter)*$L31*$D31*0.5*(VLOOKUP($CU31-DK$103,Frauen!$G$9:$J$102,4)+VLOOKUP($CU31-DK$103+1,Frauen!$G$9:$J$102,4))*0.5*(VLOOKUP($CU31-DK$103,Frauen!$AZ$9:$BD$102,5)+VLOOKUP($CU31-DK$103+1,Frauen!$AZ$9:$BD$102,5)),RundDx)))</f>
        <v>3327033890</v>
      </c>
      <c r="DL31" s="25">
        <f>IF($CU31&gt;=RAM,"",IF($CU31-DL$103&lt;BeginnAlter,"",ROUND(v^($CU31+FaktorAlter)*$L31*$D31*0.5*(VLOOKUP($CU31-DL$103,Frauen!$G$9:$J$102,4)+VLOOKUP($CU31-DL$103+1,Frauen!$G$9:$J$102,4))*0.5*(VLOOKUP($CU31-DL$103,Frauen!$AZ$9:$BD$102,5)+VLOOKUP($CU31-DL$103+1,Frauen!$AZ$9:$BD$102,5)),RundDx)))</f>
        <v>3373018286</v>
      </c>
      <c r="DM31" s="25">
        <f>IF($CU31&gt;=RAM,"",IF($CU31-DM$103&lt;BeginnAlter,"",ROUND(v^($CU31+FaktorAlter)*$L31*$D31*0.5*(VLOOKUP($CU31-DM$103,Frauen!$G$9:$J$102,4)+VLOOKUP($CU31-DM$103+1,Frauen!$G$9:$J$102,4))*0.5*(VLOOKUP($CU31-DM$103,Frauen!$AZ$9:$BD$102,5)+VLOOKUP($CU31-DM$103+1,Frauen!$AZ$9:$BD$102,5)),RundDx)))</f>
        <v>3418039604</v>
      </c>
      <c r="DN31" s="25">
        <f>IF($CU31&gt;=RAM,"",IF($CU31-DN$103&lt;BeginnAlter,"",ROUND(v^($CU31+FaktorAlter)*$L31*$D31*0.5*(VLOOKUP($CU31-DN$103,Frauen!$G$9:$J$102,4)+VLOOKUP($CU31-DN$103+1,Frauen!$G$9:$J$102,4))*0.5*(VLOOKUP($CU31-DN$103,Frauen!$AZ$9:$BD$102,5)+VLOOKUP($CU31-DN$103+1,Frauen!$AZ$9:$BD$102,5)),RundDx)))</f>
        <v>3462181488</v>
      </c>
      <c r="DO31" s="25">
        <f>IF($CU31&gt;=RAM,"",IF($CU31-DO$103&lt;BeginnAlter,"",ROUND(v^($CU31+FaktorAlter)*$L31*$D31*0.5*(VLOOKUP($CU31-DO$103,Frauen!$G$9:$J$102,4)+VLOOKUP($CU31-DO$103+1,Frauen!$G$9:$J$102,4))*0.5*(VLOOKUP($CU31-DO$103,Frauen!$AZ$9:$BD$102,5)+VLOOKUP($CU31-DO$103+1,Frauen!$AZ$9:$BD$102,5)),RundDx)))</f>
        <v>3505469407</v>
      </c>
      <c r="DP31" s="25">
        <f>IF($CU31&gt;=RAM,"",IF($CU31-DP$103&lt;BeginnAlter,"",ROUND(v^($CU31+FaktorAlter)*$L31*$D31*0.5*(VLOOKUP($CU31-DP$103,Frauen!$G$9:$J$102,4)+VLOOKUP($CU31-DP$103+1,Frauen!$G$9:$J$102,4))*0.5*(VLOOKUP($CU31-DP$103,Frauen!$AZ$9:$BD$102,5)+VLOOKUP($CU31-DP$103+1,Frauen!$AZ$9:$BD$102,5)),RundDx)))</f>
        <v>3547870342</v>
      </c>
      <c r="DQ31" s="25">
        <f>IF($CU31&gt;=RAM,"",IF($CU31-DQ$103&lt;BeginnAlter,"",ROUND(v^($CU31+FaktorAlter)*$L31*$D31*0.5*(VLOOKUP($CU31-DQ$103,Frauen!$G$9:$J$102,4)+VLOOKUP($CU31-DQ$103+1,Frauen!$G$9:$J$102,4))*0.5*(VLOOKUP($CU31-DQ$103,Frauen!$AZ$9:$BD$102,5)+VLOOKUP($CU31-DQ$103+1,Frauen!$AZ$9:$BD$102,5)),RundDx)))</f>
        <v>3589395317</v>
      </c>
      <c r="DR31" s="25">
        <f>IF($CU31&gt;=RAM,"",IF($CU31-DR$103&lt;BeginnAlter,"",ROUND(v^($CU31+FaktorAlter)*$L31*$D31*0.5*(VLOOKUP($CU31-DR$103,Frauen!$G$9:$J$102,4)+VLOOKUP($CU31-DR$103+1,Frauen!$G$9:$J$102,4))*0.5*(VLOOKUP($CU31-DR$103,Frauen!$AZ$9:$BD$102,5)+VLOOKUP($CU31-DR$103+1,Frauen!$AZ$9:$BD$102,5)),RundDx)))</f>
        <v>3630056345</v>
      </c>
      <c r="DS31" s="25">
        <f>IF($CU31&gt;=RAM,"",IF($CU31-DS$103&lt;BeginnAlter,"",ROUND(v^($CU31+FaktorAlter)*$L31*$D31*0.5*(VLOOKUP($CU31-DS$103,Frauen!$G$9:$J$102,4)+VLOOKUP($CU31-DS$103+1,Frauen!$G$9:$J$102,4))*0.5*(VLOOKUP($CU31-DS$103,Frauen!$AZ$9:$BD$102,5)+VLOOKUP($CU31-DS$103+1,Frauen!$AZ$9:$BD$102,5)),RundDx)))</f>
        <v>3669926879</v>
      </c>
      <c r="DT31" s="25">
        <f>IF($CU31&gt;=RAM,"",IF($CU31-DT$103&lt;BeginnAlter,"",ROUND(v^($CU31+FaktorAlter)*$L31*$D31*0.5*(VLOOKUP($CU31-DT$103,Frauen!$G$9:$J$102,4)+VLOOKUP($CU31-DT$103+1,Frauen!$G$9:$J$102,4))*0.5*(VLOOKUP($CU31-DT$103,Frauen!$AZ$9:$BD$102,5)+VLOOKUP($CU31-DT$103+1,Frauen!$AZ$9:$BD$102,5)),RundDx)))</f>
        <v>3709020888</v>
      </c>
      <c r="DU31" s="25">
        <f>IF($CU31&gt;=RAM,"",IF($CU31-DU$103&lt;BeginnAlter,"",ROUND(v^($CU31+FaktorAlter)*$L31*$D31*0.5*(VLOOKUP($CU31-DU$103,Frauen!$G$9:$J$102,4)+VLOOKUP($CU31-DU$103+1,Frauen!$G$9:$J$102,4))*0.5*(VLOOKUP($CU31-DU$103,Frauen!$AZ$9:$BD$102,5)+VLOOKUP($CU31-DU$103+1,Frauen!$AZ$9:$BD$102,5)),RundDx)))</f>
        <v>3747292641</v>
      </c>
      <c r="DV31" s="25">
        <f>IF($CU31&gt;=RAM,"",IF($CU31-DV$103&lt;BeginnAlter,"",ROUND(v^($CU31+FaktorAlter)*$L31*$D31*0.5*(VLOOKUP($CU31-DV$103,Frauen!$G$9:$J$102,4)+VLOOKUP($CU31-DV$103+1,Frauen!$G$9:$J$102,4))*0.5*(VLOOKUP($CU31-DV$103,Frauen!$AZ$9:$BD$102,5)+VLOOKUP($CU31-DV$103+1,Frauen!$AZ$9:$BD$102,5)),RundDx)))</f>
        <v>3784738717</v>
      </c>
      <c r="DW31" s="25">
        <f>IF($CU31&gt;=RAM,"",IF($CU31-DW$103&lt;BeginnAlter,"",ROUND(v^($CU31+FaktorAlter)*$L31*$D31*0.5*(VLOOKUP($CU31-DW$103,Frauen!$G$9:$J$102,4)+VLOOKUP($CU31-DW$103+1,Frauen!$G$9:$J$102,4))*0.5*(VLOOKUP($CU31-DW$103,Frauen!$AZ$9:$BD$102,5)+VLOOKUP($CU31-DW$103+1,Frauen!$AZ$9:$BD$102,5)),RundDx)))</f>
        <v>3821397252</v>
      </c>
      <c r="DX31" s="25">
        <f>IF($CU31&gt;=RAM,"",IF($CU31-DX$103&lt;BeginnAlter,"",ROUND(v^($CU31+FaktorAlter)*$L31*$D31*0.5*(VLOOKUP($CU31-DX$103,Frauen!$G$9:$J$102,4)+VLOOKUP($CU31-DX$103+1,Frauen!$G$9:$J$102,4))*0.5*(VLOOKUP($CU31-DX$103,Frauen!$AZ$9:$BD$102,5)+VLOOKUP($CU31-DX$103+1,Frauen!$AZ$9:$BD$102,5)),RundDx)))</f>
        <v>3857366546</v>
      </c>
      <c r="DY31" s="25">
        <f>IF($CU31&gt;=RAM,"",IF($CU31-DY$103&lt;BeginnAlter,"",ROUND(v^($CU31+FaktorAlter)*$L31*$D31*0.5*(VLOOKUP($CU31-DY$103,Frauen!$G$9:$J$102,4)+VLOOKUP($CU31-DY$103+1,Frauen!$G$9:$J$102,4))*0.5*(VLOOKUP($CU31-DY$103,Frauen!$AZ$9:$BD$102,5)+VLOOKUP($CU31-DY$103+1,Frauen!$AZ$9:$BD$102,5)),RundDx)))</f>
        <v>3892562528</v>
      </c>
      <c r="DZ31" s="25">
        <f>IF($CU31&gt;=RAM,"",IF($CU31-DZ$103&lt;BeginnAlter,"",ROUND(v^($CU31+FaktorAlter)*$L31*$D31*0.5*(VLOOKUP($CU31-DZ$103,Frauen!$G$9:$J$102,4)+VLOOKUP($CU31-DZ$103+1,Frauen!$G$9:$J$102,4))*0.5*(VLOOKUP($CU31-DZ$103,Frauen!$AZ$9:$BD$102,5)+VLOOKUP($CU31-DZ$103+1,Frauen!$AZ$9:$BD$102,5)),RundDx)))</f>
        <v>3927021870</v>
      </c>
      <c r="EA31" s="43">
        <f>IF($CU31&gt;=RAM,"",IF($CU31-EA$103&lt;BeginnAlter,"",ROUND((SUM(CV31:CV$56)+SUM(FN$9:FN$56))/VLOOKUP($CU31,$AH$9:$AI$102,2)/VLOOKUP($CU31-EA$103,Frauen!$G$9:$J$102,4),Rundäx)))</f>
        <v>5.2110000000000003</v>
      </c>
      <c r="EB31" s="43">
        <f>IF($CU31&gt;=RAM,"",IF($CU31-EB$103&lt;BeginnAlter,"",ROUND((SUM(CW31:CW$56)+SUM(FO$9:FO$56))/VLOOKUP($CU31,$AH$9:$AI$102,2)/VLOOKUP($CU31-EB$103,Frauen!$G$9:$J$102,4),Rundäx)))</f>
        <v>5.4279999999999999</v>
      </c>
      <c r="EC31" s="43">
        <f>IF($CU31&gt;=RAM,"",IF($CU31-EC$103&lt;BeginnAlter,"",ROUND((SUM(CX31:CX$56)+SUM(FP$9:FP$56))/VLOOKUP($CU31,$AH$9:$AI$102,2)/VLOOKUP($CU31-EC$103,Frauen!$G$9:$J$102,4),Rundäx)))</f>
        <v>5.649</v>
      </c>
      <c r="ED31" s="43">
        <f>IF($CU31&gt;=RAM,"",IF($CU31-ED$103&lt;BeginnAlter,"",ROUND((SUM(CY31:CY$56)+SUM(FQ$9:FQ$56))/VLOOKUP($CU31,$AH$9:$AI$102,2)/VLOOKUP($CU31-ED$103,Frauen!$G$9:$J$102,4),Rundäx)))</f>
        <v>5.8719999999999999</v>
      </c>
      <c r="EE31" s="43">
        <f>IF($CU31&gt;=RAM,"",IF($CU31-EE$103&lt;BeginnAlter,"",ROUND((SUM(CZ31:CZ$56)+SUM(FR$9:FR$56))/VLOOKUP($CU31,$AH$9:$AI$102,2)/VLOOKUP($CU31-EE$103,Frauen!$G$9:$J$102,4),Rundäx)))</f>
        <v>6.0990000000000002</v>
      </c>
      <c r="EF31" s="43">
        <f>IF($CU31&gt;=RAM,"",IF($CU31-EF$103&lt;BeginnAlter,"",ROUND((SUM(DA31:DA$56)+SUM(FS$9:FS$56))/VLOOKUP($CU31,$AH$9:$AI$102,2)/VLOOKUP($CU31-EF$103,Frauen!$G$9:$J$102,4),Rundäx)))</f>
        <v>6.3289999999999997</v>
      </c>
      <c r="EG31" s="43">
        <f>IF($CU31&gt;=RAM,"",IF($CU31-EG$103&lt;BeginnAlter,"",ROUND((SUM(DB31:DB$56)+SUM(FT$9:FT$56))/VLOOKUP($CU31,$AH$9:$AI$102,2)/VLOOKUP($CU31-EG$103,Frauen!$G$9:$J$102,4),Rundäx)))</f>
        <v>6.5620000000000003</v>
      </c>
      <c r="EH31" s="43">
        <f>IF($CU31&gt;=RAM,"",IF($CU31-EH$103&lt;BeginnAlter,"",ROUND((SUM(DC31:DC$56)+SUM(FU$9:FU$56))/VLOOKUP($CU31,$AH$9:$AI$102,2)/VLOOKUP($CU31-EH$103,Frauen!$G$9:$J$102,4),Rundäx)))</f>
        <v>6.7990000000000004</v>
      </c>
      <c r="EI31" s="86"/>
      <c r="EJ31" s="35">
        <f t="shared" si="60"/>
        <v>39</v>
      </c>
      <c r="EK31" s="43">
        <f>IF($CU31&gt;=RAM,"",IF($CU31-EK$103&lt;BeginnAlter,"",ROUND((SUM(DD31:DD$56)+SUM(FV$9:FV$56))/VLOOKUP($CU31,$AH$9:$AI$102,2)/VLOOKUP($CU31-EK$103,Frauen!$G$9:$J$102,4),Rundäx)))</f>
        <v>7.0380000000000003</v>
      </c>
      <c r="EL31" s="43">
        <f>IF($CU31&gt;=RAM,"",IF($CU31-EL$103&lt;BeginnAlter,"",ROUND((SUM(DE31:DE$56)+SUM(FW$9:FW$56))/VLOOKUP($CU31,$AH$9:$AI$102,2)/VLOOKUP($CU31-EL$103,Frauen!$G$9:$J$102,4),Rundäx)))</f>
        <v>7.2789999999999999</v>
      </c>
      <c r="EM31" s="43">
        <f>IF($CU31&gt;=RAM,"",IF($CU31-EM$103&lt;BeginnAlter,"",ROUND((SUM(DF31:DF$56)+SUM(FX$9:FX$56))/VLOOKUP($CU31,$AH$9:$AI$102,2)/VLOOKUP($CU31-EM$103,Frauen!$G$9:$J$102,4),Rundäx)))</f>
        <v>7.524</v>
      </c>
      <c r="EN31" s="43">
        <f>IF($CU31&gt;=RAM,"",IF($CU31-EN$103&lt;BeginnAlter,"",ROUND((SUM(DG31:DG$56)+SUM(FY$9:FY$56))/VLOOKUP($CU31,$AH$9:$AI$102,2)/VLOOKUP($CU31-EN$103,Frauen!$G$9:$J$102,4),Rundäx)))</f>
        <v>7.7709999999999999</v>
      </c>
      <c r="EO31" s="43">
        <f>IF($CU31&gt;=RAM,"",IF($CU31-EO$103&lt;BeginnAlter,"",ROUND((SUM(DH31:DH$56)+SUM(FZ$9:FZ$56))/VLOOKUP($CU31,$AH$9:$AI$102,2)/VLOOKUP($CU31-EO$103,Frauen!$G$9:$J$102,4),Rundäx)))</f>
        <v>8.02</v>
      </c>
      <c r="EP31" s="43">
        <f>IF($CU31&gt;=RAM,"",IF($CU31-EP$103&lt;BeginnAlter,"",ROUND((SUM(DI31:DI$56)+SUM(GA$9:GA$56))/VLOOKUP($CU31,$AH$9:$AI$102,2)/VLOOKUP($CU31-EP$103,Frauen!$G$9:$J$102,4),Rundäx)))</f>
        <v>8.2720000000000002</v>
      </c>
      <c r="EQ31" s="43">
        <f>IF($CU31&gt;=RAM,"",IF($CU31-EQ$103&lt;BeginnAlter,"",ROUND((SUM(DJ31:DJ$56)+SUM(GB$9:GB$56))/VLOOKUP($CU31,$AH$9:$AI$102,2)/VLOOKUP($CU31-EQ$103,Frauen!$G$9:$J$102,4),Rundäx)))</f>
        <v>8.5250000000000004</v>
      </c>
      <c r="ER31" s="43">
        <f>IF($CU31&gt;=RAM,"",IF($CU31-ER$103&lt;BeginnAlter,"",ROUND((SUM(DK31:DK$56)+SUM(GC$9:GC$56))/VLOOKUP($CU31,$AH$9:$AI$102,2)/VLOOKUP($CU31-ER$103,Frauen!$G$9:$J$102,4),Rundäx)))</f>
        <v>8.7799999999999994</v>
      </c>
      <c r="ES31" s="86"/>
      <c r="ET31" s="35">
        <f t="shared" si="61"/>
        <v>39</v>
      </c>
      <c r="EU31" s="43">
        <f>IF($CU31&gt;=RAM,"",IF($CU31-EU$103&lt;BeginnAlter,"",ROUND((SUM(DL31:DL$56)+SUM(GD$9:GD$56))/VLOOKUP($CU31,$AH$9:$AI$102,2)/VLOOKUP($CU31-EU$103,Frauen!$G$9:$J$102,4),Rundäx)))</f>
        <v>9.0359999999999996</v>
      </c>
      <c r="EV31" s="43">
        <f>IF($CU31&gt;=RAM,"",IF($CU31-EV$103&lt;BeginnAlter,"",ROUND((SUM(DM31:DM$56)+SUM(GE$9:GE$56))/VLOOKUP($CU31,$AH$9:$AI$102,2)/VLOOKUP($CU31-EV$103,Frauen!$G$9:$J$102,4),Rundäx)))</f>
        <v>9.2940000000000005</v>
      </c>
      <c r="EW31" s="43">
        <f>IF($CU31&gt;=RAM,"",IF($CU31-EW$103&lt;BeginnAlter,"",ROUND((SUM(DN31:DN$56)+SUM(GF$9:GF$56))/VLOOKUP($CU31,$AH$9:$AI$102,2)/VLOOKUP($CU31-EW$103,Frauen!$G$9:$J$102,4),Rundäx)))</f>
        <v>9.5519999999999996</v>
      </c>
      <c r="EX31" s="43">
        <f>IF($CU31&gt;=RAM,"",IF($CU31-EX$103&lt;BeginnAlter,"",ROUND((SUM(DO31:DO$56)+SUM(GG$9:GG$56))/VLOOKUP($CU31,$AH$9:$AI$102,2)/VLOOKUP($CU31-EX$103,Frauen!$G$9:$J$102,4),Rundäx)))</f>
        <v>9.81</v>
      </c>
      <c r="EY31" s="43">
        <f>IF($CU31&gt;=RAM,"",IF($CU31-EY$103&lt;BeginnAlter,"",ROUND((SUM(DP31:DP$56)+SUM(GH$9:GH$56))/VLOOKUP($CU31,$AH$9:$AI$102,2)/VLOOKUP($CU31-EY$103,Frauen!$G$9:$J$102,4),Rundäx)))</f>
        <v>10.068</v>
      </c>
      <c r="EZ31" s="43">
        <f>IF($CU31&gt;=RAM,"",IF($CU31-EZ$103&lt;BeginnAlter,"",ROUND((SUM(DQ31:DQ$56)+SUM(GI$9:GI$56))/VLOOKUP($CU31,$AH$9:$AI$102,2)/VLOOKUP($CU31-EZ$103,Frauen!$G$9:$J$102,4),Rundäx)))</f>
        <v>10.326000000000001</v>
      </c>
      <c r="FA31" s="43">
        <f>IF($CU31&gt;=RAM,"",IF($CU31-FA$103&lt;BeginnAlter,"",ROUND((SUM(DR31:DR$56)+SUM(GJ$9:GJ$56))/VLOOKUP($CU31,$AH$9:$AI$102,2)/VLOOKUP($CU31-FA$103,Frauen!$G$9:$J$102,4),Rundäx)))</f>
        <v>10.583</v>
      </c>
      <c r="FB31" s="43">
        <f>IF($CU31&gt;=RAM,"",IF($CU31-FB$103&lt;BeginnAlter,"",ROUND((SUM(DS31:DS$56)+SUM(GK$9:GK$56))/VLOOKUP($CU31,$AH$9:$AI$102,2)/VLOOKUP($CU31-FB$103,Frauen!$G$9:$J$102,4),Rundäx)))</f>
        <v>10.839</v>
      </c>
      <c r="FC31" s="86"/>
      <c r="FD31" s="35">
        <f t="shared" si="62"/>
        <v>39</v>
      </c>
      <c r="FE31" s="43">
        <f>IF($CU31&gt;=RAM,"",IF($CU31-FE$103&lt;BeginnAlter,"",ROUND((SUM(DT31:DT$56)+SUM(GL$9:GL$56))/VLOOKUP($CU31,$AH$9:$AI$102,2)/VLOOKUP($CU31-FE$103,Frauen!$G$9:$J$102,4),Rundäx)))</f>
        <v>11.093</v>
      </c>
      <c r="FF31" s="43">
        <f>IF($CU31&gt;=RAM,"",IF($CU31-FF$103&lt;BeginnAlter,"",ROUND((SUM(DU31:DU$56)+SUM(GM$9:GM$56))/VLOOKUP($CU31,$AH$9:$AI$102,2)/VLOOKUP($CU31-FF$103,Frauen!$G$9:$J$102,4),Rundäx)))</f>
        <v>11.346</v>
      </c>
      <c r="FG31" s="43">
        <f>IF($CU31&gt;=RAM,"",IF($CU31-FG$103&lt;BeginnAlter,"",ROUND((SUM(DV31:DV$56)+SUM(GN$9:GN$56))/VLOOKUP($CU31,$AH$9:$AI$102,2)/VLOOKUP($CU31-FG$103,Frauen!$G$9:$J$102,4),Rundäx)))</f>
        <v>11.597</v>
      </c>
      <c r="FH31" s="43">
        <f>IF($CU31&gt;=RAM,"",IF($CU31-FH$103&lt;BeginnAlter,"",ROUND((SUM(DW31:DW$56)+SUM(GO$9:GO$56))/VLOOKUP($CU31,$AH$9:$AI$102,2)/VLOOKUP($CU31-FH$103,Frauen!$G$9:$J$102,4),Rundäx)))</f>
        <v>11.845000000000001</v>
      </c>
      <c r="FI31" s="43">
        <f>IF($CU31&gt;=RAM,"",IF($CU31-FI$103&lt;BeginnAlter,"",ROUND((SUM(DX31:DX$56)+SUM(GP$9:GP$56))/VLOOKUP($CU31,$AH$9:$AI$102,2)/VLOOKUP($CU31-FI$103,Frauen!$G$9:$J$102,4),Rundäx)))</f>
        <v>12.092000000000001</v>
      </c>
      <c r="FJ31" s="43">
        <f>IF($CU31&gt;=RAM,"",IF($CU31-FJ$103&lt;BeginnAlter,"",ROUND((SUM(DY31:DY$56)+SUM(GQ$9:GQ$56))/VLOOKUP($CU31,$AH$9:$AI$102,2)/VLOOKUP($CU31-FJ$103,Frauen!$G$9:$J$102,4),Rundäx)))</f>
        <v>12.336</v>
      </c>
      <c r="FK31" s="43">
        <f>IF($CU31&gt;=RAM,"",IF($CU31-FK$103&lt;BeginnAlter,"",ROUND((SUM(DZ31:DZ$56)+SUM(GR$9:GR$56))/VLOOKUP($CU31,$AH$9:$AI$102,2)/VLOOKUP($CU31-FK$103,Frauen!$G$9:$J$102,4),Rundäx)))</f>
        <v>12.577</v>
      </c>
      <c r="FL31" s="86"/>
      <c r="FM31" s="35">
        <f t="shared" si="68"/>
        <v>87</v>
      </c>
      <c r="FN31" s="25">
        <f>ROUND(v^($FM31+FaktorAlter)*VLOOKUP($FM31,$G$9:$J$102,4)*VLOOKUP($FM31,$A$9:$E$102,5)*0.5*(VLOOKUP($FM31-FN$103,Frauen!$G$9:$J$102,4)+VLOOKUP($FM31-FN$103+1,Frauen!$G$9:$J$102,4))*0.5*(VLOOKUP($FM31-FN$103,Frauen!$AZ$9:$BD$102,5)+VLOOKUP($FM31-FN$103+1,Frauen!$AZ$9:$BD$102,5)),RundDx)</f>
        <v>143038</v>
      </c>
      <c r="FO31" s="25">
        <f>ROUND(v^($FM31+FaktorAlter)*VLOOKUP($FM31,$G$9:$J$102,4)*VLOOKUP($FM31,$A$9:$E$102,5)*0.5*(VLOOKUP($FM31-FO$103,Frauen!$G$9:$J$102,4)+VLOOKUP($FM31-FO$103+1,Frauen!$G$9:$J$102,4))*0.5*(VLOOKUP($FM31-FO$103,Frauen!$AZ$9:$BD$102,5)+VLOOKUP($FM31-FO$103+1,Frauen!$AZ$9:$BD$102,5)),RundDx)</f>
        <v>374360</v>
      </c>
      <c r="FP31" s="25">
        <f>ROUND(v^($FM31+FaktorAlter)*VLOOKUP($FM31,$G$9:$J$102,4)*VLOOKUP($FM31,$A$9:$E$102,5)*0.5*(VLOOKUP($FM31-FP$103,Frauen!$G$9:$J$102,4)+VLOOKUP($FM31-FP$103+1,Frauen!$G$9:$J$102,4))*0.5*(VLOOKUP($FM31-FP$103,Frauen!$AZ$9:$BD$102,5)+VLOOKUP($FM31-FP$103+1,Frauen!$AZ$9:$BD$102,5)),RundDx)</f>
        <v>822551</v>
      </c>
      <c r="FQ31" s="25">
        <f>ROUND(v^($FM31+FaktorAlter)*VLOOKUP($FM31,$G$9:$J$102,4)*VLOOKUP($FM31,$A$9:$E$102,5)*0.5*(VLOOKUP($FM31-FQ$103,Frauen!$G$9:$J$102,4)+VLOOKUP($FM31-FQ$103+1,Frauen!$G$9:$J$102,4))*0.5*(VLOOKUP($FM31-FQ$103,Frauen!$AZ$9:$BD$102,5)+VLOOKUP($FM31-FQ$103+1,Frauen!$AZ$9:$BD$102,5)),RundDx)</f>
        <v>1594529</v>
      </c>
      <c r="FR31" s="25">
        <f>ROUND(v^($FM31+FaktorAlter)*VLOOKUP($FM31,$G$9:$J$102,4)*VLOOKUP($FM31,$A$9:$E$102,5)*0.5*(VLOOKUP($FM31-FR$103,Frauen!$G$9:$J$102,4)+VLOOKUP($FM31-FR$103+1,Frauen!$G$9:$J$102,4))*0.5*(VLOOKUP($FM31-FR$103,Frauen!$AZ$9:$BD$102,5)+VLOOKUP($FM31-FR$103+1,Frauen!$AZ$9:$BD$102,5)),RundDx)</f>
        <v>2843128</v>
      </c>
      <c r="FS31" s="25">
        <f>ROUND(v^($FM31+FaktorAlter)*VLOOKUP($FM31,$G$9:$J$102,4)*VLOOKUP($FM31,$A$9:$E$102,5)*0.5*(VLOOKUP($FM31-FS$103,Frauen!$G$9:$J$102,4)+VLOOKUP($FM31-FS$103+1,Frauen!$G$9:$J$102,4))*0.5*(VLOOKUP($FM31-FS$103,Frauen!$AZ$9:$BD$102,5)+VLOOKUP($FM31-FS$103+1,Frauen!$AZ$9:$BD$102,5)),RundDx)</f>
        <v>4735878</v>
      </c>
      <c r="FT31" s="25">
        <f>ROUND(v^($FM31+FaktorAlter)*VLOOKUP($FM31,$G$9:$J$102,4)*VLOOKUP($FM31,$A$9:$E$102,5)*0.5*(VLOOKUP($FM31-FT$103,Frauen!$G$9:$J$102,4)+VLOOKUP($FM31-FT$103+1,Frauen!$G$9:$J$102,4))*0.5*(VLOOKUP($FM31-FT$103,Frauen!$AZ$9:$BD$102,5)+VLOOKUP($FM31-FT$103+1,Frauen!$AZ$9:$BD$102,5)),RundDx)</f>
        <v>7485311</v>
      </c>
      <c r="FU31" s="25">
        <f>ROUND(v^($FM31+FaktorAlter)*VLOOKUP($FM31,$G$9:$J$102,4)*VLOOKUP($FM31,$A$9:$E$102,5)*0.5*(VLOOKUP($FM31-FU$103,Frauen!$G$9:$J$102,4)+VLOOKUP($FM31-FU$103+1,Frauen!$G$9:$J$102,4))*0.5*(VLOOKUP($FM31-FU$103,Frauen!$AZ$9:$BD$102,5)+VLOOKUP($FM31-FU$103+1,Frauen!$AZ$9:$BD$102,5)),RundDx)</f>
        <v>11333433</v>
      </c>
      <c r="FV31" s="25">
        <f>ROUND(v^($FM31+FaktorAlter)*VLOOKUP($FM31,$G$9:$J$102,4)*VLOOKUP($FM31,$A$9:$E$102,5)*0.5*(VLOOKUP($FM31-FV$103,Frauen!$G$9:$J$102,4)+VLOOKUP($FM31-FV$103+1,Frauen!$G$9:$J$102,4))*0.5*(VLOOKUP($FM31-FV$103,Frauen!$AZ$9:$BD$102,5)+VLOOKUP($FM31-FV$103+1,Frauen!$AZ$9:$BD$102,5)),RundDx)</f>
        <v>16540951</v>
      </c>
      <c r="FW31" s="25">
        <f>ROUND(v^($FM31+FaktorAlter)*VLOOKUP($FM31,$G$9:$J$102,4)*VLOOKUP($FM31,$A$9:$E$102,5)*0.5*(VLOOKUP($FM31-FW$103,Frauen!$G$9:$J$102,4)+VLOOKUP($FM31-FW$103+1,Frauen!$G$9:$J$102,4))*0.5*(VLOOKUP($FM31-FW$103,Frauen!$AZ$9:$BD$102,5)+VLOOKUP($FM31-FW$103+1,Frauen!$AZ$9:$BD$102,5)),RundDx)</f>
        <v>23372297</v>
      </c>
      <c r="FX31" s="25">
        <f>ROUND(v^($FM31+FaktorAlter)*VLOOKUP($FM31,$G$9:$J$102,4)*VLOOKUP($FM31,$A$9:$E$102,5)*0.5*(VLOOKUP($FM31-FX$103,Frauen!$G$9:$J$102,4)+VLOOKUP($FM31-FX$103+1,Frauen!$G$9:$J$102,4))*0.5*(VLOOKUP($FM31-FX$103,Frauen!$AZ$9:$BD$102,5)+VLOOKUP($FM31-FX$103+1,Frauen!$AZ$9:$BD$102,5)),RundDx)</f>
        <v>32124573</v>
      </c>
      <c r="FY31" s="25">
        <f>ROUND(v^($FM31+FaktorAlter)*VLOOKUP($FM31,$G$9:$J$102,4)*VLOOKUP($FM31,$A$9:$E$102,5)*0.5*(VLOOKUP($FM31-FY$103,Frauen!$G$9:$J$102,4)+VLOOKUP($FM31-FY$103+1,Frauen!$G$9:$J$102,4))*0.5*(VLOOKUP($FM31-FY$103,Frauen!$AZ$9:$BD$102,5)+VLOOKUP($FM31-FY$103+1,Frauen!$AZ$9:$BD$102,5)),RundDx)</f>
        <v>42976423</v>
      </c>
      <c r="FZ31" s="25">
        <f>ROUND(v^($FM31+FaktorAlter)*VLOOKUP($FM31,$G$9:$J$102,4)*VLOOKUP($FM31,$A$9:$E$102,5)*0.5*(VLOOKUP($FM31-FZ$103,Frauen!$G$9:$J$102,4)+VLOOKUP($FM31-FZ$103+1,Frauen!$G$9:$J$102,4))*0.5*(VLOOKUP($FM31-FZ$103,Frauen!$AZ$9:$BD$102,5)+VLOOKUP($FM31-FZ$103+1,Frauen!$AZ$9:$BD$102,5)),RundDx)</f>
        <v>55949014</v>
      </c>
      <c r="GA31" s="25">
        <f>ROUND(v^($FM31+FaktorAlter)*VLOOKUP($FM31,$G$9:$J$102,4)*VLOOKUP($FM31,$A$9:$E$102,5)*0.5*(VLOOKUP($FM31-GA$103,Frauen!$G$9:$J$102,4)+VLOOKUP($FM31-GA$103+1,Frauen!$G$9:$J$102,4))*0.5*(VLOOKUP($FM31-GA$103,Frauen!$AZ$9:$BD$102,5)+VLOOKUP($FM31-GA$103+1,Frauen!$AZ$9:$BD$102,5)),RundDx)</f>
        <v>71153622</v>
      </c>
      <c r="GB31" s="25">
        <f>ROUND(v^($FM31+FaktorAlter)*VLOOKUP($FM31,$G$9:$J$102,4)*VLOOKUP($FM31,$A$9:$E$102,5)*0.5*(VLOOKUP($FM31-GB$103,Frauen!$G$9:$J$102,4)+VLOOKUP($FM31-GB$103+1,Frauen!$G$9:$J$102,4))*0.5*(VLOOKUP($FM31-GB$103,Frauen!$AZ$9:$BD$102,5)+VLOOKUP($FM31-GB$103+1,Frauen!$AZ$9:$BD$102,5)),RundDx)</f>
        <v>88609757</v>
      </c>
      <c r="GC31" s="25">
        <f>ROUND(v^($FM31+FaktorAlter)*VLOOKUP($FM31,$G$9:$J$102,4)*VLOOKUP($FM31,$A$9:$E$102,5)*0.5*(VLOOKUP($FM31-GC$103,Frauen!$G$9:$J$102,4)+VLOOKUP($FM31-GC$103+1,Frauen!$G$9:$J$102,4))*0.5*(VLOOKUP($FM31-GC$103,Frauen!$AZ$9:$BD$102,5)+VLOOKUP($FM31-GC$103+1,Frauen!$AZ$9:$BD$102,5)),RundDx)</f>
        <v>108263525</v>
      </c>
      <c r="GD31" s="25">
        <f>ROUND(v^($FM31+FaktorAlter)*VLOOKUP($FM31,$G$9:$J$102,4)*VLOOKUP($FM31,$A$9:$E$102,5)*0.5*(VLOOKUP($FM31-GD$103,Frauen!$G$9:$J$102,4)+VLOOKUP($FM31-GD$103+1,Frauen!$G$9:$J$102,4))*0.5*(VLOOKUP($FM31-GD$103,Frauen!$AZ$9:$BD$102,5)+VLOOKUP($FM31-GD$103+1,Frauen!$AZ$9:$BD$102,5)),RundDx)</f>
        <v>130014900</v>
      </c>
      <c r="GE31" s="25">
        <f>ROUND(v^($FM31+FaktorAlter)*VLOOKUP($FM31,$G$9:$J$102,4)*VLOOKUP($FM31,$A$9:$E$102,5)*0.5*(VLOOKUP($FM31-GE$103,Frauen!$G$9:$J$102,4)+VLOOKUP($FM31-GE$103+1,Frauen!$G$9:$J$102,4))*0.5*(VLOOKUP($FM31-GE$103,Frauen!$AZ$9:$BD$102,5)+VLOOKUP($FM31-GE$103+1,Frauen!$AZ$9:$BD$102,5)),RundDx)</f>
        <v>153655159</v>
      </c>
      <c r="GF31" s="25">
        <f>ROUND(v^($FM31+FaktorAlter)*VLOOKUP($FM31,$G$9:$J$102,4)*VLOOKUP($FM31,$A$9:$E$102,5)*0.5*(VLOOKUP($FM31-GF$103,Frauen!$G$9:$J$102,4)+VLOOKUP($FM31-GF$103+1,Frauen!$G$9:$J$102,4))*0.5*(VLOOKUP($FM31-GF$103,Frauen!$AZ$9:$BD$102,5)+VLOOKUP($FM31-GF$103+1,Frauen!$AZ$9:$BD$102,5)),RundDx)</f>
        <v>178933776</v>
      </c>
      <c r="GG31" s="25">
        <f>ROUND(v^($FM31+FaktorAlter)*VLOOKUP($FM31,$G$9:$J$102,4)*VLOOKUP($FM31,$A$9:$E$102,5)*0.5*(VLOOKUP($FM31-GG$103,Frauen!$G$9:$J$102,4)+VLOOKUP($FM31-GG$103+1,Frauen!$G$9:$J$102,4))*0.5*(VLOOKUP($FM31-GG$103,Frauen!$AZ$9:$BD$102,5)+VLOOKUP($FM31-GG$103+1,Frauen!$AZ$9:$BD$102,5)),RundDx)</f>
        <v>205602908</v>
      </c>
      <c r="GH31" s="25">
        <f>ROUND(v^($FM31+FaktorAlter)*VLOOKUP($FM31,$G$9:$J$102,4)*VLOOKUP($FM31,$A$9:$E$102,5)*0.5*(VLOOKUP($FM31-GH$103,Frauen!$G$9:$J$102,4)+VLOOKUP($FM31-GH$103+1,Frauen!$G$9:$J$102,4))*0.5*(VLOOKUP($FM31-GH$103,Frauen!$AZ$9:$BD$102,5)+VLOOKUP($FM31-GH$103+1,Frauen!$AZ$9:$BD$102,5)),RundDx)</f>
        <v>233369187</v>
      </c>
      <c r="GI31" s="25">
        <f>ROUND(v^($FM31+FaktorAlter)*VLOOKUP($FM31,$G$9:$J$102,4)*VLOOKUP($FM31,$A$9:$E$102,5)*0.5*(VLOOKUP($FM31-GI$103,Frauen!$G$9:$J$102,4)+VLOOKUP($FM31-GI$103+1,Frauen!$G$9:$J$102,4))*0.5*(VLOOKUP($FM31-GI$103,Frauen!$AZ$9:$BD$102,5)+VLOOKUP($FM31-GI$103+1,Frauen!$AZ$9:$BD$102,5)),RundDx)</f>
        <v>261955478</v>
      </c>
      <c r="GJ31" s="25">
        <f>ROUND(v^($FM31+FaktorAlter)*VLOOKUP($FM31,$G$9:$J$102,4)*VLOOKUP($FM31,$A$9:$E$102,5)*0.5*(VLOOKUP($FM31-GJ$103,Frauen!$G$9:$J$102,4)+VLOOKUP($FM31-GJ$103+1,Frauen!$G$9:$J$102,4))*0.5*(VLOOKUP($FM31-GJ$103,Frauen!$AZ$9:$BD$102,5)+VLOOKUP($FM31-GJ$103+1,Frauen!$AZ$9:$BD$102,5)),RundDx)</f>
        <v>291172953</v>
      </c>
      <c r="GK31" s="25">
        <f>ROUND(v^($FM31+FaktorAlter)*VLOOKUP($FM31,$G$9:$J$102,4)*VLOOKUP($FM31,$A$9:$E$102,5)*0.5*(VLOOKUP($FM31-GK$103,Frauen!$G$9:$J$102,4)+VLOOKUP($FM31-GK$103+1,Frauen!$G$9:$J$102,4))*0.5*(VLOOKUP($FM31-GK$103,Frauen!$AZ$9:$BD$102,5)+VLOOKUP($FM31-GK$103+1,Frauen!$AZ$9:$BD$102,5)),RundDx)</f>
        <v>320928956</v>
      </c>
      <c r="GL31" s="25">
        <f>ROUND(v^($FM31+FaktorAlter)*VLOOKUP($FM31,$G$9:$J$102,4)*VLOOKUP($FM31,$A$9:$E$102,5)*0.5*(VLOOKUP($FM31-GL$103,Frauen!$G$9:$J$102,4)+VLOOKUP($FM31-GL$103+1,Frauen!$G$9:$J$102,4))*0.5*(VLOOKUP($FM31-GL$103,Frauen!$AZ$9:$BD$102,5)+VLOOKUP($FM31-GL$103+1,Frauen!$AZ$9:$BD$102,5)),RundDx)</f>
        <v>351097299</v>
      </c>
      <c r="GM31" s="25">
        <f>ROUND(v^($FM31+FaktorAlter)*VLOOKUP($FM31,$G$9:$J$102,4)*VLOOKUP($FM31,$A$9:$E$102,5)*0.5*(VLOOKUP($FM31-GM$103,Frauen!$G$9:$J$102,4)+VLOOKUP($FM31-GM$103+1,Frauen!$G$9:$J$102,4))*0.5*(VLOOKUP($FM31-GM$103,Frauen!$AZ$9:$BD$102,5)+VLOOKUP($FM31-GM$103+1,Frauen!$AZ$9:$BD$102,5)),RundDx)</f>
        <v>381653214</v>
      </c>
      <c r="GN31" s="25">
        <f>ROUND(v^($FM31+FaktorAlter)*VLOOKUP($FM31,$G$9:$J$102,4)*VLOOKUP($FM31,$A$9:$E$102,5)*0.5*(VLOOKUP($FM31-GN$103,Frauen!$G$9:$J$102,4)+VLOOKUP($FM31-GN$103+1,Frauen!$G$9:$J$102,4))*0.5*(VLOOKUP($FM31-GN$103,Frauen!$AZ$9:$BD$102,5)+VLOOKUP($FM31-GN$103+1,Frauen!$AZ$9:$BD$102,5)),RundDx)</f>
        <v>412671284</v>
      </c>
      <c r="GO31" s="25">
        <f>ROUND(v^($FM31+FaktorAlter)*VLOOKUP($FM31,$G$9:$J$102,4)*VLOOKUP($FM31,$A$9:$E$102,5)*0.5*(VLOOKUP($FM31-GO$103,Frauen!$G$9:$J$102,4)+VLOOKUP($FM31-GO$103+1,Frauen!$G$9:$J$102,4))*0.5*(VLOOKUP($FM31-GO$103,Frauen!$AZ$9:$BD$102,5)+VLOOKUP($FM31-GO$103+1,Frauen!$AZ$9:$BD$102,5)),RundDx)</f>
        <v>444181707</v>
      </c>
      <c r="GP31" s="25">
        <f>ROUND(v^($FM31+FaktorAlter)*VLOOKUP($FM31,$G$9:$J$102,4)*VLOOKUP($FM31,$A$9:$E$102,5)*0.5*(VLOOKUP($FM31-GP$103,Frauen!$G$9:$J$102,4)+VLOOKUP($FM31-GP$103+1,Frauen!$G$9:$J$102,4))*0.5*(VLOOKUP($FM31-GP$103,Frauen!$AZ$9:$BD$102,5)+VLOOKUP($FM31-GP$103+1,Frauen!$AZ$9:$BD$102,5)),RundDx)</f>
        <v>476281957</v>
      </c>
      <c r="GQ31" s="25">
        <f>ROUND(v^($FM31+FaktorAlter)*VLOOKUP($FM31,$G$9:$J$102,4)*VLOOKUP($FM31,$A$9:$E$102,5)*0.5*(VLOOKUP($FM31-GQ$103,Frauen!$G$9:$J$102,4)+VLOOKUP($FM31-GQ$103+1,Frauen!$G$9:$J$102,4))*0.5*(VLOOKUP($FM31-GQ$103,Frauen!$AZ$9:$BD$102,5)+VLOOKUP($FM31-GQ$103+1,Frauen!$AZ$9:$BD$102,5)),RundDx)</f>
        <v>508990080</v>
      </c>
      <c r="GR31" s="25">
        <f>ROUND(v^($FM31+FaktorAlter)*VLOOKUP($FM31,$G$9:$J$102,4)*VLOOKUP($FM31,$A$9:$E$102,5)*0.5*(VLOOKUP($FM31-GR$103,Frauen!$G$9:$J$102,4)+VLOOKUP($FM31-GR$103+1,Frauen!$G$9:$J$102,4))*0.5*(VLOOKUP($FM31-GR$103,Frauen!$AZ$9:$BD$102,5)+VLOOKUP($FM31-GR$103+1,Frauen!$AZ$9:$BD$102,5)),RundDx)</f>
        <v>542230882</v>
      </c>
      <c r="GS31" s="24">
        <f>ROUND(SUM(FN31:FN$56)/VLOOKUP($FM31,$AQ$9:$AR$102,2)/VLOOKUP($FM31-GS$103,Frauen!$G$9:$J$102,4),Rundäx)</f>
        <v>0.114</v>
      </c>
      <c r="GT31" s="24">
        <f>ROUND(SUM(FO31:FO$56)/VLOOKUP($FM31,$AQ$9:$AR$102,2)/VLOOKUP($FM31-GT$103,Frauen!$G$9:$J$102,4),Rundäx)</f>
        <v>0.16500000000000001</v>
      </c>
      <c r="GU31" s="24">
        <f>ROUND(SUM(FP31:FP$56)/VLOOKUP($FM31,$AQ$9:$AR$102,2)/VLOOKUP($FM31-GU$103,Frauen!$G$9:$J$102,4),Rundäx)</f>
        <v>0.221</v>
      </c>
      <c r="GV31" s="24">
        <f>ROUND(SUM(FQ31:FQ$56)/VLOOKUP($FM31,$AQ$9:$AR$102,2)/VLOOKUP($FM31-GV$103,Frauen!$G$9:$J$102,4),Rundäx)</f>
        <v>0.28399999999999997</v>
      </c>
      <c r="GW31" s="24">
        <f>ROUND(SUM(FR31:FR$56)/VLOOKUP($FM31,$AQ$9:$AR$102,2)/VLOOKUP($FM31-GW$103,Frauen!$G$9:$J$102,4),Rundäx)</f>
        <v>0.35699999999999998</v>
      </c>
      <c r="GX31" s="24">
        <f>ROUND(SUM(FS31:FS$56)/VLOOKUP($FM31,$AQ$9:$AR$102,2)/VLOOKUP($FM31-GX$103,Frauen!$G$9:$J$102,4),Rundäx)</f>
        <v>0.439</v>
      </c>
      <c r="GY31" s="24">
        <f>ROUND(SUM(FT31:FT$56)/VLOOKUP($FM31,$AQ$9:$AR$102,2)/VLOOKUP($FM31-GY$103,Frauen!$G$9:$J$102,4),Rundäx)</f>
        <v>0.53300000000000003</v>
      </c>
      <c r="GZ31" s="24">
        <f>ROUND(SUM(FU31:FU$56)/VLOOKUP($FM31,$AQ$9:$AR$102,2)/VLOOKUP($FM31-GZ$103,Frauen!$G$9:$J$102,4),Rundäx)</f>
        <v>0.64100000000000001</v>
      </c>
      <c r="HA31" s="86"/>
      <c r="HB31" s="35">
        <f t="shared" si="63"/>
        <v>87</v>
      </c>
      <c r="HC31" s="24">
        <f>ROUND(SUM(FV31:FV$56)/VLOOKUP($FM31,$AQ$9:$AR$102,2)/VLOOKUP($FM31-HC$103,Frauen!$G$9:$J$102,4),Rundäx)</f>
        <v>0.76200000000000001</v>
      </c>
      <c r="HD31" s="24">
        <f>ROUND(SUM(FW31:FW$56)/VLOOKUP($FM31,$AQ$9:$AR$102,2)/VLOOKUP($FM31-HD$103,Frauen!$G$9:$J$102,4),Rundäx)</f>
        <v>0.89900000000000002</v>
      </c>
      <c r="HE31" s="24">
        <f>ROUND(SUM(FX31:FX$56)/VLOOKUP($FM31,$AQ$9:$AR$102,2)/VLOOKUP($FM31-HE$103,Frauen!$G$9:$J$102,4),Rundäx)</f>
        <v>1.0549999999999999</v>
      </c>
      <c r="HF31" s="24">
        <f>ROUND(SUM(FY31:FY$56)/VLOOKUP($FM31,$AQ$9:$AR$102,2)/VLOOKUP($FM31-HF$103,Frauen!$G$9:$J$102,4),Rundäx)</f>
        <v>1.2290000000000001</v>
      </c>
      <c r="HG31" s="24">
        <f>ROUND(SUM(FZ31:FZ$56)/VLOOKUP($FM31,$AQ$9:$AR$102,2)/VLOOKUP($FM31-HG$103,Frauen!$G$9:$J$102,4),Rundäx)</f>
        <v>1.4219999999999999</v>
      </c>
      <c r="HH31" s="24">
        <f>ROUND(SUM(GA31:GA$56)/VLOOKUP($FM31,$AQ$9:$AR$102,2)/VLOOKUP($FM31-HH$103,Frauen!$G$9:$J$102,4),Rundäx)</f>
        <v>1.637</v>
      </c>
      <c r="HI31" s="24">
        <f>ROUND(SUM(GB31:GB$56)/VLOOKUP($FM31,$AQ$9:$AR$102,2)/VLOOKUP($FM31-HI$103,Frauen!$G$9:$J$102,4),Rundäx)</f>
        <v>1.873</v>
      </c>
      <c r="HJ31" s="24">
        <f>ROUND(SUM(GC31:GC$56)/VLOOKUP($FM31,$AQ$9:$AR$102,2)/VLOOKUP($FM31-HJ$103,Frauen!$G$9:$J$102,4),Rundäx)</f>
        <v>2.1339999999999999</v>
      </c>
      <c r="HK31" s="86"/>
      <c r="HL31" s="35">
        <f t="shared" si="64"/>
        <v>87</v>
      </c>
      <c r="HM31" s="24">
        <f>ROUND(SUM(GD31:GD$56)/VLOOKUP($FM31,$AQ$9:$AR$102,2)/VLOOKUP($FM31-HM$103,Frauen!$G$9:$J$102,4),Rundäx)</f>
        <v>2.4209999999999998</v>
      </c>
      <c r="HN31" s="24">
        <f>ROUND(SUM(GE31:GE$56)/VLOOKUP($FM31,$AQ$9:$AR$102,2)/VLOOKUP($FM31-HN$103,Frauen!$G$9:$J$102,4),Rundäx)</f>
        <v>2.734</v>
      </c>
      <c r="HO31" s="24">
        <f>ROUND(SUM(GF31:GF$56)/VLOOKUP($FM31,$AQ$9:$AR$102,2)/VLOOKUP($FM31-HO$103,Frauen!$G$9:$J$102,4),Rundäx)</f>
        <v>3.077</v>
      </c>
      <c r="HP31" s="24">
        <f>ROUND(SUM(GG31:GG$56)/VLOOKUP($FM31,$AQ$9:$AR$102,2)/VLOOKUP($FM31-HP$103,Frauen!$G$9:$J$102,4),Rundäx)</f>
        <v>3.4470000000000001</v>
      </c>
      <c r="HQ31" s="24">
        <f>ROUND(SUM(GH31:GH$56)/VLOOKUP($FM31,$AQ$9:$AR$102,2)/VLOOKUP($FM31-HQ$103,Frauen!$G$9:$J$102,4),Rundäx)</f>
        <v>3.8460000000000001</v>
      </c>
      <c r="HR31" s="24">
        <f>ROUND(SUM(GI31:GI$56)/VLOOKUP($FM31,$AQ$9:$AR$102,2)/VLOOKUP($FM31-HR$103,Frauen!$G$9:$J$102,4),Rundäx)</f>
        <v>4.2709999999999999</v>
      </c>
      <c r="HS31" s="24">
        <f>ROUND(SUM(GJ31:GJ$56)/VLOOKUP($FM31,$AQ$9:$AR$102,2)/VLOOKUP($FM31-HS$103,Frauen!$G$9:$J$102,4),Rundäx)</f>
        <v>4.72</v>
      </c>
      <c r="HT31" s="24">
        <f>ROUND(SUM(GK31:GK$56)/VLOOKUP($FM31,$AQ$9:$AR$102,2)/VLOOKUP($FM31-HT$103,Frauen!$G$9:$J$102,4),Rundäx)</f>
        <v>5.19</v>
      </c>
      <c r="HU31" s="86"/>
      <c r="HV31" s="35">
        <f t="shared" si="65"/>
        <v>87</v>
      </c>
      <c r="HW31" s="24">
        <f>ROUND(SUM(GL31:GL$56)/VLOOKUP($FM31,$AQ$9:$AR$102,2)/VLOOKUP($FM31-HW$103,Frauen!$G$9:$J$102,4),Rundäx)</f>
        <v>5.6769999999999996</v>
      </c>
      <c r="HX31" s="24">
        <f>ROUND(SUM(GM31:GM$56)/VLOOKUP($FM31,$AQ$9:$AR$102,2)/VLOOKUP($FM31-HX$103,Frauen!$G$9:$J$102,4),Rundäx)</f>
        <v>6.1760000000000002</v>
      </c>
      <c r="HY31" s="24">
        <f>ROUND(SUM(GN31:GN$56)/VLOOKUP($FM31,$AQ$9:$AR$102,2)/VLOOKUP($FM31-HY$103,Frauen!$G$9:$J$102,4),Rundäx)</f>
        <v>6.6829999999999998</v>
      </c>
      <c r="HZ31" s="24">
        <f>ROUND(SUM(GO31:GO$56)/VLOOKUP($FM31,$AQ$9:$AR$102,2)/VLOOKUP($FM31-HZ$103,Frauen!$G$9:$J$102,4),Rundäx)</f>
        <v>7.1929999999999996</v>
      </c>
      <c r="IA31" s="24">
        <f>ROUND(SUM(GP31:GP$56)/VLOOKUP($FM31,$AQ$9:$AR$102,2)/VLOOKUP($FM31-IA$103,Frauen!$G$9:$J$102,4),Rundäx)</f>
        <v>7.7030000000000003</v>
      </c>
      <c r="IB31" s="24">
        <f>ROUND(SUM(GQ31:GQ$56)/VLOOKUP($FM31,$AQ$9:$AR$102,2)/VLOOKUP($FM31-IB$103,Frauen!$G$9:$J$102,4),Rundäx)</f>
        <v>8.2100000000000009</v>
      </c>
      <c r="IC31" s="24">
        <f>ROUND(SUM(GR31:GR$56)/VLOOKUP($FM31,$AQ$9:$AR$102,2)/VLOOKUP($FM31-IC$103,Frauen!$G$9:$J$102,4),Rundäx)</f>
        <v>8.7159999999999993</v>
      </c>
      <c r="ID31" s="89"/>
      <c r="IE31" s="35">
        <f t="shared" si="66"/>
        <v>39</v>
      </c>
      <c r="IF31" s="25">
        <f t="shared" si="31"/>
        <v>878</v>
      </c>
      <c r="IG31" s="25">
        <f>IF($IE31&lt;RAM,IF(S32&lt;=RAK,ROUND(SUM(IF31:INDEX(Dakx,RAM-BeginnAlter))+INDEX(Dax,RAM-BeginnAlter+1)*INDEX(äkx,1),RundDx),0),"")</f>
        <v>9545</v>
      </c>
      <c r="IH31" s="25">
        <f>IF($IE31&lt;RAM,IF(S32&lt;=RAK,ROUND(SUM(IG31:INDEX(Nakx,RAM-BeginnAlter))+INDEX(Dax,RAM-BeginnAlter+1)*INDEX(äkx,1),RundDx),0),"")</f>
        <v>74115</v>
      </c>
      <c r="II31" s="24">
        <f t="shared" si="32"/>
        <v>0.23400000000000001</v>
      </c>
      <c r="IJ31" s="25">
        <f t="shared" si="33"/>
        <v>21498</v>
      </c>
      <c r="IK31" s="25">
        <f>IF($IE31&lt;RAM,IF(S32&lt;=RAK,SUM(IJ31:INDEX(Dikx,RAM-BeginnAlter))+INDEX(Dix,RAM-BeginnAlter+1)*INDEX(äkx,1),0),"")</f>
        <v>154339.83199999999</v>
      </c>
      <c r="IL31" s="24">
        <f t="shared" si="34"/>
        <v>2.4289999999999998</v>
      </c>
      <c r="IM31" s="86"/>
      <c r="IN31" s="35">
        <f t="shared" si="67"/>
        <v>87</v>
      </c>
      <c r="IO31" s="25"/>
      <c r="IP31" s="25"/>
      <c r="IQ31" s="24"/>
      <c r="IR31" s="86"/>
    </row>
    <row r="32" spans="1:252" ht="15.75" customHeight="1" x14ac:dyDescent="0.25">
      <c r="A32" s="35">
        <f t="shared" si="41"/>
        <v>40</v>
      </c>
      <c r="B32" s="77">
        <v>1.1060256198297026E-3</v>
      </c>
      <c r="C32" s="77">
        <v>1.6376330927589321E-3</v>
      </c>
      <c r="D32" s="77">
        <v>1.9533713831659076E-2</v>
      </c>
      <c r="E32" s="77">
        <v>1.4033375026694106E-3</v>
      </c>
      <c r="F32" s="86"/>
      <c r="G32" s="35">
        <f t="shared" si="42"/>
        <v>40</v>
      </c>
      <c r="H32" s="25">
        <f t="shared" si="37"/>
        <v>96834</v>
      </c>
      <c r="I32" s="25">
        <f t="shared" si="38"/>
        <v>1503</v>
      </c>
      <c r="J32" s="25">
        <f t="shared" si="39"/>
        <v>98337</v>
      </c>
      <c r="K32" s="30">
        <f>IF(J32&gt;0,ROUND(SUM(J32:J$102)/J32-0.5,Rundex),"")</f>
        <v>39.630000000000003</v>
      </c>
      <c r="L32" s="25">
        <f t="shared" si="0"/>
        <v>148430</v>
      </c>
      <c r="M32" s="30">
        <f>IF(L32&gt;0,ROUND(SUM(L32:L$102)/L32-0.5,Rundex),"")</f>
        <v>29.83</v>
      </c>
      <c r="N32" s="86"/>
      <c r="O32" s="35">
        <f t="shared" si="43"/>
        <v>40</v>
      </c>
      <c r="P32" s="43">
        <v>0.6553387033698701</v>
      </c>
      <c r="Q32" s="78">
        <v>38.860377479261643</v>
      </c>
      <c r="R32" s="43">
        <v>1.3336080618624275</v>
      </c>
      <c r="S32" s="78">
        <v>9.8020606721787562</v>
      </c>
      <c r="T32" s="15">
        <v>1.4033371025682362E-3</v>
      </c>
      <c r="U32" s="11">
        <f t="shared" si="40"/>
        <v>98336</v>
      </c>
      <c r="V32" s="30">
        <f>IF(U32&gt;0,ROUND(SUM(U32:U$102)/U32-0.5,Rundex),"")</f>
        <v>37.24</v>
      </c>
      <c r="W32" s="86"/>
      <c r="X32" s="35">
        <f t="shared" si="44"/>
        <v>40</v>
      </c>
      <c r="Y32" s="25">
        <f t="shared" si="1"/>
        <v>39764</v>
      </c>
      <c r="Z32" s="25">
        <f>IF($X32&lt;RAM,SUM(Y32:INDEX(Dax,RAM-BeginnAlter))," ")</f>
        <v>712825</v>
      </c>
      <c r="AA32" s="25">
        <f t="shared" si="2"/>
        <v>43</v>
      </c>
      <c r="AB32" s="25">
        <f>IF($X32&lt;RAM,SUM(AA32:INDEX(Cax,RAM-BeginnAlter))," ")</f>
        <v>2106</v>
      </c>
      <c r="AC32" s="25">
        <f t="shared" si="3"/>
        <v>64</v>
      </c>
      <c r="AD32" s="25">
        <f>IF($X32&lt;RAM,SUM(AC32:INDEX(Caix,RAM-BeginnAlter))," ")</f>
        <v>7294</v>
      </c>
      <c r="AE32" s="24">
        <f t="shared" si="4"/>
        <v>17.925999999999998</v>
      </c>
      <c r="AF32" s="24">
        <f t="shared" si="5"/>
        <v>17.638000000000002</v>
      </c>
      <c r="AG32" s="86"/>
      <c r="AH32" s="35">
        <f t="shared" si="45"/>
        <v>40</v>
      </c>
      <c r="AI32" s="25">
        <f t="shared" si="6"/>
        <v>60952</v>
      </c>
      <c r="AJ32" s="25">
        <f>IF($AH32&gt;RAM," ",IF($AH32&lt;RAM,SUM(AI32:INDEX(Dix,RAM-BeginnAlter))+INDEX(Nx,RAM-BeginnAlter+1),INDEX(Nx,RAM-BeginnAlter+1)))</f>
        <v>1253104</v>
      </c>
      <c r="AK32" s="25">
        <f>IF($AH32&lt;RAM,SUM(AI32:INDEX(Dix,RAM-BeginnAlter))," ")</f>
        <v>955857</v>
      </c>
      <c r="AL32" s="24">
        <f t="shared" si="7"/>
        <v>20.559000000000001</v>
      </c>
      <c r="AM32" s="24">
        <f t="shared" si="8"/>
        <v>20.100999999999999</v>
      </c>
      <c r="AN32" s="24">
        <f t="shared" si="9"/>
        <v>15.682</v>
      </c>
      <c r="AO32" s="24">
        <f t="shared" si="10"/>
        <v>15.378</v>
      </c>
      <c r="AP32" s="86"/>
      <c r="AQ32" s="35">
        <f t="shared" si="46"/>
        <v>40</v>
      </c>
      <c r="AR32" s="25">
        <f t="shared" si="11"/>
        <v>40382</v>
      </c>
      <c r="AS32" s="25">
        <f>SUM(AR32:AR$94)</f>
        <v>1057164</v>
      </c>
      <c r="AT32" s="25">
        <f>IF($AQ32&lt;RAM,SUM(AR32:INDEX(Dx,RAM-BeginnAlter))," ")</f>
        <v>759917</v>
      </c>
      <c r="AU32" s="24">
        <f t="shared" si="12"/>
        <v>26.178999999999998</v>
      </c>
      <c r="AV32" s="24">
        <f t="shared" si="13"/>
        <v>25.721</v>
      </c>
      <c r="AW32" s="24">
        <f t="shared" si="14"/>
        <v>18.818000000000001</v>
      </c>
      <c r="AX32" s="24">
        <f t="shared" si="15"/>
        <v>18.591999999999999</v>
      </c>
      <c r="AY32" s="86"/>
      <c r="AZ32" s="35">
        <f t="shared" si="47"/>
        <v>40</v>
      </c>
      <c r="BA32" s="25">
        <f t="shared" si="16"/>
        <v>40381</v>
      </c>
      <c r="BB32" s="25">
        <f>SUM(BA32:BA$94)</f>
        <v>1015109</v>
      </c>
      <c r="BC32" s="24">
        <f t="shared" si="17"/>
        <v>25.138000000000002</v>
      </c>
      <c r="BD32" s="24">
        <f t="shared" si="18"/>
        <v>24.68</v>
      </c>
      <c r="BE32" s="86"/>
      <c r="BF32" s="35">
        <f t="shared" si="48"/>
        <v>23</v>
      </c>
      <c r="BG32" s="24">
        <f t="shared" si="19"/>
        <v>1.978</v>
      </c>
      <c r="BH32" s="24">
        <f t="shared" si="20"/>
        <v>1.958</v>
      </c>
      <c r="BI32" s="86"/>
      <c r="BJ32" s="35">
        <f t="shared" si="49"/>
        <v>40</v>
      </c>
      <c r="BK32" s="25">
        <f t="shared" si="21"/>
        <v>1289</v>
      </c>
      <c r="BL32" s="25">
        <f>IF(BJ32&lt;RAM,SUM(BK32:INDEX(Daix,RAM-BeginnAlter))," ")</f>
        <v>117459</v>
      </c>
      <c r="BM32" s="25">
        <f>IF(BJ32&lt;RAM,SUM(BL32:INDEX(Naix,RAM-BeginnAlter))," ")</f>
        <v>2110684</v>
      </c>
      <c r="BN32" s="24">
        <f t="shared" si="22"/>
        <v>5.2249999999999996</v>
      </c>
      <c r="BO32" s="24">
        <f t="shared" si="23"/>
        <v>2.9540000000000002</v>
      </c>
      <c r="BP32" s="86"/>
      <c r="BQ32" s="35">
        <f t="shared" si="50"/>
        <v>40</v>
      </c>
      <c r="BR32" s="25">
        <f t="shared" si="51"/>
        <v>979</v>
      </c>
      <c r="BS32" s="25">
        <f>IF(BQ32&lt;RAM,SUM(BR32:INDEX(Daixs,RAM-BeginnAlter))," ")</f>
        <v>40267</v>
      </c>
      <c r="BT32" s="25">
        <f>IF(BQ32&lt;RAM,SUM(BS32:INDEX(Naixs,RAM-BeginnAlter))," ")</f>
        <v>581606</v>
      </c>
      <c r="BU32" s="24">
        <f t="shared" si="52"/>
        <v>7.1660000000000004</v>
      </c>
      <c r="BV32" s="24">
        <f t="shared" si="53"/>
        <v>1.0129999999999999</v>
      </c>
      <c r="BW32" s="86"/>
      <c r="BX32" s="35">
        <f t="shared" si="54"/>
        <v>40</v>
      </c>
      <c r="BY32" s="10">
        <f t="shared" si="24"/>
        <v>10.843755986428024</v>
      </c>
      <c r="BZ32" s="11">
        <f t="shared" si="25"/>
        <v>916</v>
      </c>
      <c r="CA32" s="25">
        <f>IF(S33&lt;=RAK,IF($BX32&lt;RAM,SUM(BZ32:INDEX(Dazx,RAM-BeginnAlter)),""),"")</f>
        <v>12415</v>
      </c>
      <c r="CB32" s="24">
        <f t="shared" si="26"/>
        <v>0.312</v>
      </c>
      <c r="CC32" s="25">
        <f t="shared" si="27"/>
        <v>27747</v>
      </c>
      <c r="CD32" s="24">
        <f t="shared" si="28"/>
        <v>18.908000000000001</v>
      </c>
      <c r="CE32" s="24">
        <f t="shared" si="29"/>
        <v>2.5999999999999999E-2</v>
      </c>
      <c r="CF32" s="86"/>
      <c r="CG32" s="35">
        <f t="shared" si="55"/>
        <v>40</v>
      </c>
      <c r="CH32" s="25">
        <f>IF(CG32&lt;RAM,ROUND(v^($CG32+FaktorAlter)*$H32*($B32*0.5*($P32+$P33)*(VLOOKUP(TRUNC(0.5*($Q32+$Q33),0),Frauen!$AZ$9:$BD$95,5)+(0.5*($Q32+$Q33)-TRUNC(0.5*($Q32+$Q33),0))*(VLOOKUP(TRUNC(0.5*($Q32+$Q33)+1,0),Frauen!$AZ$9:$BD$95,5)-VLOOKUP(TRUNC(0.5*($Q32+$Q33),0),Frauen!$AZ$9:$BD$95,5)))+$C32*0.5*($CN32+$CN33)),RundDx),"")</f>
        <v>1292</v>
      </c>
      <c r="CI32" s="25">
        <f>IF(CG32&lt;RAM,ROUND(SUM(CH32:INDEX(Dawx,RAM-BeginnAlter))+INDEX(Dax,RAM-BeginnAlter+1)*INDEX(äwx,1),RundDx),"")</f>
        <v>157352</v>
      </c>
      <c r="CJ32" s="25">
        <f>IF(CG32&lt;RAM,ROUND(SUM(CI32:INDEX(Nawx,RAM-BeginnAlter))+INDEX(Dax,RAM-BeginnAlter+1)*INDEX(äwx,1),RundDx),"")</f>
        <v>3354773</v>
      </c>
      <c r="CK32" s="24">
        <f t="shared" si="56"/>
        <v>3.9569999999999999</v>
      </c>
      <c r="CL32" s="25">
        <f>IF(CG32&lt;RAM,ROUND(v^($CG32+FaktorAlter)*$L32*$D32*0.5*($P32+$P33)*(VLOOKUP(TRUNC(0.5*($Q32+$Q33),0),Frauen!$AZ$9:$BD$95,5)+(0.5*($Q32+$Q33)-TRUNC(0.5*($Q32+$Q33),0))*(VLOOKUP(TRUNC(0.5*($Q32+$Q33)+1,0),Frauen!$AZ$9:$BD$95,5)-VLOOKUP(TRUNC(0.5*($Q32+$Q33),0),Frauen!$AZ$9:$BD$95,5))),RundDx),"")</f>
        <v>21761</v>
      </c>
      <c r="CM32" s="25">
        <f>IF(CG32&lt;RAM,SUM(CL32:INDEX(Diwx,RAM-BeginnAlter))+INDEX(Dix,RAM-BeginnAlter+1)*INDEX(äwx,1),"")</f>
        <v>463598.41399999999</v>
      </c>
      <c r="CN32" s="24">
        <f t="shared" si="57"/>
        <v>7.6059999999999999</v>
      </c>
      <c r="CO32" s="86"/>
      <c r="CP32" s="35">
        <f t="shared" si="58"/>
        <v>88</v>
      </c>
      <c r="CQ32" s="11">
        <f>ROUND(v^($CP32+FaktorAlter)*VLOOKUP(CP32,G$9:J$102,4)*VLOOKUP(CP32,A$9:E$102,5)*0.5*(VLOOKUP(CP32,O$9:P$102,2)+VLOOKUP(CP32+1,O$9:P$102,2))*(VLOOKUP(TRUNC(0.5*(VLOOKUP(CP32,O$9:Q$102,3)+VLOOKUP(CP32+1,O$9:Q$102,3)),0),Frauen!$AZ$9:$BD$95,5)+(0.5*(VLOOKUP(CP32,O$9:Q$102,3)+VLOOKUP(CP32+1,O$9:Q$102,3))-TRUNC(0.5*(VLOOKUP(CP32,O$9:Q$102,3)+VLOOKUP(CP32+1,O$9:Q$102,3)),0))*(VLOOKUP(TRUNC(0.5*(VLOOKUP(CP32,O$9:Q$102,3)+VLOOKUP(CP32+1,O$9:Q$102,3))+1,0),Frauen!$AZ$9:$BD$95,5)-VLOOKUP(TRUNC(0.5*(VLOOKUP(CP32,O$9:Q$102,3)+VLOOKUP(CP32+1,O$9:Q$102,3)),0),Frauen!$AZ$9:$BD$95,5))),RundDx)</f>
        <v>2079</v>
      </c>
      <c r="CR32" s="25">
        <f>SUM(CQ32:CQ$56)</f>
        <v>8630</v>
      </c>
      <c r="CS32" s="24">
        <f t="shared" si="30"/>
        <v>2.399</v>
      </c>
      <c r="CT32" s="86"/>
      <c r="CU32" s="35">
        <f t="shared" si="59"/>
        <v>40</v>
      </c>
      <c r="CV32" s="25">
        <f>IF($CU32&gt;=RAM,"",IF($CU32-CV$103&lt;BeginnAlter,"",ROUND(v^($CU32+FaktorAlter)*$L32*$D32*0.5*(VLOOKUP($CU32-CV$103,Frauen!$G$9:$J$102,4)+VLOOKUP($CU32-CV$103+1,Frauen!$G$9:$J$102,4))*0.5*(VLOOKUP($CU32-CV$103,Frauen!$AZ$9:$BD$102,5)+VLOOKUP($CU32-CV$103+1,Frauen!$AZ$9:$BD$102,5)),RundDx)))</f>
        <v>2362612843</v>
      </c>
      <c r="CW32" s="25">
        <f>IF($CU32&gt;=RAM,"",IF($CU32-CW$103&lt;BeginnAlter,"",ROUND(v^($CU32+FaktorAlter)*$L32*$D32*0.5*(VLOOKUP($CU32-CW$103,Frauen!$G$9:$J$102,4)+VLOOKUP($CU32-CW$103+1,Frauen!$G$9:$J$102,4))*0.5*(VLOOKUP($CU32-CW$103,Frauen!$AZ$9:$BD$102,5)+VLOOKUP($CU32-CW$103+1,Frauen!$AZ$9:$BD$102,5)),RundDx)))</f>
        <v>2423668265</v>
      </c>
      <c r="CX32" s="25">
        <f>IF($CU32&gt;=RAM,"",IF($CU32-CX$103&lt;BeginnAlter,"",ROUND(v^($CU32+FaktorAlter)*$L32*$D32*0.5*(VLOOKUP($CU32-CX$103,Frauen!$G$9:$J$102,4)+VLOOKUP($CU32-CX$103+1,Frauen!$G$9:$J$102,4))*0.5*(VLOOKUP($CU32-CX$103,Frauen!$AZ$9:$BD$102,5)+VLOOKUP($CU32-CX$103+1,Frauen!$AZ$9:$BD$102,5)),RundDx)))</f>
        <v>2484073476</v>
      </c>
      <c r="CY32" s="25">
        <f>IF($CU32&gt;=RAM,"",IF($CU32-CY$103&lt;BeginnAlter,"",ROUND(v^($CU32+FaktorAlter)*$L32*$D32*0.5*(VLOOKUP($CU32-CY$103,Frauen!$G$9:$J$102,4)+VLOOKUP($CU32-CY$103+1,Frauen!$G$9:$J$102,4))*0.5*(VLOOKUP($CU32-CY$103,Frauen!$AZ$9:$BD$102,5)+VLOOKUP($CU32-CY$103+1,Frauen!$AZ$9:$BD$102,5)),RundDx)))</f>
        <v>2543879740</v>
      </c>
      <c r="CZ32" s="25">
        <f>IF($CU32&gt;=RAM,"",IF($CU32-CZ$103&lt;BeginnAlter,"",ROUND(v^($CU32+FaktorAlter)*$L32*$D32*0.5*(VLOOKUP($CU32-CZ$103,Frauen!$G$9:$J$102,4)+VLOOKUP($CU32-CZ$103+1,Frauen!$G$9:$J$102,4))*0.5*(VLOOKUP($CU32-CZ$103,Frauen!$AZ$9:$BD$102,5)+VLOOKUP($CU32-CZ$103+1,Frauen!$AZ$9:$BD$102,5)),RundDx)))</f>
        <v>2602962740</v>
      </c>
      <c r="DA32" s="25">
        <f>IF($CU32&gt;=RAM,"",IF($CU32-DA$103&lt;BeginnAlter,"",ROUND(v^($CU32+FaktorAlter)*$L32*$D32*0.5*(VLOOKUP($CU32-DA$103,Frauen!$G$9:$J$102,4)+VLOOKUP($CU32-DA$103+1,Frauen!$G$9:$J$102,4))*0.5*(VLOOKUP($CU32-DA$103,Frauen!$AZ$9:$BD$102,5)+VLOOKUP($CU32-DA$103+1,Frauen!$AZ$9:$BD$102,5)),RundDx)))</f>
        <v>2661048616</v>
      </c>
      <c r="DB32" s="25">
        <f>IF($CU32&gt;=RAM,"",IF($CU32-DB$103&lt;BeginnAlter,"",ROUND(v^($CU32+FaktorAlter)*$L32*$D32*0.5*(VLOOKUP($CU32-DB$103,Frauen!$G$9:$J$102,4)+VLOOKUP($CU32-DB$103+1,Frauen!$G$9:$J$102,4))*0.5*(VLOOKUP($CU32-DB$103,Frauen!$AZ$9:$BD$102,5)+VLOOKUP($CU32-DB$103+1,Frauen!$AZ$9:$BD$102,5)),RundDx)))</f>
        <v>2717966165</v>
      </c>
      <c r="DC32" s="25">
        <f>IF($CU32&gt;=RAM,"",IF($CU32-DC$103&lt;BeginnAlter,"",ROUND(v^($CU32+FaktorAlter)*$L32*$D32*0.5*(VLOOKUP($CU32-DC$103,Frauen!$G$9:$J$102,4)+VLOOKUP($CU32-DC$103+1,Frauen!$G$9:$J$102,4))*0.5*(VLOOKUP($CU32-DC$103,Frauen!$AZ$9:$BD$102,5)+VLOOKUP($CU32-DC$103+1,Frauen!$AZ$9:$BD$102,5)),RundDx)))</f>
        <v>2773661568</v>
      </c>
      <c r="DD32" s="25">
        <f>IF($CU32&gt;=RAM,"",IF($CU32-DD$103&lt;BeginnAlter,"",ROUND(v^($CU32+FaktorAlter)*$L32*$D32*0.5*(VLOOKUP($CU32-DD$103,Frauen!$G$9:$J$102,4)+VLOOKUP($CU32-DD$103+1,Frauen!$G$9:$J$102,4))*0.5*(VLOOKUP($CU32-DD$103,Frauen!$AZ$9:$BD$102,5)+VLOOKUP($CU32-DD$103+1,Frauen!$AZ$9:$BD$102,5)),RundDx)))</f>
        <v>2828142223</v>
      </c>
      <c r="DE32" s="25">
        <f>IF($CU32&gt;=RAM,"",IF($CU32-DE$103&lt;BeginnAlter,"",ROUND(v^($CU32+FaktorAlter)*$L32*$D32*0.5*(VLOOKUP($CU32-DE$103,Frauen!$G$9:$J$102,4)+VLOOKUP($CU32-DE$103+1,Frauen!$G$9:$J$102,4))*0.5*(VLOOKUP($CU32-DE$103,Frauen!$AZ$9:$BD$102,5)+VLOOKUP($CU32-DE$103+1,Frauen!$AZ$9:$BD$102,5)),RundDx)))</f>
        <v>2881462568</v>
      </c>
      <c r="DF32" s="25">
        <f>IF($CU32&gt;=RAM,"",IF($CU32-DF$103&lt;BeginnAlter,"",ROUND(v^($CU32+FaktorAlter)*$L32*$D32*0.5*(VLOOKUP($CU32-DF$103,Frauen!$G$9:$J$102,4)+VLOOKUP($CU32-DF$103+1,Frauen!$G$9:$J$102,4))*0.5*(VLOOKUP($CU32-DF$103,Frauen!$AZ$9:$BD$102,5)+VLOOKUP($CU32-DF$103+1,Frauen!$AZ$9:$BD$102,5)),RundDx)))</f>
        <v>2933549814</v>
      </c>
      <c r="DG32" s="25">
        <f>IF($CU32&gt;=RAM,"",IF($CU32-DG$103&lt;BeginnAlter,"",ROUND(v^($CU32+FaktorAlter)*$L32*$D32*0.5*(VLOOKUP($CU32-DG$103,Frauen!$G$9:$J$102,4)+VLOOKUP($CU32-DG$103+1,Frauen!$G$9:$J$102,4))*0.5*(VLOOKUP($CU32-DG$103,Frauen!$AZ$9:$BD$102,5)+VLOOKUP($CU32-DG$103+1,Frauen!$AZ$9:$BD$102,5)),RundDx)))</f>
        <v>2984420896</v>
      </c>
      <c r="DH32" s="25">
        <f>IF($CU32&gt;=RAM,"",IF($CU32-DH$103&lt;BeginnAlter,"",ROUND(v^($CU32+FaktorAlter)*$L32*$D32*0.5*(VLOOKUP($CU32-DH$103,Frauen!$G$9:$J$102,4)+VLOOKUP($CU32-DH$103+1,Frauen!$G$9:$J$102,4))*0.5*(VLOOKUP($CU32-DH$103,Frauen!$AZ$9:$BD$102,5)+VLOOKUP($CU32-DH$103+1,Frauen!$AZ$9:$BD$102,5)),RundDx)))</f>
        <v>3034197015</v>
      </c>
      <c r="DI32" s="25">
        <f>IF($CU32&gt;=RAM,"",IF($CU32-DI$103&lt;BeginnAlter,"",ROUND(v^($CU32+FaktorAlter)*$L32*$D32*0.5*(VLOOKUP($CU32-DI$103,Frauen!$G$9:$J$102,4)+VLOOKUP($CU32-DI$103+1,Frauen!$G$9:$J$102,4))*0.5*(VLOOKUP($CU32-DI$103,Frauen!$AZ$9:$BD$102,5)+VLOOKUP($CU32-DI$103+1,Frauen!$AZ$9:$BD$102,5)),RundDx)))</f>
        <v>3082902137</v>
      </c>
      <c r="DJ32" s="25">
        <f>IF($CU32&gt;=RAM,"",IF($CU32-DJ$103&lt;BeginnAlter,"",ROUND(v^($CU32+FaktorAlter)*$L32*$D32*0.5*(VLOOKUP($CU32-DJ$103,Frauen!$G$9:$J$102,4)+VLOOKUP($CU32-DJ$103+1,Frauen!$G$9:$J$102,4))*0.5*(VLOOKUP($CU32-DJ$103,Frauen!$AZ$9:$BD$102,5)+VLOOKUP($CU32-DJ$103+1,Frauen!$AZ$9:$BD$102,5)),RundDx)))</f>
        <v>3130547731</v>
      </c>
      <c r="DK32" s="25">
        <f>IF($CU32&gt;=RAM,"",IF($CU32-DK$103&lt;BeginnAlter,"",ROUND(v^($CU32+FaktorAlter)*$L32*$D32*0.5*(VLOOKUP($CU32-DK$103,Frauen!$G$9:$J$102,4)+VLOOKUP($CU32-DK$103+1,Frauen!$G$9:$J$102,4))*0.5*(VLOOKUP($CU32-DK$103,Frauen!$AZ$9:$BD$102,5)+VLOOKUP($CU32-DK$103+1,Frauen!$AZ$9:$BD$102,5)),RundDx)))</f>
        <v>3177131564</v>
      </c>
      <c r="DL32" s="25">
        <f>IF($CU32&gt;=RAM,"",IF($CU32-DL$103&lt;BeginnAlter,"",ROUND(v^($CU32+FaktorAlter)*$L32*$D32*0.5*(VLOOKUP($CU32-DL$103,Frauen!$G$9:$J$102,4)+VLOOKUP($CU32-DL$103+1,Frauen!$G$9:$J$102,4))*0.5*(VLOOKUP($CU32-DL$103,Frauen!$AZ$9:$BD$102,5)+VLOOKUP($CU32-DL$103+1,Frauen!$AZ$9:$BD$102,5)),RundDx)))</f>
        <v>3222685393</v>
      </c>
      <c r="DM32" s="25">
        <f>IF($CU32&gt;=RAM,"",IF($CU32-DM$103&lt;BeginnAlter,"",ROUND(v^($CU32+FaktorAlter)*$L32*$D32*0.5*(VLOOKUP($CU32-DM$103,Frauen!$G$9:$J$102,4)+VLOOKUP($CU32-DM$103+1,Frauen!$G$9:$J$102,4))*0.5*(VLOOKUP($CU32-DM$103,Frauen!$AZ$9:$BD$102,5)+VLOOKUP($CU32-DM$103+1,Frauen!$AZ$9:$BD$102,5)),RundDx)))</f>
        <v>3267227543</v>
      </c>
      <c r="DN32" s="25">
        <f>IF($CU32&gt;=RAM,"",IF($CU32-DN$103&lt;BeginnAlter,"",ROUND(v^($CU32+FaktorAlter)*$L32*$D32*0.5*(VLOOKUP($CU32-DN$103,Frauen!$G$9:$J$102,4)+VLOOKUP($CU32-DN$103+1,Frauen!$G$9:$J$102,4))*0.5*(VLOOKUP($CU32-DN$103,Frauen!$AZ$9:$BD$102,5)+VLOOKUP($CU32-DN$103+1,Frauen!$AZ$9:$BD$102,5)),RundDx)))</f>
        <v>3310836820</v>
      </c>
      <c r="DO32" s="25">
        <f>IF($CU32&gt;=RAM,"",IF($CU32-DO$103&lt;BeginnAlter,"",ROUND(v^($CU32+FaktorAlter)*$L32*$D32*0.5*(VLOOKUP($CU32-DO$103,Frauen!$G$9:$J$102,4)+VLOOKUP($CU32-DO$103+1,Frauen!$G$9:$J$102,4))*0.5*(VLOOKUP($CU32-DO$103,Frauen!$AZ$9:$BD$102,5)+VLOOKUP($CU32-DO$103+1,Frauen!$AZ$9:$BD$102,5)),RundDx)))</f>
        <v>3353594246</v>
      </c>
      <c r="DP32" s="25">
        <f>IF($CU32&gt;=RAM,"",IF($CU32-DP$103&lt;BeginnAlter,"",ROUND(v^($CU32+FaktorAlter)*$L32*$D32*0.5*(VLOOKUP($CU32-DP$103,Frauen!$G$9:$J$102,4)+VLOOKUP($CU32-DP$103+1,Frauen!$G$9:$J$102,4))*0.5*(VLOOKUP($CU32-DP$103,Frauen!$AZ$9:$BD$102,5)+VLOOKUP($CU32-DP$103+1,Frauen!$AZ$9:$BD$102,5)),RundDx)))</f>
        <v>3395524490</v>
      </c>
      <c r="DQ32" s="25">
        <f>IF($CU32&gt;=RAM,"",IF($CU32-DQ$103&lt;BeginnAlter,"",ROUND(v^($CU32+FaktorAlter)*$L32*$D32*0.5*(VLOOKUP($CU32-DQ$103,Frauen!$G$9:$J$102,4)+VLOOKUP($CU32-DQ$103+1,Frauen!$G$9:$J$102,4))*0.5*(VLOOKUP($CU32-DQ$103,Frauen!$AZ$9:$BD$102,5)+VLOOKUP($CU32-DQ$103+1,Frauen!$AZ$9:$BD$102,5)),RundDx)))</f>
        <v>3436595570</v>
      </c>
      <c r="DR32" s="25">
        <f>IF($CU32&gt;=RAM,"",IF($CU32-DR$103&lt;BeginnAlter,"",ROUND(v^($CU32+FaktorAlter)*$L32*$D32*0.5*(VLOOKUP($CU32-DR$103,Frauen!$G$9:$J$102,4)+VLOOKUP($CU32-DR$103+1,Frauen!$G$9:$J$102,4))*0.5*(VLOOKUP($CU32-DR$103,Frauen!$AZ$9:$BD$102,5)+VLOOKUP($CU32-DR$103+1,Frauen!$AZ$9:$BD$102,5)),RundDx)))</f>
        <v>3476818163</v>
      </c>
      <c r="DS32" s="25">
        <f>IF($CU32&gt;=RAM,"",IF($CU32-DS$103&lt;BeginnAlter,"",ROUND(v^($CU32+FaktorAlter)*$L32*$D32*0.5*(VLOOKUP($CU32-DS$103,Frauen!$G$9:$J$102,4)+VLOOKUP($CU32-DS$103+1,Frauen!$G$9:$J$102,4))*0.5*(VLOOKUP($CU32-DS$103,Frauen!$AZ$9:$BD$102,5)+VLOOKUP($CU32-DS$103+1,Frauen!$AZ$9:$BD$102,5)),RundDx)))</f>
        <v>3516203906</v>
      </c>
      <c r="DT32" s="25">
        <f>IF($CU32&gt;=RAM,"",IF($CU32-DT$103&lt;BeginnAlter,"",ROUND(v^($CU32+FaktorAlter)*$L32*$D32*0.5*(VLOOKUP($CU32-DT$103,Frauen!$G$9:$J$102,4)+VLOOKUP($CU32-DT$103+1,Frauen!$G$9:$J$102,4))*0.5*(VLOOKUP($CU32-DT$103,Frauen!$AZ$9:$BD$102,5)+VLOOKUP($CU32-DT$103+1,Frauen!$AZ$9:$BD$102,5)),RundDx)))</f>
        <v>3554823948</v>
      </c>
      <c r="DU32" s="25">
        <f>IF($CU32&gt;=RAM,"",IF($CU32-DU$103&lt;BeginnAlter,"",ROUND(v^($CU32+FaktorAlter)*$L32*$D32*0.5*(VLOOKUP($CU32-DU$103,Frauen!$G$9:$J$102,4)+VLOOKUP($CU32-DU$103+1,Frauen!$G$9:$J$102,4))*0.5*(VLOOKUP($CU32-DU$103,Frauen!$AZ$9:$BD$102,5)+VLOOKUP($CU32-DU$103+1,Frauen!$AZ$9:$BD$102,5)),RundDx)))</f>
        <v>3592691819</v>
      </c>
      <c r="DV32" s="25">
        <f>IF($CU32&gt;=RAM,"",IF($CU32-DV$103&lt;BeginnAlter,"",ROUND(v^($CU32+FaktorAlter)*$L32*$D32*0.5*(VLOOKUP($CU32-DV$103,Frauen!$G$9:$J$102,4)+VLOOKUP($CU32-DV$103+1,Frauen!$G$9:$J$102,4))*0.5*(VLOOKUP($CU32-DV$103,Frauen!$AZ$9:$BD$102,5)+VLOOKUP($CU32-DV$103+1,Frauen!$AZ$9:$BD$102,5)),RundDx)))</f>
        <v>3629763223</v>
      </c>
      <c r="DW32" s="25">
        <f>IF($CU32&gt;=RAM,"",IF($CU32-DW$103&lt;BeginnAlter,"",ROUND(v^($CU32+FaktorAlter)*$L32*$D32*0.5*(VLOOKUP($CU32-DW$103,Frauen!$G$9:$J$102,4)+VLOOKUP($CU32-DW$103+1,Frauen!$G$9:$J$102,4))*0.5*(VLOOKUP($CU32-DW$103,Frauen!$AZ$9:$BD$102,5)+VLOOKUP($CU32-DW$103+1,Frauen!$AZ$9:$BD$102,5)),RundDx)))</f>
        <v>3666034848</v>
      </c>
      <c r="DX32" s="25">
        <f>IF($CU32&gt;=RAM,"",IF($CU32-DX$103&lt;BeginnAlter,"",ROUND(v^($CU32+FaktorAlter)*$L32*$D32*0.5*(VLOOKUP($CU32-DX$103,Frauen!$G$9:$J$102,4)+VLOOKUP($CU32-DX$103+1,Frauen!$G$9:$J$102,4))*0.5*(VLOOKUP($CU32-DX$103,Frauen!$AZ$9:$BD$102,5)+VLOOKUP($CU32-DX$103+1,Frauen!$AZ$9:$BD$102,5)),RundDx)))</f>
        <v>3701543631</v>
      </c>
      <c r="DY32" s="25">
        <f>IF($CU32&gt;=RAM,"",IF($CU32-DY$103&lt;BeginnAlter,"",ROUND(v^($CU32+FaktorAlter)*$L32*$D32*0.5*(VLOOKUP($CU32-DY$103,Frauen!$G$9:$J$102,4)+VLOOKUP($CU32-DY$103+1,Frauen!$G$9:$J$102,4))*0.5*(VLOOKUP($CU32-DY$103,Frauen!$AZ$9:$BD$102,5)+VLOOKUP($CU32-DY$103+1,Frauen!$AZ$9:$BD$102,5)),RundDx)))</f>
        <v>3736384790</v>
      </c>
      <c r="DZ32" s="25">
        <f>IF($CU32&gt;=RAM,"",IF($CU32-DZ$103&lt;BeginnAlter,"",ROUND(v^($CU32+FaktorAlter)*$L32*$D32*0.5*(VLOOKUP($CU32-DZ$103,Frauen!$G$9:$J$102,4)+VLOOKUP($CU32-DZ$103+1,Frauen!$G$9:$J$102,4))*0.5*(VLOOKUP($CU32-DZ$103,Frauen!$AZ$9:$BD$102,5)+VLOOKUP($CU32-DZ$103+1,Frauen!$AZ$9:$BD$102,5)),RundDx)))</f>
        <v>3770476892</v>
      </c>
      <c r="EA32" s="43">
        <f>IF($CU32&gt;=RAM,"",IF($CU32-EA$103&lt;BeginnAlter,"",ROUND((SUM(CV32:CV$56)+SUM(FN$9:FN$56))/VLOOKUP($CU32,$AH$9:$AI$102,2)/VLOOKUP($CU32-EA$103,Frauen!$G$9:$J$102,4),Rundäx)))</f>
        <v>5.0250000000000004</v>
      </c>
      <c r="EB32" s="43">
        <f>IF($CU32&gt;=RAM,"",IF($CU32-EB$103&lt;BeginnAlter,"",ROUND((SUM(CW32:CW$56)+SUM(FO$9:FO$56))/VLOOKUP($CU32,$AH$9:$AI$102,2)/VLOOKUP($CU32-EB$103,Frauen!$G$9:$J$102,4),Rundäx)))</f>
        <v>5.2409999999999997</v>
      </c>
      <c r="EC32" s="43">
        <f>IF($CU32&gt;=RAM,"",IF($CU32-EC$103&lt;BeginnAlter,"",ROUND((SUM(CX32:CX$56)+SUM(FP$9:FP$56))/VLOOKUP($CU32,$AH$9:$AI$102,2)/VLOOKUP($CU32-EC$103,Frauen!$G$9:$J$102,4),Rundäx)))</f>
        <v>5.4610000000000003</v>
      </c>
      <c r="ED32" s="43">
        <f>IF($CU32&gt;=RAM,"",IF($CU32-ED$103&lt;BeginnAlter,"",ROUND((SUM(CY32:CY$56)+SUM(FQ$9:FQ$56))/VLOOKUP($CU32,$AH$9:$AI$102,2)/VLOOKUP($CU32-ED$103,Frauen!$G$9:$J$102,4),Rundäx)))</f>
        <v>5.6849999999999996</v>
      </c>
      <c r="EE32" s="43">
        <f>IF($CU32&gt;=RAM,"",IF($CU32-EE$103&lt;BeginnAlter,"",ROUND((SUM(CZ32:CZ$56)+SUM(FR$9:FR$56))/VLOOKUP($CU32,$AH$9:$AI$102,2)/VLOOKUP($CU32-EE$103,Frauen!$G$9:$J$102,4),Rundäx)))</f>
        <v>5.9119999999999999</v>
      </c>
      <c r="EF32" s="43">
        <f>IF($CU32&gt;=RAM,"",IF($CU32-EF$103&lt;BeginnAlter,"",ROUND((SUM(DA32:DA$56)+SUM(FS$9:FS$56))/VLOOKUP($CU32,$AH$9:$AI$102,2)/VLOOKUP($CU32-EF$103,Frauen!$G$9:$J$102,4),Rundäx)))</f>
        <v>6.1420000000000003</v>
      </c>
      <c r="EG32" s="43">
        <f>IF($CU32&gt;=RAM,"",IF($CU32-EG$103&lt;BeginnAlter,"",ROUND((SUM(DB32:DB$56)+SUM(FT$9:FT$56))/VLOOKUP($CU32,$AH$9:$AI$102,2)/VLOOKUP($CU32-EG$103,Frauen!$G$9:$J$102,4),Rundäx)))</f>
        <v>6.3760000000000003</v>
      </c>
      <c r="EH32" s="43">
        <f>IF($CU32&gt;=RAM,"",IF($CU32-EH$103&lt;BeginnAlter,"",ROUND((SUM(DC32:DC$56)+SUM(FU$9:FU$56))/VLOOKUP($CU32,$AH$9:$AI$102,2)/VLOOKUP($CU32-EH$103,Frauen!$G$9:$J$102,4),Rundäx)))</f>
        <v>6.6130000000000004</v>
      </c>
      <c r="EI32" s="86"/>
      <c r="EJ32" s="35">
        <f t="shared" si="60"/>
        <v>40</v>
      </c>
      <c r="EK32" s="43">
        <f>IF($CU32&gt;=RAM,"",IF($CU32-EK$103&lt;BeginnAlter,"",ROUND((SUM(DD32:DD$56)+SUM(FV$9:FV$56))/VLOOKUP($CU32,$AH$9:$AI$102,2)/VLOOKUP($CU32-EK$103,Frauen!$G$9:$J$102,4),Rundäx)))</f>
        <v>6.8529999999999998</v>
      </c>
      <c r="EL32" s="43">
        <f>IF($CU32&gt;=RAM,"",IF($CU32-EL$103&lt;BeginnAlter,"",ROUND((SUM(DE32:DE$56)+SUM(FW$9:FW$56))/VLOOKUP($CU32,$AH$9:$AI$102,2)/VLOOKUP($CU32-EL$103,Frauen!$G$9:$J$102,4),Rundäx)))</f>
        <v>7.0960000000000001</v>
      </c>
      <c r="EM32" s="43">
        <f>IF($CU32&gt;=RAM,"",IF($CU32-EM$103&lt;BeginnAlter,"",ROUND((SUM(DF32:DF$56)+SUM(FX$9:FX$56))/VLOOKUP($CU32,$AH$9:$AI$102,2)/VLOOKUP($CU32-EM$103,Frauen!$G$9:$J$102,4),Rundäx)))</f>
        <v>7.343</v>
      </c>
      <c r="EN32" s="43">
        <f>IF($CU32&gt;=RAM,"",IF($CU32-EN$103&lt;BeginnAlter,"",ROUND((SUM(DG32:DG$56)+SUM(FY$9:FY$56))/VLOOKUP($CU32,$AH$9:$AI$102,2)/VLOOKUP($CU32-EN$103,Frauen!$G$9:$J$102,4),Rundäx)))</f>
        <v>7.5919999999999996</v>
      </c>
      <c r="EO32" s="43">
        <f>IF($CU32&gt;=RAM,"",IF($CU32-EO$103&lt;BeginnAlter,"",ROUND((SUM(DH32:DH$56)+SUM(FZ$9:FZ$56))/VLOOKUP($CU32,$AH$9:$AI$102,2)/VLOOKUP($CU32-EO$103,Frauen!$G$9:$J$102,4),Rundäx)))</f>
        <v>7.843</v>
      </c>
      <c r="EP32" s="43">
        <f>IF($CU32&gt;=RAM,"",IF($CU32-EP$103&lt;BeginnAlter,"",ROUND((SUM(DI32:DI$56)+SUM(GA$9:GA$56))/VLOOKUP($CU32,$AH$9:$AI$102,2)/VLOOKUP($CU32-EP$103,Frauen!$G$9:$J$102,4),Rundäx)))</f>
        <v>8.0969999999999995</v>
      </c>
      <c r="EQ32" s="43">
        <f>IF($CU32&gt;=RAM,"",IF($CU32-EQ$103&lt;BeginnAlter,"",ROUND((SUM(DJ32:DJ$56)+SUM(GB$9:GB$56))/VLOOKUP($CU32,$AH$9:$AI$102,2)/VLOOKUP($CU32-EQ$103,Frauen!$G$9:$J$102,4),Rundäx)))</f>
        <v>8.3539999999999992</v>
      </c>
      <c r="ER32" s="43">
        <f>IF($CU32&gt;=RAM,"",IF($CU32-ER$103&lt;BeginnAlter,"",ROUND((SUM(DK32:DK$56)+SUM(GC$9:GC$56))/VLOOKUP($CU32,$AH$9:$AI$102,2)/VLOOKUP($CU32-ER$103,Frauen!$G$9:$J$102,4),Rundäx)))</f>
        <v>8.6120000000000001</v>
      </c>
      <c r="ES32" s="86"/>
      <c r="ET32" s="35">
        <f t="shared" si="61"/>
        <v>40</v>
      </c>
      <c r="EU32" s="43">
        <f>IF($CU32&gt;=RAM,"",IF($CU32-EU$103&lt;BeginnAlter,"",ROUND((SUM(DL32:DL$56)+SUM(GD$9:GD$56))/VLOOKUP($CU32,$AH$9:$AI$102,2)/VLOOKUP($CU32-EU$103,Frauen!$G$9:$J$102,4),Rundäx)))</f>
        <v>8.8710000000000004</v>
      </c>
      <c r="EV32" s="43">
        <f>IF($CU32&gt;=RAM,"",IF($CU32-EV$103&lt;BeginnAlter,"",ROUND((SUM(DM32:DM$56)+SUM(GE$9:GE$56))/VLOOKUP($CU32,$AH$9:$AI$102,2)/VLOOKUP($CU32-EV$103,Frauen!$G$9:$J$102,4),Rundäx)))</f>
        <v>9.1319999999999997</v>
      </c>
      <c r="EW32" s="43">
        <f>IF($CU32&gt;=RAM,"",IF($CU32-EW$103&lt;BeginnAlter,"",ROUND((SUM(DN32:DN$56)+SUM(GF$9:GF$56))/VLOOKUP($CU32,$AH$9:$AI$102,2)/VLOOKUP($CU32-EW$103,Frauen!$G$9:$J$102,4),Rundäx)))</f>
        <v>9.3940000000000001</v>
      </c>
      <c r="EX32" s="43">
        <f>IF($CU32&gt;=RAM,"",IF($CU32-EX$103&lt;BeginnAlter,"",ROUND((SUM(DO32:DO$56)+SUM(GG$9:GG$56))/VLOOKUP($CU32,$AH$9:$AI$102,2)/VLOOKUP($CU32-EX$103,Frauen!$G$9:$J$102,4),Rundäx)))</f>
        <v>9.6560000000000006</v>
      </c>
      <c r="EY32" s="43">
        <f>IF($CU32&gt;=RAM,"",IF($CU32-EY$103&lt;BeginnAlter,"",ROUND((SUM(DP32:DP$56)+SUM(GH$9:GH$56))/VLOOKUP($CU32,$AH$9:$AI$102,2)/VLOOKUP($CU32-EY$103,Frauen!$G$9:$J$102,4),Rundäx)))</f>
        <v>9.9190000000000005</v>
      </c>
      <c r="EZ32" s="43">
        <f>IF($CU32&gt;=RAM,"",IF($CU32-EZ$103&lt;BeginnAlter,"",ROUND((SUM(DQ32:DQ$56)+SUM(GI$9:GI$56))/VLOOKUP($CU32,$AH$9:$AI$102,2)/VLOOKUP($CU32-EZ$103,Frauen!$G$9:$J$102,4),Rundäx)))</f>
        <v>10.180999999999999</v>
      </c>
      <c r="FA32" s="43">
        <f>IF($CU32&gt;=RAM,"",IF($CU32-FA$103&lt;BeginnAlter,"",ROUND((SUM(DR32:DR$56)+SUM(GJ$9:GJ$56))/VLOOKUP($CU32,$AH$9:$AI$102,2)/VLOOKUP($CU32-FA$103,Frauen!$G$9:$J$102,4),Rundäx)))</f>
        <v>10.442</v>
      </c>
      <c r="FB32" s="43">
        <f>IF($CU32&gt;=RAM,"",IF($CU32-FB$103&lt;BeginnAlter,"",ROUND((SUM(DS32:DS$56)+SUM(GK$9:GK$56))/VLOOKUP($CU32,$AH$9:$AI$102,2)/VLOOKUP($CU32-FB$103,Frauen!$G$9:$J$102,4),Rundäx)))</f>
        <v>10.702</v>
      </c>
      <c r="FC32" s="86"/>
      <c r="FD32" s="35">
        <f t="shared" si="62"/>
        <v>40</v>
      </c>
      <c r="FE32" s="43">
        <f>IF($CU32&gt;=RAM,"",IF($CU32-FE$103&lt;BeginnAlter,"",ROUND((SUM(DT32:DT$56)+SUM(GL$9:GL$56))/VLOOKUP($CU32,$AH$9:$AI$102,2)/VLOOKUP($CU32-FE$103,Frauen!$G$9:$J$102,4),Rundäx)))</f>
        <v>10.962</v>
      </c>
      <c r="FF32" s="43">
        <f>IF($CU32&gt;=RAM,"",IF($CU32-FF$103&lt;BeginnAlter,"",ROUND((SUM(DU32:DU$56)+SUM(GM$9:GM$56))/VLOOKUP($CU32,$AH$9:$AI$102,2)/VLOOKUP($CU32-FF$103,Frauen!$G$9:$J$102,4),Rundäx)))</f>
        <v>11.218999999999999</v>
      </c>
      <c r="FG32" s="43">
        <f>IF($CU32&gt;=RAM,"",IF($CU32-FG$103&lt;BeginnAlter,"",ROUND((SUM(DV32:DV$56)+SUM(GN$9:GN$56))/VLOOKUP($CU32,$AH$9:$AI$102,2)/VLOOKUP($CU32-FG$103,Frauen!$G$9:$J$102,4),Rundäx)))</f>
        <v>11.474</v>
      </c>
      <c r="FH32" s="43">
        <f>IF($CU32&gt;=RAM,"",IF($CU32-FH$103&lt;BeginnAlter,"",ROUND((SUM(DW32:DW$56)+SUM(GO$9:GO$56))/VLOOKUP($CU32,$AH$9:$AI$102,2)/VLOOKUP($CU32-FH$103,Frauen!$G$9:$J$102,4),Rundäx)))</f>
        <v>11.728</v>
      </c>
      <c r="FI32" s="43">
        <f>IF($CU32&gt;=RAM,"",IF($CU32-FI$103&lt;BeginnAlter,"",ROUND((SUM(DX32:DX$56)+SUM(GP$9:GP$56))/VLOOKUP($CU32,$AH$9:$AI$102,2)/VLOOKUP($CU32-FI$103,Frauen!$G$9:$J$102,4),Rundäx)))</f>
        <v>11.978999999999999</v>
      </c>
      <c r="FJ32" s="43">
        <f>IF($CU32&gt;=RAM,"",IF($CU32-FJ$103&lt;BeginnAlter,"",ROUND((SUM(DY32:DY$56)+SUM(GQ$9:GQ$56))/VLOOKUP($CU32,$AH$9:$AI$102,2)/VLOOKUP($CU32-FJ$103,Frauen!$G$9:$J$102,4),Rundäx)))</f>
        <v>12.227</v>
      </c>
      <c r="FK32" s="43">
        <f>IF($CU32&gt;=RAM,"",IF($CU32-FK$103&lt;BeginnAlter,"",ROUND((SUM(DZ32:DZ$56)+SUM(GR$9:GR$56))/VLOOKUP($CU32,$AH$9:$AI$102,2)/VLOOKUP($CU32-FK$103,Frauen!$G$9:$J$102,4),Rundäx)))</f>
        <v>12.473000000000001</v>
      </c>
      <c r="FL32" s="86"/>
      <c r="FM32" s="35">
        <f t="shared" si="68"/>
        <v>88</v>
      </c>
      <c r="FN32" s="25">
        <f>ROUND(v^($FM32+FaktorAlter)*VLOOKUP($FM32,$G$9:$J$102,4)*VLOOKUP($FM32,$A$9:$E$102,5)*0.5*(VLOOKUP($FM32-FN$103,Frauen!$G$9:$J$102,4)+VLOOKUP($FM32-FN$103+1,Frauen!$G$9:$J$102,4))*0.5*(VLOOKUP($FM32-FN$103,Frauen!$AZ$9:$BD$102,5)+VLOOKUP($FM32-FN$103+1,Frauen!$AZ$9:$BD$102,5)),RundDx)</f>
        <v>36405</v>
      </c>
      <c r="FO32" s="25">
        <f>ROUND(v^($FM32+FaktorAlter)*VLOOKUP($FM32,$G$9:$J$102,4)*VLOOKUP($FM32,$A$9:$E$102,5)*0.5*(VLOOKUP($FM32-FO$103,Frauen!$G$9:$J$102,4)+VLOOKUP($FM32-FO$103+1,Frauen!$G$9:$J$102,4))*0.5*(VLOOKUP($FM32-FO$103,Frauen!$AZ$9:$BD$102,5)+VLOOKUP($FM32-FO$103+1,Frauen!$AZ$9:$BD$102,5)),RundDx)</f>
        <v>137143</v>
      </c>
      <c r="FP32" s="25">
        <f>ROUND(v^($FM32+FaktorAlter)*VLOOKUP($FM32,$G$9:$J$102,4)*VLOOKUP($FM32,$A$9:$E$102,5)*0.5*(VLOOKUP($FM32-FP$103,Frauen!$G$9:$J$102,4)+VLOOKUP($FM32-FP$103+1,Frauen!$G$9:$J$102,4))*0.5*(VLOOKUP($FM32-FP$103,Frauen!$AZ$9:$BD$102,5)+VLOOKUP($FM32-FP$103+1,Frauen!$AZ$9:$BD$102,5)),RundDx)</f>
        <v>358930</v>
      </c>
      <c r="FQ32" s="25">
        <f>ROUND(v^($FM32+FaktorAlter)*VLOOKUP($FM32,$G$9:$J$102,4)*VLOOKUP($FM32,$A$9:$E$102,5)*0.5*(VLOOKUP($FM32-FQ$103,Frauen!$G$9:$J$102,4)+VLOOKUP($FM32-FQ$103+1,Frauen!$G$9:$J$102,4))*0.5*(VLOOKUP($FM32-FQ$103,Frauen!$AZ$9:$BD$102,5)+VLOOKUP($FM32-FQ$103+1,Frauen!$AZ$9:$BD$102,5)),RundDx)</f>
        <v>788648</v>
      </c>
      <c r="FR32" s="25">
        <f>ROUND(v^($FM32+FaktorAlter)*VLOOKUP($FM32,$G$9:$J$102,4)*VLOOKUP($FM32,$A$9:$E$102,5)*0.5*(VLOOKUP($FM32-FR$103,Frauen!$G$9:$J$102,4)+VLOOKUP($FM32-FR$103+1,Frauen!$G$9:$J$102,4))*0.5*(VLOOKUP($FM32-FR$103,Frauen!$AZ$9:$BD$102,5)+VLOOKUP($FM32-FR$103+1,Frauen!$AZ$9:$BD$102,5)),RundDx)</f>
        <v>1528806</v>
      </c>
      <c r="FS32" s="25">
        <f>ROUND(v^($FM32+FaktorAlter)*VLOOKUP($FM32,$G$9:$J$102,4)*VLOOKUP($FM32,$A$9:$E$102,5)*0.5*(VLOOKUP($FM32-FS$103,Frauen!$G$9:$J$102,4)+VLOOKUP($FM32-FS$103+1,Frauen!$G$9:$J$102,4))*0.5*(VLOOKUP($FM32-FS$103,Frauen!$AZ$9:$BD$102,5)+VLOOKUP($FM32-FS$103+1,Frauen!$AZ$9:$BD$102,5)),RundDx)</f>
        <v>2725941</v>
      </c>
      <c r="FT32" s="25">
        <f>ROUND(v^($FM32+FaktorAlter)*VLOOKUP($FM32,$G$9:$J$102,4)*VLOOKUP($FM32,$A$9:$E$102,5)*0.5*(VLOOKUP($FM32-FT$103,Frauen!$G$9:$J$102,4)+VLOOKUP($FM32-FT$103+1,Frauen!$G$9:$J$102,4))*0.5*(VLOOKUP($FM32-FT$103,Frauen!$AZ$9:$BD$102,5)+VLOOKUP($FM32-FT$103+1,Frauen!$AZ$9:$BD$102,5)),RundDx)</f>
        <v>4540677</v>
      </c>
      <c r="FU32" s="25">
        <f>ROUND(v^($FM32+FaktorAlter)*VLOOKUP($FM32,$G$9:$J$102,4)*VLOOKUP($FM32,$A$9:$E$102,5)*0.5*(VLOOKUP($FM32-FU$103,Frauen!$G$9:$J$102,4)+VLOOKUP($FM32-FU$103+1,Frauen!$G$9:$J$102,4))*0.5*(VLOOKUP($FM32-FU$103,Frauen!$AZ$9:$BD$102,5)+VLOOKUP($FM32-FU$103+1,Frauen!$AZ$9:$BD$102,5)),RundDx)</f>
        <v>7176786</v>
      </c>
      <c r="FV32" s="25">
        <f>ROUND(v^($FM32+FaktorAlter)*VLOOKUP($FM32,$G$9:$J$102,4)*VLOOKUP($FM32,$A$9:$E$102,5)*0.5*(VLOOKUP($FM32-FV$103,Frauen!$G$9:$J$102,4)+VLOOKUP($FM32-FV$103+1,Frauen!$G$9:$J$102,4))*0.5*(VLOOKUP($FM32-FV$103,Frauen!$AZ$9:$BD$102,5)+VLOOKUP($FM32-FV$103+1,Frauen!$AZ$9:$BD$102,5)),RundDx)</f>
        <v>10866298</v>
      </c>
      <c r="FW32" s="25">
        <f>ROUND(v^($FM32+FaktorAlter)*VLOOKUP($FM32,$G$9:$J$102,4)*VLOOKUP($FM32,$A$9:$E$102,5)*0.5*(VLOOKUP($FM32-FW$103,Frauen!$G$9:$J$102,4)+VLOOKUP($FM32-FW$103+1,Frauen!$G$9:$J$102,4))*0.5*(VLOOKUP($FM32-FW$103,Frauen!$AZ$9:$BD$102,5)+VLOOKUP($FM32-FW$103+1,Frauen!$AZ$9:$BD$102,5)),RundDx)</f>
        <v>15859175</v>
      </c>
      <c r="FX32" s="25">
        <f>ROUND(v^($FM32+FaktorAlter)*VLOOKUP($FM32,$G$9:$J$102,4)*VLOOKUP($FM32,$A$9:$E$102,5)*0.5*(VLOOKUP($FM32-FX$103,Frauen!$G$9:$J$102,4)+VLOOKUP($FM32-FX$103+1,Frauen!$G$9:$J$102,4))*0.5*(VLOOKUP($FM32-FX$103,Frauen!$AZ$9:$BD$102,5)+VLOOKUP($FM32-FX$103+1,Frauen!$AZ$9:$BD$102,5)),RundDx)</f>
        <v>22408950</v>
      </c>
      <c r="FY32" s="25">
        <f>ROUND(v^($FM32+FaktorAlter)*VLOOKUP($FM32,$G$9:$J$102,4)*VLOOKUP($FM32,$A$9:$E$102,5)*0.5*(VLOOKUP($FM32-FY$103,Frauen!$G$9:$J$102,4)+VLOOKUP($FM32-FY$103+1,Frauen!$G$9:$J$102,4))*0.5*(VLOOKUP($FM32-FY$103,Frauen!$AZ$9:$BD$102,5)+VLOOKUP($FM32-FY$103+1,Frauen!$AZ$9:$BD$102,5)),RundDx)</f>
        <v>30800480</v>
      </c>
      <c r="FZ32" s="25">
        <f>ROUND(v^($FM32+FaktorAlter)*VLOOKUP($FM32,$G$9:$J$102,4)*VLOOKUP($FM32,$A$9:$E$102,5)*0.5*(VLOOKUP($FM32-FZ$103,Frauen!$G$9:$J$102,4)+VLOOKUP($FM32-FZ$103+1,Frauen!$G$9:$J$102,4))*0.5*(VLOOKUP($FM32-FZ$103,Frauen!$AZ$9:$BD$102,5)+VLOOKUP($FM32-FZ$103+1,Frauen!$AZ$9:$BD$102,5)),RundDx)</f>
        <v>41205045</v>
      </c>
      <c r="GA32" s="25">
        <f>ROUND(v^($FM32+FaktorAlter)*VLOOKUP($FM32,$G$9:$J$102,4)*VLOOKUP($FM32,$A$9:$E$102,5)*0.5*(VLOOKUP($FM32-GA$103,Frauen!$G$9:$J$102,4)+VLOOKUP($FM32-GA$103+1,Frauen!$G$9:$J$102,4))*0.5*(VLOOKUP($FM32-GA$103,Frauen!$AZ$9:$BD$102,5)+VLOOKUP($FM32-GA$103+1,Frauen!$AZ$9:$BD$102,5)),RundDx)</f>
        <v>53642938</v>
      </c>
      <c r="GB32" s="25">
        <f>ROUND(v^($FM32+FaktorAlter)*VLOOKUP($FM32,$G$9:$J$102,4)*VLOOKUP($FM32,$A$9:$E$102,5)*0.5*(VLOOKUP($FM32-GB$103,Frauen!$G$9:$J$102,4)+VLOOKUP($FM32-GB$103+1,Frauen!$G$9:$J$102,4))*0.5*(VLOOKUP($FM32-GB$103,Frauen!$AZ$9:$BD$102,5)+VLOOKUP($FM32-GB$103+1,Frauen!$AZ$9:$BD$102,5)),RundDx)</f>
        <v>68220851</v>
      </c>
      <c r="GC32" s="25">
        <f>ROUND(v^($FM32+FaktorAlter)*VLOOKUP($FM32,$G$9:$J$102,4)*VLOOKUP($FM32,$A$9:$E$102,5)*0.5*(VLOOKUP($FM32-GC$103,Frauen!$G$9:$J$102,4)+VLOOKUP($FM32-GC$103+1,Frauen!$G$9:$J$102,4))*0.5*(VLOOKUP($FM32-GC$103,Frauen!$AZ$9:$BD$102,5)+VLOOKUP($FM32-GC$103+1,Frauen!$AZ$9:$BD$102,5)),RundDx)</f>
        <v>84957489</v>
      </c>
      <c r="GD32" s="25">
        <f>ROUND(v^($FM32+FaktorAlter)*VLOOKUP($FM32,$G$9:$J$102,4)*VLOOKUP($FM32,$A$9:$E$102,5)*0.5*(VLOOKUP($FM32-GD$103,Frauen!$G$9:$J$102,4)+VLOOKUP($FM32-GD$103+1,Frauen!$G$9:$J$102,4))*0.5*(VLOOKUP($FM32-GD$103,Frauen!$AZ$9:$BD$102,5)+VLOOKUP($FM32-GD$103+1,Frauen!$AZ$9:$BD$102,5)),RundDx)</f>
        <v>103801178</v>
      </c>
      <c r="GE32" s="25">
        <f>ROUND(v^($FM32+FaktorAlter)*VLOOKUP($FM32,$G$9:$J$102,4)*VLOOKUP($FM32,$A$9:$E$102,5)*0.5*(VLOOKUP($FM32-GE$103,Frauen!$G$9:$J$102,4)+VLOOKUP($FM32-GE$103+1,Frauen!$G$9:$J$102,4))*0.5*(VLOOKUP($FM32-GE$103,Frauen!$AZ$9:$BD$102,5)+VLOOKUP($FM32-GE$103+1,Frauen!$AZ$9:$BD$102,5)),RundDx)</f>
        <v>124656017</v>
      </c>
      <c r="GF32" s="25">
        <f>ROUND(v^($FM32+FaktorAlter)*VLOOKUP($FM32,$G$9:$J$102,4)*VLOOKUP($FM32,$A$9:$E$102,5)*0.5*(VLOOKUP($FM32-GF$103,Frauen!$G$9:$J$102,4)+VLOOKUP($FM32-GF$103+1,Frauen!$G$9:$J$102,4))*0.5*(VLOOKUP($FM32-GF$103,Frauen!$AZ$9:$BD$102,5)+VLOOKUP($FM32-GF$103+1,Frauen!$AZ$9:$BD$102,5)),RundDx)</f>
        <v>147321885</v>
      </c>
      <c r="GG32" s="25">
        <f>ROUND(v^($FM32+FaktorAlter)*VLOOKUP($FM32,$G$9:$J$102,4)*VLOOKUP($FM32,$A$9:$E$102,5)*0.5*(VLOOKUP($FM32-GG$103,Frauen!$G$9:$J$102,4)+VLOOKUP($FM32-GG$103+1,Frauen!$G$9:$J$102,4))*0.5*(VLOOKUP($FM32-GG$103,Frauen!$AZ$9:$BD$102,5)+VLOOKUP($FM32-GG$103+1,Frauen!$AZ$9:$BD$102,5)),RundDx)</f>
        <v>171558582</v>
      </c>
      <c r="GH32" s="25">
        <f>ROUND(v^($FM32+FaktorAlter)*VLOOKUP($FM32,$G$9:$J$102,4)*VLOOKUP($FM32,$A$9:$E$102,5)*0.5*(VLOOKUP($FM32-GH$103,Frauen!$G$9:$J$102,4)+VLOOKUP($FM32-GH$103+1,Frauen!$G$9:$J$102,4))*0.5*(VLOOKUP($FM32-GH$103,Frauen!$AZ$9:$BD$102,5)+VLOOKUP($FM32-GH$103+1,Frauen!$AZ$9:$BD$102,5)),RundDx)</f>
        <v>197128481</v>
      </c>
      <c r="GI32" s="25">
        <f>ROUND(v^($FM32+FaktorAlter)*VLOOKUP($FM32,$G$9:$J$102,4)*VLOOKUP($FM32,$A$9:$E$102,5)*0.5*(VLOOKUP($FM32-GI$103,Frauen!$G$9:$J$102,4)+VLOOKUP($FM32-GI$103+1,Frauen!$G$9:$J$102,4))*0.5*(VLOOKUP($FM32-GI$103,Frauen!$AZ$9:$BD$102,5)+VLOOKUP($FM32-GI$103+1,Frauen!$AZ$9:$BD$102,5)),RundDx)</f>
        <v>223750305</v>
      </c>
      <c r="GJ32" s="25">
        <f>ROUND(v^($FM32+FaktorAlter)*VLOOKUP($FM32,$G$9:$J$102,4)*VLOOKUP($FM32,$A$9:$E$102,5)*0.5*(VLOOKUP($FM32-GJ$103,Frauen!$G$9:$J$102,4)+VLOOKUP($FM32-GJ$103+1,Frauen!$G$9:$J$102,4))*0.5*(VLOOKUP($FM32-GJ$103,Frauen!$AZ$9:$BD$102,5)+VLOOKUP($FM32-GJ$103+1,Frauen!$AZ$9:$BD$102,5)),RundDx)</f>
        <v>251158341</v>
      </c>
      <c r="GK32" s="25">
        <f>ROUND(v^($FM32+FaktorAlter)*VLOOKUP($FM32,$G$9:$J$102,4)*VLOOKUP($FM32,$A$9:$E$102,5)*0.5*(VLOOKUP($FM32-GK$103,Frauen!$G$9:$J$102,4)+VLOOKUP($FM32-GK$103+1,Frauen!$G$9:$J$102,4))*0.5*(VLOOKUP($FM32-GK$103,Frauen!$AZ$9:$BD$102,5)+VLOOKUP($FM32-GK$103+1,Frauen!$AZ$9:$BD$102,5)),RundDx)</f>
        <v>279171547</v>
      </c>
      <c r="GL32" s="25">
        <f>ROUND(v^($FM32+FaktorAlter)*VLOOKUP($FM32,$G$9:$J$102,4)*VLOOKUP($FM32,$A$9:$E$102,5)*0.5*(VLOOKUP($FM32-GL$103,Frauen!$G$9:$J$102,4)+VLOOKUP($FM32-GL$103+1,Frauen!$G$9:$J$102,4))*0.5*(VLOOKUP($FM32-GL$103,Frauen!$AZ$9:$BD$102,5)+VLOOKUP($FM32-GL$103+1,Frauen!$AZ$9:$BD$102,5)),RundDx)</f>
        <v>307701083</v>
      </c>
      <c r="GM32" s="25">
        <f>ROUND(v^($FM32+FaktorAlter)*VLOOKUP($FM32,$G$9:$J$102,4)*VLOOKUP($FM32,$A$9:$E$102,5)*0.5*(VLOOKUP($FM32-GM$103,Frauen!$G$9:$J$102,4)+VLOOKUP($FM32-GM$103+1,Frauen!$G$9:$J$102,4))*0.5*(VLOOKUP($FM32-GM$103,Frauen!$AZ$9:$BD$102,5)+VLOOKUP($FM32-GM$103+1,Frauen!$AZ$9:$BD$102,5)),RundDx)</f>
        <v>336625964</v>
      </c>
      <c r="GN32" s="25">
        <f>ROUND(v^($FM32+FaktorAlter)*VLOOKUP($FM32,$G$9:$J$102,4)*VLOOKUP($FM32,$A$9:$E$102,5)*0.5*(VLOOKUP($FM32-GN$103,Frauen!$G$9:$J$102,4)+VLOOKUP($FM32-GN$103+1,Frauen!$G$9:$J$102,4))*0.5*(VLOOKUP($FM32-GN$103,Frauen!$AZ$9:$BD$102,5)+VLOOKUP($FM32-GN$103+1,Frauen!$AZ$9:$BD$102,5)),RundDx)</f>
        <v>365922442</v>
      </c>
      <c r="GO32" s="25">
        <f>ROUND(v^($FM32+FaktorAlter)*VLOOKUP($FM32,$G$9:$J$102,4)*VLOOKUP($FM32,$A$9:$E$102,5)*0.5*(VLOOKUP($FM32-GO$103,Frauen!$G$9:$J$102,4)+VLOOKUP($FM32-GO$103+1,Frauen!$G$9:$J$102,4))*0.5*(VLOOKUP($FM32-GO$103,Frauen!$AZ$9:$BD$102,5)+VLOOKUP($FM32-GO$103+1,Frauen!$AZ$9:$BD$102,5)),RundDx)</f>
        <v>395662026</v>
      </c>
      <c r="GP32" s="25">
        <f>ROUND(v^($FM32+FaktorAlter)*VLOOKUP($FM32,$G$9:$J$102,4)*VLOOKUP($FM32,$A$9:$E$102,5)*0.5*(VLOOKUP($FM32-GP$103,Frauen!$G$9:$J$102,4)+VLOOKUP($FM32-GP$103+1,Frauen!$G$9:$J$102,4))*0.5*(VLOOKUP($FM32-GP$103,Frauen!$AZ$9:$BD$102,5)+VLOOKUP($FM32-GP$103+1,Frauen!$AZ$9:$BD$102,5)),RundDx)</f>
        <v>425873669</v>
      </c>
      <c r="GQ32" s="25">
        <f>ROUND(v^($FM32+FaktorAlter)*VLOOKUP($FM32,$G$9:$J$102,4)*VLOOKUP($FM32,$A$9:$E$102,5)*0.5*(VLOOKUP($FM32-GQ$103,Frauen!$G$9:$J$102,4)+VLOOKUP($FM32-GQ$103+1,Frauen!$G$9:$J$102,4))*0.5*(VLOOKUP($FM32-GQ$103,Frauen!$AZ$9:$BD$102,5)+VLOOKUP($FM32-GQ$103+1,Frauen!$AZ$9:$BD$102,5)),RundDx)</f>
        <v>456650829</v>
      </c>
      <c r="GR32" s="25">
        <f>ROUND(v^($FM32+FaktorAlter)*VLOOKUP($FM32,$G$9:$J$102,4)*VLOOKUP($FM32,$A$9:$E$102,5)*0.5*(VLOOKUP($FM32-GR$103,Frauen!$G$9:$J$102,4)+VLOOKUP($FM32-GR$103+1,Frauen!$G$9:$J$102,4))*0.5*(VLOOKUP($FM32-GR$103,Frauen!$AZ$9:$BD$102,5)+VLOOKUP($FM32-GR$103+1,Frauen!$AZ$9:$BD$102,5)),RundDx)</f>
        <v>488010807</v>
      </c>
      <c r="GS32" s="24">
        <f>ROUND(SUM(FN32:FN$56)/VLOOKUP($FM32,$AQ$9:$AR$102,2)/VLOOKUP($FM32-GS$103,Frauen!$G$9:$J$102,4),Rundäx)</f>
        <v>6.8000000000000005E-2</v>
      </c>
      <c r="GT32" s="24">
        <f>ROUND(SUM(FO32:FO$56)/VLOOKUP($FM32,$AQ$9:$AR$102,2)/VLOOKUP($FM32-GT$103,Frauen!$G$9:$J$102,4),Rundäx)</f>
        <v>0.127</v>
      </c>
      <c r="GU32" s="24">
        <f>ROUND(SUM(FP32:FP$56)/VLOOKUP($FM32,$AQ$9:$AR$102,2)/VLOOKUP($FM32-GU$103,Frauen!$G$9:$J$102,4),Rundäx)</f>
        <v>0.185</v>
      </c>
      <c r="GV32" s="24">
        <f>ROUND(SUM(FQ32:FQ$56)/VLOOKUP($FM32,$AQ$9:$AR$102,2)/VLOOKUP($FM32-GV$103,Frauen!$G$9:$J$102,4),Rundäx)</f>
        <v>0.247</v>
      </c>
      <c r="GW32" s="24">
        <f>ROUND(SUM(FR32:FR$56)/VLOOKUP($FM32,$AQ$9:$AR$102,2)/VLOOKUP($FM32-GW$103,Frauen!$G$9:$J$102,4),Rundäx)</f>
        <v>0.316</v>
      </c>
      <c r="GX32" s="24">
        <f>ROUND(SUM(FS32:FS$56)/VLOOKUP($FM32,$AQ$9:$AR$102,2)/VLOOKUP($FM32-GX$103,Frauen!$G$9:$J$102,4),Rundäx)</f>
        <v>0.39500000000000002</v>
      </c>
      <c r="GY32" s="24">
        <f>ROUND(SUM(FT32:FT$56)/VLOOKUP($FM32,$AQ$9:$AR$102,2)/VLOOKUP($FM32-GY$103,Frauen!$G$9:$J$102,4),Rundäx)</f>
        <v>0.48499999999999999</v>
      </c>
      <c r="GZ32" s="24">
        <f>ROUND(SUM(FU32:FU$56)/VLOOKUP($FM32,$AQ$9:$AR$102,2)/VLOOKUP($FM32-GZ$103,Frauen!$G$9:$J$102,4),Rundäx)</f>
        <v>0.58799999999999997</v>
      </c>
      <c r="HA32" s="86"/>
      <c r="HB32" s="35">
        <f t="shared" si="63"/>
        <v>88</v>
      </c>
      <c r="HC32" s="24">
        <f>ROUND(SUM(FV32:FV$56)/VLOOKUP($FM32,$AQ$9:$AR$102,2)/VLOOKUP($FM32-HC$103,Frauen!$G$9:$J$102,4),Rundäx)</f>
        <v>0.70399999999999996</v>
      </c>
      <c r="HD32" s="24">
        <f>ROUND(SUM(FW32:FW$56)/VLOOKUP($FM32,$AQ$9:$AR$102,2)/VLOOKUP($FM32-HD$103,Frauen!$G$9:$J$102,4),Rundäx)</f>
        <v>0.83499999999999996</v>
      </c>
      <c r="HE32" s="24">
        <f>ROUND(SUM(FX32:FX$56)/VLOOKUP($FM32,$AQ$9:$AR$102,2)/VLOOKUP($FM32-HE$103,Frauen!$G$9:$J$102,4),Rundäx)</f>
        <v>0.98299999999999998</v>
      </c>
      <c r="HF32" s="24">
        <f>ROUND(SUM(FY32:FY$56)/VLOOKUP($FM32,$AQ$9:$AR$102,2)/VLOOKUP($FM32-HF$103,Frauen!$G$9:$J$102,4),Rundäx)</f>
        <v>1.149</v>
      </c>
      <c r="HG32" s="24">
        <f>ROUND(SUM(FZ32:FZ$56)/VLOOKUP($FM32,$AQ$9:$AR$102,2)/VLOOKUP($FM32-HG$103,Frauen!$G$9:$J$102,4),Rundäx)</f>
        <v>1.335</v>
      </c>
      <c r="HH32" s="24">
        <f>ROUND(SUM(GA32:GA$56)/VLOOKUP($FM32,$AQ$9:$AR$102,2)/VLOOKUP($FM32-HH$103,Frauen!$G$9:$J$102,4),Rundäx)</f>
        <v>1.5409999999999999</v>
      </c>
      <c r="HI32" s="24">
        <f>ROUND(SUM(GB32:GB$56)/VLOOKUP($FM32,$AQ$9:$AR$102,2)/VLOOKUP($FM32-HI$103,Frauen!$G$9:$J$102,4),Rundäx)</f>
        <v>1.768</v>
      </c>
      <c r="HJ32" s="24">
        <f>ROUND(SUM(GC32:GC$56)/VLOOKUP($FM32,$AQ$9:$AR$102,2)/VLOOKUP($FM32-HJ$103,Frauen!$G$9:$J$102,4),Rundäx)</f>
        <v>2.0179999999999998</v>
      </c>
      <c r="HK32" s="86"/>
      <c r="HL32" s="35">
        <f t="shared" si="64"/>
        <v>88</v>
      </c>
      <c r="HM32" s="24">
        <f>ROUND(SUM(GD32:GD$56)/VLOOKUP($FM32,$AQ$9:$AR$102,2)/VLOOKUP($FM32-HM$103,Frauen!$G$9:$J$102,4),Rundäx)</f>
        <v>2.2919999999999998</v>
      </c>
      <c r="HN32" s="24">
        <f>ROUND(SUM(GE32:GE$56)/VLOOKUP($FM32,$AQ$9:$AR$102,2)/VLOOKUP($FM32-HN$103,Frauen!$G$9:$J$102,4),Rundäx)</f>
        <v>2.593</v>
      </c>
      <c r="HO32" s="24">
        <f>ROUND(SUM(GF32:GF$56)/VLOOKUP($FM32,$AQ$9:$AR$102,2)/VLOOKUP($FM32-HO$103,Frauen!$G$9:$J$102,4),Rundäx)</f>
        <v>2.92</v>
      </c>
      <c r="HP32" s="24">
        <f>ROUND(SUM(GG32:GG$56)/VLOOKUP($FM32,$AQ$9:$AR$102,2)/VLOOKUP($FM32-HP$103,Frauen!$G$9:$J$102,4),Rundäx)</f>
        <v>3.2759999999999998</v>
      </c>
      <c r="HQ32" s="24">
        <f>ROUND(SUM(GH32:GH$56)/VLOOKUP($FM32,$AQ$9:$AR$102,2)/VLOOKUP($FM32-HQ$103,Frauen!$G$9:$J$102,4),Rundäx)</f>
        <v>3.661</v>
      </c>
      <c r="HR32" s="24">
        <f>ROUND(SUM(GI32:GI$56)/VLOOKUP($FM32,$AQ$9:$AR$102,2)/VLOOKUP($FM32-HR$103,Frauen!$G$9:$J$102,4),Rundäx)</f>
        <v>4.0720000000000001</v>
      </c>
      <c r="HS32" s="24">
        <f>ROUND(SUM(GJ32:GJ$56)/VLOOKUP($FM32,$AQ$9:$AR$102,2)/VLOOKUP($FM32-HS$103,Frauen!$G$9:$J$102,4),Rundäx)</f>
        <v>4.51</v>
      </c>
      <c r="HT32" s="24">
        <f>ROUND(SUM(GK32:GK$56)/VLOOKUP($FM32,$AQ$9:$AR$102,2)/VLOOKUP($FM32-HT$103,Frauen!$G$9:$J$102,4),Rundäx)</f>
        <v>4.9710000000000001</v>
      </c>
      <c r="HU32" s="86"/>
      <c r="HV32" s="35">
        <f t="shared" si="65"/>
        <v>88</v>
      </c>
      <c r="HW32" s="24">
        <f>ROUND(SUM(GL32:GL$56)/VLOOKUP($FM32,$AQ$9:$AR$102,2)/VLOOKUP($FM32-HW$103,Frauen!$G$9:$J$102,4),Rundäx)</f>
        <v>5.452</v>
      </c>
      <c r="HX32" s="24">
        <f>ROUND(SUM(GM32:GM$56)/VLOOKUP($FM32,$AQ$9:$AR$102,2)/VLOOKUP($FM32-HX$103,Frauen!$G$9:$J$102,4),Rundäx)</f>
        <v>5.9480000000000004</v>
      </c>
      <c r="HY32" s="24">
        <f>ROUND(SUM(GN32:GN$56)/VLOOKUP($FM32,$AQ$9:$AR$102,2)/VLOOKUP($FM32-HY$103,Frauen!$G$9:$J$102,4),Rundäx)</f>
        <v>6.4560000000000004</v>
      </c>
      <c r="HZ32" s="24">
        <f>ROUND(SUM(GO32:GO$56)/VLOOKUP($FM32,$AQ$9:$AR$102,2)/VLOOKUP($FM32-HZ$103,Frauen!$G$9:$J$102,4),Rundäx)</f>
        <v>6.97</v>
      </c>
      <c r="IA32" s="24">
        <f>ROUND(SUM(GP32:GP$56)/VLOOKUP($FM32,$AQ$9:$AR$102,2)/VLOOKUP($FM32-IA$103,Frauen!$G$9:$J$102,4),Rundäx)</f>
        <v>7.4870000000000001</v>
      </c>
      <c r="IB32" s="24">
        <f>ROUND(SUM(GQ32:GQ$56)/VLOOKUP($FM32,$AQ$9:$AR$102,2)/VLOOKUP($FM32-IB$103,Frauen!$G$9:$J$102,4),Rundäx)</f>
        <v>8.0030000000000001</v>
      </c>
      <c r="IC32" s="24">
        <f>ROUND(SUM(GR32:GR$56)/VLOOKUP($FM32,$AQ$9:$AR$102,2)/VLOOKUP($FM32-IC$103,Frauen!$G$9:$J$102,4),Rundäx)</f>
        <v>8.5150000000000006</v>
      </c>
      <c r="ID32" s="89"/>
      <c r="IE32" s="35">
        <f t="shared" si="66"/>
        <v>40</v>
      </c>
      <c r="IF32" s="25">
        <f t="shared" si="31"/>
        <v>857</v>
      </c>
      <c r="IG32" s="25">
        <f>IF($IE32&lt;RAM,IF(S33&lt;=RAK,ROUND(SUM(IF32:INDEX(Dakx,RAM-BeginnAlter))+INDEX(Dax,RAM-BeginnAlter+1)*INDEX(äkx,1),RundDx),0),"")</f>
        <v>8667</v>
      </c>
      <c r="IH32" s="25">
        <f>IF($IE32&lt;RAM,IF(S33&lt;=RAK,ROUND(SUM(IG32:INDEX(Nakx,RAM-BeginnAlter))+INDEX(Dax,RAM-BeginnAlter+1)*INDEX(äkx,1),RundDx),0),"")</f>
        <v>64570</v>
      </c>
      <c r="II32" s="24">
        <f t="shared" si="32"/>
        <v>0.218</v>
      </c>
      <c r="IJ32" s="25">
        <f t="shared" si="33"/>
        <v>19626</v>
      </c>
      <c r="IK32" s="25">
        <f>IF($IE32&lt;RAM,IF(S33&lt;=RAK,SUM(IJ32:INDEX(Dikx,RAM-BeginnAlter))+INDEX(Dix,RAM-BeginnAlter+1)*INDEX(äkx,1),0),"")</f>
        <v>132841.83199999999</v>
      </c>
      <c r="IL32" s="24">
        <f t="shared" si="34"/>
        <v>2.1789999999999998</v>
      </c>
      <c r="IM32" s="86"/>
      <c r="IN32" s="35">
        <f t="shared" si="67"/>
        <v>88</v>
      </c>
      <c r="IO32" s="25"/>
      <c r="IP32" s="25"/>
      <c r="IQ32" s="24"/>
      <c r="IR32" s="86"/>
    </row>
    <row r="33" spans="1:252" ht="15.75" customHeight="1" x14ac:dyDescent="0.25">
      <c r="A33" s="35">
        <f t="shared" si="41"/>
        <v>41</v>
      </c>
      <c r="B33" s="77">
        <v>1.1838878191635421E-3</v>
      </c>
      <c r="C33" s="77">
        <v>1.7325151801599985E-3</v>
      </c>
      <c r="D33" s="77">
        <v>1.9698143171583193E-2</v>
      </c>
      <c r="E33" s="77">
        <v>1.5071436572673402E-3</v>
      </c>
      <c r="F33" s="86"/>
      <c r="G33" s="35">
        <f t="shared" si="42"/>
        <v>41</v>
      </c>
      <c r="H33" s="25">
        <f t="shared" si="37"/>
        <v>96568</v>
      </c>
      <c r="I33" s="25">
        <f t="shared" si="38"/>
        <v>1631</v>
      </c>
      <c r="J33" s="25">
        <f t="shared" si="39"/>
        <v>98199</v>
      </c>
      <c r="K33" s="30">
        <f>IF(J33&gt;0,ROUND(SUM(J33:J$102)/J33-0.5,Rundex),"")</f>
        <v>38.69</v>
      </c>
      <c r="L33" s="25">
        <f t="shared" si="0"/>
        <v>145531</v>
      </c>
      <c r="M33" s="30">
        <f>IF(L33&gt;0,ROUND(SUM(L33:L$102)/L33-0.5,Rundex),"")</f>
        <v>29.41</v>
      </c>
      <c r="N33" s="86"/>
      <c r="O33" s="35">
        <f t="shared" si="43"/>
        <v>41</v>
      </c>
      <c r="P33" s="43">
        <v>0.67780630254893626</v>
      </c>
      <c r="Q33" s="78">
        <v>39.757096911008446</v>
      </c>
      <c r="R33" s="43">
        <v>1.2897490695056137</v>
      </c>
      <c r="S33" s="78">
        <v>10.359705858742075</v>
      </c>
      <c r="T33" s="15">
        <v>1.50803353035045E-3</v>
      </c>
      <c r="U33" s="11">
        <f t="shared" si="40"/>
        <v>98198</v>
      </c>
      <c r="V33" s="30">
        <f>IF(U33&gt;0,ROUND(SUM(U33:U$102)/U33-0.5,Rundex),"")</f>
        <v>36.29</v>
      </c>
      <c r="W33" s="86"/>
      <c r="X33" s="35">
        <f t="shared" si="44"/>
        <v>41</v>
      </c>
      <c r="Y33" s="25">
        <f t="shared" si="1"/>
        <v>38783</v>
      </c>
      <c r="Z33" s="25">
        <f>IF($X33&lt;RAM,SUM(Y33:INDEX(Dax,RAM-BeginnAlter))," ")</f>
        <v>673061</v>
      </c>
      <c r="AA33" s="25">
        <f t="shared" si="2"/>
        <v>45</v>
      </c>
      <c r="AB33" s="25">
        <f>IF($X33&lt;RAM,SUM(AA33:INDEX(Cax,RAM-BeginnAlter))," ")</f>
        <v>2063</v>
      </c>
      <c r="AC33" s="25">
        <f t="shared" si="3"/>
        <v>66</v>
      </c>
      <c r="AD33" s="25">
        <f>IF($X33&lt;RAM,SUM(AC33:INDEX(Caix,RAM-BeginnAlter))," ")</f>
        <v>7230</v>
      </c>
      <c r="AE33" s="24">
        <f t="shared" si="4"/>
        <v>17.355</v>
      </c>
      <c r="AF33" s="24">
        <f t="shared" si="5"/>
        <v>17.071000000000002</v>
      </c>
      <c r="AG33" s="86"/>
      <c r="AH33" s="35">
        <f t="shared" si="45"/>
        <v>41</v>
      </c>
      <c r="AI33" s="25">
        <f t="shared" si="6"/>
        <v>58447</v>
      </c>
      <c r="AJ33" s="25">
        <f>IF($AH33&gt;RAM," ",IF($AH33&lt;RAM,SUM(AI33:INDEX(Dix,RAM-BeginnAlter))+INDEX(Nx,RAM-BeginnAlter+1),INDEX(Nx,RAM-BeginnAlter+1)))</f>
        <v>1192152</v>
      </c>
      <c r="AK33" s="25">
        <f>IF($AH33&lt;RAM,SUM(AI33:INDEX(Dix,RAM-BeginnAlter))," ")</f>
        <v>894905</v>
      </c>
      <c r="AL33" s="24">
        <f t="shared" si="7"/>
        <v>20.396999999999998</v>
      </c>
      <c r="AM33" s="24">
        <f t="shared" si="8"/>
        <v>19.939</v>
      </c>
      <c r="AN33" s="24">
        <f t="shared" si="9"/>
        <v>15.311</v>
      </c>
      <c r="AO33" s="24">
        <f t="shared" si="10"/>
        <v>15.013999999999999</v>
      </c>
      <c r="AP33" s="86"/>
      <c r="AQ33" s="35">
        <f t="shared" si="46"/>
        <v>41</v>
      </c>
      <c r="AR33" s="25">
        <f t="shared" si="11"/>
        <v>39438</v>
      </c>
      <c r="AS33" s="25">
        <f>SUM(AR33:AR$94)</f>
        <v>1016782</v>
      </c>
      <c r="AT33" s="25">
        <f>IF($AQ33&lt;RAM,SUM(AR33:INDEX(Dx,RAM-BeginnAlter))," ")</f>
        <v>719535</v>
      </c>
      <c r="AU33" s="24">
        <f t="shared" si="12"/>
        <v>25.782</v>
      </c>
      <c r="AV33" s="24">
        <f t="shared" si="13"/>
        <v>25.323</v>
      </c>
      <c r="AW33" s="24">
        <f t="shared" si="14"/>
        <v>18.245000000000001</v>
      </c>
      <c r="AX33" s="24">
        <f t="shared" si="15"/>
        <v>18.024000000000001</v>
      </c>
      <c r="AY33" s="86"/>
      <c r="AZ33" s="35">
        <f t="shared" si="47"/>
        <v>41</v>
      </c>
      <c r="BA33" s="25">
        <f t="shared" si="16"/>
        <v>39437</v>
      </c>
      <c r="BB33" s="25">
        <f>SUM(BA33:BA$94)</f>
        <v>974728</v>
      </c>
      <c r="BC33" s="24">
        <f t="shared" si="17"/>
        <v>24.716000000000001</v>
      </c>
      <c r="BD33" s="24">
        <f t="shared" si="18"/>
        <v>24.257999999999999</v>
      </c>
      <c r="BE33" s="86"/>
      <c r="BF33" s="35">
        <f t="shared" si="48"/>
        <v>24</v>
      </c>
      <c r="BG33" s="24">
        <f t="shared" si="19"/>
        <v>1</v>
      </c>
      <c r="BH33" s="24">
        <f t="shared" si="20"/>
        <v>0.99</v>
      </c>
      <c r="BI33" s="86"/>
      <c r="BJ33" s="35">
        <f t="shared" si="49"/>
        <v>41</v>
      </c>
      <c r="BK33" s="25">
        <f t="shared" si="21"/>
        <v>1319</v>
      </c>
      <c r="BL33" s="25">
        <f>IF(BJ33&lt;RAM,SUM(BK33:INDEX(Daix,RAM-BeginnAlter))," ")</f>
        <v>116170</v>
      </c>
      <c r="BM33" s="25">
        <f>IF(BJ33&lt;RAM,SUM(BL33:INDEX(Naix,RAM-BeginnAlter))," ")</f>
        <v>1993225</v>
      </c>
      <c r="BN33" s="24">
        <f t="shared" si="22"/>
        <v>5.3570000000000002</v>
      </c>
      <c r="BO33" s="24">
        <f t="shared" si="23"/>
        <v>2.9950000000000001</v>
      </c>
      <c r="BP33" s="86"/>
      <c r="BQ33" s="35">
        <f t="shared" si="50"/>
        <v>41</v>
      </c>
      <c r="BR33" s="25">
        <f t="shared" si="51"/>
        <v>985</v>
      </c>
      <c r="BS33" s="25">
        <f>IF(BQ33&lt;RAM,SUM(BR33:INDEX(Daixs,RAM-BeginnAlter))," ")</f>
        <v>39288</v>
      </c>
      <c r="BT33" s="25">
        <f>IF(BQ33&lt;RAM,SUM(BS33:INDEX(Naixs,RAM-BeginnAlter))," ")</f>
        <v>541339</v>
      </c>
      <c r="BU33" s="24">
        <f t="shared" si="52"/>
        <v>7.3390000000000004</v>
      </c>
      <c r="BV33" s="24">
        <f t="shared" si="53"/>
        <v>1.0129999999999999</v>
      </c>
      <c r="BW33" s="86"/>
      <c r="BX33" s="35">
        <f t="shared" si="54"/>
        <v>41</v>
      </c>
      <c r="BY33" s="10">
        <f t="shared" si="24"/>
        <v>10.836096781411703</v>
      </c>
      <c r="BZ33" s="11">
        <f t="shared" si="25"/>
        <v>909</v>
      </c>
      <c r="CA33" s="25">
        <f>IF(S34&lt;=RAK,IF($BX33&lt;RAM,SUM(BZ33:INDEX(Dazx,RAM-BeginnAlter)),""),"")</f>
        <v>11499</v>
      </c>
      <c r="CB33" s="24">
        <f t="shared" si="26"/>
        <v>0.29599999999999999</v>
      </c>
      <c r="CC33" s="25">
        <f t="shared" si="27"/>
        <v>27419</v>
      </c>
      <c r="CD33" s="24">
        <f t="shared" si="28"/>
        <v>18.687999999999999</v>
      </c>
      <c r="CE33" s="24">
        <f t="shared" si="29"/>
        <v>2.5999999999999999E-2</v>
      </c>
      <c r="CF33" s="86"/>
      <c r="CG33" s="35">
        <f t="shared" si="55"/>
        <v>41</v>
      </c>
      <c r="CH33" s="25">
        <f>IF(CG33&lt;RAM,ROUND(v^($CG33+FaktorAlter)*$H33*($B33*0.5*($P33+$P34)*(VLOOKUP(TRUNC(0.5*($Q33+$Q34),0),Frauen!$AZ$9:$BD$95,5)+(0.5*($Q33+$Q34)-TRUNC(0.5*($Q33+$Q34),0))*(VLOOKUP(TRUNC(0.5*($Q33+$Q34)+1,0),Frauen!$AZ$9:$BD$95,5)-VLOOKUP(TRUNC(0.5*($Q33+$Q34),0),Frauen!$AZ$9:$BD$95,5)))+$C33*0.5*($CN33+$CN34)),RundDx),"")</f>
        <v>1356</v>
      </c>
      <c r="CI33" s="25">
        <f>IF(CG33&lt;RAM,ROUND(SUM(CH33:INDEX(Dawx,RAM-BeginnAlter))+INDEX(Dax,RAM-BeginnAlter+1)*INDEX(äwx,1),RundDx),"")</f>
        <v>156060</v>
      </c>
      <c r="CJ33" s="25">
        <f>IF(CG33&lt;RAM,ROUND(SUM(CI33:INDEX(Nawx,RAM-BeginnAlter))+INDEX(Dax,RAM-BeginnAlter+1)*INDEX(äwx,1),RundDx),"")</f>
        <v>3197421</v>
      </c>
      <c r="CK33" s="24">
        <f t="shared" si="56"/>
        <v>4.024</v>
      </c>
      <c r="CL33" s="25">
        <f>IF(CG33&lt;RAM,ROUND(v^($CG33+FaktorAlter)*$L33*$D33*0.5*($P33+$P34)*(VLOOKUP(TRUNC(0.5*($Q33+$Q34),0),Frauen!$AZ$9:$BD$95,5)+(0.5*($Q33+$Q34)-TRUNC(0.5*($Q33+$Q34),0))*(VLOOKUP(TRUNC(0.5*($Q33+$Q34)+1,0),Frauen!$AZ$9:$BD$95,5)-VLOOKUP(TRUNC(0.5*($Q33+$Q34),0),Frauen!$AZ$9:$BD$95,5))),RundDx),"")</f>
        <v>21457</v>
      </c>
      <c r="CM33" s="25">
        <f>IF(CG33&lt;RAM,SUM(CL33:INDEX(Diwx,RAM-BeginnAlter))+INDEX(Dix,RAM-BeginnAlter+1)*INDEX(äwx,1),"")</f>
        <v>441837.41399999999</v>
      </c>
      <c r="CN33" s="24">
        <f t="shared" si="57"/>
        <v>7.56</v>
      </c>
      <c r="CO33" s="86"/>
      <c r="CP33" s="35">
        <f t="shared" si="58"/>
        <v>89</v>
      </c>
      <c r="CQ33" s="11">
        <f>ROUND(v^($CP33+FaktorAlter)*VLOOKUP(CP33,G$9:J$102,4)*VLOOKUP(CP33,A$9:E$102,5)*0.5*(VLOOKUP(CP33,O$9:P$102,2)+VLOOKUP(CP33+1,O$9:P$102,2))*(VLOOKUP(TRUNC(0.5*(VLOOKUP(CP33,O$9:Q$102,3)+VLOOKUP(CP33+1,O$9:Q$102,3)),0),Frauen!$AZ$9:$BD$95,5)+(0.5*(VLOOKUP(CP33,O$9:Q$102,3)+VLOOKUP(CP33+1,O$9:Q$102,3))-TRUNC(0.5*(VLOOKUP(CP33,O$9:Q$102,3)+VLOOKUP(CP33+1,O$9:Q$102,3)),0))*(VLOOKUP(TRUNC(0.5*(VLOOKUP(CP33,O$9:Q$102,3)+VLOOKUP(CP33+1,O$9:Q$102,3))+1,0),Frauen!$AZ$9:$BD$95,5)-VLOOKUP(TRUNC(0.5*(VLOOKUP(CP33,O$9:Q$102,3)+VLOOKUP(CP33+1,O$9:Q$102,3)),0),Frauen!$AZ$9:$BD$95,5))),RundDx)</f>
        <v>1736</v>
      </c>
      <c r="CR33" s="25">
        <f>SUM(CQ33:CQ$56)</f>
        <v>6551</v>
      </c>
      <c r="CS33" s="24">
        <f t="shared" si="30"/>
        <v>2.1760000000000002</v>
      </c>
      <c r="CT33" s="86"/>
      <c r="CU33" s="35">
        <f t="shared" si="59"/>
        <v>41</v>
      </c>
      <c r="CV33" s="25">
        <f>IF($CU33&gt;=RAM,"",IF($CU33-CV$103&lt;BeginnAlter,"",ROUND(v^($CU33+FaktorAlter)*$L33*$D33*0.5*(VLOOKUP($CU33-CV$103,Frauen!$G$9:$J$102,4)+VLOOKUP($CU33-CV$103+1,Frauen!$G$9:$J$102,4))*0.5*(VLOOKUP($CU33-CV$103,Frauen!$AZ$9:$BD$102,5)+VLOOKUP($CU33-CV$103+1,Frauen!$AZ$9:$BD$102,5)),RundDx)))</f>
        <v>2225007951</v>
      </c>
      <c r="CW33" s="25">
        <f>IF($CU33&gt;=RAM,"",IF($CU33-CW$103&lt;BeginnAlter,"",ROUND(v^($CU33+FaktorAlter)*$L33*$D33*0.5*(VLOOKUP($CU33-CW$103,Frauen!$G$9:$J$102,4)+VLOOKUP($CU33-CW$103+1,Frauen!$G$9:$J$102,4))*0.5*(VLOOKUP($CU33-CW$103,Frauen!$AZ$9:$BD$102,5)+VLOOKUP($CU33-CW$103+1,Frauen!$AZ$9:$BD$102,5)),RundDx)))</f>
        <v>2284565102</v>
      </c>
      <c r="CX33" s="25">
        <f>IF($CU33&gt;=RAM,"",IF($CU33-CX$103&lt;BeginnAlter,"",ROUND(v^($CU33+FaktorAlter)*$L33*$D33*0.5*(VLOOKUP($CU33-CX$103,Frauen!$G$9:$J$102,4)+VLOOKUP($CU33-CX$103+1,Frauen!$G$9:$J$102,4))*0.5*(VLOOKUP($CU33-CX$103,Frauen!$AZ$9:$BD$102,5)+VLOOKUP($CU33-CX$103+1,Frauen!$AZ$9:$BD$102,5)),RundDx)))</f>
        <v>2343603589</v>
      </c>
      <c r="CY33" s="25">
        <f>IF($CU33&gt;=RAM,"",IF($CU33-CY$103&lt;BeginnAlter,"",ROUND(v^($CU33+FaktorAlter)*$L33*$D33*0.5*(VLOOKUP($CU33-CY$103,Frauen!$G$9:$J$102,4)+VLOOKUP($CU33-CY$103+1,Frauen!$G$9:$J$102,4))*0.5*(VLOOKUP($CU33-CY$103,Frauen!$AZ$9:$BD$102,5)+VLOOKUP($CU33-CY$103+1,Frauen!$AZ$9:$BD$102,5)),RundDx)))</f>
        <v>2402013344</v>
      </c>
      <c r="CZ33" s="25">
        <f>IF($CU33&gt;=RAM,"",IF($CU33-CZ$103&lt;BeginnAlter,"",ROUND(v^($CU33+FaktorAlter)*$L33*$D33*0.5*(VLOOKUP($CU33-CZ$103,Frauen!$G$9:$J$102,4)+VLOOKUP($CU33-CZ$103+1,Frauen!$G$9:$J$102,4))*0.5*(VLOOKUP($CU33-CZ$103,Frauen!$AZ$9:$BD$102,5)+VLOOKUP($CU33-CZ$103+1,Frauen!$AZ$9:$BD$102,5)),RundDx)))</f>
        <v>2459843938</v>
      </c>
      <c r="DA33" s="25">
        <f>IF($CU33&gt;=RAM,"",IF($CU33-DA$103&lt;BeginnAlter,"",ROUND(v^($CU33+FaktorAlter)*$L33*$D33*0.5*(VLOOKUP($CU33-DA$103,Frauen!$G$9:$J$102,4)+VLOOKUP($CU33-DA$103+1,Frauen!$G$9:$J$102,4))*0.5*(VLOOKUP($CU33-DA$103,Frauen!$AZ$9:$BD$102,5)+VLOOKUP($CU33-DA$103+1,Frauen!$AZ$9:$BD$102,5)),RundDx)))</f>
        <v>2516975160</v>
      </c>
      <c r="DB33" s="25">
        <f>IF($CU33&gt;=RAM,"",IF($CU33-DB$103&lt;BeginnAlter,"",ROUND(v^($CU33+FaktorAlter)*$L33*$D33*0.5*(VLOOKUP($CU33-DB$103,Frauen!$G$9:$J$102,4)+VLOOKUP($CU33-DB$103+1,Frauen!$G$9:$J$102,4))*0.5*(VLOOKUP($CU33-DB$103,Frauen!$AZ$9:$BD$102,5)+VLOOKUP($CU33-DB$103+1,Frauen!$AZ$9:$BD$102,5)),RundDx)))</f>
        <v>2573142198</v>
      </c>
      <c r="DC33" s="25">
        <f>IF($CU33&gt;=RAM,"",IF($CU33-DC$103&lt;BeginnAlter,"",ROUND(v^($CU33+FaktorAlter)*$L33*$D33*0.5*(VLOOKUP($CU33-DC$103,Frauen!$G$9:$J$102,4)+VLOOKUP($CU33-DC$103+1,Frauen!$G$9:$J$102,4))*0.5*(VLOOKUP($CU33-DC$103,Frauen!$AZ$9:$BD$102,5)+VLOOKUP($CU33-DC$103+1,Frauen!$AZ$9:$BD$102,5)),RundDx)))</f>
        <v>2628179504</v>
      </c>
      <c r="DD33" s="25">
        <f>IF($CU33&gt;=RAM,"",IF($CU33-DD$103&lt;BeginnAlter,"",ROUND(v^($CU33+FaktorAlter)*$L33*$D33*0.5*(VLOOKUP($CU33-DD$103,Frauen!$G$9:$J$102,4)+VLOOKUP($CU33-DD$103+1,Frauen!$G$9:$J$102,4))*0.5*(VLOOKUP($CU33-DD$103,Frauen!$AZ$9:$BD$102,5)+VLOOKUP($CU33-DD$103+1,Frauen!$AZ$9:$BD$102,5)),RundDx)))</f>
        <v>2682035037</v>
      </c>
      <c r="DE33" s="25">
        <f>IF($CU33&gt;=RAM,"",IF($CU33-DE$103&lt;BeginnAlter,"",ROUND(v^($CU33+FaktorAlter)*$L33*$D33*0.5*(VLOOKUP($CU33-DE$103,Frauen!$G$9:$J$102,4)+VLOOKUP($CU33-DE$103+1,Frauen!$G$9:$J$102,4))*0.5*(VLOOKUP($CU33-DE$103,Frauen!$AZ$9:$BD$102,5)+VLOOKUP($CU33-DE$103+1,Frauen!$AZ$9:$BD$102,5)),RundDx)))</f>
        <v>2734715951</v>
      </c>
      <c r="DF33" s="25">
        <f>IF($CU33&gt;=RAM,"",IF($CU33-DF$103&lt;BeginnAlter,"",ROUND(v^($CU33+FaktorAlter)*$L33*$D33*0.5*(VLOOKUP($CU33-DF$103,Frauen!$G$9:$J$102,4)+VLOOKUP($CU33-DF$103+1,Frauen!$G$9:$J$102,4))*0.5*(VLOOKUP($CU33-DF$103,Frauen!$AZ$9:$BD$102,5)+VLOOKUP($CU33-DF$103+1,Frauen!$AZ$9:$BD$102,5)),RundDx)))</f>
        <v>2786274885</v>
      </c>
      <c r="DG33" s="25">
        <f>IF($CU33&gt;=RAM,"",IF($CU33-DG$103&lt;BeginnAlter,"",ROUND(v^($CU33+FaktorAlter)*$L33*$D33*0.5*(VLOOKUP($CU33-DG$103,Frauen!$G$9:$J$102,4)+VLOOKUP($CU33-DG$103+1,Frauen!$G$9:$J$102,4))*0.5*(VLOOKUP($CU33-DG$103,Frauen!$AZ$9:$BD$102,5)+VLOOKUP($CU33-DG$103+1,Frauen!$AZ$9:$BD$102,5)),RundDx)))</f>
        <v>2836641455</v>
      </c>
      <c r="DH33" s="25">
        <f>IF($CU33&gt;=RAM,"",IF($CU33-DH$103&lt;BeginnAlter,"",ROUND(v^($CU33+FaktorAlter)*$L33*$D33*0.5*(VLOOKUP($CU33-DH$103,Frauen!$G$9:$J$102,4)+VLOOKUP($CU33-DH$103+1,Frauen!$G$9:$J$102,4))*0.5*(VLOOKUP($CU33-DH$103,Frauen!$AZ$9:$BD$102,5)+VLOOKUP($CU33-DH$103+1,Frauen!$AZ$9:$BD$102,5)),RundDx)))</f>
        <v>2885832035</v>
      </c>
      <c r="DI33" s="25">
        <f>IF($CU33&gt;=RAM,"",IF($CU33-DI$103&lt;BeginnAlter,"",ROUND(v^($CU33+FaktorAlter)*$L33*$D33*0.5*(VLOOKUP($CU33-DI$103,Frauen!$G$9:$J$102,4)+VLOOKUP($CU33-DI$103+1,Frauen!$G$9:$J$102,4))*0.5*(VLOOKUP($CU33-DI$103,Frauen!$AZ$9:$BD$102,5)+VLOOKUP($CU33-DI$103+1,Frauen!$AZ$9:$BD$102,5)),RundDx)))</f>
        <v>2933963826</v>
      </c>
      <c r="DJ33" s="25">
        <f>IF($CU33&gt;=RAM,"",IF($CU33-DJ$103&lt;BeginnAlter,"",ROUND(v^($CU33+FaktorAlter)*$L33*$D33*0.5*(VLOOKUP($CU33-DJ$103,Frauen!$G$9:$J$102,4)+VLOOKUP($CU33-DJ$103+1,Frauen!$G$9:$J$102,4))*0.5*(VLOOKUP($CU33-DJ$103,Frauen!$AZ$9:$BD$102,5)+VLOOKUP($CU33-DJ$103+1,Frauen!$AZ$9:$BD$102,5)),RundDx)))</f>
        <v>2981059998</v>
      </c>
      <c r="DK33" s="25">
        <f>IF($CU33&gt;=RAM,"",IF($CU33-DK$103&lt;BeginnAlter,"",ROUND(v^($CU33+FaktorAlter)*$L33*$D33*0.5*(VLOOKUP($CU33-DK$103,Frauen!$G$9:$J$102,4)+VLOOKUP($CU33-DK$103+1,Frauen!$G$9:$J$102,4))*0.5*(VLOOKUP($CU33-DK$103,Frauen!$AZ$9:$BD$102,5)+VLOOKUP($CU33-DK$103+1,Frauen!$AZ$9:$BD$102,5)),RundDx)))</f>
        <v>3027131643</v>
      </c>
      <c r="DL33" s="25">
        <f>IF($CU33&gt;=RAM,"",IF($CU33-DL$103&lt;BeginnAlter,"",ROUND(v^($CU33+FaktorAlter)*$L33*$D33*0.5*(VLOOKUP($CU33-DL$103,Frauen!$G$9:$J$102,4)+VLOOKUP($CU33-DL$103+1,Frauen!$G$9:$J$102,4))*0.5*(VLOOKUP($CU33-DL$103,Frauen!$AZ$9:$BD$102,5)+VLOOKUP($CU33-DL$103+1,Frauen!$AZ$9:$BD$102,5)),RundDx)))</f>
        <v>3072176603</v>
      </c>
      <c r="DM33" s="25">
        <f>IF($CU33&gt;=RAM,"",IF($CU33-DM$103&lt;BeginnAlter,"",ROUND(v^($CU33+FaktorAlter)*$L33*$D33*0.5*(VLOOKUP($CU33-DM$103,Frauen!$G$9:$J$102,4)+VLOOKUP($CU33-DM$103+1,Frauen!$G$9:$J$102,4))*0.5*(VLOOKUP($CU33-DM$103,Frauen!$AZ$9:$BD$102,5)+VLOOKUP($CU33-DM$103+1,Frauen!$AZ$9:$BD$102,5)),RundDx)))</f>
        <v>3116225584</v>
      </c>
      <c r="DN33" s="25">
        <f>IF($CU33&gt;=RAM,"",IF($CU33-DN$103&lt;BeginnAlter,"",ROUND(v^($CU33+FaktorAlter)*$L33*$D33*0.5*(VLOOKUP($CU33-DN$103,Frauen!$G$9:$J$102,4)+VLOOKUP($CU33-DN$103+1,Frauen!$G$9:$J$102,4))*0.5*(VLOOKUP($CU33-DN$103,Frauen!$AZ$9:$BD$102,5)+VLOOKUP($CU33-DN$103+1,Frauen!$AZ$9:$BD$102,5)),RundDx)))</f>
        <v>3159296306</v>
      </c>
      <c r="DO33" s="25">
        <f>IF($CU33&gt;=RAM,"",IF($CU33-DO$103&lt;BeginnAlter,"",ROUND(v^($CU33+FaktorAlter)*$L33*$D33*0.5*(VLOOKUP($CU33-DO$103,Frauen!$G$9:$J$102,4)+VLOOKUP($CU33-DO$103+1,Frauen!$G$9:$J$102,4))*0.5*(VLOOKUP($CU33-DO$103,Frauen!$AZ$9:$BD$102,5)+VLOOKUP($CU33-DO$103+1,Frauen!$AZ$9:$BD$102,5)),RundDx)))</f>
        <v>3201464972</v>
      </c>
      <c r="DP33" s="25">
        <f>IF($CU33&gt;=RAM,"",IF($CU33-DP$103&lt;BeginnAlter,"",ROUND(v^($CU33+FaktorAlter)*$L33*$D33*0.5*(VLOOKUP($CU33-DP$103,Frauen!$G$9:$J$102,4)+VLOOKUP($CU33-DP$103+1,Frauen!$G$9:$J$102,4))*0.5*(VLOOKUP($CU33-DP$103,Frauen!$AZ$9:$BD$102,5)+VLOOKUP($CU33-DP$103+1,Frauen!$AZ$9:$BD$102,5)),RundDx)))</f>
        <v>3242809928</v>
      </c>
      <c r="DQ33" s="25">
        <f>IF($CU33&gt;=RAM,"",IF($CU33-DQ$103&lt;BeginnAlter,"",ROUND(v^($CU33+FaktorAlter)*$L33*$D33*0.5*(VLOOKUP($CU33-DQ$103,Frauen!$G$9:$J$102,4)+VLOOKUP($CU33-DQ$103+1,Frauen!$G$9:$J$102,4))*0.5*(VLOOKUP($CU33-DQ$103,Frauen!$AZ$9:$BD$102,5)+VLOOKUP($CU33-DQ$103+1,Frauen!$AZ$9:$BD$102,5)),RundDx)))</f>
        <v>3283355027</v>
      </c>
      <c r="DR33" s="25">
        <f>IF($CU33&gt;=RAM,"",IF($CU33-DR$103&lt;BeginnAlter,"",ROUND(v^($CU33+FaktorAlter)*$L33*$D33*0.5*(VLOOKUP($CU33-DR$103,Frauen!$G$9:$J$102,4)+VLOOKUP($CU33-DR$103+1,Frauen!$G$9:$J$102,4))*0.5*(VLOOKUP($CU33-DR$103,Frauen!$AZ$9:$BD$102,5)+VLOOKUP($CU33-DR$103+1,Frauen!$AZ$9:$BD$102,5)),RundDx)))</f>
        <v>3323069344</v>
      </c>
      <c r="DS33" s="25">
        <f>IF($CU33&gt;=RAM,"",IF($CU33-DS$103&lt;BeginnAlter,"",ROUND(v^($CU33+FaktorAlter)*$L33*$D33*0.5*(VLOOKUP($CU33-DS$103,Frauen!$G$9:$J$102,4)+VLOOKUP($CU33-DS$103+1,Frauen!$G$9:$J$102,4))*0.5*(VLOOKUP($CU33-DS$103,Frauen!$AZ$9:$BD$102,5)+VLOOKUP($CU33-DS$103+1,Frauen!$AZ$9:$BD$102,5)),RundDx)))</f>
        <v>3361963204</v>
      </c>
      <c r="DT33" s="25">
        <f>IF($CU33&gt;=RAM,"",IF($CU33-DT$103&lt;BeginnAlter,"",ROUND(v^($CU33+FaktorAlter)*$L33*$D33*0.5*(VLOOKUP($CU33-DT$103,Frauen!$G$9:$J$102,4)+VLOOKUP($CU33-DT$103+1,Frauen!$G$9:$J$102,4))*0.5*(VLOOKUP($CU33-DT$103,Frauen!$AZ$9:$BD$102,5)+VLOOKUP($CU33-DT$103+1,Frauen!$AZ$9:$BD$102,5)),RundDx)))</f>
        <v>3400047859</v>
      </c>
      <c r="DU33" s="25">
        <f>IF($CU33&gt;=RAM,"",IF($CU33-DU$103&lt;BeginnAlter,"",ROUND(v^($CU33+FaktorAlter)*$L33*$D33*0.5*(VLOOKUP($CU33-DU$103,Frauen!$G$9:$J$102,4)+VLOOKUP($CU33-DU$103+1,Frauen!$G$9:$J$102,4))*0.5*(VLOOKUP($CU33-DU$103,Frauen!$AZ$9:$BD$102,5)+VLOOKUP($CU33-DU$103+1,Frauen!$AZ$9:$BD$102,5)),RundDx)))</f>
        <v>3437392107</v>
      </c>
      <c r="DV33" s="25">
        <f>IF($CU33&gt;=RAM,"",IF($CU33-DV$103&lt;BeginnAlter,"",ROUND(v^($CU33+FaktorAlter)*$L33*$D33*0.5*(VLOOKUP($CU33-DV$103,Frauen!$G$9:$J$102,4)+VLOOKUP($CU33-DV$103+1,Frauen!$G$9:$J$102,4))*0.5*(VLOOKUP($CU33-DV$103,Frauen!$AZ$9:$BD$102,5)+VLOOKUP($CU33-DV$103+1,Frauen!$AZ$9:$BD$102,5)),RundDx)))</f>
        <v>3474009031</v>
      </c>
      <c r="DW33" s="25">
        <f>IF($CU33&gt;=RAM,"",IF($CU33-DW$103&lt;BeginnAlter,"",ROUND(v^($CU33+FaktorAlter)*$L33*$D33*0.5*(VLOOKUP($CU33-DW$103,Frauen!$G$9:$J$102,4)+VLOOKUP($CU33-DW$103+1,Frauen!$G$9:$J$102,4))*0.5*(VLOOKUP($CU33-DW$103,Frauen!$AZ$9:$BD$102,5)+VLOOKUP($CU33-DW$103+1,Frauen!$AZ$9:$BD$102,5)),RundDx)))</f>
        <v>3509855800</v>
      </c>
      <c r="DX33" s="25">
        <f>IF($CU33&gt;=RAM,"",IF($CU33-DX$103&lt;BeginnAlter,"",ROUND(v^($CU33+FaktorAlter)*$L33*$D33*0.5*(VLOOKUP($CU33-DX$103,Frauen!$G$9:$J$102,4)+VLOOKUP($CU33-DX$103+1,Frauen!$G$9:$J$102,4))*0.5*(VLOOKUP($CU33-DX$103,Frauen!$AZ$9:$BD$102,5)+VLOOKUP($CU33-DX$103+1,Frauen!$AZ$9:$BD$102,5)),RundDx)))</f>
        <v>3544929210</v>
      </c>
      <c r="DY33" s="25">
        <f>IF($CU33&gt;=RAM,"",IF($CU33-DY$103&lt;BeginnAlter,"",ROUND(v^($CU33+FaktorAlter)*$L33*$D33*0.5*(VLOOKUP($CU33-DY$103,Frauen!$G$9:$J$102,4)+VLOOKUP($CU33-DY$103+1,Frauen!$G$9:$J$102,4))*0.5*(VLOOKUP($CU33-DY$103,Frauen!$AZ$9:$BD$102,5)+VLOOKUP($CU33-DY$103+1,Frauen!$AZ$9:$BD$102,5)),RundDx)))</f>
        <v>3579264978</v>
      </c>
      <c r="DZ33" s="25">
        <f>IF($CU33&gt;=RAM,"",IF($CU33-DZ$103&lt;BeginnAlter,"",ROUND(v^($CU33+FaktorAlter)*$L33*$D33*0.5*(VLOOKUP($CU33-DZ$103,Frauen!$G$9:$J$102,4)+VLOOKUP($CU33-DZ$103+1,Frauen!$G$9:$J$102,4))*0.5*(VLOOKUP($CU33-DZ$103,Frauen!$AZ$9:$BD$102,5)+VLOOKUP($CU33-DZ$103+1,Frauen!$AZ$9:$BD$102,5)),RundDx)))</f>
        <v>3612955177</v>
      </c>
      <c r="EA33" s="43">
        <f>IF($CU33&gt;=RAM,"",IF($CU33-EA$103&lt;BeginnAlter,"",ROUND((SUM(CV33:CV$56)+SUM(FN$9:FN$56))/VLOOKUP($CU33,$AH$9:$AI$102,2)/VLOOKUP($CU33-EA$103,Frauen!$G$9:$J$102,4),Rundäx)))</f>
        <v>4.8380000000000001</v>
      </c>
      <c r="EB33" s="43">
        <f>IF($CU33&gt;=RAM,"",IF($CU33-EB$103&lt;BeginnAlter,"",ROUND((SUM(CW33:CW$56)+SUM(FO$9:FO$56))/VLOOKUP($CU33,$AH$9:$AI$102,2)/VLOOKUP($CU33-EB$103,Frauen!$G$9:$J$102,4),Rundäx)))</f>
        <v>5.0529999999999999</v>
      </c>
      <c r="EC33" s="43">
        <f>IF($CU33&gt;=RAM,"",IF($CU33-EC$103&lt;BeginnAlter,"",ROUND((SUM(CX33:CX$56)+SUM(FP$9:FP$56))/VLOOKUP($CU33,$AH$9:$AI$102,2)/VLOOKUP($CU33-EC$103,Frauen!$G$9:$J$102,4),Rundäx)))</f>
        <v>5.2720000000000002</v>
      </c>
      <c r="ED33" s="43">
        <f>IF($CU33&gt;=RAM,"",IF($CU33-ED$103&lt;BeginnAlter,"",ROUND((SUM(CY33:CY$56)+SUM(FQ$9:FQ$56))/VLOOKUP($CU33,$AH$9:$AI$102,2)/VLOOKUP($CU33-ED$103,Frauen!$G$9:$J$102,4),Rundäx)))</f>
        <v>5.4950000000000001</v>
      </c>
      <c r="EE33" s="43">
        <f>IF($CU33&gt;=RAM,"",IF($CU33-EE$103&lt;BeginnAlter,"",ROUND((SUM(CZ33:CZ$56)+SUM(FR$9:FR$56))/VLOOKUP($CU33,$AH$9:$AI$102,2)/VLOOKUP($CU33-EE$103,Frauen!$G$9:$J$102,4),Rundäx)))</f>
        <v>5.7220000000000004</v>
      </c>
      <c r="EF33" s="43">
        <f>IF($CU33&gt;=RAM,"",IF($CU33-EF$103&lt;BeginnAlter,"",ROUND((SUM(DA33:DA$56)+SUM(FS$9:FS$56))/VLOOKUP($CU33,$AH$9:$AI$102,2)/VLOOKUP($CU33-EF$103,Frauen!$G$9:$J$102,4),Rundäx)))</f>
        <v>5.9530000000000003</v>
      </c>
      <c r="EG33" s="43">
        <f>IF($CU33&gt;=RAM,"",IF($CU33-EG$103&lt;BeginnAlter,"",ROUND((SUM(DB33:DB$56)+SUM(FT$9:FT$56))/VLOOKUP($CU33,$AH$9:$AI$102,2)/VLOOKUP($CU33-EG$103,Frauen!$G$9:$J$102,4),Rundäx)))</f>
        <v>6.1870000000000003</v>
      </c>
      <c r="EH33" s="43">
        <f>IF($CU33&gt;=RAM,"",IF($CU33-EH$103&lt;BeginnAlter,"",ROUND((SUM(DC33:DC$56)+SUM(FU$9:FU$56))/VLOOKUP($CU33,$AH$9:$AI$102,2)/VLOOKUP($CU33-EH$103,Frauen!$G$9:$J$102,4),Rundäx)))</f>
        <v>6.4249999999999998</v>
      </c>
      <c r="EI33" s="86"/>
      <c r="EJ33" s="35">
        <f t="shared" si="60"/>
        <v>41</v>
      </c>
      <c r="EK33" s="43">
        <f>IF($CU33&gt;=RAM,"",IF($CU33-EK$103&lt;BeginnAlter,"",ROUND((SUM(DD33:DD$56)+SUM(FV$9:FV$56))/VLOOKUP($CU33,$AH$9:$AI$102,2)/VLOOKUP($CU33-EK$103,Frauen!$G$9:$J$102,4),Rundäx)))</f>
        <v>6.6660000000000004</v>
      </c>
      <c r="EL33" s="43">
        <f>IF($CU33&gt;=RAM,"",IF($CU33-EL$103&lt;BeginnAlter,"",ROUND((SUM(DE33:DE$56)+SUM(FW$9:FW$56))/VLOOKUP($CU33,$AH$9:$AI$102,2)/VLOOKUP($CU33-EL$103,Frauen!$G$9:$J$102,4),Rundäx)))</f>
        <v>6.9109999999999996</v>
      </c>
      <c r="EM33" s="43">
        <f>IF($CU33&gt;=RAM,"",IF($CU33-EM$103&lt;BeginnAlter,"",ROUND((SUM(DF33:DF$56)+SUM(FX$9:FX$56))/VLOOKUP($CU33,$AH$9:$AI$102,2)/VLOOKUP($CU33-EM$103,Frauen!$G$9:$J$102,4),Rundäx)))</f>
        <v>7.1589999999999998</v>
      </c>
      <c r="EN33" s="43">
        <f>IF($CU33&gt;=RAM,"",IF($CU33-EN$103&lt;BeginnAlter,"",ROUND((SUM(DG33:DG$56)+SUM(FY$9:FY$56))/VLOOKUP($CU33,$AH$9:$AI$102,2)/VLOOKUP($CU33-EN$103,Frauen!$G$9:$J$102,4),Rundäx)))</f>
        <v>7.41</v>
      </c>
      <c r="EO33" s="43">
        <f>IF($CU33&gt;=RAM,"",IF($CU33-EO$103&lt;BeginnAlter,"",ROUND((SUM(DH33:DH$56)+SUM(FZ$9:FZ$56))/VLOOKUP($CU33,$AH$9:$AI$102,2)/VLOOKUP($CU33-EO$103,Frauen!$G$9:$J$102,4),Rundäx)))</f>
        <v>7.6639999999999997</v>
      </c>
      <c r="EP33" s="43">
        <f>IF($CU33&gt;=RAM,"",IF($CU33-EP$103&lt;BeginnAlter,"",ROUND((SUM(DI33:DI$56)+SUM(GA$9:GA$56))/VLOOKUP($CU33,$AH$9:$AI$102,2)/VLOOKUP($CU33-EP$103,Frauen!$G$9:$J$102,4),Rundäx)))</f>
        <v>7.92</v>
      </c>
      <c r="EQ33" s="43">
        <f>IF($CU33&gt;=RAM,"",IF($CU33-EQ$103&lt;BeginnAlter,"",ROUND((SUM(DJ33:DJ$56)+SUM(GB$9:GB$56))/VLOOKUP($CU33,$AH$9:$AI$102,2)/VLOOKUP($CU33-EQ$103,Frauen!$G$9:$J$102,4),Rundäx)))</f>
        <v>8.1790000000000003</v>
      </c>
      <c r="ER33" s="43">
        <f>IF($CU33&gt;=RAM,"",IF($CU33-ER$103&lt;BeginnAlter,"",ROUND((SUM(DK33:DK$56)+SUM(GC$9:GC$56))/VLOOKUP($CU33,$AH$9:$AI$102,2)/VLOOKUP($CU33-ER$103,Frauen!$G$9:$J$102,4),Rundäx)))</f>
        <v>8.44</v>
      </c>
      <c r="ES33" s="86"/>
      <c r="ET33" s="35">
        <f t="shared" si="61"/>
        <v>41</v>
      </c>
      <c r="EU33" s="43">
        <f>IF($CU33&gt;=RAM,"",IF($CU33-EU$103&lt;BeginnAlter,"",ROUND((SUM(DL33:DL$56)+SUM(GD$9:GD$56))/VLOOKUP($CU33,$AH$9:$AI$102,2)/VLOOKUP($CU33-EU$103,Frauen!$G$9:$J$102,4),Rundäx)))</f>
        <v>8.7029999999999994</v>
      </c>
      <c r="EV33" s="43">
        <f>IF($CU33&gt;=RAM,"",IF($CU33-EV$103&lt;BeginnAlter,"",ROUND((SUM(DM33:DM$56)+SUM(GE$9:GE$56))/VLOOKUP($CU33,$AH$9:$AI$102,2)/VLOOKUP($CU33-EV$103,Frauen!$G$9:$J$102,4),Rundäx)))</f>
        <v>8.9670000000000005</v>
      </c>
      <c r="EW33" s="43">
        <f>IF($CU33&gt;=RAM,"",IF($CU33-EW$103&lt;BeginnAlter,"",ROUND((SUM(DN33:DN$56)+SUM(GF$9:GF$56))/VLOOKUP($CU33,$AH$9:$AI$102,2)/VLOOKUP($CU33-EW$103,Frauen!$G$9:$J$102,4),Rundäx)))</f>
        <v>9.2330000000000005</v>
      </c>
      <c r="EX33" s="43">
        <f>IF($CU33&gt;=RAM,"",IF($CU33-EX$103&lt;BeginnAlter,"",ROUND((SUM(DO33:DO$56)+SUM(GG$9:GG$56))/VLOOKUP($CU33,$AH$9:$AI$102,2)/VLOOKUP($CU33-EX$103,Frauen!$G$9:$J$102,4),Rundäx)))</f>
        <v>9.4990000000000006</v>
      </c>
      <c r="EY33" s="43">
        <f>IF($CU33&gt;=RAM,"",IF($CU33-EY$103&lt;BeginnAlter,"",ROUND((SUM(DP33:DP$56)+SUM(GH$9:GH$56))/VLOOKUP($CU33,$AH$9:$AI$102,2)/VLOOKUP($CU33-EY$103,Frauen!$G$9:$J$102,4),Rundäx)))</f>
        <v>9.7650000000000006</v>
      </c>
      <c r="EZ33" s="43">
        <f>IF($CU33&gt;=RAM,"",IF($CU33-EZ$103&lt;BeginnAlter,"",ROUND((SUM(DQ33:DQ$56)+SUM(GI$9:GI$56))/VLOOKUP($CU33,$AH$9:$AI$102,2)/VLOOKUP($CU33-EZ$103,Frauen!$G$9:$J$102,4),Rundäx)))</f>
        <v>10.032</v>
      </c>
      <c r="FA33" s="43">
        <f>IF($CU33&gt;=RAM,"",IF($CU33-FA$103&lt;BeginnAlter,"",ROUND((SUM(DR33:DR$56)+SUM(GJ$9:GJ$56))/VLOOKUP($CU33,$AH$9:$AI$102,2)/VLOOKUP($CU33-FA$103,Frauen!$G$9:$J$102,4),Rundäx)))</f>
        <v>10.298</v>
      </c>
      <c r="FB33" s="43">
        <f>IF($CU33&gt;=RAM,"",IF($CU33-FB$103&lt;BeginnAlter,"",ROUND((SUM(DS33:DS$56)+SUM(GK$9:GK$56))/VLOOKUP($CU33,$AH$9:$AI$102,2)/VLOOKUP($CU33-FB$103,Frauen!$G$9:$J$102,4),Rundäx)))</f>
        <v>10.563000000000001</v>
      </c>
      <c r="FC33" s="86"/>
      <c r="FD33" s="35">
        <f t="shared" si="62"/>
        <v>41</v>
      </c>
      <c r="FE33" s="43">
        <f>IF($CU33&gt;=RAM,"",IF($CU33-FE$103&lt;BeginnAlter,"",ROUND((SUM(DT33:DT$56)+SUM(GL$9:GL$56))/VLOOKUP($CU33,$AH$9:$AI$102,2)/VLOOKUP($CU33-FE$103,Frauen!$G$9:$J$102,4),Rundäx)))</f>
        <v>10.826000000000001</v>
      </c>
      <c r="FF33" s="43">
        <f>IF($CU33&gt;=RAM,"",IF($CU33-FF$103&lt;BeginnAlter,"",ROUND((SUM(DU33:DU$56)+SUM(GM$9:GM$56))/VLOOKUP($CU33,$AH$9:$AI$102,2)/VLOOKUP($CU33-FF$103,Frauen!$G$9:$J$102,4),Rundäx)))</f>
        <v>11.089</v>
      </c>
      <c r="FG33" s="43">
        <f>IF($CU33&gt;=RAM,"",IF($CU33-FG$103&lt;BeginnAlter,"",ROUND((SUM(DV33:DV$56)+SUM(GN$9:GN$56))/VLOOKUP($CU33,$AH$9:$AI$102,2)/VLOOKUP($CU33-FG$103,Frauen!$G$9:$J$102,4),Rundäx)))</f>
        <v>11.349</v>
      </c>
      <c r="FH33" s="43">
        <f>IF($CU33&gt;=RAM,"",IF($CU33-FH$103&lt;BeginnAlter,"",ROUND((SUM(DW33:DW$56)+SUM(GO$9:GO$56))/VLOOKUP($CU33,$AH$9:$AI$102,2)/VLOOKUP($CU33-FH$103,Frauen!$G$9:$J$102,4),Rundäx)))</f>
        <v>11.606999999999999</v>
      </c>
      <c r="FI33" s="43">
        <f>IF($CU33&gt;=RAM,"",IF($CU33-FI$103&lt;BeginnAlter,"",ROUND((SUM(DX33:DX$56)+SUM(GP$9:GP$56))/VLOOKUP($CU33,$AH$9:$AI$102,2)/VLOOKUP($CU33-FI$103,Frauen!$G$9:$J$102,4),Rundäx)))</f>
        <v>11.863</v>
      </c>
      <c r="FJ33" s="43">
        <f>IF($CU33&gt;=RAM,"",IF($CU33-FJ$103&lt;BeginnAlter,"",ROUND((SUM(DY33:DY$56)+SUM(GQ$9:GQ$56))/VLOOKUP($CU33,$AH$9:$AI$102,2)/VLOOKUP($CU33-FJ$103,Frauen!$G$9:$J$102,4),Rundäx)))</f>
        <v>12.116</v>
      </c>
      <c r="FK33" s="43">
        <f>IF($CU33&gt;=RAM,"",IF($CU33-FK$103&lt;BeginnAlter,"",ROUND((SUM(DZ33:DZ$56)+SUM(GR$9:GR$56))/VLOOKUP($CU33,$AH$9:$AI$102,2)/VLOOKUP($CU33-FK$103,Frauen!$G$9:$J$102,4),Rundäx)))</f>
        <v>12.367000000000001</v>
      </c>
      <c r="FL33" s="86"/>
      <c r="FM33" s="35">
        <f t="shared" si="68"/>
        <v>89</v>
      </c>
      <c r="FN33" s="25"/>
      <c r="FO33" s="25">
        <f>ROUND(v^($FM33+FaktorAlter)*VLOOKUP($FM33,$G$9:$J$102,4)*VLOOKUP($FM33,$A$9:$E$102,5)*0.5*(VLOOKUP($FM33-FO$103,Frauen!$G$9:$J$102,4)+VLOOKUP($FM33-FO$103+1,Frauen!$G$9:$J$102,4))*0.5*(VLOOKUP($FM33-FO$103,Frauen!$AZ$9:$BD$102,5)+VLOOKUP($FM33-FO$103+1,Frauen!$AZ$9:$BD$102,5)),RundDx)</f>
        <v>34307</v>
      </c>
      <c r="FP33" s="25">
        <f>ROUND(v^($FM33+FaktorAlter)*VLOOKUP($FM33,$G$9:$J$102,4)*VLOOKUP($FM33,$A$9:$E$102,5)*0.5*(VLOOKUP($FM33-FP$103,Frauen!$G$9:$J$102,4)+VLOOKUP($FM33-FP$103+1,Frauen!$G$9:$J$102,4))*0.5*(VLOOKUP($FM33-FP$103,Frauen!$AZ$9:$BD$102,5)+VLOOKUP($FM33-FP$103+1,Frauen!$AZ$9:$BD$102,5)),RundDx)</f>
        <v>129240</v>
      </c>
      <c r="FQ33" s="25">
        <f>ROUND(v^($FM33+FaktorAlter)*VLOOKUP($FM33,$G$9:$J$102,4)*VLOOKUP($FM33,$A$9:$E$102,5)*0.5*(VLOOKUP($FM33-FQ$103,Frauen!$G$9:$J$102,4)+VLOOKUP($FM33-FQ$103+1,Frauen!$G$9:$J$102,4))*0.5*(VLOOKUP($FM33-FQ$103,Frauen!$AZ$9:$BD$102,5)+VLOOKUP($FM33-FQ$103+1,Frauen!$AZ$9:$BD$102,5)),RundDx)</f>
        <v>338248</v>
      </c>
      <c r="FR33" s="25">
        <f>ROUND(v^($FM33+FaktorAlter)*VLOOKUP($FM33,$G$9:$J$102,4)*VLOOKUP($FM33,$A$9:$E$102,5)*0.5*(VLOOKUP($FM33-FR$103,Frauen!$G$9:$J$102,4)+VLOOKUP($FM33-FR$103+1,Frauen!$G$9:$J$102,4))*0.5*(VLOOKUP($FM33-FR$103,Frauen!$AZ$9:$BD$102,5)+VLOOKUP($FM33-FR$103+1,Frauen!$AZ$9:$BD$102,5)),RundDx)</f>
        <v>743205</v>
      </c>
      <c r="FS33" s="25">
        <f>ROUND(v^($FM33+FaktorAlter)*VLOOKUP($FM33,$G$9:$J$102,4)*VLOOKUP($FM33,$A$9:$E$102,5)*0.5*(VLOOKUP($FM33-FS$103,Frauen!$G$9:$J$102,4)+VLOOKUP($FM33-FS$103+1,Frauen!$G$9:$J$102,4))*0.5*(VLOOKUP($FM33-FS$103,Frauen!$AZ$9:$BD$102,5)+VLOOKUP($FM33-FS$103+1,Frauen!$AZ$9:$BD$102,5)),RundDx)</f>
        <v>1440714</v>
      </c>
      <c r="FT33" s="25">
        <f>ROUND(v^($FM33+FaktorAlter)*VLOOKUP($FM33,$G$9:$J$102,4)*VLOOKUP($FM33,$A$9:$E$102,5)*0.5*(VLOOKUP($FM33-FT$103,Frauen!$G$9:$J$102,4)+VLOOKUP($FM33-FT$103+1,Frauen!$G$9:$J$102,4))*0.5*(VLOOKUP($FM33-FT$103,Frauen!$AZ$9:$BD$102,5)+VLOOKUP($FM33-FT$103+1,Frauen!$AZ$9:$BD$102,5)),RundDx)</f>
        <v>2568868</v>
      </c>
      <c r="FU33" s="25">
        <f>ROUND(v^($FM33+FaktorAlter)*VLOOKUP($FM33,$G$9:$J$102,4)*VLOOKUP($FM33,$A$9:$E$102,5)*0.5*(VLOOKUP($FM33-FU$103,Frauen!$G$9:$J$102,4)+VLOOKUP($FM33-FU$103+1,Frauen!$G$9:$J$102,4))*0.5*(VLOOKUP($FM33-FU$103,Frauen!$AZ$9:$BD$102,5)+VLOOKUP($FM33-FU$103+1,Frauen!$AZ$9:$BD$102,5)),RundDx)</f>
        <v>4279035</v>
      </c>
      <c r="FV33" s="25">
        <f>ROUND(v^($FM33+FaktorAlter)*VLOOKUP($FM33,$G$9:$J$102,4)*VLOOKUP($FM33,$A$9:$E$102,5)*0.5*(VLOOKUP($FM33-FV$103,Frauen!$G$9:$J$102,4)+VLOOKUP($FM33-FV$103+1,Frauen!$G$9:$J$102,4))*0.5*(VLOOKUP($FM33-FV$103,Frauen!$AZ$9:$BD$102,5)+VLOOKUP($FM33-FV$103+1,Frauen!$AZ$9:$BD$102,5)),RundDx)</f>
        <v>6763247</v>
      </c>
      <c r="FW33" s="25">
        <f>ROUND(v^($FM33+FaktorAlter)*VLOOKUP($FM33,$G$9:$J$102,4)*VLOOKUP($FM33,$A$9:$E$102,5)*0.5*(VLOOKUP($FM33-FW$103,Frauen!$G$9:$J$102,4)+VLOOKUP($FM33-FW$103+1,Frauen!$G$9:$J$102,4))*0.5*(VLOOKUP($FM33-FW$103,Frauen!$AZ$9:$BD$102,5)+VLOOKUP($FM33-FW$103+1,Frauen!$AZ$9:$BD$102,5)),RundDx)</f>
        <v>10240164</v>
      </c>
      <c r="FX33" s="25">
        <f>ROUND(v^($FM33+FaktorAlter)*VLOOKUP($FM33,$G$9:$J$102,4)*VLOOKUP($FM33,$A$9:$E$102,5)*0.5*(VLOOKUP($FM33-FX$103,Frauen!$G$9:$J$102,4)+VLOOKUP($FM33-FX$103+1,Frauen!$G$9:$J$102,4))*0.5*(VLOOKUP($FM33-FX$103,Frauen!$AZ$9:$BD$102,5)+VLOOKUP($FM33-FX$103+1,Frauen!$AZ$9:$BD$102,5)),RundDx)</f>
        <v>14945342</v>
      </c>
      <c r="FY33" s="25">
        <f>ROUND(v^($FM33+FaktorAlter)*VLOOKUP($FM33,$G$9:$J$102,4)*VLOOKUP($FM33,$A$9:$E$102,5)*0.5*(VLOOKUP($FM33-FY$103,Frauen!$G$9:$J$102,4)+VLOOKUP($FM33-FY$103+1,Frauen!$G$9:$J$102,4))*0.5*(VLOOKUP($FM33-FY$103,Frauen!$AZ$9:$BD$102,5)+VLOOKUP($FM33-FY$103+1,Frauen!$AZ$9:$BD$102,5)),RundDx)</f>
        <v>21117708</v>
      </c>
      <c r="FZ33" s="25">
        <f>ROUND(v^($FM33+FaktorAlter)*VLOOKUP($FM33,$G$9:$J$102,4)*VLOOKUP($FM33,$A$9:$E$102,5)*0.5*(VLOOKUP($FM33-FZ$103,Frauen!$G$9:$J$102,4)+VLOOKUP($FM33-FZ$103+1,Frauen!$G$9:$J$102,4))*0.5*(VLOOKUP($FM33-FZ$103,Frauen!$AZ$9:$BD$102,5)+VLOOKUP($FM33-FZ$103+1,Frauen!$AZ$9:$BD$102,5)),RundDx)</f>
        <v>29025704</v>
      </c>
      <c r="GA33" s="25">
        <f>ROUND(v^($FM33+FaktorAlter)*VLOOKUP($FM33,$G$9:$J$102,4)*VLOOKUP($FM33,$A$9:$E$102,5)*0.5*(VLOOKUP($FM33-GA$103,Frauen!$G$9:$J$102,4)+VLOOKUP($FM33-GA$103+1,Frauen!$G$9:$J$102,4))*0.5*(VLOOKUP($FM33-GA$103,Frauen!$AZ$9:$BD$102,5)+VLOOKUP($FM33-GA$103+1,Frauen!$AZ$9:$BD$102,5)),RundDx)</f>
        <v>38830740</v>
      </c>
      <c r="GB33" s="25">
        <f>ROUND(v^($FM33+FaktorAlter)*VLOOKUP($FM33,$G$9:$J$102,4)*VLOOKUP($FM33,$A$9:$E$102,5)*0.5*(VLOOKUP($FM33-GB$103,Frauen!$G$9:$J$102,4)+VLOOKUP($FM33-GB$103+1,Frauen!$G$9:$J$102,4))*0.5*(VLOOKUP($FM33-GB$103,Frauen!$AZ$9:$BD$102,5)+VLOOKUP($FM33-GB$103+1,Frauen!$AZ$9:$BD$102,5)),RundDx)</f>
        <v>50551941</v>
      </c>
      <c r="GC33" s="25">
        <f>ROUND(v^($FM33+FaktorAlter)*VLOOKUP($FM33,$G$9:$J$102,4)*VLOOKUP($FM33,$A$9:$E$102,5)*0.5*(VLOOKUP($FM33-GC$103,Frauen!$G$9:$J$102,4)+VLOOKUP($FM33-GC$103+1,Frauen!$G$9:$J$102,4))*0.5*(VLOOKUP($FM33-GC$103,Frauen!$AZ$9:$BD$102,5)+VLOOKUP($FM33-GC$103+1,Frauen!$AZ$9:$BD$102,5)),RundDx)</f>
        <v>64289850</v>
      </c>
      <c r="GD33" s="25">
        <f>ROUND(v^($FM33+FaktorAlter)*VLOOKUP($FM33,$G$9:$J$102,4)*VLOOKUP($FM33,$A$9:$E$102,5)*0.5*(VLOOKUP($FM33-GD$103,Frauen!$G$9:$J$102,4)+VLOOKUP($FM33-GD$103+1,Frauen!$G$9:$J$102,4))*0.5*(VLOOKUP($FM33-GD$103,Frauen!$AZ$9:$BD$102,5)+VLOOKUP($FM33-GD$103+1,Frauen!$AZ$9:$BD$102,5)),RundDx)</f>
        <v>80062094</v>
      </c>
      <c r="GE33" s="25">
        <f>ROUND(v^($FM33+FaktorAlter)*VLOOKUP($FM33,$G$9:$J$102,4)*VLOOKUP($FM33,$A$9:$E$102,5)*0.5*(VLOOKUP($FM33-GE$103,Frauen!$G$9:$J$102,4)+VLOOKUP($FM33-GE$103+1,Frauen!$G$9:$J$102,4))*0.5*(VLOOKUP($FM33-GE$103,Frauen!$AZ$9:$BD$102,5)+VLOOKUP($FM33-GE$103+1,Frauen!$AZ$9:$BD$102,5)),RundDx)</f>
        <v>97819978</v>
      </c>
      <c r="GF33" s="25">
        <f>ROUND(v^($FM33+FaktorAlter)*VLOOKUP($FM33,$G$9:$J$102,4)*VLOOKUP($FM33,$A$9:$E$102,5)*0.5*(VLOOKUP($FM33-GF$103,Frauen!$G$9:$J$102,4)+VLOOKUP($FM33-GF$103+1,Frauen!$G$9:$J$102,4))*0.5*(VLOOKUP($FM33-GF$103,Frauen!$AZ$9:$BD$102,5)+VLOOKUP($FM33-GF$103+1,Frauen!$AZ$9:$BD$102,5)),RundDx)</f>
        <v>117473126</v>
      </c>
      <c r="GG33" s="25">
        <f>ROUND(v^($FM33+FaktorAlter)*VLOOKUP($FM33,$G$9:$J$102,4)*VLOOKUP($FM33,$A$9:$E$102,5)*0.5*(VLOOKUP($FM33-GG$103,Frauen!$G$9:$J$102,4)+VLOOKUP($FM33-GG$103+1,Frauen!$G$9:$J$102,4))*0.5*(VLOOKUP($FM33-GG$103,Frauen!$AZ$9:$BD$102,5)+VLOOKUP($FM33-GG$103+1,Frauen!$AZ$9:$BD$102,5)),RundDx)</f>
        <v>138832947</v>
      </c>
      <c r="GH33" s="25">
        <f>ROUND(v^($FM33+FaktorAlter)*VLOOKUP($FM33,$G$9:$J$102,4)*VLOOKUP($FM33,$A$9:$E$102,5)*0.5*(VLOOKUP($FM33-GH$103,Frauen!$G$9:$J$102,4)+VLOOKUP($FM33-GH$103+1,Frauen!$G$9:$J$102,4))*0.5*(VLOOKUP($FM33-GH$103,Frauen!$AZ$9:$BD$102,5)+VLOOKUP($FM33-GH$103+1,Frauen!$AZ$9:$BD$102,5)),RundDx)</f>
        <v>161673084</v>
      </c>
      <c r="GI33" s="25">
        <f>ROUND(v^($FM33+FaktorAlter)*VLOOKUP($FM33,$G$9:$J$102,4)*VLOOKUP($FM33,$A$9:$E$102,5)*0.5*(VLOOKUP($FM33-GI$103,Frauen!$G$9:$J$102,4)+VLOOKUP($FM33-GI$103+1,Frauen!$G$9:$J$102,4))*0.5*(VLOOKUP($FM33-GI$103,Frauen!$AZ$9:$BD$102,5)+VLOOKUP($FM33-GI$103+1,Frauen!$AZ$9:$BD$102,5)),RundDx)</f>
        <v>185769602</v>
      </c>
      <c r="GJ33" s="25">
        <f>ROUND(v^($FM33+FaktorAlter)*VLOOKUP($FM33,$G$9:$J$102,4)*VLOOKUP($FM33,$A$9:$E$102,5)*0.5*(VLOOKUP($FM33-GJ$103,Frauen!$G$9:$J$102,4)+VLOOKUP($FM33-GJ$103+1,Frauen!$G$9:$J$102,4))*0.5*(VLOOKUP($FM33-GJ$103,Frauen!$AZ$9:$BD$102,5)+VLOOKUP($FM33-GJ$103+1,Frauen!$AZ$9:$BD$102,5)),RundDx)</f>
        <v>210857431</v>
      </c>
      <c r="GK33" s="25">
        <f>ROUND(v^($FM33+FaktorAlter)*VLOOKUP($FM33,$G$9:$J$102,4)*VLOOKUP($FM33,$A$9:$E$102,5)*0.5*(VLOOKUP($FM33-GK$103,Frauen!$G$9:$J$102,4)+VLOOKUP($FM33-GK$103+1,Frauen!$G$9:$J$102,4))*0.5*(VLOOKUP($FM33-GK$103,Frauen!$AZ$9:$BD$102,5)+VLOOKUP($FM33-GK$103+1,Frauen!$AZ$9:$BD$102,5)),RundDx)</f>
        <v>236686170</v>
      </c>
      <c r="GL33" s="25">
        <f>ROUND(v^($FM33+FaktorAlter)*VLOOKUP($FM33,$G$9:$J$102,4)*VLOOKUP($FM33,$A$9:$E$102,5)*0.5*(VLOOKUP($FM33-GL$103,Frauen!$G$9:$J$102,4)+VLOOKUP($FM33-GL$103+1,Frauen!$G$9:$J$102,4))*0.5*(VLOOKUP($FM33-GL$103,Frauen!$AZ$9:$BD$102,5)+VLOOKUP($FM33-GL$103+1,Frauen!$AZ$9:$BD$102,5)),RundDx)</f>
        <v>263085207</v>
      </c>
      <c r="GM33" s="25">
        <f>ROUND(v^($FM33+FaktorAlter)*VLOOKUP($FM33,$G$9:$J$102,4)*VLOOKUP($FM33,$A$9:$E$102,5)*0.5*(VLOOKUP($FM33-GM$103,Frauen!$G$9:$J$102,4)+VLOOKUP($FM33-GM$103+1,Frauen!$G$9:$J$102,4))*0.5*(VLOOKUP($FM33-GM$103,Frauen!$AZ$9:$BD$102,5)+VLOOKUP($FM33-GM$103+1,Frauen!$AZ$9:$BD$102,5)),RundDx)</f>
        <v>289970823</v>
      </c>
      <c r="GN33" s="25">
        <f>ROUND(v^($FM33+FaktorAlter)*VLOOKUP($FM33,$G$9:$J$102,4)*VLOOKUP($FM33,$A$9:$E$102,5)*0.5*(VLOOKUP($FM33-GN$103,Frauen!$G$9:$J$102,4)+VLOOKUP($FM33-GN$103+1,Frauen!$G$9:$J$102,4))*0.5*(VLOOKUP($FM33-GN$103,Frauen!$AZ$9:$BD$102,5)+VLOOKUP($FM33-GN$103+1,Frauen!$AZ$9:$BD$102,5)),RundDx)</f>
        <v>317229003</v>
      </c>
      <c r="GO33" s="25">
        <f>ROUND(v^($FM33+FaktorAlter)*VLOOKUP($FM33,$G$9:$J$102,4)*VLOOKUP($FM33,$A$9:$E$102,5)*0.5*(VLOOKUP($FM33-GO$103,Frauen!$G$9:$J$102,4)+VLOOKUP($FM33-GO$103+1,Frauen!$G$9:$J$102,4))*0.5*(VLOOKUP($FM33-GO$103,Frauen!$AZ$9:$BD$102,5)+VLOOKUP($FM33-GO$103+1,Frauen!$AZ$9:$BD$102,5)),RundDx)</f>
        <v>344837368</v>
      </c>
      <c r="GP33" s="25">
        <f>ROUND(v^($FM33+FaktorAlter)*VLOOKUP($FM33,$G$9:$J$102,4)*VLOOKUP($FM33,$A$9:$E$102,5)*0.5*(VLOOKUP($FM33-GP$103,Frauen!$G$9:$J$102,4)+VLOOKUP($FM33-GP$103+1,Frauen!$G$9:$J$102,4))*0.5*(VLOOKUP($FM33-GP$103,Frauen!$AZ$9:$BD$102,5)+VLOOKUP($FM33-GP$103+1,Frauen!$AZ$9:$BD$102,5)),RundDx)</f>
        <v>372863306</v>
      </c>
      <c r="GQ33" s="25">
        <f>ROUND(v^($FM33+FaktorAlter)*VLOOKUP($FM33,$G$9:$J$102,4)*VLOOKUP($FM33,$A$9:$E$102,5)*0.5*(VLOOKUP($FM33-GQ$103,Frauen!$G$9:$J$102,4)+VLOOKUP($FM33-GQ$103+1,Frauen!$G$9:$J$102,4))*0.5*(VLOOKUP($FM33-GQ$103,Frauen!$AZ$9:$BD$102,5)+VLOOKUP($FM33-GQ$103+1,Frauen!$AZ$9:$BD$102,5)),RundDx)</f>
        <v>401334104</v>
      </c>
      <c r="GR33" s="25">
        <f>ROUND(v^($FM33+FaktorAlter)*VLOOKUP($FM33,$G$9:$J$102,4)*VLOOKUP($FM33,$A$9:$E$102,5)*0.5*(VLOOKUP($FM33-GR$103,Frauen!$G$9:$J$102,4)+VLOOKUP($FM33-GR$103+1,Frauen!$G$9:$J$102,4))*0.5*(VLOOKUP($FM33-GR$103,Frauen!$AZ$9:$BD$102,5)+VLOOKUP($FM33-GR$103+1,Frauen!$AZ$9:$BD$102,5)),RundDx)</f>
        <v>430337831</v>
      </c>
      <c r="GS33" s="24"/>
      <c r="GT33" s="24">
        <f>ROUND(SUM(FO33:FO$56)/VLOOKUP($FM33,$AQ$9:$AR$102,2)/VLOOKUP($FM33-GT$103,Frauen!$G$9:$J$102,4),Rundäx)</f>
        <v>7.6999999999999999E-2</v>
      </c>
      <c r="GU33" s="24">
        <f>ROUND(SUM(FP33:FP$56)/VLOOKUP($FM33,$AQ$9:$AR$102,2)/VLOOKUP($FM33-GU$103,Frauen!$G$9:$J$102,4),Rundäx)</f>
        <v>0.14299999999999999</v>
      </c>
      <c r="GV33" s="24">
        <f>ROUND(SUM(FQ33:FQ$56)/VLOOKUP($FM33,$AQ$9:$AR$102,2)/VLOOKUP($FM33-GV$103,Frauen!$G$9:$J$102,4),Rundäx)</f>
        <v>0.20599999999999999</v>
      </c>
      <c r="GW33" s="24">
        <f>ROUND(SUM(FR33:FR$56)/VLOOKUP($FM33,$AQ$9:$AR$102,2)/VLOOKUP($FM33-GW$103,Frauen!$G$9:$J$102,4),Rundäx)</f>
        <v>0.27500000000000002</v>
      </c>
      <c r="GX33" s="24">
        <f>ROUND(SUM(FS33:FS$56)/VLOOKUP($FM33,$AQ$9:$AR$102,2)/VLOOKUP($FM33-GX$103,Frauen!$G$9:$J$102,4),Rundäx)</f>
        <v>0.35099999999999998</v>
      </c>
      <c r="GY33" s="24">
        <f>ROUND(SUM(FT33:FT$56)/VLOOKUP($FM33,$AQ$9:$AR$102,2)/VLOOKUP($FM33-GY$103,Frauen!$G$9:$J$102,4),Rundäx)</f>
        <v>0.437</v>
      </c>
      <c r="GZ33" s="24">
        <f>ROUND(SUM(FU33:FU$56)/VLOOKUP($FM33,$AQ$9:$AR$102,2)/VLOOKUP($FM33-GZ$103,Frauen!$G$9:$J$102,4),Rundäx)</f>
        <v>0.53500000000000003</v>
      </c>
      <c r="HA33" s="86"/>
      <c r="HB33" s="35">
        <f t="shared" si="63"/>
        <v>89</v>
      </c>
      <c r="HC33" s="24">
        <f>ROUND(SUM(FV33:FV$56)/VLOOKUP($FM33,$AQ$9:$AR$102,2)/VLOOKUP($FM33-HC$103,Frauen!$G$9:$J$102,4),Rundäx)</f>
        <v>0.64600000000000002</v>
      </c>
      <c r="HD33" s="24">
        <f>ROUND(SUM(FW33:FW$56)/VLOOKUP($FM33,$AQ$9:$AR$102,2)/VLOOKUP($FM33-HD$103,Frauen!$G$9:$J$102,4),Rundäx)</f>
        <v>0.77100000000000002</v>
      </c>
      <c r="HE33" s="24">
        <f>ROUND(SUM(FX33:FX$56)/VLOOKUP($FM33,$AQ$9:$AR$102,2)/VLOOKUP($FM33-HE$103,Frauen!$G$9:$J$102,4),Rundäx)</f>
        <v>0.91200000000000003</v>
      </c>
      <c r="HF33" s="24">
        <f>ROUND(SUM(FY33:FY$56)/VLOOKUP($FM33,$AQ$9:$AR$102,2)/VLOOKUP($FM33-HF$103,Frauen!$G$9:$J$102,4),Rundäx)</f>
        <v>1.071</v>
      </c>
      <c r="HG33" s="24">
        <f>ROUND(SUM(FZ33:FZ$56)/VLOOKUP($FM33,$AQ$9:$AR$102,2)/VLOOKUP($FM33-HG$103,Frauen!$G$9:$J$102,4),Rundäx)</f>
        <v>1.248</v>
      </c>
      <c r="HH33" s="24">
        <f>ROUND(SUM(GA33:GA$56)/VLOOKUP($FM33,$AQ$9:$AR$102,2)/VLOOKUP($FM33-HH$103,Frauen!$G$9:$J$102,4),Rundäx)</f>
        <v>1.446</v>
      </c>
      <c r="HI33" s="24">
        <f>ROUND(SUM(GB33:GB$56)/VLOOKUP($FM33,$AQ$9:$AR$102,2)/VLOOKUP($FM33-HI$103,Frauen!$G$9:$J$102,4),Rundäx)</f>
        <v>1.665</v>
      </c>
      <c r="HJ33" s="24">
        <f>ROUND(SUM(GC33:GC$56)/VLOOKUP($FM33,$AQ$9:$AR$102,2)/VLOOKUP($FM33-HJ$103,Frauen!$G$9:$J$102,4),Rundäx)</f>
        <v>1.905</v>
      </c>
      <c r="HK33" s="86"/>
      <c r="HL33" s="35">
        <f t="shared" si="64"/>
        <v>89</v>
      </c>
      <c r="HM33" s="24">
        <f>ROUND(SUM(GD33:GD$56)/VLOOKUP($FM33,$AQ$9:$AR$102,2)/VLOOKUP($FM33-HM$103,Frauen!$G$9:$J$102,4),Rundäx)</f>
        <v>2.1680000000000001</v>
      </c>
      <c r="HN33" s="24">
        <f>ROUND(SUM(GE33:GE$56)/VLOOKUP($FM33,$AQ$9:$AR$102,2)/VLOOKUP($FM33-HN$103,Frauen!$G$9:$J$102,4),Rundäx)</f>
        <v>2.4550000000000001</v>
      </c>
      <c r="HO33" s="24">
        <f>ROUND(SUM(GF33:GF$56)/VLOOKUP($FM33,$AQ$9:$AR$102,2)/VLOOKUP($FM33-HO$103,Frauen!$G$9:$J$102,4),Rundäx)</f>
        <v>2.7679999999999998</v>
      </c>
      <c r="HP33" s="24">
        <f>ROUND(SUM(GG33:GG$56)/VLOOKUP($FM33,$AQ$9:$AR$102,2)/VLOOKUP($FM33-HP$103,Frauen!$G$9:$J$102,4),Rundäx)</f>
        <v>3.109</v>
      </c>
      <c r="HQ33" s="24">
        <f>ROUND(SUM(GH33:GH$56)/VLOOKUP($FM33,$AQ$9:$AR$102,2)/VLOOKUP($FM33-HQ$103,Frauen!$G$9:$J$102,4),Rundäx)</f>
        <v>3.4780000000000002</v>
      </c>
      <c r="HR33" s="24">
        <f>ROUND(SUM(GI33:GI$56)/VLOOKUP($FM33,$AQ$9:$AR$102,2)/VLOOKUP($FM33-HR$103,Frauen!$G$9:$J$102,4),Rundäx)</f>
        <v>3.8740000000000001</v>
      </c>
      <c r="HS33" s="24">
        <f>ROUND(SUM(GJ33:GJ$56)/VLOOKUP($FM33,$AQ$9:$AR$102,2)/VLOOKUP($FM33-HS$103,Frauen!$G$9:$J$102,4),Rundäx)</f>
        <v>4.298</v>
      </c>
      <c r="HT33" s="24">
        <f>ROUND(SUM(GK33:GK$56)/VLOOKUP($FM33,$AQ$9:$AR$102,2)/VLOOKUP($FM33-HT$103,Frauen!$G$9:$J$102,4),Rundäx)</f>
        <v>4.7469999999999999</v>
      </c>
      <c r="HU33" s="86"/>
      <c r="HV33" s="35">
        <f t="shared" si="65"/>
        <v>89</v>
      </c>
      <c r="HW33" s="24">
        <f>ROUND(SUM(GL33:GL$56)/VLOOKUP($FM33,$AQ$9:$AR$102,2)/VLOOKUP($FM33-HW$103,Frauen!$G$9:$J$102,4),Rundäx)</f>
        <v>5.2190000000000003</v>
      </c>
      <c r="HX33" s="24">
        <f>ROUND(SUM(GM33:GM$56)/VLOOKUP($FM33,$AQ$9:$AR$102,2)/VLOOKUP($FM33-HX$103,Frauen!$G$9:$J$102,4),Rundäx)</f>
        <v>5.7089999999999996</v>
      </c>
      <c r="HY33" s="24">
        <f>ROUND(SUM(GN33:GN$56)/VLOOKUP($FM33,$AQ$9:$AR$102,2)/VLOOKUP($FM33-HY$103,Frauen!$G$9:$J$102,4),Rundäx)</f>
        <v>6.2140000000000004</v>
      </c>
      <c r="HZ33" s="24">
        <f>ROUND(SUM(GO33:GO$56)/VLOOKUP($FM33,$AQ$9:$AR$102,2)/VLOOKUP($FM33-HZ$103,Frauen!$G$9:$J$102,4),Rundäx)</f>
        <v>6.7290000000000001</v>
      </c>
      <c r="IA33" s="24">
        <f>ROUND(SUM(GP33:GP$56)/VLOOKUP($FM33,$AQ$9:$AR$102,2)/VLOOKUP($FM33-IA$103,Frauen!$G$9:$J$102,4),Rundäx)</f>
        <v>7.25</v>
      </c>
      <c r="IB33" s="24">
        <f>ROUND(SUM(GQ33:GQ$56)/VLOOKUP($FM33,$AQ$9:$AR$102,2)/VLOOKUP($FM33-IB$103,Frauen!$G$9:$J$102,4),Rundäx)</f>
        <v>7.7720000000000002</v>
      </c>
      <c r="IC33" s="24">
        <f>ROUND(SUM(GR33:GR$56)/VLOOKUP($FM33,$AQ$9:$AR$102,2)/VLOOKUP($FM33-IC$103,Frauen!$G$9:$J$102,4),Rundäx)</f>
        <v>8.2919999999999998</v>
      </c>
      <c r="ID33" s="89"/>
      <c r="IE33" s="35">
        <f t="shared" si="66"/>
        <v>41</v>
      </c>
      <c r="IF33" s="25">
        <f t="shared" si="31"/>
        <v>826</v>
      </c>
      <c r="IG33" s="25">
        <f>IF($IE33&lt;RAM,IF(S34&lt;=RAK,ROUND(SUM(IF33:INDEX(Dakx,RAM-BeginnAlter))+INDEX(Dax,RAM-BeginnAlter+1)*INDEX(äkx,1),RundDx),0),"")</f>
        <v>7810</v>
      </c>
      <c r="IH33" s="25">
        <f>IF($IE33&lt;RAM,IF(S34&lt;=RAK,ROUND(SUM(IG33:INDEX(Nakx,RAM-BeginnAlter))+INDEX(Dax,RAM-BeginnAlter+1)*INDEX(äkx,1),RundDx),0),"")</f>
        <v>55903</v>
      </c>
      <c r="II33" s="24">
        <f t="shared" si="32"/>
        <v>0.20100000000000001</v>
      </c>
      <c r="IJ33" s="25">
        <f t="shared" si="33"/>
        <v>17687</v>
      </c>
      <c r="IK33" s="25">
        <f>IF($IE33&lt;RAM,IF(S34&lt;=RAK,SUM(IJ33:INDEX(Dikx,RAM-BeginnAlter))+INDEX(Dix,RAM-BeginnAlter+1)*INDEX(äkx,1),0),"")</f>
        <v>113215.83199999999</v>
      </c>
      <c r="IL33" s="24">
        <f t="shared" si="34"/>
        <v>1.9370000000000001</v>
      </c>
      <c r="IM33" s="86"/>
      <c r="IN33" s="35">
        <f t="shared" si="67"/>
        <v>89</v>
      </c>
      <c r="IO33" s="25"/>
      <c r="IP33" s="25"/>
      <c r="IQ33" s="24"/>
      <c r="IR33" s="86"/>
    </row>
    <row r="34" spans="1:252" ht="15.75" customHeight="1" x14ac:dyDescent="0.25">
      <c r="A34" s="35">
        <f t="shared" si="41"/>
        <v>42</v>
      </c>
      <c r="B34" s="77">
        <v>1.2625515404283882E-3</v>
      </c>
      <c r="C34" s="77">
        <v>1.8386520730000985E-3</v>
      </c>
      <c r="D34" s="77">
        <v>1.9838079160859265E-2</v>
      </c>
      <c r="E34" s="77">
        <v>1.6216050830689666E-3</v>
      </c>
      <c r="F34" s="86"/>
      <c r="G34" s="35">
        <f t="shared" si="42"/>
        <v>42</v>
      </c>
      <c r="H34" s="25">
        <f t="shared" si="37"/>
        <v>96286</v>
      </c>
      <c r="I34" s="25">
        <f t="shared" si="38"/>
        <v>1765</v>
      </c>
      <c r="J34" s="25">
        <f t="shared" si="39"/>
        <v>98051</v>
      </c>
      <c r="K34" s="30">
        <f>IF(J34&gt;0,ROUND(SUM(J34:J$102)/J34-0.5,Rundex),"")</f>
        <v>37.74</v>
      </c>
      <c r="L34" s="25">
        <f t="shared" si="0"/>
        <v>142664</v>
      </c>
      <c r="M34" s="30">
        <f>IF(L34&gt;0,ROUND(SUM(L34:L$102)/L34-0.5,Rundex),"")</f>
        <v>28.99</v>
      </c>
      <c r="N34" s="86"/>
      <c r="O34" s="35">
        <f t="shared" si="43"/>
        <v>42</v>
      </c>
      <c r="P34" s="43">
        <v>0.6977285555840973</v>
      </c>
      <c r="Q34" s="78">
        <v>40.653816342755235</v>
      </c>
      <c r="R34" s="43">
        <v>1.2346510659551053</v>
      </c>
      <c r="S34" s="78">
        <v>10.904713115454703</v>
      </c>
      <c r="T34" s="15">
        <v>1.6146216251503587E-3</v>
      </c>
      <c r="U34" s="11">
        <f t="shared" si="40"/>
        <v>98050</v>
      </c>
      <c r="V34" s="30">
        <f>IF(U34&gt;0,ROUND(SUM(U34:U$102)/U34-0.5,Rundex),"")</f>
        <v>35.340000000000003</v>
      </c>
      <c r="W34" s="86"/>
      <c r="X34" s="35">
        <f t="shared" si="44"/>
        <v>42</v>
      </c>
      <c r="Y34" s="25">
        <f t="shared" si="1"/>
        <v>37818</v>
      </c>
      <c r="Z34" s="25">
        <f>IF($X34&lt;RAM,SUM(Y34:INDEX(Dax,RAM-BeginnAlter))," ")</f>
        <v>634278</v>
      </c>
      <c r="AA34" s="25">
        <f t="shared" si="2"/>
        <v>47</v>
      </c>
      <c r="AB34" s="25">
        <f>IF($X34&lt;RAM,SUM(AA34:INDEX(Cax,RAM-BeginnAlter))," ")</f>
        <v>2018</v>
      </c>
      <c r="AC34" s="25">
        <f t="shared" si="3"/>
        <v>69</v>
      </c>
      <c r="AD34" s="25">
        <f>IF($X34&lt;RAM,SUM(AC34:INDEX(Caix,RAM-BeginnAlter))," ")</f>
        <v>7164</v>
      </c>
      <c r="AE34" s="24">
        <f t="shared" si="4"/>
        <v>16.771999999999998</v>
      </c>
      <c r="AF34" s="24">
        <f t="shared" si="5"/>
        <v>16.492999999999999</v>
      </c>
      <c r="AG34" s="86"/>
      <c r="AH34" s="35">
        <f t="shared" si="45"/>
        <v>42</v>
      </c>
      <c r="AI34" s="25">
        <f t="shared" si="6"/>
        <v>56034</v>
      </c>
      <c r="AJ34" s="25">
        <f>IF($AH34&gt;RAM," ",IF($AH34&lt;RAM,SUM(AI34:INDEX(Dix,RAM-BeginnAlter))+INDEX(Nx,RAM-BeginnAlter+1),INDEX(Nx,RAM-BeginnAlter+1)))</f>
        <v>1133705</v>
      </c>
      <c r="AK34" s="25">
        <f>IF($AH34&lt;RAM,SUM(AI34:INDEX(Dix,RAM-BeginnAlter))," ")</f>
        <v>836458</v>
      </c>
      <c r="AL34" s="24">
        <f t="shared" si="7"/>
        <v>20.231999999999999</v>
      </c>
      <c r="AM34" s="24">
        <f t="shared" si="8"/>
        <v>19.774000000000001</v>
      </c>
      <c r="AN34" s="24">
        <f t="shared" si="9"/>
        <v>14.928000000000001</v>
      </c>
      <c r="AO34" s="24">
        <f t="shared" si="10"/>
        <v>14.637</v>
      </c>
      <c r="AP34" s="86"/>
      <c r="AQ34" s="35">
        <f t="shared" si="46"/>
        <v>42</v>
      </c>
      <c r="AR34" s="25">
        <f t="shared" si="11"/>
        <v>38512</v>
      </c>
      <c r="AS34" s="25">
        <f>SUM(AR34:AR$94)</f>
        <v>977344</v>
      </c>
      <c r="AT34" s="25">
        <f>IF($AQ34&lt;RAM,SUM(AR34:INDEX(Dx,RAM-BeginnAlter))," ")</f>
        <v>680097</v>
      </c>
      <c r="AU34" s="24">
        <f t="shared" si="12"/>
        <v>25.378</v>
      </c>
      <c r="AV34" s="24">
        <f t="shared" si="13"/>
        <v>24.919</v>
      </c>
      <c r="AW34" s="24">
        <f t="shared" si="14"/>
        <v>17.658999999999999</v>
      </c>
      <c r="AX34" s="24">
        <f t="shared" si="15"/>
        <v>17.445</v>
      </c>
      <c r="AY34" s="86"/>
      <c r="AZ34" s="35">
        <f t="shared" si="47"/>
        <v>42</v>
      </c>
      <c r="BA34" s="25">
        <f t="shared" si="16"/>
        <v>38511</v>
      </c>
      <c r="BB34" s="25">
        <f>SUM(BA34:BA$94)</f>
        <v>935291</v>
      </c>
      <c r="BC34" s="24">
        <f t="shared" si="17"/>
        <v>24.286000000000001</v>
      </c>
      <c r="BD34" s="24">
        <f t="shared" si="18"/>
        <v>23.827999999999999</v>
      </c>
      <c r="BE34" s="86"/>
      <c r="BF34" s="35">
        <f t="shared" si="48"/>
        <v>25</v>
      </c>
      <c r="BG34" s="24">
        <f t="shared" si="19"/>
        <v>0</v>
      </c>
      <c r="BH34" s="24">
        <f t="shared" si="20"/>
        <v>0</v>
      </c>
      <c r="BI34" s="86"/>
      <c r="BJ34" s="35">
        <f t="shared" si="49"/>
        <v>42</v>
      </c>
      <c r="BK34" s="25">
        <f t="shared" si="21"/>
        <v>1354</v>
      </c>
      <c r="BL34" s="25">
        <f>IF(BJ34&lt;RAM,SUM(BK34:INDEX(Daix,RAM-BeginnAlter))," ")</f>
        <v>114851</v>
      </c>
      <c r="BM34" s="25">
        <f>IF(BJ34&lt;RAM,SUM(BL34:INDEX(Naix,RAM-BeginnAlter))," ")</f>
        <v>1877055</v>
      </c>
      <c r="BN34" s="24">
        <f t="shared" si="22"/>
        <v>5.4930000000000003</v>
      </c>
      <c r="BO34" s="24">
        <f t="shared" si="23"/>
        <v>3.0369999999999999</v>
      </c>
      <c r="BP34" s="86"/>
      <c r="BQ34" s="35">
        <f t="shared" si="50"/>
        <v>42</v>
      </c>
      <c r="BR34" s="25">
        <f t="shared" si="51"/>
        <v>993</v>
      </c>
      <c r="BS34" s="25">
        <f>IF(BQ34&lt;RAM,SUM(BR34:INDEX(Daixs,RAM-BeginnAlter))," ")</f>
        <v>38303</v>
      </c>
      <c r="BT34" s="25">
        <f>IF(BQ34&lt;RAM,SUM(BS34:INDEX(Naixs,RAM-BeginnAlter))," ")</f>
        <v>502051</v>
      </c>
      <c r="BU34" s="24">
        <f t="shared" si="52"/>
        <v>7.5170000000000003</v>
      </c>
      <c r="BV34" s="24">
        <f t="shared" si="53"/>
        <v>1.0129999999999999</v>
      </c>
      <c r="BW34" s="86"/>
      <c r="BX34" s="35">
        <f t="shared" si="54"/>
        <v>42</v>
      </c>
      <c r="BY34" s="10">
        <f t="shared" si="24"/>
        <v>10.28016841741851</v>
      </c>
      <c r="BZ34" s="11">
        <f t="shared" si="25"/>
        <v>850</v>
      </c>
      <c r="CA34" s="25">
        <f>IF(S35&lt;=RAK,IF($BX34&lt;RAM,SUM(BZ34:INDEX(Dazx,RAM-BeginnAlter)),""),"")</f>
        <v>10590</v>
      </c>
      <c r="CB34" s="24">
        <f t="shared" si="26"/>
        <v>0.28000000000000003</v>
      </c>
      <c r="CC34" s="25">
        <f t="shared" si="27"/>
        <v>27083</v>
      </c>
      <c r="CD34" s="24">
        <f t="shared" si="28"/>
        <v>18.462</v>
      </c>
      <c r="CE34" s="24">
        <f t="shared" si="29"/>
        <v>2.7E-2</v>
      </c>
      <c r="CF34" s="86"/>
      <c r="CG34" s="35">
        <f t="shared" si="55"/>
        <v>42</v>
      </c>
      <c r="CH34" s="25">
        <f>IF(CG34&lt;RAM,ROUND(v^($CG34+FaktorAlter)*$H34*($B34*0.5*($P34+$P35)*(VLOOKUP(TRUNC(0.5*($Q34+$Q35),0),Frauen!$AZ$9:$BD$95,5)+(0.5*($Q34+$Q35)-TRUNC(0.5*($Q34+$Q35),0))*(VLOOKUP(TRUNC(0.5*($Q34+$Q35)+1,0),Frauen!$AZ$9:$BD$95,5)-VLOOKUP(TRUNC(0.5*($Q34+$Q35),0),Frauen!$AZ$9:$BD$95,5)))+$C34*0.5*($CN34+$CN35)),RundDx),"")</f>
        <v>1417</v>
      </c>
      <c r="CI34" s="25">
        <f>IF(CG34&lt;RAM,ROUND(SUM(CH34:INDEX(Dawx,RAM-BeginnAlter))+INDEX(Dax,RAM-BeginnAlter+1)*INDEX(äwx,1),RundDx),"")</f>
        <v>154704</v>
      </c>
      <c r="CJ34" s="25">
        <f>IF(CG34&lt;RAM,ROUND(SUM(CI34:INDEX(Nawx,RAM-BeginnAlter))+INDEX(Dax,RAM-BeginnAlter+1)*INDEX(äwx,1),RundDx),"")</f>
        <v>3041361</v>
      </c>
      <c r="CK34" s="24">
        <f t="shared" si="56"/>
        <v>4.0910000000000002</v>
      </c>
      <c r="CL34" s="25">
        <f>IF(CG34&lt;RAM,ROUND(v^($CG34+FaktorAlter)*$L34*$D34*0.5*($P34+$P35)*(VLOOKUP(TRUNC(0.5*($Q34+$Q35),0),Frauen!$AZ$9:$BD$95,5)+(0.5*($Q34+$Q35)-TRUNC(0.5*($Q34+$Q35),0))*(VLOOKUP(TRUNC(0.5*($Q34+$Q35)+1,0),Frauen!$AZ$9:$BD$95,5)-VLOOKUP(TRUNC(0.5*($Q34+$Q35),0),Frauen!$AZ$9:$BD$95,5))),RundDx),"")</f>
        <v>21025</v>
      </c>
      <c r="CM34" s="25">
        <f>IF(CG34&lt;RAM,SUM(CL34:INDEX(Diwx,RAM-BeginnAlter))+INDEX(Dix,RAM-BeginnAlter+1)*INDEX(äwx,1),"")</f>
        <v>420380.41399999999</v>
      </c>
      <c r="CN34" s="24">
        <f t="shared" si="57"/>
        <v>7.5019999999999998</v>
      </c>
      <c r="CO34" s="86"/>
      <c r="CP34" s="35">
        <f t="shared" si="58"/>
        <v>90</v>
      </c>
      <c r="CQ34" s="11">
        <f>ROUND(v^($CP34+FaktorAlter)*VLOOKUP(CP34,G$9:J$102,4)*VLOOKUP(CP34,A$9:E$102,5)*0.5*(VLOOKUP(CP34,O$9:P$102,2)+VLOOKUP(CP34+1,O$9:P$102,2))*(VLOOKUP(TRUNC(0.5*(VLOOKUP(CP34,O$9:Q$102,3)+VLOOKUP(CP34+1,O$9:Q$102,3)),0),Frauen!$AZ$9:$BD$95,5)+(0.5*(VLOOKUP(CP34,O$9:Q$102,3)+VLOOKUP(CP34+1,O$9:Q$102,3))-TRUNC(0.5*(VLOOKUP(CP34,O$9:Q$102,3)+VLOOKUP(CP34+1,O$9:Q$102,3)),0))*(VLOOKUP(TRUNC(0.5*(VLOOKUP(CP34,O$9:Q$102,3)+VLOOKUP(CP34+1,O$9:Q$102,3))+1,0),Frauen!$AZ$9:$BD$95,5)-VLOOKUP(TRUNC(0.5*(VLOOKUP(CP34,O$9:Q$102,3)+VLOOKUP(CP34+1,O$9:Q$102,3)),0),Frauen!$AZ$9:$BD$95,5))),RundDx)</f>
        <v>1405</v>
      </c>
      <c r="CR34" s="25">
        <f>SUM(CQ34:CQ$56)</f>
        <v>4815</v>
      </c>
      <c r="CS34" s="24">
        <f t="shared" si="30"/>
        <v>1.954</v>
      </c>
      <c r="CT34" s="86"/>
      <c r="CU34" s="35">
        <f t="shared" si="59"/>
        <v>42</v>
      </c>
      <c r="CV34" s="25">
        <f>IF($CU34&gt;=RAM,"",IF($CU34-CV$103&lt;BeginnAlter,"",ROUND(v^($CU34+FaktorAlter)*$L34*$D34*0.5*(VLOOKUP($CU34-CV$103,Frauen!$G$9:$J$102,4)+VLOOKUP($CU34-CV$103+1,Frauen!$G$9:$J$102,4))*0.5*(VLOOKUP($CU34-CV$103,Frauen!$AZ$9:$BD$102,5)+VLOOKUP($CU34-CV$103+1,Frauen!$AZ$9:$BD$102,5)),RundDx)))</f>
        <v>2090261392</v>
      </c>
      <c r="CW34" s="25">
        <f>IF($CU34&gt;=RAM,"",IF($CU34-CW$103&lt;BeginnAlter,"",ROUND(v^($CU34+FaktorAlter)*$L34*$D34*0.5*(VLOOKUP($CU34-CW$103,Frauen!$G$9:$J$102,4)+VLOOKUP($CU34-CW$103+1,Frauen!$G$9:$J$102,4))*0.5*(VLOOKUP($CU34-CW$103,Frauen!$AZ$9:$BD$102,5)+VLOOKUP($CU34-CW$103+1,Frauen!$AZ$9:$BD$102,5)),RundDx)))</f>
        <v>2148332323</v>
      </c>
      <c r="CX34" s="25">
        <f>IF($CU34&gt;=RAM,"",IF($CU34-CX$103&lt;BeginnAlter,"",ROUND(v^($CU34+FaktorAlter)*$L34*$D34*0.5*(VLOOKUP($CU34-CX$103,Frauen!$G$9:$J$102,4)+VLOOKUP($CU34-CX$103+1,Frauen!$G$9:$J$102,4))*0.5*(VLOOKUP($CU34-CX$103,Frauen!$AZ$9:$BD$102,5)+VLOOKUP($CU34-CX$103+1,Frauen!$AZ$9:$BD$102,5)),RundDx)))</f>
        <v>2205837086</v>
      </c>
      <c r="CY34" s="25">
        <f>IF($CU34&gt;=RAM,"",IF($CU34-CY$103&lt;BeginnAlter,"",ROUND(v^($CU34+FaktorAlter)*$L34*$D34*0.5*(VLOOKUP($CU34-CY$103,Frauen!$G$9:$J$102,4)+VLOOKUP($CU34-CY$103+1,Frauen!$G$9:$J$102,4))*0.5*(VLOOKUP($CU34-CY$103,Frauen!$AZ$9:$BD$102,5)+VLOOKUP($CU34-CY$103+1,Frauen!$AZ$9:$BD$102,5)),RundDx)))</f>
        <v>2262841057</v>
      </c>
      <c r="CZ34" s="25">
        <f>IF($CU34&gt;=RAM,"",IF($CU34-CZ$103&lt;BeginnAlter,"",ROUND(v^($CU34+FaktorAlter)*$L34*$D34*0.5*(VLOOKUP($CU34-CZ$103,Frauen!$G$9:$J$102,4)+VLOOKUP($CU34-CZ$103+1,Frauen!$G$9:$J$102,4))*0.5*(VLOOKUP($CU34-CZ$103,Frauen!$AZ$9:$BD$102,5)+VLOOKUP($CU34-CZ$103+1,Frauen!$AZ$9:$BD$102,5)),RundDx)))</f>
        <v>2319237963</v>
      </c>
      <c r="DA34" s="25">
        <f>IF($CU34&gt;=RAM,"",IF($CU34-DA$103&lt;BeginnAlter,"",ROUND(v^($CU34+FaktorAlter)*$L34*$D34*0.5*(VLOOKUP($CU34-DA$103,Frauen!$G$9:$J$102,4)+VLOOKUP($CU34-DA$103+1,Frauen!$G$9:$J$102,4))*0.5*(VLOOKUP($CU34-DA$103,Frauen!$AZ$9:$BD$102,5)+VLOOKUP($CU34-DA$103+1,Frauen!$AZ$9:$BD$102,5)),RundDx)))</f>
        <v>2375075666</v>
      </c>
      <c r="DB34" s="25">
        <f>IF($CU34&gt;=RAM,"",IF($CU34-DB$103&lt;BeginnAlter,"",ROUND(v^($CU34+FaktorAlter)*$L34*$D34*0.5*(VLOOKUP($CU34-DB$103,Frauen!$G$9:$J$102,4)+VLOOKUP($CU34-DB$103+1,Frauen!$G$9:$J$102,4))*0.5*(VLOOKUP($CU34-DB$103,Frauen!$AZ$9:$BD$102,5)+VLOOKUP($CU34-DB$103+1,Frauen!$AZ$9:$BD$102,5)),RundDx)))</f>
        <v>2430238099</v>
      </c>
      <c r="DC34" s="25">
        <f>IF($CU34&gt;=RAM,"",IF($CU34-DC$103&lt;BeginnAlter,"",ROUND(v^($CU34+FaktorAlter)*$L34*$D34*0.5*(VLOOKUP($CU34-DC$103,Frauen!$G$9:$J$102,4)+VLOOKUP($CU34-DC$103+1,Frauen!$G$9:$J$102,4))*0.5*(VLOOKUP($CU34-DC$103,Frauen!$AZ$9:$BD$102,5)+VLOOKUP($CU34-DC$103+1,Frauen!$AZ$9:$BD$102,5)),RundDx)))</f>
        <v>2484469574</v>
      </c>
      <c r="DD34" s="25">
        <f>IF($CU34&gt;=RAM,"",IF($CU34-DD$103&lt;BeginnAlter,"",ROUND(v^($CU34+FaktorAlter)*$L34*$D34*0.5*(VLOOKUP($CU34-DD$103,Frauen!$G$9:$J$102,4)+VLOOKUP($CU34-DD$103+1,Frauen!$G$9:$J$102,4))*0.5*(VLOOKUP($CU34-DD$103,Frauen!$AZ$9:$BD$102,5)+VLOOKUP($CU34-DD$103+1,Frauen!$AZ$9:$BD$102,5)),RundDx)))</f>
        <v>2537610249</v>
      </c>
      <c r="DE34" s="25">
        <f>IF($CU34&gt;=RAM,"",IF($CU34-DE$103&lt;BeginnAlter,"",ROUND(v^($CU34+FaktorAlter)*$L34*$D34*0.5*(VLOOKUP($CU34-DE$103,Frauen!$G$9:$J$102,4)+VLOOKUP($CU34-DE$103+1,Frauen!$G$9:$J$102,4))*0.5*(VLOOKUP($CU34-DE$103,Frauen!$AZ$9:$BD$102,5)+VLOOKUP($CU34-DE$103+1,Frauen!$AZ$9:$BD$102,5)),RundDx)))</f>
        <v>2589609876</v>
      </c>
      <c r="DF34" s="25">
        <f>IF($CU34&gt;=RAM,"",IF($CU34-DF$103&lt;BeginnAlter,"",ROUND(v^($CU34+FaktorAlter)*$L34*$D34*0.5*(VLOOKUP($CU34-DF$103,Frauen!$G$9:$J$102,4)+VLOOKUP($CU34-DF$103+1,Frauen!$G$9:$J$102,4))*0.5*(VLOOKUP($CU34-DF$103,Frauen!$AZ$9:$BD$102,5)+VLOOKUP($CU34-DF$103+1,Frauen!$AZ$9:$BD$102,5)),RundDx)))</f>
        <v>2640475361</v>
      </c>
      <c r="DG34" s="25">
        <f>IF($CU34&gt;=RAM,"",IF($CU34-DG$103&lt;BeginnAlter,"",ROUND(v^($CU34+FaktorAlter)*$L34*$D34*0.5*(VLOOKUP($CU34-DG$103,Frauen!$G$9:$J$102,4)+VLOOKUP($CU34-DG$103+1,Frauen!$G$9:$J$102,4))*0.5*(VLOOKUP($CU34-DG$103,Frauen!$AZ$9:$BD$102,5)+VLOOKUP($CU34-DG$103+1,Frauen!$AZ$9:$BD$102,5)),RundDx)))</f>
        <v>2690257531</v>
      </c>
      <c r="DH34" s="25">
        <f>IF($CU34&gt;=RAM,"",IF($CU34-DH$103&lt;BeginnAlter,"",ROUND(v^($CU34+FaktorAlter)*$L34*$D34*0.5*(VLOOKUP($CU34-DH$103,Frauen!$G$9:$J$102,4)+VLOOKUP($CU34-DH$103+1,Frauen!$G$9:$J$102,4))*0.5*(VLOOKUP($CU34-DH$103,Frauen!$AZ$9:$BD$102,5)+VLOOKUP($CU34-DH$103+1,Frauen!$AZ$9:$BD$102,5)),RundDx)))</f>
        <v>2738888427</v>
      </c>
      <c r="DI34" s="25">
        <f>IF($CU34&gt;=RAM,"",IF($CU34-DI$103&lt;BeginnAlter,"",ROUND(v^($CU34+FaktorAlter)*$L34*$D34*0.5*(VLOOKUP($CU34-DI$103,Frauen!$G$9:$J$102,4)+VLOOKUP($CU34-DI$103+1,Frauen!$G$9:$J$102,4))*0.5*(VLOOKUP($CU34-DI$103,Frauen!$AZ$9:$BD$102,5)+VLOOKUP($CU34-DI$103+1,Frauen!$AZ$9:$BD$102,5)),RundDx)))</f>
        <v>2786383859</v>
      </c>
      <c r="DJ34" s="25">
        <f>IF($CU34&gt;=RAM,"",IF($CU34-DJ$103&lt;BeginnAlter,"",ROUND(v^($CU34+FaktorAlter)*$L34*$D34*0.5*(VLOOKUP($CU34-DJ$103,Frauen!$G$9:$J$102,4)+VLOOKUP($CU34-DJ$103+1,Frauen!$G$9:$J$102,4))*0.5*(VLOOKUP($CU34-DJ$103,Frauen!$AZ$9:$BD$102,5)+VLOOKUP($CU34-DJ$103+1,Frauen!$AZ$9:$BD$102,5)),RundDx)))</f>
        <v>2832856988</v>
      </c>
      <c r="DK34" s="25">
        <f>IF($CU34&gt;=RAM,"",IF($CU34-DK$103&lt;BeginnAlter,"",ROUND(v^($CU34+FaktorAlter)*$L34*$D34*0.5*(VLOOKUP($CU34-DK$103,Frauen!$G$9:$J$102,4)+VLOOKUP($CU34-DK$103+1,Frauen!$G$9:$J$102,4))*0.5*(VLOOKUP($CU34-DK$103,Frauen!$AZ$9:$BD$102,5)+VLOOKUP($CU34-DK$103+1,Frauen!$AZ$9:$BD$102,5)),RundDx)))</f>
        <v>2878330187</v>
      </c>
      <c r="DL34" s="25">
        <f>IF($CU34&gt;=RAM,"",IF($CU34-DL$103&lt;BeginnAlter,"",ROUND(v^($CU34+FaktorAlter)*$L34*$D34*0.5*(VLOOKUP($CU34-DL$103,Frauen!$G$9:$J$102,4)+VLOOKUP($CU34-DL$103+1,Frauen!$G$9:$J$102,4))*0.5*(VLOOKUP($CU34-DL$103,Frauen!$AZ$9:$BD$102,5)+VLOOKUP($CU34-DL$103+1,Frauen!$AZ$9:$BD$102,5)),RundDx)))</f>
        <v>2922814165</v>
      </c>
      <c r="DM34" s="25">
        <f>IF($CU34&gt;=RAM,"",IF($CU34-DM$103&lt;BeginnAlter,"",ROUND(v^($CU34+FaktorAlter)*$L34*$D34*0.5*(VLOOKUP($CU34-DM$103,Frauen!$G$9:$J$102,4)+VLOOKUP($CU34-DM$103+1,Frauen!$G$9:$J$102,4))*0.5*(VLOOKUP($CU34-DM$103,Frauen!$AZ$9:$BD$102,5)+VLOOKUP($CU34-DM$103+1,Frauen!$AZ$9:$BD$102,5)),RundDx)))</f>
        <v>2966306838</v>
      </c>
      <c r="DN34" s="25">
        <f>IF($CU34&gt;=RAM,"",IF($CU34-DN$103&lt;BeginnAlter,"",ROUND(v^($CU34+FaktorAlter)*$L34*$D34*0.5*(VLOOKUP($CU34-DN$103,Frauen!$G$9:$J$102,4)+VLOOKUP($CU34-DN$103+1,Frauen!$G$9:$J$102,4))*0.5*(VLOOKUP($CU34-DN$103,Frauen!$AZ$9:$BD$102,5)+VLOOKUP($CU34-DN$103+1,Frauen!$AZ$9:$BD$102,5)),RundDx)))</f>
        <v>3008837854</v>
      </c>
      <c r="DO34" s="25">
        <f>IF($CU34&gt;=RAM,"",IF($CU34-DO$103&lt;BeginnAlter,"",ROUND(v^($CU34+FaktorAlter)*$L34*$D34*0.5*(VLOOKUP($CU34-DO$103,Frauen!$G$9:$J$102,4)+VLOOKUP($CU34-DO$103+1,Frauen!$G$9:$J$102,4))*0.5*(VLOOKUP($CU34-DO$103,Frauen!$AZ$9:$BD$102,5)+VLOOKUP($CU34-DO$103+1,Frauen!$AZ$9:$BD$102,5)),RundDx)))</f>
        <v>3050424323</v>
      </c>
      <c r="DP34" s="25">
        <f>IF($CU34&gt;=RAM,"",IF($CU34-DP$103&lt;BeginnAlter,"",ROUND(v^($CU34+FaktorAlter)*$L34*$D34*0.5*(VLOOKUP($CU34-DP$103,Frauen!$G$9:$J$102,4)+VLOOKUP($CU34-DP$103+1,Frauen!$G$9:$J$102,4))*0.5*(VLOOKUP($CU34-DP$103,Frauen!$AZ$9:$BD$102,5)+VLOOKUP($CU34-DP$103+1,Frauen!$AZ$9:$BD$102,5)),RundDx)))</f>
        <v>3091139822</v>
      </c>
      <c r="DQ34" s="25">
        <f>IF($CU34&gt;=RAM,"",IF($CU34-DQ$103&lt;BeginnAlter,"",ROUND(v^($CU34+FaktorAlter)*$L34*$D34*0.5*(VLOOKUP($CU34-DQ$103,Frauen!$G$9:$J$102,4)+VLOOKUP($CU34-DQ$103+1,Frauen!$G$9:$J$102,4))*0.5*(VLOOKUP($CU34-DQ$103,Frauen!$AZ$9:$BD$102,5)+VLOOKUP($CU34-DQ$103+1,Frauen!$AZ$9:$BD$102,5)),RundDx)))</f>
        <v>3131059996</v>
      </c>
      <c r="DR34" s="25">
        <f>IF($CU34&gt;=RAM,"",IF($CU34-DR$103&lt;BeginnAlter,"",ROUND(v^($CU34+FaktorAlter)*$L34*$D34*0.5*(VLOOKUP($CU34-DR$103,Frauen!$G$9:$J$102,4)+VLOOKUP($CU34-DR$103+1,Frauen!$G$9:$J$102,4))*0.5*(VLOOKUP($CU34-DR$103,Frauen!$AZ$9:$BD$102,5)+VLOOKUP($CU34-DR$103+1,Frauen!$AZ$9:$BD$102,5)),RundDx)))</f>
        <v>3170207878</v>
      </c>
      <c r="DS34" s="25">
        <f>IF($CU34&gt;=RAM,"",IF($CU34-DS$103&lt;BeginnAlter,"",ROUND(v^($CU34+FaktorAlter)*$L34*$D34*0.5*(VLOOKUP($CU34-DS$103,Frauen!$G$9:$J$102,4)+VLOOKUP($CU34-DS$103+1,Frauen!$G$9:$J$102,4))*0.5*(VLOOKUP($CU34-DS$103,Frauen!$AZ$9:$BD$102,5)+VLOOKUP($CU34-DS$103+1,Frauen!$AZ$9:$BD$102,5)),RundDx)))</f>
        <v>3208553606</v>
      </c>
      <c r="DT34" s="25">
        <f>IF($CU34&gt;=RAM,"",IF($CU34-DT$103&lt;BeginnAlter,"",ROUND(v^($CU34+FaktorAlter)*$L34*$D34*0.5*(VLOOKUP($CU34-DT$103,Frauen!$G$9:$J$102,4)+VLOOKUP($CU34-DT$103+1,Frauen!$G$9:$J$102,4))*0.5*(VLOOKUP($CU34-DT$103,Frauen!$AZ$9:$BD$102,5)+VLOOKUP($CU34-DT$103+1,Frauen!$AZ$9:$BD$102,5)),RundDx)))</f>
        <v>3246107151</v>
      </c>
      <c r="DU34" s="25">
        <f>IF($CU34&gt;=RAM,"",IF($CU34-DU$103&lt;BeginnAlter,"",ROUND(v^($CU34+FaktorAlter)*$L34*$D34*0.5*(VLOOKUP($CU34-DU$103,Frauen!$G$9:$J$102,4)+VLOOKUP($CU34-DU$103+1,Frauen!$G$9:$J$102,4))*0.5*(VLOOKUP($CU34-DU$103,Frauen!$AZ$9:$BD$102,5)+VLOOKUP($CU34-DU$103+1,Frauen!$AZ$9:$BD$102,5)),RundDx)))</f>
        <v>3282879377</v>
      </c>
      <c r="DV34" s="25">
        <f>IF($CU34&gt;=RAM,"",IF($CU34-DV$103&lt;BeginnAlter,"",ROUND(v^($CU34+FaktorAlter)*$L34*$D34*0.5*(VLOOKUP($CU34-DV$103,Frauen!$G$9:$J$102,4)+VLOOKUP($CU34-DV$103+1,Frauen!$G$9:$J$102,4))*0.5*(VLOOKUP($CU34-DV$103,Frauen!$AZ$9:$BD$102,5)+VLOOKUP($CU34-DV$103+1,Frauen!$AZ$9:$BD$102,5)),RundDx)))</f>
        <v>3318936711</v>
      </c>
      <c r="DW34" s="25">
        <f>IF($CU34&gt;=RAM,"",IF($CU34-DW$103&lt;BeginnAlter,"",ROUND(v^($CU34+FaktorAlter)*$L34*$D34*0.5*(VLOOKUP($CU34-DW$103,Frauen!$G$9:$J$102,4)+VLOOKUP($CU34-DW$103+1,Frauen!$G$9:$J$102,4))*0.5*(VLOOKUP($CU34-DW$103,Frauen!$AZ$9:$BD$102,5)+VLOOKUP($CU34-DW$103+1,Frauen!$AZ$9:$BD$102,5)),RundDx)))</f>
        <v>3354291786</v>
      </c>
      <c r="DX34" s="25">
        <f>IF($CU34&gt;=RAM,"",IF($CU34-DX$103&lt;BeginnAlter,"",ROUND(v^($CU34+FaktorAlter)*$L34*$D34*0.5*(VLOOKUP($CU34-DX$103,Frauen!$G$9:$J$102,4)+VLOOKUP($CU34-DX$103+1,Frauen!$G$9:$J$102,4))*0.5*(VLOOKUP($CU34-DX$103,Frauen!$AZ$9:$BD$102,5)+VLOOKUP($CU34-DX$103+1,Frauen!$AZ$9:$BD$102,5)),RundDx)))</f>
        <v>3388903245</v>
      </c>
      <c r="DY34" s="25">
        <f>IF($CU34&gt;=RAM,"",IF($CU34-DY$103&lt;BeginnAlter,"",ROUND(v^($CU34+FaktorAlter)*$L34*$D34*0.5*(VLOOKUP($CU34-DY$103,Frauen!$G$9:$J$102,4)+VLOOKUP($CU34-DY$103+1,Frauen!$G$9:$J$102,4))*0.5*(VLOOKUP($CU34-DY$103,Frauen!$AZ$9:$BD$102,5)+VLOOKUP($CU34-DY$103+1,Frauen!$AZ$9:$BD$102,5)),RundDx)))</f>
        <v>3422767996</v>
      </c>
      <c r="DZ34" s="25">
        <f>IF($CU34&gt;=RAM,"",IF($CU34-DZ$103&lt;BeginnAlter,"",ROUND(v^($CU34+FaktorAlter)*$L34*$D34*0.5*(VLOOKUP($CU34-DZ$103,Frauen!$G$9:$J$102,4)+VLOOKUP($CU34-DZ$103+1,Frauen!$G$9:$J$102,4))*0.5*(VLOOKUP($CU34-DZ$103,Frauen!$AZ$9:$BD$102,5)+VLOOKUP($CU34-DZ$103+1,Frauen!$AZ$9:$BD$102,5)),RundDx)))</f>
        <v>3455920525</v>
      </c>
      <c r="EA34" s="43">
        <f>IF($CU34&gt;=RAM,"",IF($CU34-EA$103&lt;BeginnAlter,"",ROUND((SUM(CV34:CV$56)+SUM(FN$9:FN$56))/VLOOKUP($CU34,$AH$9:$AI$102,2)/VLOOKUP($CU34-EA$103,Frauen!$G$9:$J$102,4),Rundäx)))</f>
        <v>4.6500000000000004</v>
      </c>
      <c r="EB34" s="43">
        <f>IF($CU34&gt;=RAM,"",IF($CU34-EB$103&lt;BeginnAlter,"",ROUND((SUM(CW34:CW$56)+SUM(FO$9:FO$56))/VLOOKUP($CU34,$AH$9:$AI$102,2)/VLOOKUP($CU34-EB$103,Frauen!$G$9:$J$102,4),Rundäx)))</f>
        <v>4.8650000000000002</v>
      </c>
      <c r="EC34" s="43">
        <f>IF($CU34&gt;=RAM,"",IF($CU34-EC$103&lt;BeginnAlter,"",ROUND((SUM(CX34:CX$56)+SUM(FP$9:FP$56))/VLOOKUP($CU34,$AH$9:$AI$102,2)/VLOOKUP($CU34-EC$103,Frauen!$G$9:$J$102,4),Rundäx)))</f>
        <v>5.0830000000000002</v>
      </c>
      <c r="ED34" s="43">
        <f>IF($CU34&gt;=RAM,"",IF($CU34-ED$103&lt;BeginnAlter,"",ROUND((SUM(CY34:CY$56)+SUM(FQ$9:FQ$56))/VLOOKUP($CU34,$AH$9:$AI$102,2)/VLOOKUP($CU34-ED$103,Frauen!$G$9:$J$102,4),Rundäx)))</f>
        <v>5.306</v>
      </c>
      <c r="EE34" s="43">
        <f>IF($CU34&gt;=RAM,"",IF($CU34-EE$103&lt;BeginnAlter,"",ROUND((SUM(CZ34:CZ$56)+SUM(FR$9:FR$56))/VLOOKUP($CU34,$AH$9:$AI$102,2)/VLOOKUP($CU34-EE$103,Frauen!$G$9:$J$102,4),Rundäx)))</f>
        <v>5.532</v>
      </c>
      <c r="EF34" s="43">
        <f>IF($CU34&gt;=RAM,"",IF($CU34-EF$103&lt;BeginnAlter,"",ROUND((SUM(DA34:DA$56)+SUM(FS$9:FS$56))/VLOOKUP($CU34,$AH$9:$AI$102,2)/VLOOKUP($CU34-EF$103,Frauen!$G$9:$J$102,4),Rundäx)))</f>
        <v>5.7629999999999999</v>
      </c>
      <c r="EG34" s="43">
        <f>IF($CU34&gt;=RAM,"",IF($CU34-EG$103&lt;BeginnAlter,"",ROUND((SUM(DB34:DB$56)+SUM(FT$9:FT$56))/VLOOKUP($CU34,$AH$9:$AI$102,2)/VLOOKUP($CU34-EG$103,Frauen!$G$9:$J$102,4),Rundäx)))</f>
        <v>5.9969999999999999</v>
      </c>
      <c r="EH34" s="43">
        <f>IF($CU34&gt;=RAM,"",IF($CU34-EH$103&lt;BeginnAlter,"",ROUND((SUM(DC34:DC$56)+SUM(FU$9:FU$56))/VLOOKUP($CU34,$AH$9:$AI$102,2)/VLOOKUP($CU34-EH$103,Frauen!$G$9:$J$102,4),Rundäx)))</f>
        <v>6.2359999999999998</v>
      </c>
      <c r="EI34" s="86"/>
      <c r="EJ34" s="35">
        <f t="shared" si="60"/>
        <v>42</v>
      </c>
      <c r="EK34" s="43">
        <f>IF($CU34&gt;=RAM,"",IF($CU34-EK$103&lt;BeginnAlter,"",ROUND((SUM(DD34:DD$56)+SUM(FV$9:FV$56))/VLOOKUP($CU34,$AH$9:$AI$102,2)/VLOOKUP($CU34-EK$103,Frauen!$G$9:$J$102,4),Rundäx)))</f>
        <v>6.4779999999999998</v>
      </c>
      <c r="EL34" s="43">
        <f>IF($CU34&gt;=RAM,"",IF($CU34-EL$103&lt;BeginnAlter,"",ROUND((SUM(DE34:DE$56)+SUM(FW$9:FW$56))/VLOOKUP($CU34,$AH$9:$AI$102,2)/VLOOKUP($CU34-EL$103,Frauen!$G$9:$J$102,4),Rundäx)))</f>
        <v>6.7240000000000002</v>
      </c>
      <c r="EM34" s="43">
        <f>IF($CU34&gt;=RAM,"",IF($CU34-EM$103&lt;BeginnAlter,"",ROUND((SUM(DF34:DF$56)+SUM(FX$9:FX$56))/VLOOKUP($CU34,$AH$9:$AI$102,2)/VLOOKUP($CU34-EM$103,Frauen!$G$9:$J$102,4),Rundäx)))</f>
        <v>6.9729999999999999</v>
      </c>
      <c r="EN34" s="43">
        <f>IF($CU34&gt;=RAM,"",IF($CU34-EN$103&lt;BeginnAlter,"",ROUND((SUM(DG34:DG$56)+SUM(FY$9:FY$56))/VLOOKUP($CU34,$AH$9:$AI$102,2)/VLOOKUP($CU34-EN$103,Frauen!$G$9:$J$102,4),Rundäx)))</f>
        <v>7.226</v>
      </c>
      <c r="EO34" s="43">
        <f>IF($CU34&gt;=RAM,"",IF($CU34-EO$103&lt;BeginnAlter,"",ROUND((SUM(DH34:DH$56)+SUM(FZ$9:FZ$56))/VLOOKUP($CU34,$AH$9:$AI$102,2)/VLOOKUP($CU34-EO$103,Frauen!$G$9:$J$102,4),Rundäx)))</f>
        <v>7.4820000000000002</v>
      </c>
      <c r="EP34" s="43">
        <f>IF($CU34&gt;=RAM,"",IF($CU34-EP$103&lt;BeginnAlter,"",ROUND((SUM(DI34:DI$56)+SUM(GA$9:GA$56))/VLOOKUP($CU34,$AH$9:$AI$102,2)/VLOOKUP($CU34-EP$103,Frauen!$G$9:$J$102,4),Rundäx)))</f>
        <v>7.7409999999999997</v>
      </c>
      <c r="EQ34" s="43">
        <f>IF($CU34&gt;=RAM,"",IF($CU34-EQ$103&lt;BeginnAlter,"",ROUND((SUM(DJ34:DJ$56)+SUM(GB$9:GB$56))/VLOOKUP($CU34,$AH$9:$AI$102,2)/VLOOKUP($CU34-EQ$103,Frauen!$G$9:$J$102,4),Rundäx)))</f>
        <v>8.0020000000000007</v>
      </c>
      <c r="ER34" s="43">
        <f>IF($CU34&gt;=RAM,"",IF($CU34-ER$103&lt;BeginnAlter,"",ROUND((SUM(DK34:DK$56)+SUM(GC$9:GC$56))/VLOOKUP($CU34,$AH$9:$AI$102,2)/VLOOKUP($CU34-ER$103,Frauen!$G$9:$J$102,4),Rundäx)))</f>
        <v>8.266</v>
      </c>
      <c r="ES34" s="86"/>
      <c r="ET34" s="35">
        <f t="shared" si="61"/>
        <v>42</v>
      </c>
      <c r="EU34" s="43">
        <f>IF($CU34&gt;=RAM,"",IF($CU34-EU$103&lt;BeginnAlter,"",ROUND((SUM(DL34:DL$56)+SUM(GD$9:GD$56))/VLOOKUP($CU34,$AH$9:$AI$102,2)/VLOOKUP($CU34-EU$103,Frauen!$G$9:$J$102,4),Rundäx)))</f>
        <v>8.5329999999999995</v>
      </c>
      <c r="EV34" s="43">
        <f>IF($CU34&gt;=RAM,"",IF($CU34-EV$103&lt;BeginnAlter,"",ROUND((SUM(DM34:DM$56)+SUM(GE$9:GE$56))/VLOOKUP($CU34,$AH$9:$AI$102,2)/VLOOKUP($CU34-EV$103,Frauen!$G$9:$J$102,4),Rundäx)))</f>
        <v>8.8000000000000007</v>
      </c>
      <c r="EW34" s="43">
        <f>IF($CU34&gt;=RAM,"",IF($CU34-EW$103&lt;BeginnAlter,"",ROUND((SUM(DN34:DN$56)+SUM(GF$9:GF$56))/VLOOKUP($CU34,$AH$9:$AI$102,2)/VLOOKUP($CU34-EW$103,Frauen!$G$9:$J$102,4),Rundäx)))</f>
        <v>9.0690000000000008</v>
      </c>
      <c r="EX34" s="43">
        <f>IF($CU34&gt;=RAM,"",IF($CU34-EX$103&lt;BeginnAlter,"",ROUND((SUM(DO34:DO$56)+SUM(GG$9:GG$56))/VLOOKUP($CU34,$AH$9:$AI$102,2)/VLOOKUP($CU34-EX$103,Frauen!$G$9:$J$102,4),Rundäx)))</f>
        <v>9.34</v>
      </c>
      <c r="EY34" s="43">
        <f>IF($CU34&gt;=RAM,"",IF($CU34-EY$103&lt;BeginnAlter,"",ROUND((SUM(DP34:DP$56)+SUM(GH$9:GH$56))/VLOOKUP($CU34,$AH$9:$AI$102,2)/VLOOKUP($CU34-EY$103,Frauen!$G$9:$J$102,4),Rundäx)))</f>
        <v>9.61</v>
      </c>
      <c r="EZ34" s="43">
        <f>IF($CU34&gt;=RAM,"",IF($CU34-EZ$103&lt;BeginnAlter,"",ROUND((SUM(DQ34:DQ$56)+SUM(GI$9:GI$56))/VLOOKUP($CU34,$AH$9:$AI$102,2)/VLOOKUP($CU34-EZ$103,Frauen!$G$9:$J$102,4),Rundäx)))</f>
        <v>9.8810000000000002</v>
      </c>
      <c r="FA34" s="43">
        <f>IF($CU34&gt;=RAM,"",IF($CU34-FA$103&lt;BeginnAlter,"",ROUND((SUM(DR34:DR$56)+SUM(GJ$9:GJ$56))/VLOOKUP($CU34,$AH$9:$AI$102,2)/VLOOKUP($CU34-FA$103,Frauen!$G$9:$J$102,4),Rundäx)))</f>
        <v>10.151</v>
      </c>
      <c r="FB34" s="43">
        <f>IF($CU34&gt;=RAM,"",IF($CU34-FB$103&lt;BeginnAlter,"",ROUND((SUM(DS34:DS$56)+SUM(GK$9:GK$56))/VLOOKUP($CU34,$AH$9:$AI$102,2)/VLOOKUP($CU34-FB$103,Frauen!$G$9:$J$102,4),Rundäx)))</f>
        <v>10.420999999999999</v>
      </c>
      <c r="FC34" s="86"/>
      <c r="FD34" s="35">
        <f t="shared" si="62"/>
        <v>42</v>
      </c>
      <c r="FE34" s="43">
        <f>IF($CU34&gt;=RAM,"",IF($CU34-FE$103&lt;BeginnAlter,"",ROUND((SUM(DT34:DT$56)+SUM(GL$9:GL$56))/VLOOKUP($CU34,$AH$9:$AI$102,2)/VLOOKUP($CU34-FE$103,Frauen!$G$9:$J$102,4),Rundäx)))</f>
        <v>10.689</v>
      </c>
      <c r="FF34" s="43">
        <f>IF($CU34&gt;=RAM,"",IF($CU34-FF$103&lt;BeginnAlter,"",ROUND((SUM(DU34:DU$56)+SUM(GM$9:GM$56))/VLOOKUP($CU34,$AH$9:$AI$102,2)/VLOOKUP($CU34-FF$103,Frauen!$G$9:$J$102,4),Rundäx)))</f>
        <v>10.956</v>
      </c>
      <c r="FG34" s="43">
        <f>IF($CU34&gt;=RAM,"",IF($CU34-FG$103&lt;BeginnAlter,"",ROUND((SUM(DV34:DV$56)+SUM(GN$9:GN$56))/VLOOKUP($CU34,$AH$9:$AI$102,2)/VLOOKUP($CU34-FG$103,Frauen!$G$9:$J$102,4),Rundäx)))</f>
        <v>11.221</v>
      </c>
      <c r="FH34" s="43">
        <f>IF($CU34&gt;=RAM,"",IF($CU34-FH$103&lt;BeginnAlter,"",ROUND((SUM(DW34:DW$56)+SUM(GO$9:GO$56))/VLOOKUP($CU34,$AH$9:$AI$102,2)/VLOOKUP($CU34-FH$103,Frauen!$G$9:$J$102,4),Rundäx)))</f>
        <v>11.484</v>
      </c>
      <c r="FI34" s="43">
        <f>IF($CU34&gt;=RAM,"",IF($CU34-FI$103&lt;BeginnAlter,"",ROUND((SUM(DX34:DX$56)+SUM(GP$9:GP$56))/VLOOKUP($CU34,$AH$9:$AI$102,2)/VLOOKUP($CU34-FI$103,Frauen!$G$9:$J$102,4),Rundäx)))</f>
        <v>11.744999999999999</v>
      </c>
      <c r="FJ34" s="43">
        <f>IF($CU34&gt;=RAM,"",IF($CU34-FJ$103&lt;BeginnAlter,"",ROUND((SUM(DY34:DY$56)+SUM(GQ$9:GQ$56))/VLOOKUP($CU34,$AH$9:$AI$102,2)/VLOOKUP($CU34-FJ$103,Frauen!$G$9:$J$102,4),Rundäx)))</f>
        <v>12.003</v>
      </c>
      <c r="FK34" s="43">
        <f>IF($CU34&gt;=RAM,"",IF($CU34-FK$103&lt;BeginnAlter,"",ROUND((SUM(DZ34:DZ$56)+SUM(GR$9:GR$56))/VLOOKUP($CU34,$AH$9:$AI$102,2)/VLOOKUP($CU34-FK$103,Frauen!$G$9:$J$102,4),Rundäx)))</f>
        <v>12.257999999999999</v>
      </c>
      <c r="FL34" s="86"/>
      <c r="FM34" s="35">
        <f t="shared" si="68"/>
        <v>90</v>
      </c>
      <c r="FN34" s="25"/>
      <c r="FO34" s="25"/>
      <c r="FP34" s="25">
        <f>ROUND(v^($FM34+FaktorAlter)*VLOOKUP($FM34,$G$9:$J$102,4)*VLOOKUP($FM34,$A$9:$E$102,5)*0.5*(VLOOKUP($FM34-FP$103,Frauen!$G$9:$J$102,4)+VLOOKUP($FM34-FP$103+1,Frauen!$G$9:$J$102,4))*0.5*(VLOOKUP($FM34-FP$103,Frauen!$AZ$9:$BD$102,5)+VLOOKUP($FM34-FP$103+1,Frauen!$AZ$9:$BD$102,5)),RundDx)</f>
        <v>31666</v>
      </c>
      <c r="FQ34" s="25">
        <f>ROUND(v^($FM34+FaktorAlter)*VLOOKUP($FM34,$G$9:$J$102,4)*VLOOKUP($FM34,$A$9:$E$102,5)*0.5*(VLOOKUP($FM34-FQ$103,Frauen!$G$9:$J$102,4)+VLOOKUP($FM34-FQ$103+1,Frauen!$G$9:$J$102,4))*0.5*(VLOOKUP($FM34-FQ$103,Frauen!$AZ$9:$BD$102,5)+VLOOKUP($FM34-FQ$103+1,Frauen!$AZ$9:$BD$102,5)),RundDx)</f>
        <v>119291</v>
      </c>
      <c r="FR34" s="25">
        <f>ROUND(v^($FM34+FaktorAlter)*VLOOKUP($FM34,$G$9:$J$102,4)*VLOOKUP($FM34,$A$9:$E$102,5)*0.5*(VLOOKUP($FM34-FR$103,Frauen!$G$9:$J$102,4)+VLOOKUP($FM34-FR$103+1,Frauen!$G$9:$J$102,4))*0.5*(VLOOKUP($FM34-FR$103,Frauen!$AZ$9:$BD$102,5)+VLOOKUP($FM34-FR$103+1,Frauen!$AZ$9:$BD$102,5)),RundDx)</f>
        <v>312209</v>
      </c>
      <c r="FS34" s="25">
        <f>ROUND(v^($FM34+FaktorAlter)*VLOOKUP($FM34,$G$9:$J$102,4)*VLOOKUP($FM34,$A$9:$E$102,5)*0.5*(VLOOKUP($FM34-FS$103,Frauen!$G$9:$J$102,4)+VLOOKUP($FM34-FS$103+1,Frauen!$G$9:$J$102,4))*0.5*(VLOOKUP($FM34-FS$103,Frauen!$AZ$9:$BD$102,5)+VLOOKUP($FM34-FS$103+1,Frauen!$AZ$9:$BD$102,5)),RundDx)</f>
        <v>685992</v>
      </c>
      <c r="FT34" s="25">
        <f>ROUND(v^($FM34+FaktorAlter)*VLOOKUP($FM34,$G$9:$J$102,4)*VLOOKUP($FM34,$A$9:$E$102,5)*0.5*(VLOOKUP($FM34-FT$103,Frauen!$G$9:$J$102,4)+VLOOKUP($FM34-FT$103+1,Frauen!$G$9:$J$102,4))*0.5*(VLOOKUP($FM34-FT$103,Frauen!$AZ$9:$BD$102,5)+VLOOKUP($FM34-FT$103+1,Frauen!$AZ$9:$BD$102,5)),RundDx)</f>
        <v>1329806</v>
      </c>
      <c r="FU34" s="25">
        <f>ROUND(v^($FM34+FaktorAlter)*VLOOKUP($FM34,$G$9:$J$102,4)*VLOOKUP($FM34,$A$9:$E$102,5)*0.5*(VLOOKUP($FM34-FU$103,Frauen!$G$9:$J$102,4)+VLOOKUP($FM34-FU$103+1,Frauen!$G$9:$J$102,4))*0.5*(VLOOKUP($FM34-FU$103,Frauen!$AZ$9:$BD$102,5)+VLOOKUP($FM34-FU$103+1,Frauen!$AZ$9:$BD$102,5)),RundDx)</f>
        <v>2371113</v>
      </c>
      <c r="FV34" s="25">
        <f>ROUND(v^($FM34+FaktorAlter)*VLOOKUP($FM34,$G$9:$J$102,4)*VLOOKUP($FM34,$A$9:$E$102,5)*0.5*(VLOOKUP($FM34-FV$103,Frauen!$G$9:$J$102,4)+VLOOKUP($FM34-FV$103+1,Frauen!$G$9:$J$102,4))*0.5*(VLOOKUP($FM34-FV$103,Frauen!$AZ$9:$BD$102,5)+VLOOKUP($FM34-FV$103+1,Frauen!$AZ$9:$BD$102,5)),RundDx)</f>
        <v>3949629</v>
      </c>
      <c r="FW34" s="25">
        <f>ROUND(v^($FM34+FaktorAlter)*VLOOKUP($FM34,$G$9:$J$102,4)*VLOOKUP($FM34,$A$9:$E$102,5)*0.5*(VLOOKUP($FM34-FW$103,Frauen!$G$9:$J$102,4)+VLOOKUP($FM34-FW$103+1,Frauen!$G$9:$J$102,4))*0.5*(VLOOKUP($FM34-FW$103,Frauen!$AZ$9:$BD$102,5)+VLOOKUP($FM34-FW$103+1,Frauen!$AZ$9:$BD$102,5)),RundDx)</f>
        <v>6242603</v>
      </c>
      <c r="FX34" s="25">
        <f>ROUND(v^($FM34+FaktorAlter)*VLOOKUP($FM34,$G$9:$J$102,4)*VLOOKUP($FM34,$A$9:$E$102,5)*0.5*(VLOOKUP($FM34-FX$103,Frauen!$G$9:$J$102,4)+VLOOKUP($FM34-FX$103+1,Frauen!$G$9:$J$102,4))*0.5*(VLOOKUP($FM34-FX$103,Frauen!$AZ$9:$BD$102,5)+VLOOKUP($FM34-FX$103+1,Frauen!$AZ$9:$BD$102,5)),RundDx)</f>
        <v>9451862</v>
      </c>
      <c r="FY34" s="25">
        <f>ROUND(v^($FM34+FaktorAlter)*VLOOKUP($FM34,$G$9:$J$102,4)*VLOOKUP($FM34,$A$9:$E$102,5)*0.5*(VLOOKUP($FM34-FY$103,Frauen!$G$9:$J$102,4)+VLOOKUP($FM34-FY$103+1,Frauen!$G$9:$J$102,4))*0.5*(VLOOKUP($FM34-FY$103,Frauen!$AZ$9:$BD$102,5)+VLOOKUP($FM34-FY$103+1,Frauen!$AZ$9:$BD$102,5)),RundDx)</f>
        <v>13794830</v>
      </c>
      <c r="FZ34" s="25">
        <f>ROUND(v^($FM34+FaktorAlter)*VLOOKUP($FM34,$G$9:$J$102,4)*VLOOKUP($FM34,$A$9:$E$102,5)*0.5*(VLOOKUP($FM34-FZ$103,Frauen!$G$9:$J$102,4)+VLOOKUP($FM34-FZ$103+1,Frauen!$G$9:$J$102,4))*0.5*(VLOOKUP($FM34-FZ$103,Frauen!$AZ$9:$BD$102,5)+VLOOKUP($FM34-FZ$103+1,Frauen!$AZ$9:$BD$102,5)),RundDx)</f>
        <v>19492039</v>
      </c>
      <c r="GA34" s="25">
        <f>ROUND(v^($FM34+FaktorAlter)*VLOOKUP($FM34,$G$9:$J$102,4)*VLOOKUP($FM34,$A$9:$E$102,5)*0.5*(VLOOKUP($FM34-GA$103,Frauen!$G$9:$J$102,4)+VLOOKUP($FM34-GA$103+1,Frauen!$G$9:$J$102,4))*0.5*(VLOOKUP($FM34-GA$103,Frauen!$AZ$9:$BD$102,5)+VLOOKUP($FM34-GA$103+1,Frauen!$AZ$9:$BD$102,5)),RundDx)</f>
        <v>26791266</v>
      </c>
      <c r="GB34" s="25">
        <f>ROUND(v^($FM34+FaktorAlter)*VLOOKUP($FM34,$G$9:$J$102,4)*VLOOKUP($FM34,$A$9:$E$102,5)*0.5*(VLOOKUP($FM34-GB$103,Frauen!$G$9:$J$102,4)+VLOOKUP($FM34-GB$103+1,Frauen!$G$9:$J$102,4))*0.5*(VLOOKUP($FM34-GB$103,Frauen!$AZ$9:$BD$102,5)+VLOOKUP($FM34-GB$103+1,Frauen!$AZ$9:$BD$102,5)),RundDx)</f>
        <v>35841498</v>
      </c>
      <c r="GC34" s="25">
        <f>ROUND(v^($FM34+FaktorAlter)*VLOOKUP($FM34,$G$9:$J$102,4)*VLOOKUP($FM34,$A$9:$E$102,5)*0.5*(VLOOKUP($FM34-GC$103,Frauen!$G$9:$J$102,4)+VLOOKUP($FM34-GC$103+1,Frauen!$G$9:$J$102,4))*0.5*(VLOOKUP($FM34-GC$103,Frauen!$AZ$9:$BD$102,5)+VLOOKUP($FM34-GC$103+1,Frauen!$AZ$9:$BD$102,5)),RundDx)</f>
        <v>46660385</v>
      </c>
      <c r="GD34" s="25">
        <f>ROUND(v^($FM34+FaktorAlter)*VLOOKUP($FM34,$G$9:$J$102,4)*VLOOKUP($FM34,$A$9:$E$102,5)*0.5*(VLOOKUP($FM34-GD$103,Frauen!$G$9:$J$102,4)+VLOOKUP($FM34-GD$103+1,Frauen!$G$9:$J$102,4))*0.5*(VLOOKUP($FM34-GD$103,Frauen!$AZ$9:$BD$102,5)+VLOOKUP($FM34-GD$103+1,Frauen!$AZ$9:$BD$102,5)),RundDx)</f>
        <v>59340731</v>
      </c>
      <c r="GE34" s="25">
        <f>ROUND(v^($FM34+FaktorAlter)*VLOOKUP($FM34,$G$9:$J$102,4)*VLOOKUP($FM34,$A$9:$E$102,5)*0.5*(VLOOKUP($FM34-GE$103,Frauen!$G$9:$J$102,4)+VLOOKUP($FM34-GE$103+1,Frauen!$G$9:$J$102,4))*0.5*(VLOOKUP($FM34-GE$103,Frauen!$AZ$9:$BD$102,5)+VLOOKUP($FM34-GE$103+1,Frauen!$AZ$9:$BD$102,5)),RundDx)</f>
        <v>73898806</v>
      </c>
      <c r="GF34" s="25">
        <f>ROUND(v^($FM34+FaktorAlter)*VLOOKUP($FM34,$G$9:$J$102,4)*VLOOKUP($FM34,$A$9:$E$102,5)*0.5*(VLOOKUP($FM34-GF$103,Frauen!$G$9:$J$102,4)+VLOOKUP($FM34-GF$103+1,Frauen!$G$9:$J$102,4))*0.5*(VLOOKUP($FM34-GF$103,Frauen!$AZ$9:$BD$102,5)+VLOOKUP($FM34-GF$103+1,Frauen!$AZ$9:$BD$102,5)),RundDx)</f>
        <v>90289665</v>
      </c>
      <c r="GG34" s="25">
        <f>ROUND(v^($FM34+FaktorAlter)*VLOOKUP($FM34,$G$9:$J$102,4)*VLOOKUP($FM34,$A$9:$E$102,5)*0.5*(VLOOKUP($FM34-GG$103,Frauen!$G$9:$J$102,4)+VLOOKUP($FM34-GG$103+1,Frauen!$G$9:$J$102,4))*0.5*(VLOOKUP($FM34-GG$103,Frauen!$AZ$9:$BD$102,5)+VLOOKUP($FM34-GG$103+1,Frauen!$AZ$9:$BD$102,5)),RundDx)</f>
        <v>108429887</v>
      </c>
      <c r="GH34" s="25">
        <f>ROUND(v^($FM34+FaktorAlter)*VLOOKUP($FM34,$G$9:$J$102,4)*VLOOKUP($FM34,$A$9:$E$102,5)*0.5*(VLOOKUP($FM34-GH$103,Frauen!$G$9:$J$102,4)+VLOOKUP($FM34-GH$103+1,Frauen!$G$9:$J$102,4))*0.5*(VLOOKUP($FM34-GH$103,Frauen!$AZ$9:$BD$102,5)+VLOOKUP($FM34-GH$103+1,Frauen!$AZ$9:$BD$102,5)),RundDx)</f>
        <v>128145401</v>
      </c>
      <c r="GI34" s="25">
        <f>ROUND(v^($FM34+FaktorAlter)*VLOOKUP($FM34,$G$9:$J$102,4)*VLOOKUP($FM34,$A$9:$E$102,5)*0.5*(VLOOKUP($FM34-GI$103,Frauen!$G$9:$J$102,4)+VLOOKUP($FM34-GI$103+1,Frauen!$G$9:$J$102,4))*0.5*(VLOOKUP($FM34-GI$103,Frauen!$AZ$9:$BD$102,5)+VLOOKUP($FM34-GI$103+1,Frauen!$AZ$9:$BD$102,5)),RundDx)</f>
        <v>149227274</v>
      </c>
      <c r="GJ34" s="25">
        <f>ROUND(v^($FM34+FaktorAlter)*VLOOKUP($FM34,$G$9:$J$102,4)*VLOOKUP($FM34,$A$9:$E$102,5)*0.5*(VLOOKUP($FM34-GJ$103,Frauen!$G$9:$J$102,4)+VLOOKUP($FM34-GJ$103+1,Frauen!$G$9:$J$102,4))*0.5*(VLOOKUP($FM34-GJ$103,Frauen!$AZ$9:$BD$102,5)+VLOOKUP($FM34-GJ$103+1,Frauen!$AZ$9:$BD$102,5)),RundDx)</f>
        <v>171468810</v>
      </c>
      <c r="GK34" s="25">
        <f>ROUND(v^($FM34+FaktorAlter)*VLOOKUP($FM34,$G$9:$J$102,4)*VLOOKUP($FM34,$A$9:$E$102,5)*0.5*(VLOOKUP($FM34-GK$103,Frauen!$G$9:$J$102,4)+VLOOKUP($FM34-GK$103+1,Frauen!$G$9:$J$102,4))*0.5*(VLOOKUP($FM34-GK$103,Frauen!$AZ$9:$BD$102,5)+VLOOKUP($FM34-GK$103+1,Frauen!$AZ$9:$BD$102,5)),RundDx)</f>
        <v>194625344</v>
      </c>
      <c r="GL34" s="25">
        <f>ROUND(v^($FM34+FaktorAlter)*VLOOKUP($FM34,$G$9:$J$102,4)*VLOOKUP($FM34,$A$9:$E$102,5)*0.5*(VLOOKUP($FM34-GL$103,Frauen!$G$9:$J$102,4)+VLOOKUP($FM34-GL$103+1,Frauen!$G$9:$J$102,4))*0.5*(VLOOKUP($FM34-GL$103,Frauen!$AZ$9:$BD$102,5)+VLOOKUP($FM34-GL$103+1,Frauen!$AZ$9:$BD$102,5)),RundDx)</f>
        <v>218465752</v>
      </c>
      <c r="GM34" s="25">
        <f>ROUND(v^($FM34+FaktorAlter)*VLOOKUP($FM34,$G$9:$J$102,4)*VLOOKUP($FM34,$A$9:$E$102,5)*0.5*(VLOOKUP($FM34-GM$103,Frauen!$G$9:$J$102,4)+VLOOKUP($FM34-GM$103+1,Frauen!$G$9:$J$102,4))*0.5*(VLOOKUP($FM34-GM$103,Frauen!$AZ$9:$BD$102,5)+VLOOKUP($FM34-GM$103+1,Frauen!$AZ$9:$BD$102,5)),RundDx)</f>
        <v>242832556</v>
      </c>
      <c r="GN34" s="25">
        <f>ROUND(v^($FM34+FaktorAlter)*VLOOKUP($FM34,$G$9:$J$102,4)*VLOOKUP($FM34,$A$9:$E$102,5)*0.5*(VLOOKUP($FM34-GN$103,Frauen!$G$9:$J$102,4)+VLOOKUP($FM34-GN$103+1,Frauen!$G$9:$J$102,4))*0.5*(VLOOKUP($FM34-GN$103,Frauen!$AZ$9:$BD$102,5)+VLOOKUP($FM34-GN$103+1,Frauen!$AZ$9:$BD$102,5)),RundDx)</f>
        <v>267648481</v>
      </c>
      <c r="GO34" s="25">
        <f>ROUND(v^($FM34+FaktorAlter)*VLOOKUP($FM34,$G$9:$J$102,4)*VLOOKUP($FM34,$A$9:$E$102,5)*0.5*(VLOOKUP($FM34-GO$103,Frauen!$G$9:$J$102,4)+VLOOKUP($FM34-GO$103+1,Frauen!$G$9:$J$102,4))*0.5*(VLOOKUP($FM34-GO$103,Frauen!$AZ$9:$BD$102,5)+VLOOKUP($FM34-GO$103+1,Frauen!$AZ$9:$BD$102,5)),RundDx)</f>
        <v>292808290</v>
      </c>
      <c r="GP34" s="25">
        <f>ROUND(v^($FM34+FaktorAlter)*VLOOKUP($FM34,$G$9:$J$102,4)*VLOOKUP($FM34,$A$9:$E$102,5)*0.5*(VLOOKUP($FM34-GP$103,Frauen!$G$9:$J$102,4)+VLOOKUP($FM34-GP$103+1,Frauen!$G$9:$J$102,4))*0.5*(VLOOKUP($FM34-GP$103,Frauen!$AZ$9:$BD$102,5)+VLOOKUP($FM34-GP$103+1,Frauen!$AZ$9:$BD$102,5)),RundDx)</f>
        <v>318291326</v>
      </c>
      <c r="GQ34" s="25">
        <f>ROUND(v^($FM34+FaktorAlter)*VLOOKUP($FM34,$G$9:$J$102,4)*VLOOKUP($FM34,$A$9:$E$102,5)*0.5*(VLOOKUP($FM34-GQ$103,Frauen!$G$9:$J$102,4)+VLOOKUP($FM34-GQ$103+1,Frauen!$G$9:$J$102,4))*0.5*(VLOOKUP($FM34-GQ$103,Frauen!$AZ$9:$BD$102,5)+VLOOKUP($FM34-GQ$103+1,Frauen!$AZ$9:$BD$102,5)),RundDx)</f>
        <v>344159790</v>
      </c>
      <c r="GR34" s="25">
        <f>ROUND(v^($FM34+FaktorAlter)*VLOOKUP($FM34,$G$9:$J$102,4)*VLOOKUP($FM34,$A$9:$E$102,5)*0.5*(VLOOKUP($FM34-GR$103,Frauen!$G$9:$J$102,4)+VLOOKUP($FM34-GR$103+1,Frauen!$G$9:$J$102,4))*0.5*(VLOOKUP($FM34-GR$103,Frauen!$AZ$9:$BD$102,5)+VLOOKUP($FM34-GR$103+1,Frauen!$AZ$9:$BD$102,5)),RundDx)</f>
        <v>370438867</v>
      </c>
      <c r="GS34" s="24"/>
      <c r="GT34" s="24"/>
      <c r="GU34" s="24">
        <f>ROUND(SUM(FP34:FP$56)/VLOOKUP($FM34,$AQ$9:$AR$102,2)/VLOOKUP($FM34-GU$103,Frauen!$G$9:$J$102,4),Rundäx)</f>
        <v>8.6999999999999994E-2</v>
      </c>
      <c r="GV34" s="24">
        <f>ROUND(SUM(FQ34:FQ$56)/VLOOKUP($FM34,$AQ$9:$AR$102,2)/VLOOKUP($FM34-GV$103,Frauen!$G$9:$J$102,4),Rundäx)</f>
        <v>0.16</v>
      </c>
      <c r="GW34" s="24">
        <f>ROUND(SUM(FR34:FR$56)/VLOOKUP($FM34,$AQ$9:$AR$102,2)/VLOOKUP($FM34-GW$103,Frauen!$G$9:$J$102,4),Rundäx)</f>
        <v>0.23</v>
      </c>
      <c r="GX34" s="24">
        <f>ROUND(SUM(FS34:FS$56)/VLOOKUP($FM34,$AQ$9:$AR$102,2)/VLOOKUP($FM34-GX$103,Frauen!$G$9:$J$102,4),Rundäx)</f>
        <v>0.30599999999999999</v>
      </c>
      <c r="GY34" s="24">
        <f>ROUND(SUM(FT34:FT$56)/VLOOKUP($FM34,$AQ$9:$AR$102,2)/VLOOKUP($FM34-GY$103,Frauen!$G$9:$J$102,4),Rundäx)</f>
        <v>0.38900000000000001</v>
      </c>
      <c r="GZ34" s="24">
        <f>ROUND(SUM(FU34:FU$56)/VLOOKUP($FM34,$AQ$9:$AR$102,2)/VLOOKUP($FM34-GZ$103,Frauen!$G$9:$J$102,4),Rundäx)</f>
        <v>0.48299999999999998</v>
      </c>
      <c r="HA34" s="86"/>
      <c r="HB34" s="35">
        <f t="shared" si="63"/>
        <v>90</v>
      </c>
      <c r="HC34" s="24">
        <f>ROUND(SUM(FV34:FV$56)/VLOOKUP($FM34,$AQ$9:$AR$102,2)/VLOOKUP($FM34-HC$103,Frauen!$G$9:$J$102,4),Rundäx)</f>
        <v>0.58899999999999997</v>
      </c>
      <c r="HD34" s="24">
        <f>ROUND(SUM(FW34:FW$56)/VLOOKUP($FM34,$AQ$9:$AR$102,2)/VLOOKUP($FM34-HD$103,Frauen!$G$9:$J$102,4),Rundäx)</f>
        <v>0.70899999999999996</v>
      </c>
      <c r="HE34" s="24">
        <f>ROUND(SUM(FX34:FX$56)/VLOOKUP($FM34,$AQ$9:$AR$102,2)/VLOOKUP($FM34-HE$103,Frauen!$G$9:$J$102,4),Rundäx)</f>
        <v>0.84299999999999997</v>
      </c>
      <c r="HF34" s="24">
        <f>ROUND(SUM(FY34:FY$56)/VLOOKUP($FM34,$AQ$9:$AR$102,2)/VLOOKUP($FM34-HF$103,Frauen!$G$9:$J$102,4),Rundäx)</f>
        <v>0.995</v>
      </c>
      <c r="HG34" s="24">
        <f>ROUND(SUM(FZ34:FZ$56)/VLOOKUP($FM34,$AQ$9:$AR$102,2)/VLOOKUP($FM34-HG$103,Frauen!$G$9:$J$102,4),Rundäx)</f>
        <v>1.1639999999999999</v>
      </c>
      <c r="HH34" s="24">
        <f>ROUND(SUM(GA34:GA$56)/VLOOKUP($FM34,$AQ$9:$AR$102,2)/VLOOKUP($FM34-HH$103,Frauen!$G$9:$J$102,4),Rundäx)</f>
        <v>1.353</v>
      </c>
      <c r="HI34" s="24">
        <f>ROUND(SUM(GB34:GB$56)/VLOOKUP($FM34,$AQ$9:$AR$102,2)/VLOOKUP($FM34-HI$103,Frauen!$G$9:$J$102,4),Rundäx)</f>
        <v>1.5629999999999999</v>
      </c>
      <c r="HJ34" s="24">
        <f>ROUND(SUM(GC34:GC$56)/VLOOKUP($FM34,$AQ$9:$AR$102,2)/VLOOKUP($FM34-HJ$103,Frauen!$G$9:$J$102,4),Rundäx)</f>
        <v>1.7929999999999999</v>
      </c>
      <c r="HK34" s="86"/>
      <c r="HL34" s="35">
        <f t="shared" si="64"/>
        <v>90</v>
      </c>
      <c r="HM34" s="24">
        <f>ROUND(SUM(GD34:GD$56)/VLOOKUP($FM34,$AQ$9:$AR$102,2)/VLOOKUP($FM34-HM$103,Frauen!$G$9:$J$102,4),Rundäx)</f>
        <v>2.0449999999999999</v>
      </c>
      <c r="HN34" s="24">
        <f>ROUND(SUM(GE34:GE$56)/VLOOKUP($FM34,$AQ$9:$AR$102,2)/VLOOKUP($FM34-HN$103,Frauen!$G$9:$J$102,4),Rundäx)</f>
        <v>2.3210000000000002</v>
      </c>
      <c r="HO34" s="24">
        <f>ROUND(SUM(GF34:GF$56)/VLOOKUP($FM34,$AQ$9:$AR$102,2)/VLOOKUP($FM34-HO$103,Frauen!$G$9:$J$102,4),Rundäx)</f>
        <v>2.62</v>
      </c>
      <c r="HP34" s="24">
        <f>ROUND(SUM(GG34:GG$56)/VLOOKUP($FM34,$AQ$9:$AR$102,2)/VLOOKUP($FM34-HP$103,Frauen!$G$9:$J$102,4),Rundäx)</f>
        <v>2.9460000000000002</v>
      </c>
      <c r="HQ34" s="24">
        <f>ROUND(SUM(GH34:GH$56)/VLOOKUP($FM34,$AQ$9:$AR$102,2)/VLOOKUP($FM34-HQ$103,Frauen!$G$9:$J$102,4),Rundäx)</f>
        <v>3.2989999999999999</v>
      </c>
      <c r="HR34" s="24">
        <f>ROUND(SUM(GI34:GI$56)/VLOOKUP($FM34,$AQ$9:$AR$102,2)/VLOOKUP($FM34-HR$103,Frauen!$G$9:$J$102,4),Rundäx)</f>
        <v>3.68</v>
      </c>
      <c r="HS34" s="24">
        <f>ROUND(SUM(GJ34:GJ$56)/VLOOKUP($FM34,$AQ$9:$AR$102,2)/VLOOKUP($FM34-HS$103,Frauen!$G$9:$J$102,4),Rundäx)</f>
        <v>4.0880000000000001</v>
      </c>
      <c r="HT34" s="24">
        <f>ROUND(SUM(GK34:GK$56)/VLOOKUP($FM34,$AQ$9:$AR$102,2)/VLOOKUP($FM34-HT$103,Frauen!$G$9:$J$102,4),Rundäx)</f>
        <v>4.5229999999999997</v>
      </c>
      <c r="HU34" s="86"/>
      <c r="HV34" s="35">
        <f t="shared" si="65"/>
        <v>90</v>
      </c>
      <c r="HW34" s="24">
        <f>ROUND(SUM(GL34:GL$56)/VLOOKUP($FM34,$AQ$9:$AR$102,2)/VLOOKUP($FM34-HW$103,Frauen!$G$9:$J$102,4),Rundäx)</f>
        <v>4.9820000000000002</v>
      </c>
      <c r="HX34" s="24">
        <f>ROUND(SUM(GM34:GM$56)/VLOOKUP($FM34,$AQ$9:$AR$102,2)/VLOOKUP($FM34-HX$103,Frauen!$G$9:$J$102,4),Rundäx)</f>
        <v>5.4619999999999997</v>
      </c>
      <c r="HY34" s="24">
        <f>ROUND(SUM(GN34:GN$56)/VLOOKUP($FM34,$AQ$9:$AR$102,2)/VLOOKUP($FM34-HY$103,Frauen!$G$9:$J$102,4),Rundäx)</f>
        <v>5.9610000000000003</v>
      </c>
      <c r="HZ34" s="24">
        <f>ROUND(SUM(GO34:GO$56)/VLOOKUP($FM34,$AQ$9:$AR$102,2)/VLOOKUP($FM34-HZ$103,Frauen!$G$9:$J$102,4),Rundäx)</f>
        <v>6.4729999999999999</v>
      </c>
      <c r="IA34" s="24">
        <f>ROUND(SUM(GP34:GP$56)/VLOOKUP($FM34,$AQ$9:$AR$102,2)/VLOOKUP($FM34-IA$103,Frauen!$G$9:$J$102,4),Rundäx)</f>
        <v>6.9939999999999998</v>
      </c>
      <c r="IB34" s="24">
        <f>ROUND(SUM(GQ34:GQ$56)/VLOOKUP($FM34,$AQ$9:$AR$102,2)/VLOOKUP($FM34-IB$103,Frauen!$G$9:$J$102,4),Rundäx)</f>
        <v>7.52</v>
      </c>
      <c r="IC34" s="24">
        <f>ROUND(SUM(GR34:GR$56)/VLOOKUP($FM34,$AQ$9:$AR$102,2)/VLOOKUP($FM34-IC$103,Frauen!$G$9:$J$102,4),Rundäx)</f>
        <v>8.0470000000000006</v>
      </c>
      <c r="ID34" s="89"/>
      <c r="IE34" s="35">
        <f t="shared" si="66"/>
        <v>42</v>
      </c>
      <c r="IF34" s="25">
        <f t="shared" si="31"/>
        <v>786</v>
      </c>
      <c r="IG34" s="25">
        <f>IF($IE34&lt;RAM,IF(S35&lt;=RAK,ROUND(SUM(IF34:INDEX(Dakx,RAM-BeginnAlter))+INDEX(Dax,RAM-BeginnAlter+1)*INDEX(äkx,1),RundDx),0),"")</f>
        <v>6984</v>
      </c>
      <c r="IH34" s="25">
        <f>IF($IE34&lt;RAM,IF(S35&lt;=RAK,ROUND(SUM(IG34:INDEX(Nakx,RAM-BeginnAlter))+INDEX(Dax,RAM-BeginnAlter+1)*INDEX(äkx,1),RundDx),0),"")</f>
        <v>48093</v>
      </c>
      <c r="II34" s="24">
        <f t="shared" si="32"/>
        <v>0.185</v>
      </c>
      <c r="IJ34" s="25">
        <f t="shared" si="33"/>
        <v>15748</v>
      </c>
      <c r="IK34" s="25">
        <f>IF($IE34&lt;RAM,IF(S35&lt;=RAK,SUM(IJ34:INDEX(Dikx,RAM-BeginnAlter))+INDEX(Dix,RAM-BeginnAlter+1)*INDEX(äkx,1),0),"")</f>
        <v>95528.831999999995</v>
      </c>
      <c r="IL34" s="24">
        <f t="shared" si="34"/>
        <v>1.7050000000000001</v>
      </c>
      <c r="IM34" s="86"/>
      <c r="IN34" s="35">
        <f t="shared" si="67"/>
        <v>90</v>
      </c>
      <c r="IO34" s="25"/>
      <c r="IP34" s="25"/>
      <c r="IQ34" s="24"/>
      <c r="IR34" s="86"/>
    </row>
    <row r="35" spans="1:252" ht="15.75" customHeight="1" x14ac:dyDescent="0.25">
      <c r="A35" s="35">
        <f t="shared" si="41"/>
        <v>43</v>
      </c>
      <c r="B35" s="77">
        <v>1.3422568118282299E-3</v>
      </c>
      <c r="C35" s="77">
        <v>1.9639515327881229E-3</v>
      </c>
      <c r="D35" s="77">
        <v>1.9957265297164802E-2</v>
      </c>
      <c r="E35" s="77">
        <v>1.716177011400366E-3</v>
      </c>
      <c r="F35" s="86"/>
      <c r="G35" s="35">
        <f t="shared" si="42"/>
        <v>43</v>
      </c>
      <c r="H35" s="25">
        <f t="shared" si="37"/>
        <v>95987</v>
      </c>
      <c r="I35" s="25">
        <f t="shared" si="38"/>
        <v>1905</v>
      </c>
      <c r="J35" s="25">
        <f t="shared" si="39"/>
        <v>97892</v>
      </c>
      <c r="K35" s="30">
        <f>IF(J35&gt;0,ROUND(SUM(J35:J$102)/J35-0.5,Rundex),"")</f>
        <v>36.799999999999997</v>
      </c>
      <c r="L35" s="25">
        <f t="shared" si="0"/>
        <v>139834</v>
      </c>
      <c r="M35" s="30">
        <f>IF(L35&gt;0,ROUND(SUM(L35:L$102)/L35-0.5,Rundex),"")</f>
        <v>28.57</v>
      </c>
      <c r="N35" s="86"/>
      <c r="O35" s="35">
        <f t="shared" si="43"/>
        <v>43</v>
      </c>
      <c r="P35" s="43">
        <v>0.71519085944492811</v>
      </c>
      <c r="Q35" s="78">
        <v>41.550535774502031</v>
      </c>
      <c r="R35" s="43">
        <v>1.1699780786443192</v>
      </c>
      <c r="S35" s="78">
        <v>11.43708244231664</v>
      </c>
      <c r="T35" s="15">
        <v>1.7235769294208225E-3</v>
      </c>
      <c r="U35" s="11">
        <f t="shared" si="40"/>
        <v>97892</v>
      </c>
      <c r="V35" s="30">
        <f>IF(U35&gt;0,ROUND(SUM(U35:U$102)/U35-0.5,Rundex),"")</f>
        <v>34.4</v>
      </c>
      <c r="W35" s="86"/>
      <c r="X35" s="35">
        <f t="shared" si="44"/>
        <v>43</v>
      </c>
      <c r="Y35" s="25">
        <f t="shared" si="1"/>
        <v>36871</v>
      </c>
      <c r="Z35" s="25">
        <f>IF($X35&lt;RAM,SUM(Y35:INDEX(Dax,RAM-BeginnAlter))," ")</f>
        <v>596460</v>
      </c>
      <c r="AA35" s="25">
        <f t="shared" si="2"/>
        <v>49</v>
      </c>
      <c r="AB35" s="25">
        <f>IF($X35&lt;RAM,SUM(AA35:INDEX(Cax,RAM-BeginnAlter))," ")</f>
        <v>1971</v>
      </c>
      <c r="AC35" s="25">
        <f t="shared" si="3"/>
        <v>72</v>
      </c>
      <c r="AD35" s="25">
        <f>IF($X35&lt;RAM,SUM(AC35:INDEX(Caix,RAM-BeginnAlter))," ")</f>
        <v>7095</v>
      </c>
      <c r="AE35" s="24">
        <f t="shared" si="4"/>
        <v>16.177</v>
      </c>
      <c r="AF35" s="24">
        <f t="shared" si="5"/>
        <v>15.901999999999999</v>
      </c>
      <c r="AG35" s="86"/>
      <c r="AH35" s="35">
        <f t="shared" si="45"/>
        <v>43</v>
      </c>
      <c r="AI35" s="25">
        <f t="shared" si="6"/>
        <v>53714</v>
      </c>
      <c r="AJ35" s="25">
        <f>IF($AH35&gt;RAM," ",IF($AH35&lt;RAM,SUM(AI35:INDEX(Dix,RAM-BeginnAlter))+INDEX(Nx,RAM-BeginnAlter+1),INDEX(Nx,RAM-BeginnAlter+1)))</f>
        <v>1077671</v>
      </c>
      <c r="AK35" s="25">
        <f>IF($AH35&lt;RAM,SUM(AI35:INDEX(Dix,RAM-BeginnAlter))," ")</f>
        <v>780424</v>
      </c>
      <c r="AL35" s="24">
        <f t="shared" si="7"/>
        <v>20.062999999999999</v>
      </c>
      <c r="AM35" s="24">
        <f t="shared" si="8"/>
        <v>19.605</v>
      </c>
      <c r="AN35" s="24">
        <f t="shared" si="9"/>
        <v>14.529</v>
      </c>
      <c r="AO35" s="24">
        <f t="shared" si="10"/>
        <v>14.246</v>
      </c>
      <c r="AP35" s="86"/>
      <c r="AQ35" s="35">
        <f t="shared" si="46"/>
        <v>43</v>
      </c>
      <c r="AR35" s="25">
        <f t="shared" si="11"/>
        <v>37603</v>
      </c>
      <c r="AS35" s="25">
        <f>SUM(AR35:AR$94)</f>
        <v>938832</v>
      </c>
      <c r="AT35" s="25">
        <f>IF($AQ35&lt;RAM,SUM(AR35:INDEX(Dx,RAM-BeginnAlter))," ")</f>
        <v>641585</v>
      </c>
      <c r="AU35" s="24">
        <f t="shared" si="12"/>
        <v>24.966999999999999</v>
      </c>
      <c r="AV35" s="24">
        <f t="shared" si="13"/>
        <v>24.509</v>
      </c>
      <c r="AW35" s="24">
        <f t="shared" si="14"/>
        <v>17.062000000000001</v>
      </c>
      <c r="AX35" s="24">
        <f t="shared" si="15"/>
        <v>16.853000000000002</v>
      </c>
      <c r="AY35" s="86"/>
      <c r="AZ35" s="35">
        <f t="shared" si="47"/>
        <v>43</v>
      </c>
      <c r="BA35" s="25">
        <f t="shared" si="16"/>
        <v>37603</v>
      </c>
      <c r="BB35" s="25">
        <f>SUM(BA35:BA$94)</f>
        <v>896780</v>
      </c>
      <c r="BC35" s="24">
        <f t="shared" si="17"/>
        <v>23.849</v>
      </c>
      <c r="BD35" s="24">
        <f t="shared" si="18"/>
        <v>23.39</v>
      </c>
      <c r="BE35" s="86"/>
      <c r="BF35" s="35">
        <f t="shared" si="48"/>
        <v>26</v>
      </c>
      <c r="BG35" s="24" t="str">
        <f t="shared" si="19"/>
        <v/>
      </c>
      <c r="BH35" s="24" t="str">
        <f t="shared" si="20"/>
        <v/>
      </c>
      <c r="BI35" s="86"/>
      <c r="BJ35" s="35">
        <f t="shared" si="49"/>
        <v>43</v>
      </c>
      <c r="BK35" s="25">
        <f t="shared" si="21"/>
        <v>1398</v>
      </c>
      <c r="BL35" s="25">
        <f>IF(BJ35&lt;RAM,SUM(BK35:INDEX(Daix,RAM-BeginnAlter))," ")</f>
        <v>113497</v>
      </c>
      <c r="BM35" s="25">
        <f>IF(BJ35&lt;RAM,SUM(BL35:INDEX(Naix,RAM-BeginnAlter))," ")</f>
        <v>1762204</v>
      </c>
      <c r="BN35" s="24">
        <f t="shared" si="22"/>
        <v>5.6340000000000003</v>
      </c>
      <c r="BO35" s="24">
        <f t="shared" si="23"/>
        <v>3.0779999999999998</v>
      </c>
      <c r="BP35" s="86"/>
      <c r="BQ35" s="35">
        <f t="shared" si="50"/>
        <v>43</v>
      </c>
      <c r="BR35" s="25">
        <f t="shared" si="51"/>
        <v>1006</v>
      </c>
      <c r="BS35" s="25">
        <f>IF(BQ35&lt;RAM,SUM(BR35:INDEX(Daixs,RAM-BeginnAlter))," ")</f>
        <v>37310</v>
      </c>
      <c r="BT35" s="25">
        <f>IF(BQ35&lt;RAM,SUM(BS35:INDEX(Naixs,RAM-BeginnAlter))," ")</f>
        <v>463748</v>
      </c>
      <c r="BU35" s="24">
        <f t="shared" si="52"/>
        <v>7.7009999999999996</v>
      </c>
      <c r="BV35" s="24">
        <f t="shared" si="53"/>
        <v>1.012</v>
      </c>
      <c r="BW35" s="86"/>
      <c r="BX35" s="35">
        <f t="shared" si="54"/>
        <v>43</v>
      </c>
      <c r="BY35" s="10">
        <f t="shared" si="24"/>
        <v>10.27481616715756</v>
      </c>
      <c r="BZ35" s="11">
        <f t="shared" si="25"/>
        <v>834</v>
      </c>
      <c r="CA35" s="25">
        <f>IF(S36&lt;=RAK,IF($BX35&lt;RAM,SUM(BZ35:INDEX(Dazx,RAM-BeginnAlter)),""),"")</f>
        <v>9740</v>
      </c>
      <c r="CB35" s="24">
        <f t="shared" si="26"/>
        <v>0.26400000000000001</v>
      </c>
      <c r="CC35" s="25">
        <f t="shared" si="27"/>
        <v>26738</v>
      </c>
      <c r="CD35" s="24">
        <f t="shared" si="28"/>
        <v>18.228999999999999</v>
      </c>
      <c r="CE35" s="24">
        <f t="shared" si="29"/>
        <v>2.8000000000000001E-2</v>
      </c>
      <c r="CF35" s="86"/>
      <c r="CG35" s="35">
        <f t="shared" si="55"/>
        <v>43</v>
      </c>
      <c r="CH35" s="25">
        <f>IF(CG35&lt;RAM,ROUND(v^($CG35+FaktorAlter)*$H35*($B35*0.5*($P35+$P36)*(VLOOKUP(TRUNC(0.5*($Q35+$Q36),0),Frauen!$AZ$9:$BD$95,5)+(0.5*($Q35+$Q36)-TRUNC(0.5*($Q35+$Q36),0))*(VLOOKUP(TRUNC(0.5*($Q35+$Q36)+1,0),Frauen!$AZ$9:$BD$95,5)-VLOOKUP(TRUNC(0.5*($Q35+$Q36),0),Frauen!$AZ$9:$BD$95,5)))+$C35*0.5*($CN35+$CN36)),RundDx),"")</f>
        <v>1475</v>
      </c>
      <c r="CI35" s="25">
        <f>IF(CG35&lt;RAM,ROUND(SUM(CH35:INDEX(Dawx,RAM-BeginnAlter))+INDEX(Dax,RAM-BeginnAlter+1)*INDEX(äwx,1),RundDx),"")</f>
        <v>153287</v>
      </c>
      <c r="CJ35" s="25">
        <f>IF(CG35&lt;RAM,ROUND(SUM(CI35:INDEX(Nawx,RAM-BeginnAlter))+INDEX(Dax,RAM-BeginnAlter+1)*INDEX(äwx,1),RundDx),"")</f>
        <v>2886657</v>
      </c>
      <c r="CK35" s="24">
        <f t="shared" si="56"/>
        <v>4.157</v>
      </c>
      <c r="CL35" s="25">
        <f>IF(CG35&lt;RAM,ROUND(v^($CG35+FaktorAlter)*$L35*$D35*0.5*($P35+$P36)*(VLOOKUP(TRUNC(0.5*($Q35+$Q36),0),Frauen!$AZ$9:$BD$95,5)+(0.5*($Q35+$Q36)-TRUNC(0.5*($Q35+$Q36),0))*(VLOOKUP(TRUNC(0.5*($Q35+$Q36)+1,0),Frauen!$AZ$9:$BD$95,5)-VLOOKUP(TRUNC(0.5*($Q35+$Q36),0),Frauen!$AZ$9:$BD$95,5))),RundDx),"")</f>
        <v>20486</v>
      </c>
      <c r="CM35" s="25">
        <f>IF(CG35&lt;RAM,SUM(CL35:INDEX(Diwx,RAM-BeginnAlter))+INDEX(Dix,RAM-BeginnAlter+1)*INDEX(äwx,1),"")</f>
        <v>399355.41399999999</v>
      </c>
      <c r="CN35" s="24">
        <f t="shared" si="57"/>
        <v>7.4349999999999996</v>
      </c>
      <c r="CO35" s="86"/>
      <c r="CP35" s="35">
        <f t="shared" si="58"/>
        <v>91</v>
      </c>
      <c r="CQ35" s="11">
        <f>ROUND(v^($CP35+FaktorAlter)*VLOOKUP(CP35,G$9:J$102,4)*VLOOKUP(CP35,A$9:E$102,5)*0.5*(VLOOKUP(CP35,O$9:P$102,2)+VLOOKUP(CP35+1,O$9:P$102,2))*(VLOOKUP(TRUNC(0.5*(VLOOKUP(CP35,O$9:Q$102,3)+VLOOKUP(CP35+1,O$9:Q$102,3)),0),Frauen!$AZ$9:$BD$95,5)+(0.5*(VLOOKUP(CP35,O$9:Q$102,3)+VLOOKUP(CP35+1,O$9:Q$102,3))-TRUNC(0.5*(VLOOKUP(CP35,O$9:Q$102,3)+VLOOKUP(CP35+1,O$9:Q$102,3)),0))*(VLOOKUP(TRUNC(0.5*(VLOOKUP(CP35,O$9:Q$102,3)+VLOOKUP(CP35+1,O$9:Q$102,3))+1,0),Frauen!$AZ$9:$BD$95,5)-VLOOKUP(TRUNC(0.5*(VLOOKUP(CP35,O$9:Q$102,3)+VLOOKUP(CP35+1,O$9:Q$102,3)),0),Frauen!$AZ$9:$BD$95,5))),RundDx)</f>
        <v>1096</v>
      </c>
      <c r="CR35" s="25">
        <f>SUM(CQ35:CQ$56)</f>
        <v>3410</v>
      </c>
      <c r="CS35" s="24">
        <f t="shared" si="30"/>
        <v>1.734</v>
      </c>
      <c r="CT35" s="86"/>
      <c r="CU35" s="35">
        <f t="shared" si="59"/>
        <v>43</v>
      </c>
      <c r="CV35" s="25">
        <f>IF($CU35&gt;=RAM,"",IF($CU35-CV$103&lt;BeginnAlter,"",ROUND(v^($CU35+FaktorAlter)*$L35*$D35*0.5*(VLOOKUP($CU35-CV$103,Frauen!$G$9:$J$102,4)+VLOOKUP($CU35-CV$103+1,Frauen!$G$9:$J$102,4))*0.5*(VLOOKUP($CU35-CV$103,Frauen!$AZ$9:$BD$102,5)+VLOOKUP($CU35-CV$103+1,Frauen!$AZ$9:$BD$102,5)),RundDx)))</f>
        <v>1959071657</v>
      </c>
      <c r="CW35" s="25">
        <f>IF($CU35&gt;=RAM,"",IF($CU35-CW$103&lt;BeginnAlter,"",ROUND(v^($CU35+FaktorAlter)*$L35*$D35*0.5*(VLOOKUP($CU35-CW$103,Frauen!$G$9:$J$102,4)+VLOOKUP($CU35-CW$103+1,Frauen!$G$9:$J$102,4))*0.5*(VLOOKUP($CU35-CW$103,Frauen!$AZ$9:$BD$102,5)+VLOOKUP($CU35-CW$103+1,Frauen!$AZ$9:$BD$102,5)),RundDx)))</f>
        <v>2015751902</v>
      </c>
      <c r="CX35" s="25">
        <f>IF($CU35&gt;=RAM,"",IF($CU35-CX$103&lt;BeginnAlter,"",ROUND(v^($CU35+FaktorAlter)*$L35*$D35*0.5*(VLOOKUP($CU35-CX$103,Frauen!$G$9:$J$102,4)+VLOOKUP($CU35-CX$103+1,Frauen!$G$9:$J$102,4))*0.5*(VLOOKUP($CU35-CX$103,Frauen!$AZ$9:$BD$102,5)+VLOOKUP($CU35-CX$103+1,Frauen!$AZ$9:$BD$102,5)),RundDx)))</f>
        <v>2071752836</v>
      </c>
      <c r="CY35" s="25">
        <f>IF($CU35&gt;=RAM,"",IF($CU35-CY$103&lt;BeginnAlter,"",ROUND(v^($CU35+FaktorAlter)*$L35*$D35*0.5*(VLOOKUP($CU35-CY$103,Frauen!$G$9:$J$102,4)+VLOOKUP($CU35-CY$103+1,Frauen!$G$9:$J$102,4))*0.5*(VLOOKUP($CU35-CY$103,Frauen!$AZ$9:$BD$102,5)+VLOOKUP($CU35-CY$103+1,Frauen!$AZ$9:$BD$102,5)),RundDx)))</f>
        <v>2127207783</v>
      </c>
      <c r="CZ35" s="25">
        <f>IF($CU35&gt;=RAM,"",IF($CU35-CZ$103&lt;BeginnAlter,"",ROUND(v^($CU35+FaktorAlter)*$L35*$D35*0.5*(VLOOKUP($CU35-CZ$103,Frauen!$G$9:$J$102,4)+VLOOKUP($CU35-CZ$103+1,Frauen!$G$9:$J$102,4))*0.5*(VLOOKUP($CU35-CZ$103,Frauen!$AZ$9:$BD$102,5)+VLOOKUP($CU35-CZ$103+1,Frauen!$AZ$9:$BD$102,5)),RundDx)))</f>
        <v>2182179791</v>
      </c>
      <c r="DA35" s="25">
        <f>IF($CU35&gt;=RAM,"",IF($CU35-DA$103&lt;BeginnAlter,"",ROUND(v^($CU35+FaktorAlter)*$L35*$D35*0.5*(VLOOKUP($CU35-DA$103,Frauen!$G$9:$J$102,4)+VLOOKUP($CU35-DA$103+1,Frauen!$G$9:$J$102,4))*0.5*(VLOOKUP($CU35-DA$103,Frauen!$AZ$9:$BD$102,5)+VLOOKUP($CU35-DA$103+1,Frauen!$AZ$9:$BD$102,5)),RundDx)))</f>
        <v>2236566371</v>
      </c>
      <c r="DB35" s="25">
        <f>IF($CU35&gt;=RAM,"",IF($CU35-DB$103&lt;BeginnAlter,"",ROUND(v^($CU35+FaktorAlter)*$L35*$D35*0.5*(VLOOKUP($CU35-DB$103,Frauen!$G$9:$J$102,4)+VLOOKUP($CU35-DB$103+1,Frauen!$G$9:$J$102,4))*0.5*(VLOOKUP($CU35-DB$103,Frauen!$AZ$9:$BD$102,5)+VLOOKUP($CU35-DB$103+1,Frauen!$AZ$9:$BD$102,5)),RundDx)))</f>
        <v>2290413683</v>
      </c>
      <c r="DC35" s="25">
        <f>IF($CU35&gt;=RAM,"",IF($CU35-DC$103&lt;BeginnAlter,"",ROUND(v^($CU35+FaktorAlter)*$L35*$D35*0.5*(VLOOKUP($CU35-DC$103,Frauen!$G$9:$J$102,4)+VLOOKUP($CU35-DC$103+1,Frauen!$G$9:$J$102,4))*0.5*(VLOOKUP($CU35-DC$103,Frauen!$AZ$9:$BD$102,5)+VLOOKUP($CU35-DC$103+1,Frauen!$AZ$9:$BD$102,5)),RundDx)))</f>
        <v>2343609795</v>
      </c>
      <c r="DD35" s="25">
        <f>IF($CU35&gt;=RAM,"",IF($CU35-DD$103&lt;BeginnAlter,"",ROUND(v^($CU35+FaktorAlter)*$L35*$D35*0.5*(VLOOKUP($CU35-DD$103,Frauen!$G$9:$J$102,4)+VLOOKUP($CU35-DD$103+1,Frauen!$G$9:$J$102,4))*0.5*(VLOOKUP($CU35-DD$103,Frauen!$AZ$9:$BD$102,5)+VLOOKUP($CU35-DD$103+1,Frauen!$AZ$9:$BD$102,5)),RundDx)))</f>
        <v>2395908134</v>
      </c>
      <c r="DE35" s="25">
        <f>IF($CU35&gt;=RAM,"",IF($CU35-DE$103&lt;BeginnAlter,"",ROUND(v^($CU35+FaktorAlter)*$L35*$D35*0.5*(VLOOKUP($CU35-DE$103,Frauen!$G$9:$J$102,4)+VLOOKUP($CU35-DE$103+1,Frauen!$G$9:$J$102,4))*0.5*(VLOOKUP($CU35-DE$103,Frauen!$AZ$9:$BD$102,5)+VLOOKUP($CU35-DE$103+1,Frauen!$AZ$9:$BD$102,5)),RundDx)))</f>
        <v>2447154555</v>
      </c>
      <c r="DF35" s="25">
        <f>IF($CU35&gt;=RAM,"",IF($CU35-DF$103&lt;BeginnAlter,"",ROUND(v^($CU35+FaktorAlter)*$L35*$D35*0.5*(VLOOKUP($CU35-DF$103,Frauen!$G$9:$J$102,4)+VLOOKUP($CU35-DF$103+1,Frauen!$G$9:$J$102,4))*0.5*(VLOOKUP($CU35-DF$103,Frauen!$AZ$9:$BD$102,5)+VLOOKUP($CU35-DF$103+1,Frauen!$AZ$9:$BD$102,5)),RundDx)))</f>
        <v>2497300603</v>
      </c>
      <c r="DG35" s="25">
        <f>IF($CU35&gt;=RAM,"",IF($CU35-DG$103&lt;BeginnAlter,"",ROUND(v^($CU35+FaktorAlter)*$L35*$D35*0.5*(VLOOKUP($CU35-DG$103,Frauen!$G$9:$J$102,4)+VLOOKUP($CU35-DG$103+1,Frauen!$G$9:$J$102,4))*0.5*(VLOOKUP($CU35-DG$103,Frauen!$AZ$9:$BD$102,5)+VLOOKUP($CU35-DG$103+1,Frauen!$AZ$9:$BD$102,5)),RundDx)))</f>
        <v>2546352936</v>
      </c>
      <c r="DH35" s="25">
        <f>IF($CU35&gt;=RAM,"",IF($CU35-DH$103&lt;BeginnAlter,"",ROUND(v^($CU35+FaktorAlter)*$L35*$D35*0.5*(VLOOKUP($CU35-DH$103,Frauen!$G$9:$J$102,4)+VLOOKUP($CU35-DH$103+1,Frauen!$G$9:$J$102,4))*0.5*(VLOOKUP($CU35-DH$103,Frauen!$AZ$9:$BD$102,5)+VLOOKUP($CU35-DH$103+1,Frauen!$AZ$9:$BD$102,5)),RundDx)))</f>
        <v>2594360570</v>
      </c>
      <c r="DI35" s="25">
        <f>IF($CU35&gt;=RAM,"",IF($CU35-DI$103&lt;BeginnAlter,"",ROUND(v^($CU35+FaktorAlter)*$L35*$D35*0.5*(VLOOKUP($CU35-DI$103,Frauen!$G$9:$J$102,4)+VLOOKUP($CU35-DI$103+1,Frauen!$G$9:$J$102,4))*0.5*(VLOOKUP($CU35-DI$103,Frauen!$AZ$9:$BD$102,5)+VLOOKUP($CU35-DI$103+1,Frauen!$AZ$9:$BD$102,5)),RundDx)))</f>
        <v>2641257969</v>
      </c>
      <c r="DJ35" s="25">
        <f>IF($CU35&gt;=RAM,"",IF($CU35-DJ$103&lt;BeginnAlter,"",ROUND(v^($CU35+FaktorAlter)*$L35*$D35*0.5*(VLOOKUP($CU35-DJ$103,Frauen!$G$9:$J$102,4)+VLOOKUP($CU35-DJ$103+1,Frauen!$G$9:$J$102,4))*0.5*(VLOOKUP($CU35-DJ$103,Frauen!$AZ$9:$BD$102,5)+VLOOKUP($CU35-DJ$103+1,Frauen!$AZ$9:$BD$102,5)),RundDx)))</f>
        <v>2687060378</v>
      </c>
      <c r="DK35" s="25">
        <f>IF($CU35&gt;=RAM,"",IF($CU35-DK$103&lt;BeginnAlter,"",ROUND(v^($CU35+FaktorAlter)*$L35*$D35*0.5*(VLOOKUP($CU35-DK$103,Frauen!$G$9:$J$102,4)+VLOOKUP($CU35-DK$103+1,Frauen!$G$9:$J$102,4))*0.5*(VLOOKUP($CU35-DK$103,Frauen!$AZ$9:$BD$102,5)+VLOOKUP($CU35-DK$103+1,Frauen!$AZ$9:$BD$102,5)),RundDx)))</f>
        <v>2731876925</v>
      </c>
      <c r="DL35" s="25">
        <f>IF($CU35&gt;=RAM,"",IF($CU35-DL$103&lt;BeginnAlter,"",ROUND(v^($CU35+FaktorAlter)*$L35*$D35*0.5*(VLOOKUP($CU35-DL$103,Frauen!$G$9:$J$102,4)+VLOOKUP($CU35-DL$103+1,Frauen!$G$9:$J$102,4))*0.5*(VLOOKUP($CU35-DL$103,Frauen!$AZ$9:$BD$102,5)+VLOOKUP($CU35-DL$103+1,Frauen!$AZ$9:$BD$102,5)),RundDx)))</f>
        <v>2775729185</v>
      </c>
      <c r="DM35" s="25">
        <f>IF($CU35&gt;=RAM,"",IF($CU35-DM$103&lt;BeginnAlter,"",ROUND(v^($CU35+FaktorAlter)*$L35*$D35*0.5*(VLOOKUP($CU35-DM$103,Frauen!$G$9:$J$102,4)+VLOOKUP($CU35-DM$103+1,Frauen!$G$9:$J$102,4))*0.5*(VLOOKUP($CU35-DM$103,Frauen!$AZ$9:$BD$102,5)+VLOOKUP($CU35-DM$103+1,Frauen!$AZ$9:$BD$102,5)),RundDx)))</f>
        <v>2818627487</v>
      </c>
      <c r="DN35" s="25">
        <f>IF($CU35&gt;=RAM,"",IF($CU35-DN$103&lt;BeginnAlter,"",ROUND(v^($CU35+FaktorAlter)*$L35*$D35*0.5*(VLOOKUP($CU35-DN$103,Frauen!$G$9:$J$102,4)+VLOOKUP($CU35-DN$103+1,Frauen!$G$9:$J$102,4))*0.5*(VLOOKUP($CU35-DN$103,Frauen!$AZ$9:$BD$102,5)+VLOOKUP($CU35-DN$103+1,Frauen!$AZ$9:$BD$102,5)),RundDx)))</f>
        <v>2860569819</v>
      </c>
      <c r="DO35" s="25">
        <f>IF($CU35&gt;=RAM,"",IF($CU35-DO$103&lt;BeginnAlter,"",ROUND(v^($CU35+FaktorAlter)*$L35*$D35*0.5*(VLOOKUP($CU35-DO$103,Frauen!$G$9:$J$102,4)+VLOOKUP($CU35-DO$103+1,Frauen!$G$9:$J$102,4))*0.5*(VLOOKUP($CU35-DO$103,Frauen!$AZ$9:$BD$102,5)+VLOOKUP($CU35-DO$103+1,Frauen!$AZ$9:$BD$102,5)),RundDx)))</f>
        <v>2901584774</v>
      </c>
      <c r="DP35" s="25">
        <f>IF($CU35&gt;=RAM,"",IF($CU35-DP$103&lt;BeginnAlter,"",ROUND(v^($CU35+FaktorAlter)*$L35*$D35*0.5*(VLOOKUP($CU35-DP$103,Frauen!$G$9:$J$102,4)+VLOOKUP($CU35-DP$103+1,Frauen!$G$9:$J$102,4))*0.5*(VLOOKUP($CU35-DP$103,Frauen!$AZ$9:$BD$102,5)+VLOOKUP($CU35-DP$103+1,Frauen!$AZ$9:$BD$102,5)),RundDx)))</f>
        <v>2941688851</v>
      </c>
      <c r="DQ35" s="25">
        <f>IF($CU35&gt;=RAM,"",IF($CU35-DQ$103&lt;BeginnAlter,"",ROUND(v^($CU35+FaktorAlter)*$L35*$D35*0.5*(VLOOKUP($CU35-DQ$103,Frauen!$G$9:$J$102,4)+VLOOKUP($CU35-DQ$103+1,Frauen!$G$9:$J$102,4))*0.5*(VLOOKUP($CU35-DQ$103,Frauen!$AZ$9:$BD$102,5)+VLOOKUP($CU35-DQ$103+1,Frauen!$AZ$9:$BD$102,5)),RundDx)))</f>
        <v>2980953005</v>
      </c>
      <c r="DR35" s="25">
        <f>IF($CU35&gt;=RAM,"",IF($CU35-DR$103&lt;BeginnAlter,"",ROUND(v^($CU35+FaktorAlter)*$L35*$D35*0.5*(VLOOKUP($CU35-DR$103,Frauen!$G$9:$J$102,4)+VLOOKUP($CU35-DR$103+1,Frauen!$G$9:$J$102,4))*0.5*(VLOOKUP($CU35-DR$103,Frauen!$AZ$9:$BD$102,5)+VLOOKUP($CU35-DR$103+1,Frauen!$AZ$9:$BD$102,5)),RundDx)))</f>
        <v>3019450184</v>
      </c>
      <c r="DS35" s="25">
        <f>IF($CU35&gt;=RAM,"",IF($CU35-DS$103&lt;BeginnAlter,"",ROUND(v^($CU35+FaktorAlter)*$L35*$D35*0.5*(VLOOKUP($CU35-DS$103,Frauen!$G$9:$J$102,4)+VLOOKUP($CU35-DS$103+1,Frauen!$G$9:$J$102,4))*0.5*(VLOOKUP($CU35-DS$103,Frauen!$AZ$9:$BD$102,5)+VLOOKUP($CU35-DS$103+1,Frauen!$AZ$9:$BD$102,5)),RundDx)))</f>
        <v>3057202600</v>
      </c>
      <c r="DT35" s="25">
        <f>IF($CU35&gt;=RAM,"",IF($CU35-DT$103&lt;BeginnAlter,"",ROUND(v^($CU35+FaktorAlter)*$L35*$D35*0.5*(VLOOKUP($CU35-DT$103,Frauen!$G$9:$J$102,4)+VLOOKUP($CU35-DT$103+1,Frauen!$G$9:$J$102,4))*0.5*(VLOOKUP($CU35-DT$103,Frauen!$AZ$9:$BD$102,5)+VLOOKUP($CU35-DT$103+1,Frauen!$AZ$9:$BD$102,5)),RundDx)))</f>
        <v>3094181456</v>
      </c>
      <c r="DU35" s="25">
        <f>IF($CU35&gt;=RAM,"",IF($CU35-DU$103&lt;BeginnAlter,"",ROUND(v^($CU35+FaktorAlter)*$L35*$D35*0.5*(VLOOKUP($CU35-DU$103,Frauen!$G$9:$J$102,4)+VLOOKUP($CU35-DU$103+1,Frauen!$G$9:$J$102,4))*0.5*(VLOOKUP($CU35-DU$103,Frauen!$AZ$9:$BD$102,5)+VLOOKUP($CU35-DU$103+1,Frauen!$AZ$9:$BD$102,5)),RundDx)))</f>
        <v>3130396367</v>
      </c>
      <c r="DV35" s="25">
        <f>IF($CU35&gt;=RAM,"",IF($CU35-DV$103&lt;BeginnAlter,"",ROUND(v^($CU35+FaktorAlter)*$L35*$D35*0.5*(VLOOKUP($CU35-DV$103,Frauen!$G$9:$J$102,4)+VLOOKUP($CU35-DV$103+1,Frauen!$G$9:$J$102,4))*0.5*(VLOOKUP($CU35-DV$103,Frauen!$AZ$9:$BD$102,5)+VLOOKUP($CU35-DV$103+1,Frauen!$AZ$9:$BD$102,5)),RundDx)))</f>
        <v>3165857809</v>
      </c>
      <c r="DW35" s="25">
        <f>IF($CU35&gt;=RAM,"",IF($CU35-DW$103&lt;BeginnAlter,"",ROUND(v^($CU35+FaktorAlter)*$L35*$D35*0.5*(VLOOKUP($CU35-DW$103,Frauen!$G$9:$J$102,4)+VLOOKUP($CU35-DW$103+1,Frauen!$G$9:$J$102,4))*0.5*(VLOOKUP($CU35-DW$103,Frauen!$AZ$9:$BD$102,5)+VLOOKUP($CU35-DW$103+1,Frauen!$AZ$9:$BD$102,5)),RundDx)))</f>
        <v>3200629843</v>
      </c>
      <c r="DX35" s="25">
        <f>IF($CU35&gt;=RAM,"",IF($CU35-DX$103&lt;BeginnAlter,"",ROUND(v^($CU35+FaktorAlter)*$L35*$D35*0.5*(VLOOKUP($CU35-DX$103,Frauen!$G$9:$J$102,4)+VLOOKUP($CU35-DX$103+1,Frauen!$G$9:$J$102,4))*0.5*(VLOOKUP($CU35-DX$103,Frauen!$AZ$9:$BD$102,5)+VLOOKUP($CU35-DX$103+1,Frauen!$AZ$9:$BD$102,5)),RundDx)))</f>
        <v>3234724650</v>
      </c>
      <c r="DY35" s="25">
        <f>IF($CU35&gt;=RAM,"",IF($CU35-DY$103&lt;BeginnAlter,"",ROUND(v^($CU35+FaktorAlter)*$L35*$D35*0.5*(VLOOKUP($CU35-DY$103,Frauen!$G$9:$J$102,4)+VLOOKUP($CU35-DY$103+1,Frauen!$G$9:$J$102,4))*0.5*(VLOOKUP($CU35-DY$103,Frauen!$AZ$9:$BD$102,5)+VLOOKUP($CU35-DY$103+1,Frauen!$AZ$9:$BD$102,5)),RundDx)))</f>
        <v>3268102349</v>
      </c>
      <c r="DZ35" s="25">
        <f>IF($CU35&gt;=RAM,"",IF($CU35-DZ$103&lt;BeginnAlter,"",ROUND(v^($CU35+FaktorAlter)*$L35*$D35*0.5*(VLOOKUP($CU35-DZ$103,Frauen!$G$9:$J$102,4)+VLOOKUP($CU35-DZ$103+1,Frauen!$G$9:$J$102,4))*0.5*(VLOOKUP($CU35-DZ$103,Frauen!$AZ$9:$BD$102,5)+VLOOKUP($CU35-DZ$103+1,Frauen!$AZ$9:$BD$102,5)),RundDx)))</f>
        <v>3300759956</v>
      </c>
      <c r="EA35" s="43">
        <f>IF($CU35&gt;=RAM,"",IF($CU35-EA$103&lt;BeginnAlter,"",ROUND((SUM(CV35:CV$56)+SUM(FN$9:FN$56))/VLOOKUP($CU35,$AH$9:$AI$102,2)/VLOOKUP($CU35-EA$103,Frauen!$G$9:$J$102,4),Rundäx)))</f>
        <v>4.4640000000000004</v>
      </c>
      <c r="EB35" s="43">
        <f>IF($CU35&gt;=RAM,"",IF($CU35-EB$103&lt;BeginnAlter,"",ROUND((SUM(CW35:CW$56)+SUM(FO$9:FO$56))/VLOOKUP($CU35,$AH$9:$AI$102,2)/VLOOKUP($CU35-EB$103,Frauen!$G$9:$J$102,4),Rundäx)))</f>
        <v>4.6769999999999996</v>
      </c>
      <c r="EC35" s="43">
        <f>IF($CU35&gt;=RAM,"",IF($CU35-EC$103&lt;BeginnAlter,"",ROUND((SUM(CX35:CX$56)+SUM(FP$9:FP$56))/VLOOKUP($CU35,$AH$9:$AI$102,2)/VLOOKUP($CU35-EC$103,Frauen!$G$9:$J$102,4),Rundäx)))</f>
        <v>4.8940000000000001</v>
      </c>
      <c r="ED35" s="43">
        <f>IF($CU35&gt;=RAM,"",IF($CU35-ED$103&lt;BeginnAlter,"",ROUND((SUM(CY35:CY$56)+SUM(FQ$9:FQ$56))/VLOOKUP($CU35,$AH$9:$AI$102,2)/VLOOKUP($CU35-ED$103,Frauen!$G$9:$J$102,4),Rundäx)))</f>
        <v>5.1150000000000002</v>
      </c>
      <c r="EE35" s="43">
        <f>IF($CU35&gt;=RAM,"",IF($CU35-EE$103&lt;BeginnAlter,"",ROUND((SUM(CZ35:CZ$56)+SUM(FR$9:FR$56))/VLOOKUP($CU35,$AH$9:$AI$102,2)/VLOOKUP($CU35-EE$103,Frauen!$G$9:$J$102,4),Rundäx)))</f>
        <v>5.3410000000000002</v>
      </c>
      <c r="EF35" s="43">
        <f>IF($CU35&gt;=RAM,"",IF($CU35-EF$103&lt;BeginnAlter,"",ROUND((SUM(DA35:DA$56)+SUM(FS$9:FS$56))/VLOOKUP($CU35,$AH$9:$AI$102,2)/VLOOKUP($CU35-EF$103,Frauen!$G$9:$J$102,4),Rundäx)))</f>
        <v>5.5720000000000001</v>
      </c>
      <c r="EG35" s="43">
        <f>IF($CU35&gt;=RAM,"",IF($CU35-EG$103&lt;BeginnAlter,"",ROUND((SUM(DB35:DB$56)+SUM(FT$9:FT$56))/VLOOKUP($CU35,$AH$9:$AI$102,2)/VLOOKUP($CU35-EG$103,Frauen!$G$9:$J$102,4),Rundäx)))</f>
        <v>5.8070000000000004</v>
      </c>
      <c r="EH35" s="43">
        <f>IF($CU35&gt;=RAM,"",IF($CU35-EH$103&lt;BeginnAlter,"",ROUND((SUM(DC35:DC$56)+SUM(FU$9:FU$56))/VLOOKUP($CU35,$AH$9:$AI$102,2)/VLOOKUP($CU35-EH$103,Frauen!$G$9:$J$102,4),Rundäx)))</f>
        <v>6.0449999999999999</v>
      </c>
      <c r="EI35" s="86"/>
      <c r="EJ35" s="35">
        <f t="shared" si="60"/>
        <v>43</v>
      </c>
      <c r="EK35" s="43">
        <f>IF($CU35&gt;=RAM,"",IF($CU35-EK$103&lt;BeginnAlter,"",ROUND((SUM(DD35:DD$56)+SUM(FV$9:FV$56))/VLOOKUP($CU35,$AH$9:$AI$102,2)/VLOOKUP($CU35-EK$103,Frauen!$G$9:$J$102,4),Rundäx)))</f>
        <v>6.2880000000000003</v>
      </c>
      <c r="EL35" s="43">
        <f>IF($CU35&gt;=RAM,"",IF($CU35-EL$103&lt;BeginnAlter,"",ROUND((SUM(DE35:DE$56)+SUM(FW$9:FW$56))/VLOOKUP($CU35,$AH$9:$AI$102,2)/VLOOKUP($CU35-EL$103,Frauen!$G$9:$J$102,4),Rundäx)))</f>
        <v>6.5350000000000001</v>
      </c>
      <c r="EM35" s="43">
        <f>IF($CU35&gt;=RAM,"",IF($CU35-EM$103&lt;BeginnAlter,"",ROUND((SUM(DF35:DF$56)+SUM(FX$9:FX$56))/VLOOKUP($CU35,$AH$9:$AI$102,2)/VLOOKUP($CU35-EM$103,Frauen!$G$9:$J$102,4),Rundäx)))</f>
        <v>6.7859999999999996</v>
      </c>
      <c r="EN35" s="43">
        <f>IF($CU35&gt;=RAM,"",IF($CU35-EN$103&lt;BeginnAlter,"",ROUND((SUM(DG35:DG$56)+SUM(FY$9:FY$56))/VLOOKUP($CU35,$AH$9:$AI$102,2)/VLOOKUP($CU35-EN$103,Frauen!$G$9:$J$102,4),Rundäx)))</f>
        <v>7.0410000000000004</v>
      </c>
      <c r="EO35" s="43">
        <f>IF($CU35&gt;=RAM,"",IF($CU35-EO$103&lt;BeginnAlter,"",ROUND((SUM(DH35:DH$56)+SUM(FZ$9:FZ$56))/VLOOKUP($CU35,$AH$9:$AI$102,2)/VLOOKUP($CU35-EO$103,Frauen!$G$9:$J$102,4),Rundäx)))</f>
        <v>7.2990000000000004</v>
      </c>
      <c r="EP35" s="43">
        <f>IF($CU35&gt;=RAM,"",IF($CU35-EP$103&lt;BeginnAlter,"",ROUND((SUM(DI35:DI$56)+SUM(GA$9:GA$56))/VLOOKUP($CU35,$AH$9:$AI$102,2)/VLOOKUP($CU35-EP$103,Frauen!$G$9:$J$102,4),Rundäx)))</f>
        <v>7.56</v>
      </c>
      <c r="EQ35" s="43">
        <f>IF($CU35&gt;=RAM,"",IF($CU35-EQ$103&lt;BeginnAlter,"",ROUND((SUM(DJ35:DJ$56)+SUM(GB$9:GB$56))/VLOOKUP($CU35,$AH$9:$AI$102,2)/VLOOKUP($CU35-EQ$103,Frauen!$G$9:$J$102,4),Rundäx)))</f>
        <v>7.8239999999999998</v>
      </c>
      <c r="ER35" s="43">
        <f>IF($CU35&gt;=RAM,"",IF($CU35-ER$103&lt;BeginnAlter,"",ROUND((SUM(DK35:DK$56)+SUM(GC$9:GC$56))/VLOOKUP($CU35,$AH$9:$AI$102,2)/VLOOKUP($CU35-ER$103,Frauen!$G$9:$J$102,4),Rundäx)))</f>
        <v>8.0909999999999993</v>
      </c>
      <c r="ES35" s="86"/>
      <c r="ET35" s="35">
        <f t="shared" si="61"/>
        <v>43</v>
      </c>
      <c r="EU35" s="43">
        <f>IF($CU35&gt;=RAM,"",IF($CU35-EU$103&lt;BeginnAlter,"",ROUND((SUM(DL35:DL$56)+SUM(GD$9:GD$56))/VLOOKUP($CU35,$AH$9:$AI$102,2)/VLOOKUP($CU35-EU$103,Frauen!$G$9:$J$102,4),Rundäx)))</f>
        <v>8.36</v>
      </c>
      <c r="EV35" s="43">
        <f>IF($CU35&gt;=RAM,"",IF($CU35-EV$103&lt;BeginnAlter,"",ROUND((SUM(DM35:DM$56)+SUM(GE$9:GE$56))/VLOOKUP($CU35,$AH$9:$AI$102,2)/VLOOKUP($CU35-EV$103,Frauen!$G$9:$J$102,4),Rundäx)))</f>
        <v>8.6310000000000002</v>
      </c>
      <c r="EW35" s="43">
        <f>IF($CU35&gt;=RAM,"",IF($CU35-EW$103&lt;BeginnAlter,"",ROUND((SUM(DN35:DN$56)+SUM(GF$9:GF$56))/VLOOKUP($CU35,$AH$9:$AI$102,2)/VLOOKUP($CU35-EW$103,Frauen!$G$9:$J$102,4),Rundäx)))</f>
        <v>8.9039999999999999</v>
      </c>
      <c r="EX35" s="43">
        <f>IF($CU35&gt;=RAM,"",IF($CU35-EX$103&lt;BeginnAlter,"",ROUND((SUM(DO35:DO$56)+SUM(GG$9:GG$56))/VLOOKUP($CU35,$AH$9:$AI$102,2)/VLOOKUP($CU35-EX$103,Frauen!$G$9:$J$102,4),Rundäx)))</f>
        <v>9.1780000000000008</v>
      </c>
      <c r="EY35" s="43">
        <f>IF($CU35&gt;=RAM,"",IF($CU35-EY$103&lt;BeginnAlter,"",ROUND((SUM(DP35:DP$56)+SUM(GH$9:GH$56))/VLOOKUP($CU35,$AH$9:$AI$102,2)/VLOOKUP($CU35-EY$103,Frauen!$G$9:$J$102,4),Rundäx)))</f>
        <v>9.4529999999999994</v>
      </c>
      <c r="EZ35" s="43">
        <f>IF($CU35&gt;=RAM,"",IF($CU35-EZ$103&lt;BeginnAlter,"",ROUND((SUM(DQ35:DQ$56)+SUM(GI$9:GI$56))/VLOOKUP($CU35,$AH$9:$AI$102,2)/VLOOKUP($CU35-EZ$103,Frauen!$G$9:$J$102,4),Rundäx)))</f>
        <v>9.7270000000000003</v>
      </c>
      <c r="FA35" s="43">
        <f>IF($CU35&gt;=RAM,"",IF($CU35-FA$103&lt;BeginnAlter,"",ROUND((SUM(DR35:DR$56)+SUM(GJ$9:GJ$56))/VLOOKUP($CU35,$AH$9:$AI$102,2)/VLOOKUP($CU35-FA$103,Frauen!$G$9:$J$102,4),Rundäx)))</f>
        <v>10.002000000000001</v>
      </c>
      <c r="FB35" s="43">
        <f>IF($CU35&gt;=RAM,"",IF($CU35-FB$103&lt;BeginnAlter,"",ROUND((SUM(DS35:DS$56)+SUM(GK$9:GK$56))/VLOOKUP($CU35,$AH$9:$AI$102,2)/VLOOKUP($CU35-FB$103,Frauen!$G$9:$J$102,4),Rundäx)))</f>
        <v>10.276</v>
      </c>
      <c r="FC35" s="86"/>
      <c r="FD35" s="35">
        <f t="shared" si="62"/>
        <v>43</v>
      </c>
      <c r="FE35" s="43">
        <f>IF($CU35&gt;=RAM,"",IF($CU35-FE$103&lt;BeginnAlter,"",ROUND((SUM(DT35:DT$56)+SUM(GL$9:GL$56))/VLOOKUP($CU35,$AH$9:$AI$102,2)/VLOOKUP($CU35-FE$103,Frauen!$G$9:$J$102,4),Rundäx)))</f>
        <v>10.55</v>
      </c>
      <c r="FF35" s="43">
        <f>IF($CU35&gt;=RAM,"",IF($CU35-FF$103&lt;BeginnAlter,"",ROUND((SUM(DU35:DU$56)+SUM(GM$9:GM$56))/VLOOKUP($CU35,$AH$9:$AI$102,2)/VLOOKUP($CU35-FF$103,Frauen!$G$9:$J$102,4),Rundäx)))</f>
        <v>10.821</v>
      </c>
      <c r="FG35" s="43">
        <f>IF($CU35&gt;=RAM,"",IF($CU35-FG$103&lt;BeginnAlter,"",ROUND((SUM(DV35:DV$56)+SUM(GN$9:GN$56))/VLOOKUP($CU35,$AH$9:$AI$102,2)/VLOOKUP($CU35-FG$103,Frauen!$G$9:$J$102,4),Rundäx)))</f>
        <v>11.090999999999999</v>
      </c>
      <c r="FH35" s="43">
        <f>IF($CU35&gt;=RAM,"",IF($CU35-FH$103&lt;BeginnAlter,"",ROUND((SUM(DW35:DW$56)+SUM(GO$9:GO$56))/VLOOKUP($CU35,$AH$9:$AI$102,2)/VLOOKUP($CU35-FH$103,Frauen!$G$9:$J$102,4),Rundäx)))</f>
        <v>11.359</v>
      </c>
      <c r="FI35" s="43">
        <f>IF($CU35&gt;=RAM,"",IF($CU35-FI$103&lt;BeginnAlter,"",ROUND((SUM(DX35:DX$56)+SUM(GP$9:GP$56))/VLOOKUP($CU35,$AH$9:$AI$102,2)/VLOOKUP($CU35-FI$103,Frauen!$G$9:$J$102,4),Rundäx)))</f>
        <v>11.625</v>
      </c>
      <c r="FJ35" s="43">
        <f>IF($CU35&gt;=RAM,"",IF($CU35-FJ$103&lt;BeginnAlter,"",ROUND((SUM(DY35:DY$56)+SUM(GQ$9:GQ$56))/VLOOKUP($CU35,$AH$9:$AI$102,2)/VLOOKUP($CU35-FJ$103,Frauen!$G$9:$J$102,4),Rundäx)))</f>
        <v>11.888</v>
      </c>
      <c r="FK35" s="43">
        <f>IF($CU35&gt;=RAM,"",IF($CU35-FK$103&lt;BeginnAlter,"",ROUND((SUM(DZ35:DZ$56)+SUM(GR$9:GR$56))/VLOOKUP($CU35,$AH$9:$AI$102,2)/VLOOKUP($CU35-FK$103,Frauen!$G$9:$J$102,4),Rundäx)))</f>
        <v>12.148</v>
      </c>
      <c r="FL35" s="86"/>
      <c r="FM35" s="35">
        <f t="shared" si="68"/>
        <v>91</v>
      </c>
      <c r="FN35" s="25"/>
      <c r="FO35" s="25"/>
      <c r="FP35" s="25"/>
      <c r="FQ35" s="25">
        <f>ROUND(v^($FM35+FaktorAlter)*VLOOKUP($FM35,$G$9:$J$102,4)*VLOOKUP($FM35,$A$9:$E$102,5)*0.5*(VLOOKUP($FM35-FQ$103,Frauen!$G$9:$J$102,4)+VLOOKUP($FM35-FQ$103+1,Frauen!$G$9:$J$102,4))*0.5*(VLOOKUP($FM35-FQ$103,Frauen!$AZ$9:$BD$102,5)+VLOOKUP($FM35-FQ$103+1,Frauen!$AZ$9:$BD$102,5)),RundDx)</f>
        <v>28516</v>
      </c>
      <c r="FR35" s="25">
        <f>ROUND(v^($FM35+FaktorAlter)*VLOOKUP($FM35,$G$9:$J$102,4)*VLOOKUP($FM35,$A$9:$E$102,5)*0.5*(VLOOKUP($FM35-FR$103,Frauen!$G$9:$J$102,4)+VLOOKUP($FM35-FR$103+1,Frauen!$G$9:$J$102,4))*0.5*(VLOOKUP($FM35-FR$103,Frauen!$AZ$9:$BD$102,5)+VLOOKUP($FM35-FR$103+1,Frauen!$AZ$9:$BD$102,5)),RundDx)</f>
        <v>107423</v>
      </c>
      <c r="FS35" s="25">
        <f>ROUND(v^($FM35+FaktorAlter)*VLOOKUP($FM35,$G$9:$J$102,4)*VLOOKUP($FM35,$A$9:$E$102,5)*0.5*(VLOOKUP($FM35-FS$103,Frauen!$G$9:$J$102,4)+VLOOKUP($FM35-FS$103+1,Frauen!$G$9:$J$102,4))*0.5*(VLOOKUP($FM35-FS$103,Frauen!$AZ$9:$BD$102,5)+VLOOKUP($FM35-FS$103+1,Frauen!$AZ$9:$BD$102,5)),RundDx)</f>
        <v>281146</v>
      </c>
      <c r="FT35" s="25">
        <f>ROUND(v^($FM35+FaktorAlter)*VLOOKUP($FM35,$G$9:$J$102,4)*VLOOKUP($FM35,$A$9:$E$102,5)*0.5*(VLOOKUP($FM35-FT$103,Frauen!$G$9:$J$102,4)+VLOOKUP($FM35-FT$103+1,Frauen!$G$9:$J$102,4))*0.5*(VLOOKUP($FM35-FT$103,Frauen!$AZ$9:$BD$102,5)+VLOOKUP($FM35-FT$103+1,Frauen!$AZ$9:$BD$102,5)),RundDx)</f>
        <v>617740</v>
      </c>
      <c r="FU35" s="25">
        <f>ROUND(v^($FM35+FaktorAlter)*VLOOKUP($FM35,$G$9:$J$102,4)*VLOOKUP($FM35,$A$9:$E$102,5)*0.5*(VLOOKUP($FM35-FU$103,Frauen!$G$9:$J$102,4)+VLOOKUP($FM35-FU$103+1,Frauen!$G$9:$J$102,4))*0.5*(VLOOKUP($FM35-FU$103,Frauen!$AZ$9:$BD$102,5)+VLOOKUP($FM35-FU$103+1,Frauen!$AZ$9:$BD$102,5)),RundDx)</f>
        <v>1197499</v>
      </c>
      <c r="FV35" s="25">
        <f>ROUND(v^($FM35+FaktorAlter)*VLOOKUP($FM35,$G$9:$J$102,4)*VLOOKUP($FM35,$A$9:$E$102,5)*0.5*(VLOOKUP($FM35-FV$103,Frauen!$G$9:$J$102,4)+VLOOKUP($FM35-FV$103+1,Frauen!$G$9:$J$102,4))*0.5*(VLOOKUP($FM35-FV$103,Frauen!$AZ$9:$BD$102,5)+VLOOKUP($FM35-FV$103+1,Frauen!$AZ$9:$BD$102,5)),RundDx)</f>
        <v>2135203</v>
      </c>
      <c r="FW35" s="25">
        <f>ROUND(v^($FM35+FaktorAlter)*VLOOKUP($FM35,$G$9:$J$102,4)*VLOOKUP($FM35,$A$9:$E$102,5)*0.5*(VLOOKUP($FM35-FW$103,Frauen!$G$9:$J$102,4)+VLOOKUP($FM35-FW$103+1,Frauen!$G$9:$J$102,4))*0.5*(VLOOKUP($FM35-FW$103,Frauen!$AZ$9:$BD$102,5)+VLOOKUP($FM35-FW$103+1,Frauen!$AZ$9:$BD$102,5)),RundDx)</f>
        <v>3556668</v>
      </c>
      <c r="FX35" s="25">
        <f>ROUND(v^($FM35+FaktorAlter)*VLOOKUP($FM35,$G$9:$J$102,4)*VLOOKUP($FM35,$A$9:$E$102,5)*0.5*(VLOOKUP($FM35-FX$103,Frauen!$G$9:$J$102,4)+VLOOKUP($FM35-FX$103+1,Frauen!$G$9:$J$102,4))*0.5*(VLOOKUP($FM35-FX$103,Frauen!$AZ$9:$BD$102,5)+VLOOKUP($FM35-FX$103+1,Frauen!$AZ$9:$BD$102,5)),RundDx)</f>
        <v>5621507</v>
      </c>
      <c r="FY35" s="25">
        <f>ROUND(v^($FM35+FaktorAlter)*VLOOKUP($FM35,$G$9:$J$102,4)*VLOOKUP($FM35,$A$9:$E$102,5)*0.5*(VLOOKUP($FM35-FY$103,Frauen!$G$9:$J$102,4)+VLOOKUP($FM35-FY$103+1,Frauen!$G$9:$J$102,4))*0.5*(VLOOKUP($FM35-FY$103,Frauen!$AZ$9:$BD$102,5)+VLOOKUP($FM35-FY$103+1,Frauen!$AZ$9:$BD$102,5)),RundDx)</f>
        <v>8511466</v>
      </c>
      <c r="FZ35" s="25">
        <f>ROUND(v^($FM35+FaktorAlter)*VLOOKUP($FM35,$G$9:$J$102,4)*VLOOKUP($FM35,$A$9:$E$102,5)*0.5*(VLOOKUP($FM35-FZ$103,Frauen!$G$9:$J$102,4)+VLOOKUP($FM35-FZ$103+1,Frauen!$G$9:$J$102,4))*0.5*(VLOOKUP($FM35-FZ$103,Frauen!$AZ$9:$BD$102,5)+VLOOKUP($FM35-FZ$103+1,Frauen!$AZ$9:$BD$102,5)),RundDx)</f>
        <v>12422338</v>
      </c>
      <c r="GA35" s="25">
        <f>ROUND(v^($FM35+FaktorAlter)*VLOOKUP($FM35,$G$9:$J$102,4)*VLOOKUP($FM35,$A$9:$E$102,5)*0.5*(VLOOKUP($FM35-GA$103,Frauen!$G$9:$J$102,4)+VLOOKUP($FM35-GA$103+1,Frauen!$G$9:$J$102,4))*0.5*(VLOOKUP($FM35-GA$103,Frauen!$AZ$9:$BD$102,5)+VLOOKUP($FM35-GA$103+1,Frauen!$AZ$9:$BD$102,5)),RundDx)</f>
        <v>17552714</v>
      </c>
      <c r="GB35" s="25">
        <f>ROUND(v^($FM35+FaktorAlter)*VLOOKUP($FM35,$G$9:$J$102,4)*VLOOKUP($FM35,$A$9:$E$102,5)*0.5*(VLOOKUP($FM35-GB$103,Frauen!$G$9:$J$102,4)+VLOOKUP($FM35-GB$103+1,Frauen!$G$9:$J$102,4))*0.5*(VLOOKUP($FM35-GB$103,Frauen!$AZ$9:$BD$102,5)+VLOOKUP($FM35-GB$103+1,Frauen!$AZ$9:$BD$102,5)),RundDx)</f>
        <v>24125718</v>
      </c>
      <c r="GC35" s="25">
        <f>ROUND(v^($FM35+FaktorAlter)*VLOOKUP($FM35,$G$9:$J$102,4)*VLOOKUP($FM35,$A$9:$E$102,5)*0.5*(VLOOKUP($FM35-GC$103,Frauen!$G$9:$J$102,4)+VLOOKUP($FM35-GC$103+1,Frauen!$G$9:$J$102,4))*0.5*(VLOOKUP($FM35-GC$103,Frauen!$AZ$9:$BD$102,5)+VLOOKUP($FM35-GC$103+1,Frauen!$AZ$9:$BD$102,5)),RundDx)</f>
        <v>32275514</v>
      </c>
      <c r="GD35" s="25">
        <f>ROUND(v^($FM35+FaktorAlter)*VLOOKUP($FM35,$G$9:$J$102,4)*VLOOKUP($FM35,$A$9:$E$102,5)*0.5*(VLOOKUP($FM35-GD$103,Frauen!$G$9:$J$102,4)+VLOOKUP($FM35-GD$103+1,Frauen!$G$9:$J$102,4))*0.5*(VLOOKUP($FM35-GD$103,Frauen!$AZ$9:$BD$102,5)+VLOOKUP($FM35-GD$103+1,Frauen!$AZ$9:$BD$102,5)),RundDx)</f>
        <v>42017995</v>
      </c>
      <c r="GE35" s="25">
        <f>ROUND(v^($FM35+FaktorAlter)*VLOOKUP($FM35,$G$9:$J$102,4)*VLOOKUP($FM35,$A$9:$E$102,5)*0.5*(VLOOKUP($FM35-GE$103,Frauen!$G$9:$J$102,4)+VLOOKUP($FM35-GE$103+1,Frauen!$G$9:$J$102,4))*0.5*(VLOOKUP($FM35-GE$103,Frauen!$AZ$9:$BD$102,5)+VLOOKUP($FM35-GE$103+1,Frauen!$AZ$9:$BD$102,5)),RundDx)</f>
        <v>53436734</v>
      </c>
      <c r="GF35" s="25">
        <f>ROUND(v^($FM35+FaktorAlter)*VLOOKUP($FM35,$G$9:$J$102,4)*VLOOKUP($FM35,$A$9:$E$102,5)*0.5*(VLOOKUP($FM35-GF$103,Frauen!$G$9:$J$102,4)+VLOOKUP($FM35-GF$103+1,Frauen!$G$9:$J$102,4))*0.5*(VLOOKUP($FM35-GF$103,Frauen!$AZ$9:$BD$102,5)+VLOOKUP($FM35-GF$103+1,Frauen!$AZ$9:$BD$102,5)),RundDx)</f>
        <v>66546380</v>
      </c>
      <c r="GG35" s="25">
        <f>ROUND(v^($FM35+FaktorAlter)*VLOOKUP($FM35,$G$9:$J$102,4)*VLOOKUP($FM35,$A$9:$E$102,5)*0.5*(VLOOKUP($FM35-GG$103,Frauen!$G$9:$J$102,4)+VLOOKUP($FM35-GG$103+1,Frauen!$G$9:$J$102,4))*0.5*(VLOOKUP($FM35-GG$103,Frauen!$AZ$9:$BD$102,5)+VLOOKUP($FM35-GG$103+1,Frauen!$AZ$9:$BD$102,5)),RundDx)</f>
        <v>81306460</v>
      </c>
      <c r="GH35" s="25">
        <f>ROUND(v^($FM35+FaktorAlter)*VLOOKUP($FM35,$G$9:$J$102,4)*VLOOKUP($FM35,$A$9:$E$102,5)*0.5*(VLOOKUP($FM35-GH$103,Frauen!$G$9:$J$102,4)+VLOOKUP($FM35-GH$103+1,Frauen!$G$9:$J$102,4))*0.5*(VLOOKUP($FM35-GH$103,Frauen!$AZ$9:$BD$102,5)+VLOOKUP($FM35-GH$103+1,Frauen!$AZ$9:$BD$102,5)),RundDx)</f>
        <v>97641854</v>
      </c>
      <c r="GI35" s="25">
        <f>ROUND(v^($FM35+FaktorAlter)*VLOOKUP($FM35,$G$9:$J$102,4)*VLOOKUP($FM35,$A$9:$E$102,5)*0.5*(VLOOKUP($FM35-GI$103,Frauen!$G$9:$J$102,4)+VLOOKUP($FM35-GI$103+1,Frauen!$G$9:$J$102,4))*0.5*(VLOOKUP($FM35-GI$103,Frauen!$AZ$9:$BD$102,5)+VLOOKUP($FM35-GI$103+1,Frauen!$AZ$9:$BD$102,5)),RundDx)</f>
        <v>115395809</v>
      </c>
      <c r="GJ35" s="25">
        <f>ROUND(v^($FM35+FaktorAlter)*VLOOKUP($FM35,$G$9:$J$102,4)*VLOOKUP($FM35,$A$9:$E$102,5)*0.5*(VLOOKUP($FM35-GJ$103,Frauen!$G$9:$J$102,4)+VLOOKUP($FM35-GJ$103+1,Frauen!$G$9:$J$102,4))*0.5*(VLOOKUP($FM35-GJ$103,Frauen!$AZ$9:$BD$102,5)+VLOOKUP($FM35-GJ$103+1,Frauen!$AZ$9:$BD$102,5)),RundDx)</f>
        <v>134380180</v>
      </c>
      <c r="GK35" s="25">
        <f>ROUND(v^($FM35+FaktorAlter)*VLOOKUP($FM35,$G$9:$J$102,4)*VLOOKUP($FM35,$A$9:$E$102,5)*0.5*(VLOOKUP($FM35-GK$103,Frauen!$G$9:$J$102,4)+VLOOKUP($FM35-GK$103+1,Frauen!$G$9:$J$102,4))*0.5*(VLOOKUP($FM35-GK$103,Frauen!$AZ$9:$BD$102,5)+VLOOKUP($FM35-GK$103+1,Frauen!$AZ$9:$BD$102,5)),RundDx)</f>
        <v>154408835</v>
      </c>
      <c r="GL35" s="25">
        <f>ROUND(v^($FM35+FaktorAlter)*VLOOKUP($FM35,$G$9:$J$102,4)*VLOOKUP($FM35,$A$9:$E$102,5)*0.5*(VLOOKUP($FM35-GL$103,Frauen!$G$9:$J$102,4)+VLOOKUP($FM35-GL$103+1,Frauen!$G$9:$J$102,4))*0.5*(VLOOKUP($FM35-GL$103,Frauen!$AZ$9:$BD$102,5)+VLOOKUP($FM35-GL$103+1,Frauen!$AZ$9:$BD$102,5)),RundDx)</f>
        <v>175261452</v>
      </c>
      <c r="GM35" s="25">
        <f>ROUND(v^($FM35+FaktorAlter)*VLOOKUP($FM35,$G$9:$J$102,4)*VLOOKUP($FM35,$A$9:$E$102,5)*0.5*(VLOOKUP($FM35-GM$103,Frauen!$G$9:$J$102,4)+VLOOKUP($FM35-GM$103+1,Frauen!$G$9:$J$102,4))*0.5*(VLOOKUP($FM35-GM$103,Frauen!$AZ$9:$BD$102,5)+VLOOKUP($FM35-GM$103+1,Frauen!$AZ$9:$BD$102,5)),RundDx)</f>
        <v>196729902</v>
      </c>
      <c r="GN35" s="25">
        <f>ROUND(v^($FM35+FaktorAlter)*VLOOKUP($FM35,$G$9:$J$102,4)*VLOOKUP($FM35,$A$9:$E$102,5)*0.5*(VLOOKUP($FM35-GN$103,Frauen!$G$9:$J$102,4)+VLOOKUP($FM35-GN$103+1,Frauen!$G$9:$J$102,4))*0.5*(VLOOKUP($FM35-GN$103,Frauen!$AZ$9:$BD$102,5)+VLOOKUP($FM35-GN$103+1,Frauen!$AZ$9:$BD$102,5)),RundDx)</f>
        <v>218672376</v>
      </c>
      <c r="GO35" s="25">
        <f>ROUND(v^($FM35+FaktorAlter)*VLOOKUP($FM35,$G$9:$J$102,4)*VLOOKUP($FM35,$A$9:$E$102,5)*0.5*(VLOOKUP($FM35-GO$103,Frauen!$G$9:$J$102,4)+VLOOKUP($FM35-GO$103+1,Frauen!$G$9:$J$102,4))*0.5*(VLOOKUP($FM35-GO$103,Frauen!$AZ$9:$BD$102,5)+VLOOKUP($FM35-GO$103+1,Frauen!$AZ$9:$BD$102,5)),RundDx)</f>
        <v>241019286</v>
      </c>
      <c r="GP35" s="25">
        <f>ROUND(v^($FM35+FaktorAlter)*VLOOKUP($FM35,$G$9:$J$102,4)*VLOOKUP($FM35,$A$9:$E$102,5)*0.5*(VLOOKUP($FM35-GP$103,Frauen!$G$9:$J$102,4)+VLOOKUP($FM35-GP$103+1,Frauen!$G$9:$J$102,4))*0.5*(VLOOKUP($FM35-GP$103,Frauen!$AZ$9:$BD$102,5)+VLOOKUP($FM35-GP$103+1,Frauen!$AZ$9:$BD$102,5)),RundDx)</f>
        <v>263675866</v>
      </c>
      <c r="GQ35" s="25">
        <f>ROUND(v^($FM35+FaktorAlter)*VLOOKUP($FM35,$G$9:$J$102,4)*VLOOKUP($FM35,$A$9:$E$102,5)*0.5*(VLOOKUP($FM35-GQ$103,Frauen!$G$9:$J$102,4)+VLOOKUP($FM35-GQ$103+1,Frauen!$G$9:$J$102,4))*0.5*(VLOOKUP($FM35-GQ$103,Frauen!$AZ$9:$BD$102,5)+VLOOKUP($FM35-GQ$103+1,Frauen!$AZ$9:$BD$102,5)),RundDx)</f>
        <v>286623514</v>
      </c>
      <c r="GR35" s="25">
        <f>ROUND(v^($FM35+FaktorAlter)*VLOOKUP($FM35,$G$9:$J$102,4)*VLOOKUP($FM35,$A$9:$E$102,5)*0.5*(VLOOKUP($FM35-GR$103,Frauen!$G$9:$J$102,4)+VLOOKUP($FM35-GR$103+1,Frauen!$G$9:$J$102,4))*0.5*(VLOOKUP($FM35-GR$103,Frauen!$AZ$9:$BD$102,5)+VLOOKUP($FM35-GR$103+1,Frauen!$AZ$9:$BD$102,5)),RundDx)</f>
        <v>309918243</v>
      </c>
      <c r="GS35" s="24"/>
      <c r="GT35" s="24"/>
      <c r="GU35" s="24"/>
      <c r="GV35" s="24">
        <f>ROUND(SUM(FQ35:FQ$56)/VLOOKUP($FM35,$AQ$9:$AR$102,2)/VLOOKUP($FM35-GV$103,Frauen!$G$9:$J$102,4),Rundäx)</f>
        <v>9.8000000000000004E-2</v>
      </c>
      <c r="GW35" s="24">
        <f>ROUND(SUM(FR35:FR$56)/VLOOKUP($FM35,$AQ$9:$AR$102,2)/VLOOKUP($FM35-GW$103,Frauen!$G$9:$J$102,4),Rundäx)</f>
        <v>0.18</v>
      </c>
      <c r="GX35" s="24">
        <f>ROUND(SUM(FS35:FS$56)/VLOOKUP($FM35,$AQ$9:$AR$102,2)/VLOOKUP($FM35-GX$103,Frauen!$G$9:$J$102,4),Rundäx)</f>
        <v>0.25700000000000001</v>
      </c>
      <c r="GY35" s="24">
        <f>ROUND(SUM(FT35:FT$56)/VLOOKUP($FM35,$AQ$9:$AR$102,2)/VLOOKUP($FM35-GY$103,Frauen!$G$9:$J$102,4),Rundäx)</f>
        <v>0.34</v>
      </c>
      <c r="GZ35" s="24">
        <f>ROUND(SUM(FU35:FU$56)/VLOOKUP($FM35,$AQ$9:$AR$102,2)/VLOOKUP($FM35-GZ$103,Frauen!$G$9:$J$102,4),Rundäx)</f>
        <v>0.43099999999999999</v>
      </c>
      <c r="HA35" s="86"/>
      <c r="HB35" s="35">
        <f t="shared" si="63"/>
        <v>91</v>
      </c>
      <c r="HC35" s="24">
        <f>ROUND(SUM(FV35:FV$56)/VLOOKUP($FM35,$AQ$9:$AR$102,2)/VLOOKUP($FM35-HC$103,Frauen!$G$9:$J$102,4),Rundäx)</f>
        <v>0.53300000000000003</v>
      </c>
      <c r="HD35" s="24">
        <f>ROUND(SUM(FW35:FW$56)/VLOOKUP($FM35,$AQ$9:$AR$102,2)/VLOOKUP($FM35-HD$103,Frauen!$G$9:$J$102,4),Rundäx)</f>
        <v>0.64700000000000002</v>
      </c>
      <c r="HE35" s="24">
        <f>ROUND(SUM(FX35:FX$56)/VLOOKUP($FM35,$AQ$9:$AR$102,2)/VLOOKUP($FM35-HE$103,Frauen!$G$9:$J$102,4),Rundäx)</f>
        <v>0.77600000000000002</v>
      </c>
      <c r="HF35" s="24">
        <f>ROUND(SUM(FY35:FY$56)/VLOOKUP($FM35,$AQ$9:$AR$102,2)/VLOOKUP($FM35-HF$103,Frauen!$G$9:$J$102,4),Rundäx)</f>
        <v>0.92</v>
      </c>
      <c r="HG35" s="24">
        <f>ROUND(SUM(FZ35:FZ$56)/VLOOKUP($FM35,$AQ$9:$AR$102,2)/VLOOKUP($FM35-HG$103,Frauen!$G$9:$J$102,4),Rundäx)</f>
        <v>1.081</v>
      </c>
      <c r="HH35" s="24">
        <f>ROUND(SUM(GA35:GA$56)/VLOOKUP($FM35,$AQ$9:$AR$102,2)/VLOOKUP($FM35-HH$103,Frauen!$G$9:$J$102,4),Rundäx)</f>
        <v>1.2609999999999999</v>
      </c>
      <c r="HI35" s="24">
        <f>ROUND(SUM(GB35:GB$56)/VLOOKUP($FM35,$AQ$9:$AR$102,2)/VLOOKUP($FM35-HI$103,Frauen!$G$9:$J$102,4),Rundäx)</f>
        <v>1.4610000000000001</v>
      </c>
      <c r="HJ35" s="24">
        <f>ROUND(SUM(GC35:GC$56)/VLOOKUP($FM35,$AQ$9:$AR$102,2)/VLOOKUP($FM35-HJ$103,Frauen!$G$9:$J$102,4),Rundäx)</f>
        <v>1.6819999999999999</v>
      </c>
      <c r="HK35" s="86"/>
      <c r="HL35" s="35">
        <f t="shared" si="64"/>
        <v>91</v>
      </c>
      <c r="HM35" s="24">
        <f>ROUND(SUM(GD35:GD$56)/VLOOKUP($FM35,$AQ$9:$AR$102,2)/VLOOKUP($FM35-HM$103,Frauen!$G$9:$J$102,4),Rundäx)</f>
        <v>1.925</v>
      </c>
      <c r="HN35" s="24">
        <f>ROUND(SUM(GE35:GE$56)/VLOOKUP($FM35,$AQ$9:$AR$102,2)/VLOOKUP($FM35-HN$103,Frauen!$G$9:$J$102,4),Rundäx)</f>
        <v>2.1890000000000001</v>
      </c>
      <c r="HO35" s="24">
        <f>ROUND(SUM(GF35:GF$56)/VLOOKUP($FM35,$AQ$9:$AR$102,2)/VLOOKUP($FM35-HO$103,Frauen!$G$9:$J$102,4),Rundäx)</f>
        <v>2.476</v>
      </c>
      <c r="HP35" s="24">
        <f>ROUND(SUM(GG35:GG$56)/VLOOKUP($FM35,$AQ$9:$AR$102,2)/VLOOKUP($FM35-HP$103,Frauen!$G$9:$J$102,4),Rundäx)</f>
        <v>2.7869999999999999</v>
      </c>
      <c r="HQ35" s="24">
        <f>ROUND(SUM(GH35:GH$56)/VLOOKUP($FM35,$AQ$9:$AR$102,2)/VLOOKUP($FM35-HQ$103,Frauen!$G$9:$J$102,4),Rundäx)</f>
        <v>3.1240000000000001</v>
      </c>
      <c r="HR35" s="24">
        <f>ROUND(SUM(GI35:GI$56)/VLOOKUP($FM35,$AQ$9:$AR$102,2)/VLOOKUP($FM35-HR$103,Frauen!$G$9:$J$102,4),Rundäx)</f>
        <v>3.4889999999999999</v>
      </c>
      <c r="HS35" s="24">
        <f>ROUND(SUM(GJ35:GJ$56)/VLOOKUP($FM35,$AQ$9:$AR$102,2)/VLOOKUP($FM35-HS$103,Frauen!$G$9:$J$102,4),Rundäx)</f>
        <v>3.88</v>
      </c>
      <c r="HT35" s="24">
        <f>ROUND(SUM(GK35:GK$56)/VLOOKUP($FM35,$AQ$9:$AR$102,2)/VLOOKUP($FM35-HT$103,Frauen!$G$9:$J$102,4),Rundäx)</f>
        <v>4.2990000000000004</v>
      </c>
      <c r="HU35" s="86"/>
      <c r="HV35" s="35">
        <f t="shared" si="65"/>
        <v>91</v>
      </c>
      <c r="HW35" s="24">
        <f>ROUND(SUM(GL35:GL$56)/VLOOKUP($FM35,$AQ$9:$AR$102,2)/VLOOKUP($FM35-HW$103,Frauen!$G$9:$J$102,4),Rundäx)</f>
        <v>4.7430000000000003</v>
      </c>
      <c r="HX35" s="24">
        <f>ROUND(SUM(GM35:GM$56)/VLOOKUP($FM35,$AQ$9:$AR$102,2)/VLOOKUP($FM35-HX$103,Frauen!$G$9:$J$102,4),Rundäx)</f>
        <v>5.2110000000000003</v>
      </c>
      <c r="HY35" s="24">
        <f>ROUND(SUM(GN35:GN$56)/VLOOKUP($FM35,$AQ$9:$AR$102,2)/VLOOKUP($FM35-HY$103,Frauen!$G$9:$J$102,4),Rundäx)</f>
        <v>5.6989999999999998</v>
      </c>
      <c r="HZ35" s="24">
        <f>ROUND(SUM(GO35:GO$56)/VLOOKUP($FM35,$AQ$9:$AR$102,2)/VLOOKUP($FM35-HZ$103,Frauen!$G$9:$J$102,4),Rundäx)</f>
        <v>6.2050000000000001</v>
      </c>
      <c r="IA35" s="24">
        <f>ROUND(SUM(GP35:GP$56)/VLOOKUP($FM35,$AQ$9:$AR$102,2)/VLOOKUP($FM35-IA$103,Frauen!$G$9:$J$102,4),Rundäx)</f>
        <v>6.7229999999999999</v>
      </c>
      <c r="IB35" s="24">
        <f>ROUND(SUM(GQ35:GQ$56)/VLOOKUP($FM35,$AQ$9:$AR$102,2)/VLOOKUP($FM35-IB$103,Frauen!$G$9:$J$102,4),Rundäx)</f>
        <v>7.25</v>
      </c>
      <c r="IC35" s="24">
        <f>ROUND(SUM(GR35:GR$56)/VLOOKUP($FM35,$AQ$9:$AR$102,2)/VLOOKUP($FM35-IC$103,Frauen!$G$9:$J$102,4),Rundäx)</f>
        <v>7.78</v>
      </c>
      <c r="ID35" s="89"/>
      <c r="IE35" s="35">
        <f t="shared" si="66"/>
        <v>43</v>
      </c>
      <c r="IF35" s="25">
        <f t="shared" si="31"/>
        <v>739</v>
      </c>
      <c r="IG35" s="25">
        <f>IF($IE35&lt;RAM,IF(S36&lt;=RAK,ROUND(SUM(IF35:INDEX(Dakx,RAM-BeginnAlter))+INDEX(Dax,RAM-BeginnAlter+1)*INDEX(äkx,1),RundDx),0),"")</f>
        <v>6198</v>
      </c>
      <c r="IH35" s="25">
        <f>IF($IE35&lt;RAM,IF(S36&lt;=RAK,ROUND(SUM(IG35:INDEX(Nakx,RAM-BeginnAlter))+INDEX(Dax,RAM-BeginnAlter+1)*INDEX(äkx,1),RundDx),0),"")</f>
        <v>41109</v>
      </c>
      <c r="II35" s="24">
        <f t="shared" si="32"/>
        <v>0.16800000000000001</v>
      </c>
      <c r="IJ35" s="25">
        <f t="shared" si="33"/>
        <v>13851</v>
      </c>
      <c r="IK35" s="25">
        <f>IF($IE35&lt;RAM,IF(S36&lt;=RAK,SUM(IJ35:INDEX(Dikx,RAM-BeginnAlter))+INDEX(Dix,RAM-BeginnAlter+1)*INDEX(äkx,1),0),"")</f>
        <v>79780.831999999995</v>
      </c>
      <c r="IL35" s="24">
        <f t="shared" si="34"/>
        <v>1.4850000000000001</v>
      </c>
      <c r="IM35" s="86"/>
      <c r="IN35" s="35">
        <f t="shared" si="67"/>
        <v>91</v>
      </c>
      <c r="IO35" s="25"/>
      <c r="IP35" s="25"/>
      <c r="IQ35" s="24"/>
      <c r="IR35" s="86"/>
    </row>
    <row r="36" spans="1:252" ht="15.75" customHeight="1" x14ac:dyDescent="0.25">
      <c r="A36" s="35">
        <f t="shared" si="41"/>
        <v>44</v>
      </c>
      <c r="B36" s="77">
        <v>1.4238138876484995E-3</v>
      </c>
      <c r="C36" s="77">
        <v>2.118574838922574E-3</v>
      </c>
      <c r="D36" s="77">
        <v>2.005944507817729E-2</v>
      </c>
      <c r="E36" s="77">
        <v>1.8419221480905357E-3</v>
      </c>
      <c r="F36" s="86"/>
      <c r="G36" s="35">
        <f t="shared" si="42"/>
        <v>44</v>
      </c>
      <c r="H36" s="25">
        <f t="shared" si="37"/>
        <v>95670</v>
      </c>
      <c r="I36" s="25">
        <f t="shared" si="38"/>
        <v>2054</v>
      </c>
      <c r="J36" s="25">
        <f t="shared" si="39"/>
        <v>97724</v>
      </c>
      <c r="K36" s="30">
        <f>IF(J36&gt;0,ROUND(SUM(J36:J$102)/J36-0.5,Rundex),"")</f>
        <v>35.869999999999997</v>
      </c>
      <c r="L36" s="25">
        <f t="shared" si="0"/>
        <v>137043</v>
      </c>
      <c r="M36" s="30">
        <f>IF(L36&gt;0,ROUND(SUM(L36:L$102)/L36-0.5,Rundex),"")</f>
        <v>28.14</v>
      </c>
      <c r="N36" s="86"/>
      <c r="O36" s="35">
        <f t="shared" si="43"/>
        <v>44</v>
      </c>
      <c r="P36" s="43">
        <v>0.73030312842951317</v>
      </c>
      <c r="Q36" s="78">
        <v>42.447255206248826</v>
      </c>
      <c r="R36" s="43">
        <v>1.0974586561283382</v>
      </c>
      <c r="S36" s="78">
        <v>11.956813839327888</v>
      </c>
      <c r="T36" s="15">
        <v>1.8361079146302917E-3</v>
      </c>
      <c r="U36" s="11">
        <f t="shared" si="40"/>
        <v>97723</v>
      </c>
      <c r="V36" s="30">
        <f>IF(U36&gt;0,ROUND(SUM(U36:U$102)/U36-0.5,Rundex),"")</f>
        <v>33.46</v>
      </c>
      <c r="W36" s="86"/>
      <c r="X36" s="35">
        <f t="shared" si="44"/>
        <v>44</v>
      </c>
      <c r="Y36" s="25">
        <f t="shared" si="1"/>
        <v>35941</v>
      </c>
      <c r="Z36" s="25">
        <f>IF($X36&lt;RAM,SUM(Y36:INDEX(Dax,RAM-BeginnAlter))," ")</f>
        <v>559589</v>
      </c>
      <c r="AA36" s="25">
        <f t="shared" si="2"/>
        <v>51</v>
      </c>
      <c r="AB36" s="25">
        <f>IF($X36&lt;RAM,SUM(AA36:INDEX(Cax,RAM-BeginnAlter))," ")</f>
        <v>1922</v>
      </c>
      <c r="AC36" s="25">
        <f t="shared" si="3"/>
        <v>75</v>
      </c>
      <c r="AD36" s="25">
        <f>IF($X36&lt;RAM,SUM(AC36:INDEX(Caix,RAM-BeginnAlter))," ")</f>
        <v>7023</v>
      </c>
      <c r="AE36" s="24">
        <f t="shared" si="4"/>
        <v>15.57</v>
      </c>
      <c r="AF36" s="24">
        <f t="shared" si="5"/>
        <v>15.3</v>
      </c>
      <c r="AG36" s="86"/>
      <c r="AH36" s="35">
        <f t="shared" si="45"/>
        <v>44</v>
      </c>
      <c r="AI36" s="25">
        <f t="shared" si="6"/>
        <v>51484</v>
      </c>
      <c r="AJ36" s="25">
        <f>IF($AH36&gt;RAM," ",IF($AH36&lt;RAM,SUM(AI36:INDEX(Dix,RAM-BeginnAlter))+INDEX(Nx,RAM-BeginnAlter+1),INDEX(Nx,RAM-BeginnAlter+1)))</f>
        <v>1023957</v>
      </c>
      <c r="AK36" s="25">
        <f>IF($AH36&lt;RAM,SUM(AI36:INDEX(Dix,RAM-BeginnAlter))," ")</f>
        <v>726710</v>
      </c>
      <c r="AL36" s="24">
        <f t="shared" si="7"/>
        <v>19.888999999999999</v>
      </c>
      <c r="AM36" s="24">
        <f t="shared" si="8"/>
        <v>19.431000000000001</v>
      </c>
      <c r="AN36" s="24">
        <f t="shared" si="9"/>
        <v>14.115</v>
      </c>
      <c r="AO36" s="24">
        <f t="shared" si="10"/>
        <v>13.839</v>
      </c>
      <c r="AP36" s="86"/>
      <c r="AQ36" s="35">
        <f t="shared" si="46"/>
        <v>44</v>
      </c>
      <c r="AR36" s="25">
        <f t="shared" si="11"/>
        <v>36713</v>
      </c>
      <c r="AS36" s="25">
        <f>SUM(AR36:AR$94)</f>
        <v>901229</v>
      </c>
      <c r="AT36" s="25">
        <f>IF($AQ36&lt;RAM,SUM(AR36:INDEX(Dx,RAM-BeginnAlter))," ")</f>
        <v>603982</v>
      </c>
      <c r="AU36" s="24">
        <f t="shared" si="12"/>
        <v>24.547999999999998</v>
      </c>
      <c r="AV36" s="24">
        <f t="shared" si="13"/>
        <v>24.09</v>
      </c>
      <c r="AW36" s="24">
        <f t="shared" si="14"/>
        <v>16.451000000000001</v>
      </c>
      <c r="AX36" s="24">
        <f t="shared" si="15"/>
        <v>16.248999999999999</v>
      </c>
      <c r="AY36" s="86"/>
      <c r="AZ36" s="35">
        <f t="shared" si="47"/>
        <v>44</v>
      </c>
      <c r="BA36" s="25">
        <f t="shared" si="16"/>
        <v>36712</v>
      </c>
      <c r="BB36" s="25">
        <f>SUM(BA36:BA$94)</f>
        <v>859177</v>
      </c>
      <c r="BC36" s="24">
        <f t="shared" si="17"/>
        <v>23.402999999999999</v>
      </c>
      <c r="BD36" s="24">
        <f t="shared" si="18"/>
        <v>22.945</v>
      </c>
      <c r="BE36" s="86"/>
      <c r="BF36" s="35">
        <f t="shared" si="48"/>
        <v>27</v>
      </c>
      <c r="BG36" s="24" t="str">
        <f t="shared" si="19"/>
        <v/>
      </c>
      <c r="BH36" s="24" t="str">
        <f t="shared" si="20"/>
        <v/>
      </c>
      <c r="BI36" s="86"/>
      <c r="BJ36" s="35">
        <f t="shared" si="49"/>
        <v>44</v>
      </c>
      <c r="BK36" s="25">
        <f t="shared" si="21"/>
        <v>1456</v>
      </c>
      <c r="BL36" s="25">
        <f>IF(BJ36&lt;RAM,SUM(BK36:INDEX(Daix,RAM-BeginnAlter))," ")</f>
        <v>112099</v>
      </c>
      <c r="BM36" s="25">
        <f>IF(BJ36&lt;RAM,SUM(BL36:INDEX(Naix,RAM-BeginnAlter))," ")</f>
        <v>1648707</v>
      </c>
      <c r="BN36" s="24">
        <f t="shared" si="22"/>
        <v>5.78</v>
      </c>
      <c r="BO36" s="24">
        <f t="shared" si="23"/>
        <v>3.1190000000000002</v>
      </c>
      <c r="BP36" s="86"/>
      <c r="BQ36" s="35">
        <f t="shared" si="50"/>
        <v>44</v>
      </c>
      <c r="BR36" s="25">
        <f t="shared" si="51"/>
        <v>1026</v>
      </c>
      <c r="BS36" s="25">
        <f>IF(BQ36&lt;RAM,SUM(BR36:INDEX(Daixs,RAM-BeginnAlter))," ")</f>
        <v>36304</v>
      </c>
      <c r="BT36" s="25">
        <f>IF(BQ36&lt;RAM,SUM(BS36:INDEX(Naixs,RAM-BeginnAlter))," ")</f>
        <v>426438</v>
      </c>
      <c r="BU36" s="24">
        <f t="shared" si="52"/>
        <v>7.8890000000000002</v>
      </c>
      <c r="BV36" s="24">
        <f t="shared" si="53"/>
        <v>1.01</v>
      </c>
      <c r="BW36" s="86"/>
      <c r="BX36" s="35">
        <f t="shared" si="54"/>
        <v>44</v>
      </c>
      <c r="BY36" s="10">
        <f t="shared" si="24"/>
        <v>9.696870015423487</v>
      </c>
      <c r="BZ36" s="11">
        <f t="shared" si="25"/>
        <v>773</v>
      </c>
      <c r="CA36" s="25">
        <f>IF(S37&lt;=RAK,IF($BX36&lt;RAM,SUM(BZ36:INDEX(Dazx,RAM-BeginnAlter)),""),"")</f>
        <v>8906</v>
      </c>
      <c r="CB36" s="24">
        <f t="shared" si="26"/>
        <v>0.248</v>
      </c>
      <c r="CC36" s="25">
        <f t="shared" si="27"/>
        <v>26384</v>
      </c>
      <c r="CD36" s="24">
        <f t="shared" si="28"/>
        <v>17.989000000000001</v>
      </c>
      <c r="CE36" s="24">
        <f t="shared" si="29"/>
        <v>2.8000000000000001E-2</v>
      </c>
      <c r="CF36" s="86"/>
      <c r="CG36" s="35">
        <f t="shared" si="55"/>
        <v>44</v>
      </c>
      <c r="CH36" s="25">
        <f>IF(CG36&lt;RAM,ROUND(v^($CG36+FaktorAlter)*$H36*($B36*0.5*($P36+$P37)*(VLOOKUP(TRUNC(0.5*($Q36+$Q37),0),Frauen!$AZ$9:$BD$95,5)+(0.5*($Q36+$Q37)-TRUNC(0.5*($Q36+$Q37),0))*(VLOOKUP(TRUNC(0.5*($Q36+$Q37)+1,0),Frauen!$AZ$9:$BD$95,5)-VLOOKUP(TRUNC(0.5*($Q36+$Q37),0),Frauen!$AZ$9:$BD$95,5)))+$C36*0.5*($CN36+$CN37)),RundDx),"")</f>
        <v>1535</v>
      </c>
      <c r="CI36" s="25">
        <f>IF(CG36&lt;RAM,ROUND(SUM(CH36:INDEX(Dawx,RAM-BeginnAlter))+INDEX(Dax,RAM-BeginnAlter+1)*INDEX(äwx,1),RundDx),"")</f>
        <v>151812</v>
      </c>
      <c r="CJ36" s="25">
        <f>IF(CG36&lt;RAM,ROUND(SUM(CI36:INDEX(Nawx,RAM-BeginnAlter))+INDEX(Dax,RAM-BeginnAlter+1)*INDEX(äwx,1),RundDx),"")</f>
        <v>2733370</v>
      </c>
      <c r="CK36" s="24">
        <f t="shared" si="56"/>
        <v>4.2240000000000002</v>
      </c>
      <c r="CL36" s="25">
        <f>IF(CG36&lt;RAM,ROUND(v^($CG36+FaktorAlter)*$L36*$D36*0.5*($P36+$P37)*(VLOOKUP(TRUNC(0.5*($Q36+$Q37),0),Frauen!$AZ$9:$BD$95,5)+(0.5*($Q36+$Q37)-TRUNC(0.5*($Q36+$Q37),0))*(VLOOKUP(TRUNC(0.5*($Q36+$Q37)+1,0),Frauen!$AZ$9:$BD$95,5)-VLOOKUP(TRUNC(0.5*($Q36+$Q37),0),Frauen!$AZ$9:$BD$95,5))),RundDx),"")</f>
        <v>19861</v>
      </c>
      <c r="CM36" s="25">
        <f>IF(CG36&lt;RAM,SUM(CL36:INDEX(Diwx,RAM-BeginnAlter))+INDEX(Dix,RAM-BeginnAlter+1)*INDEX(äwx,1),"")</f>
        <v>378869.41399999999</v>
      </c>
      <c r="CN36" s="24">
        <f t="shared" si="57"/>
        <v>7.359</v>
      </c>
      <c r="CO36" s="86"/>
      <c r="CP36" s="35">
        <f t="shared" si="58"/>
        <v>92</v>
      </c>
      <c r="CQ36" s="11">
        <f>ROUND(v^($CP36+FaktorAlter)*VLOOKUP(CP36,G$9:J$102,4)*VLOOKUP(CP36,A$9:E$102,5)*0.5*(VLOOKUP(CP36,O$9:P$102,2)+VLOOKUP(CP36+1,O$9:P$102,2))*(VLOOKUP(TRUNC(0.5*(VLOOKUP(CP36,O$9:Q$102,3)+VLOOKUP(CP36+1,O$9:Q$102,3)),0),Frauen!$AZ$9:$BD$95,5)+(0.5*(VLOOKUP(CP36,O$9:Q$102,3)+VLOOKUP(CP36+1,O$9:Q$102,3))-TRUNC(0.5*(VLOOKUP(CP36,O$9:Q$102,3)+VLOOKUP(CP36+1,O$9:Q$102,3)),0))*(VLOOKUP(TRUNC(0.5*(VLOOKUP(CP36,O$9:Q$102,3)+VLOOKUP(CP36+1,O$9:Q$102,3))+1,0),Frauen!$AZ$9:$BD$95,5)-VLOOKUP(TRUNC(0.5*(VLOOKUP(CP36,O$9:Q$102,3)+VLOOKUP(CP36+1,O$9:Q$102,3)),0),Frauen!$AZ$9:$BD$95,5))),RundDx)</f>
        <v>821</v>
      </c>
      <c r="CR36" s="25">
        <f>SUM(CQ36:CQ$56)</f>
        <v>2314</v>
      </c>
      <c r="CS36" s="24">
        <f t="shared" si="30"/>
        <v>1.518</v>
      </c>
      <c r="CT36" s="86"/>
      <c r="CU36" s="35">
        <f t="shared" si="59"/>
        <v>44</v>
      </c>
      <c r="CV36" s="25">
        <f>IF($CU36&gt;=RAM,"",IF($CU36-CV$103&lt;BeginnAlter,"",ROUND(v^($CU36+FaktorAlter)*$L36*$D36*0.5*(VLOOKUP($CU36-CV$103,Frauen!$G$9:$J$102,4)+VLOOKUP($CU36-CV$103+1,Frauen!$G$9:$J$102,4))*0.5*(VLOOKUP($CU36-CV$103,Frauen!$AZ$9:$BD$102,5)+VLOOKUP($CU36-CV$103+1,Frauen!$AZ$9:$BD$102,5)),RundDx)))</f>
        <v>1831932364</v>
      </c>
      <c r="CW36" s="25">
        <f>IF($CU36&gt;=RAM,"",IF($CU36-CW$103&lt;BeginnAlter,"",ROUND(v^($CU36+FaktorAlter)*$L36*$D36*0.5*(VLOOKUP($CU36-CW$103,Frauen!$G$9:$J$102,4)+VLOOKUP($CU36-CW$103+1,Frauen!$G$9:$J$102,4))*0.5*(VLOOKUP($CU36-CW$103,Frauen!$AZ$9:$BD$102,5)+VLOOKUP($CU36-CW$103+1,Frauen!$AZ$9:$BD$102,5)),RundDx)))</f>
        <v>1887334875</v>
      </c>
      <c r="CX36" s="25">
        <f>IF($CU36&gt;=RAM,"",IF($CU36-CX$103&lt;BeginnAlter,"",ROUND(v^($CU36+FaktorAlter)*$L36*$D36*0.5*(VLOOKUP($CU36-CX$103,Frauen!$G$9:$J$102,4)+VLOOKUP($CU36-CX$103+1,Frauen!$G$9:$J$102,4))*0.5*(VLOOKUP($CU36-CX$103,Frauen!$AZ$9:$BD$102,5)+VLOOKUP($CU36-CX$103+1,Frauen!$AZ$9:$BD$102,5)),RundDx)))</f>
        <v>1941939618</v>
      </c>
      <c r="CY36" s="25">
        <f>IF($CU36&gt;=RAM,"",IF($CU36-CY$103&lt;BeginnAlter,"",ROUND(v^($CU36+FaktorAlter)*$L36*$D36*0.5*(VLOOKUP($CU36-CY$103,Frauen!$G$9:$J$102,4)+VLOOKUP($CU36-CY$103+1,Frauen!$G$9:$J$102,4))*0.5*(VLOOKUP($CU36-CY$103,Frauen!$AZ$9:$BD$102,5)+VLOOKUP($CU36-CY$103+1,Frauen!$AZ$9:$BD$102,5)),RundDx)))</f>
        <v>1995889924</v>
      </c>
      <c r="CZ36" s="25">
        <f>IF($CU36&gt;=RAM,"",IF($CU36-CZ$103&lt;BeginnAlter,"",ROUND(v^($CU36+FaktorAlter)*$L36*$D36*0.5*(VLOOKUP($CU36-CZ$103,Frauen!$G$9:$J$102,4)+VLOOKUP($CU36-CZ$103+1,Frauen!$G$9:$J$102,4))*0.5*(VLOOKUP($CU36-CZ$103,Frauen!$AZ$9:$BD$102,5)+VLOOKUP($CU36-CZ$103+1,Frauen!$AZ$9:$BD$102,5)),RundDx)))</f>
        <v>2049314236</v>
      </c>
      <c r="DA36" s="25">
        <f>IF($CU36&gt;=RAM,"",IF($CU36-DA$103&lt;BeginnAlter,"",ROUND(v^($CU36+FaktorAlter)*$L36*$D36*0.5*(VLOOKUP($CU36-DA$103,Frauen!$G$9:$J$102,4)+VLOOKUP($CU36-DA$103+1,Frauen!$G$9:$J$102,4))*0.5*(VLOOKUP($CU36-DA$103,Frauen!$AZ$9:$BD$102,5)+VLOOKUP($CU36-DA$103+1,Frauen!$AZ$9:$BD$102,5)),RundDx)))</f>
        <v>2102273292</v>
      </c>
      <c r="DB36" s="25">
        <f>IF($CU36&gt;=RAM,"",IF($CU36-DB$103&lt;BeginnAlter,"",ROUND(v^($CU36+FaktorAlter)*$L36*$D36*0.5*(VLOOKUP($CU36-DB$103,Frauen!$G$9:$J$102,4)+VLOOKUP($CU36-DB$103+1,Frauen!$G$9:$J$102,4))*0.5*(VLOOKUP($CU36-DB$103,Frauen!$AZ$9:$BD$102,5)+VLOOKUP($CU36-DB$103+1,Frauen!$AZ$9:$BD$102,5)),RundDx)))</f>
        <v>2154668359</v>
      </c>
      <c r="DC36" s="25">
        <f>IF($CU36&gt;=RAM,"",IF($CU36-DC$103&lt;BeginnAlter,"",ROUND(v^($CU36+FaktorAlter)*$L36*$D36*0.5*(VLOOKUP($CU36-DC$103,Frauen!$G$9:$J$102,4)+VLOOKUP($CU36-DC$103+1,Frauen!$G$9:$J$102,4))*0.5*(VLOOKUP($CU36-DC$103,Frauen!$AZ$9:$BD$102,5)+VLOOKUP($CU36-DC$103+1,Frauen!$AZ$9:$BD$102,5)),RundDx)))</f>
        <v>2206543904</v>
      </c>
      <c r="DD36" s="25">
        <f>IF($CU36&gt;=RAM,"",IF($CU36-DD$103&lt;BeginnAlter,"",ROUND(v^($CU36+FaktorAlter)*$L36*$D36*0.5*(VLOOKUP($CU36-DD$103,Frauen!$G$9:$J$102,4)+VLOOKUP($CU36-DD$103+1,Frauen!$G$9:$J$102,4))*0.5*(VLOOKUP($CU36-DD$103,Frauen!$AZ$9:$BD$102,5)+VLOOKUP($CU36-DD$103+1,Frauen!$AZ$9:$BD$102,5)),RundDx)))</f>
        <v>2257792094</v>
      </c>
      <c r="DE36" s="25">
        <f>IF($CU36&gt;=RAM,"",IF($CU36-DE$103&lt;BeginnAlter,"",ROUND(v^($CU36+FaktorAlter)*$L36*$D36*0.5*(VLOOKUP($CU36-DE$103,Frauen!$G$9:$J$102,4)+VLOOKUP($CU36-DE$103+1,Frauen!$G$9:$J$102,4))*0.5*(VLOOKUP($CU36-DE$103,Frauen!$AZ$9:$BD$102,5)+VLOOKUP($CU36-DE$103+1,Frauen!$AZ$9:$BD$102,5)),RundDx)))</f>
        <v>2308175386</v>
      </c>
      <c r="DF36" s="25">
        <f>IF($CU36&gt;=RAM,"",IF($CU36-DF$103&lt;BeginnAlter,"",ROUND(v^($CU36+FaktorAlter)*$L36*$D36*0.5*(VLOOKUP($CU36-DF$103,Frauen!$G$9:$J$102,4)+VLOOKUP($CU36-DF$103+1,Frauen!$G$9:$J$102,4))*0.5*(VLOOKUP($CU36-DF$103,Frauen!$AZ$9:$BD$102,5)+VLOOKUP($CU36-DF$103+1,Frauen!$AZ$9:$BD$102,5)),RundDx)))</f>
        <v>2357545279</v>
      </c>
      <c r="DG36" s="25">
        <f>IF($CU36&gt;=RAM,"",IF($CU36-DG$103&lt;BeginnAlter,"",ROUND(v^($CU36+FaktorAlter)*$L36*$D36*0.5*(VLOOKUP($CU36-DG$103,Frauen!$G$9:$J$102,4)+VLOOKUP($CU36-DG$103+1,Frauen!$G$9:$J$102,4))*0.5*(VLOOKUP($CU36-DG$103,Frauen!$AZ$9:$BD$102,5)+VLOOKUP($CU36-DG$103+1,Frauen!$AZ$9:$BD$102,5)),RundDx)))</f>
        <v>2405855091</v>
      </c>
      <c r="DH36" s="25">
        <f>IF($CU36&gt;=RAM,"",IF($CU36-DH$103&lt;BeginnAlter,"",ROUND(v^($CU36+FaktorAlter)*$L36*$D36*0.5*(VLOOKUP($CU36-DH$103,Frauen!$G$9:$J$102,4)+VLOOKUP($CU36-DH$103+1,Frauen!$G$9:$J$102,4))*0.5*(VLOOKUP($CU36-DH$103,Frauen!$AZ$9:$BD$102,5)+VLOOKUP($CU36-DH$103+1,Frauen!$AZ$9:$BD$102,5)),RundDx)))</f>
        <v>2453111239</v>
      </c>
      <c r="DI36" s="25">
        <f>IF($CU36&gt;=RAM,"",IF($CU36-DI$103&lt;BeginnAlter,"",ROUND(v^($CU36+FaktorAlter)*$L36*$D36*0.5*(VLOOKUP($CU36-DI$103,Frauen!$G$9:$J$102,4)+VLOOKUP($CU36-DI$103+1,Frauen!$G$9:$J$102,4))*0.5*(VLOOKUP($CU36-DI$103,Frauen!$AZ$9:$BD$102,5)+VLOOKUP($CU36-DI$103+1,Frauen!$AZ$9:$BD$102,5)),RundDx)))</f>
        <v>2499360942</v>
      </c>
      <c r="DJ36" s="25">
        <f>IF($CU36&gt;=RAM,"",IF($CU36-DJ$103&lt;BeginnAlter,"",ROUND(v^($CU36+FaktorAlter)*$L36*$D36*0.5*(VLOOKUP($CU36-DJ$103,Frauen!$G$9:$J$102,4)+VLOOKUP($CU36-DJ$103+1,Frauen!$G$9:$J$102,4))*0.5*(VLOOKUP($CU36-DJ$103,Frauen!$AZ$9:$BD$102,5)+VLOOKUP($CU36-DJ$103+1,Frauen!$AZ$9:$BD$102,5)),RundDx)))</f>
        <v>2544541064</v>
      </c>
      <c r="DK36" s="25">
        <f>IF($CU36&gt;=RAM,"",IF($CU36-DK$103&lt;BeginnAlter,"",ROUND(v^($CU36+FaktorAlter)*$L36*$D36*0.5*(VLOOKUP($CU36-DK$103,Frauen!$G$9:$J$102,4)+VLOOKUP($CU36-DK$103+1,Frauen!$G$9:$J$102,4))*0.5*(VLOOKUP($CU36-DK$103,Frauen!$AZ$9:$BD$102,5)+VLOOKUP($CU36-DK$103+1,Frauen!$AZ$9:$BD$102,5)),RundDx)))</f>
        <v>2588666292</v>
      </c>
      <c r="DL36" s="25">
        <f>IF($CU36&gt;=RAM,"",IF($CU36-DL$103&lt;BeginnAlter,"",ROUND(v^($CU36+FaktorAlter)*$L36*$D36*0.5*(VLOOKUP($CU36-DL$103,Frauen!$G$9:$J$102,4)+VLOOKUP($CU36-DL$103+1,Frauen!$G$9:$J$102,4))*0.5*(VLOOKUP($CU36-DL$103,Frauen!$AZ$9:$BD$102,5)+VLOOKUP($CU36-DL$103+1,Frauen!$AZ$9:$BD$102,5)),RundDx)))</f>
        <v>2631841758</v>
      </c>
      <c r="DM36" s="25">
        <f>IF($CU36&gt;=RAM,"",IF($CU36-DM$103&lt;BeginnAlter,"",ROUND(v^($CU36+FaktorAlter)*$L36*$D36*0.5*(VLOOKUP($CU36-DM$103,Frauen!$G$9:$J$102,4)+VLOOKUP($CU36-DM$103+1,Frauen!$G$9:$J$102,4))*0.5*(VLOOKUP($CU36-DM$103,Frauen!$AZ$9:$BD$102,5)+VLOOKUP($CU36-DM$103+1,Frauen!$AZ$9:$BD$102,5)),RundDx)))</f>
        <v>2674088248</v>
      </c>
      <c r="DN36" s="25">
        <f>IF($CU36&gt;=RAM,"",IF($CU36-DN$103&lt;BeginnAlter,"",ROUND(v^($CU36+FaktorAlter)*$L36*$D36*0.5*(VLOOKUP($CU36-DN$103,Frauen!$G$9:$J$102,4)+VLOOKUP($CU36-DN$103+1,Frauen!$G$9:$J$102,4))*0.5*(VLOOKUP($CU36-DN$103,Frauen!$AZ$9:$BD$102,5)+VLOOKUP($CU36-DN$103+1,Frauen!$AZ$9:$BD$102,5)),RundDx)))</f>
        <v>2715415710</v>
      </c>
      <c r="DO36" s="25">
        <f>IF($CU36&gt;=RAM,"",IF($CU36-DO$103&lt;BeginnAlter,"",ROUND(v^($CU36+FaktorAlter)*$L36*$D36*0.5*(VLOOKUP($CU36-DO$103,Frauen!$G$9:$J$102,4)+VLOOKUP($CU36-DO$103+1,Frauen!$G$9:$J$102,4))*0.5*(VLOOKUP($CU36-DO$103,Frauen!$AZ$9:$BD$102,5)+VLOOKUP($CU36-DO$103+1,Frauen!$AZ$9:$BD$102,5)),RundDx)))</f>
        <v>2755822209</v>
      </c>
      <c r="DP36" s="25">
        <f>IF($CU36&gt;=RAM,"",IF($CU36-DP$103&lt;BeginnAlter,"",ROUND(v^($CU36+FaktorAlter)*$L36*$D36*0.5*(VLOOKUP($CU36-DP$103,Frauen!$G$9:$J$102,4)+VLOOKUP($CU36-DP$103+1,Frauen!$G$9:$J$102,4))*0.5*(VLOOKUP($CU36-DP$103,Frauen!$AZ$9:$BD$102,5)+VLOOKUP($CU36-DP$103+1,Frauen!$AZ$9:$BD$102,5)),RundDx)))</f>
        <v>2795335289</v>
      </c>
      <c r="DQ36" s="25">
        <f>IF($CU36&gt;=RAM,"",IF($CU36-DQ$103&lt;BeginnAlter,"",ROUND(v^($CU36+FaktorAlter)*$L36*$D36*0.5*(VLOOKUP($CU36-DQ$103,Frauen!$G$9:$J$102,4)+VLOOKUP($CU36-DQ$103+1,Frauen!$G$9:$J$102,4))*0.5*(VLOOKUP($CU36-DQ$103,Frauen!$AZ$9:$BD$102,5)+VLOOKUP($CU36-DQ$103+1,Frauen!$AZ$9:$BD$102,5)),RundDx)))</f>
        <v>2833970845</v>
      </c>
      <c r="DR36" s="25">
        <f>IF($CU36&gt;=RAM,"",IF($CU36-DR$103&lt;BeginnAlter,"",ROUND(v^($CU36+FaktorAlter)*$L36*$D36*0.5*(VLOOKUP($CU36-DR$103,Frauen!$G$9:$J$102,4)+VLOOKUP($CU36-DR$103+1,Frauen!$G$9:$J$102,4))*0.5*(VLOOKUP($CU36-DR$103,Frauen!$AZ$9:$BD$102,5)+VLOOKUP($CU36-DR$103+1,Frauen!$AZ$9:$BD$102,5)),RundDx)))</f>
        <v>2871797234</v>
      </c>
      <c r="DS36" s="25">
        <f>IF($CU36&gt;=RAM,"",IF($CU36-DS$103&lt;BeginnAlter,"",ROUND(v^($CU36+FaktorAlter)*$L36*$D36*0.5*(VLOOKUP($CU36-DS$103,Frauen!$G$9:$J$102,4)+VLOOKUP($CU36-DS$103+1,Frauen!$G$9:$J$102,4))*0.5*(VLOOKUP($CU36-DS$103,Frauen!$AZ$9:$BD$102,5)+VLOOKUP($CU36-DS$103+1,Frauen!$AZ$9:$BD$102,5)),RundDx)))</f>
        <v>2908884734</v>
      </c>
      <c r="DT36" s="25">
        <f>IF($CU36&gt;=RAM,"",IF($CU36-DT$103&lt;BeginnAlter,"",ROUND(v^($CU36+FaktorAlter)*$L36*$D36*0.5*(VLOOKUP($CU36-DT$103,Frauen!$G$9:$J$102,4)+VLOOKUP($CU36-DT$103+1,Frauen!$G$9:$J$102,4))*0.5*(VLOOKUP($CU36-DT$103,Frauen!$AZ$9:$BD$102,5)+VLOOKUP($CU36-DT$103+1,Frauen!$AZ$9:$BD$102,5)),RundDx)))</f>
        <v>2945254741</v>
      </c>
      <c r="DU36" s="25">
        <f>IF($CU36&gt;=RAM,"",IF($CU36-DU$103&lt;BeginnAlter,"",ROUND(v^($CU36+FaktorAlter)*$L36*$D36*0.5*(VLOOKUP($CU36-DU$103,Frauen!$G$9:$J$102,4)+VLOOKUP($CU36-DU$103+1,Frauen!$G$9:$J$102,4))*0.5*(VLOOKUP($CU36-DU$103,Frauen!$AZ$9:$BD$102,5)+VLOOKUP($CU36-DU$103+1,Frauen!$AZ$9:$BD$102,5)),RundDx)))</f>
        <v>2980879515</v>
      </c>
      <c r="DV36" s="25">
        <f>IF($CU36&gt;=RAM,"",IF($CU36-DV$103&lt;BeginnAlter,"",ROUND(v^($CU36+FaktorAlter)*$L36*$D36*0.5*(VLOOKUP($CU36-DV$103,Frauen!$G$9:$J$102,4)+VLOOKUP($CU36-DV$103+1,Frauen!$G$9:$J$102,4))*0.5*(VLOOKUP($CU36-DV$103,Frauen!$AZ$9:$BD$102,5)+VLOOKUP($CU36-DV$103+1,Frauen!$AZ$9:$BD$102,5)),RundDx)))</f>
        <v>3015768318</v>
      </c>
      <c r="DW36" s="25">
        <f>IF($CU36&gt;=RAM,"",IF($CU36-DW$103&lt;BeginnAlter,"",ROUND(v^($CU36+FaktorAlter)*$L36*$D36*0.5*(VLOOKUP($CU36-DW$103,Frauen!$G$9:$J$102,4)+VLOOKUP($CU36-DW$103+1,Frauen!$G$9:$J$102,4))*0.5*(VLOOKUP($CU36-DW$103,Frauen!$AZ$9:$BD$102,5)+VLOOKUP($CU36-DW$103+1,Frauen!$AZ$9:$BD$102,5)),RundDx)))</f>
        <v>3049931242</v>
      </c>
      <c r="DX36" s="25">
        <f>IF($CU36&gt;=RAM,"",IF($CU36-DX$103&lt;BeginnAlter,"",ROUND(v^($CU36+FaktorAlter)*$L36*$D36*0.5*(VLOOKUP($CU36-DX$103,Frauen!$G$9:$J$102,4)+VLOOKUP($CU36-DX$103+1,Frauen!$G$9:$J$102,4))*0.5*(VLOOKUP($CU36-DX$103,Frauen!$AZ$9:$BD$102,5)+VLOOKUP($CU36-DX$103+1,Frauen!$AZ$9:$BD$102,5)),RundDx)))</f>
        <v>3083430002</v>
      </c>
      <c r="DY36" s="25">
        <f>IF($CU36&gt;=RAM,"",IF($CU36-DY$103&lt;BeginnAlter,"",ROUND(v^($CU36+FaktorAlter)*$L36*$D36*0.5*(VLOOKUP($CU36-DY$103,Frauen!$G$9:$J$102,4)+VLOOKUP($CU36-DY$103+1,Frauen!$G$9:$J$102,4))*0.5*(VLOOKUP($CU36-DY$103,Frauen!$AZ$9:$BD$102,5)+VLOOKUP($CU36-DY$103+1,Frauen!$AZ$9:$BD$102,5)),RundDx)))</f>
        <v>3116276335</v>
      </c>
      <c r="DZ36" s="25">
        <f>IF($CU36&gt;=RAM,"",IF($CU36-DZ$103&lt;BeginnAlter,"",ROUND(v^($CU36+FaktorAlter)*$L36*$D36*0.5*(VLOOKUP($CU36-DZ$103,Frauen!$G$9:$J$102,4)+VLOOKUP($CU36-DZ$103+1,Frauen!$G$9:$J$102,4))*0.5*(VLOOKUP($CU36-DZ$103,Frauen!$AZ$9:$BD$102,5)+VLOOKUP($CU36-DZ$103+1,Frauen!$AZ$9:$BD$102,5)),RundDx)))</f>
        <v>3148431817</v>
      </c>
      <c r="EA36" s="43">
        <f>IF($CU36&gt;=RAM,"",IF($CU36-EA$103&lt;BeginnAlter,"",ROUND((SUM(CV36:CV$56)+SUM(FN$9:FN$56))/VLOOKUP($CU36,$AH$9:$AI$102,2)/VLOOKUP($CU36-EA$103,Frauen!$G$9:$J$102,4),Rundäx)))</f>
        <v>4.2779999999999996</v>
      </c>
      <c r="EB36" s="43">
        <f>IF($CU36&gt;=RAM,"",IF($CU36-EB$103&lt;BeginnAlter,"",ROUND((SUM(CW36:CW$56)+SUM(FO$9:FO$56))/VLOOKUP($CU36,$AH$9:$AI$102,2)/VLOOKUP($CU36-EB$103,Frauen!$G$9:$J$102,4),Rundäx)))</f>
        <v>4.4889999999999999</v>
      </c>
      <c r="EC36" s="43">
        <f>IF($CU36&gt;=RAM,"",IF($CU36-EC$103&lt;BeginnAlter,"",ROUND((SUM(CX36:CX$56)+SUM(FP$9:FP$56))/VLOOKUP($CU36,$AH$9:$AI$102,2)/VLOOKUP($CU36-EC$103,Frauen!$G$9:$J$102,4),Rundäx)))</f>
        <v>4.7050000000000001</v>
      </c>
      <c r="ED36" s="43">
        <f>IF($CU36&gt;=RAM,"",IF($CU36-ED$103&lt;BeginnAlter,"",ROUND((SUM(CY36:CY$56)+SUM(FQ$9:FQ$56))/VLOOKUP($CU36,$AH$9:$AI$102,2)/VLOOKUP($CU36-ED$103,Frauen!$G$9:$J$102,4),Rundäx)))</f>
        <v>4.9260000000000002</v>
      </c>
      <c r="EE36" s="43">
        <f>IF($CU36&gt;=RAM,"",IF($CU36-EE$103&lt;BeginnAlter,"",ROUND((SUM(CZ36:CZ$56)+SUM(FR$9:FR$56))/VLOOKUP($CU36,$AH$9:$AI$102,2)/VLOOKUP($CU36-EE$103,Frauen!$G$9:$J$102,4),Rundäx)))</f>
        <v>5.1509999999999998</v>
      </c>
      <c r="EF36" s="43">
        <f>IF($CU36&gt;=RAM,"",IF($CU36-EF$103&lt;BeginnAlter,"",ROUND((SUM(DA36:DA$56)+SUM(FS$9:FS$56))/VLOOKUP($CU36,$AH$9:$AI$102,2)/VLOOKUP($CU36-EF$103,Frauen!$G$9:$J$102,4),Rundäx)))</f>
        <v>5.3810000000000002</v>
      </c>
      <c r="EG36" s="43">
        <f>IF($CU36&gt;=RAM,"",IF($CU36-EG$103&lt;BeginnAlter,"",ROUND((SUM(DB36:DB$56)+SUM(FT$9:FT$56))/VLOOKUP($CU36,$AH$9:$AI$102,2)/VLOOKUP($CU36-EG$103,Frauen!$G$9:$J$102,4),Rundäx)))</f>
        <v>5.6159999999999997</v>
      </c>
      <c r="EH36" s="43">
        <f>IF($CU36&gt;=RAM,"",IF($CU36-EH$103&lt;BeginnAlter,"",ROUND((SUM(DC36:DC$56)+SUM(FU$9:FU$56))/VLOOKUP($CU36,$AH$9:$AI$102,2)/VLOOKUP($CU36-EH$103,Frauen!$G$9:$J$102,4),Rundäx)))</f>
        <v>5.8550000000000004</v>
      </c>
      <c r="EI36" s="86"/>
      <c r="EJ36" s="35">
        <f t="shared" si="60"/>
        <v>44</v>
      </c>
      <c r="EK36" s="43">
        <f>IF($CU36&gt;=RAM,"",IF($CU36-EK$103&lt;BeginnAlter,"",ROUND((SUM(DD36:DD$56)+SUM(FV$9:FV$56))/VLOOKUP($CU36,$AH$9:$AI$102,2)/VLOOKUP($CU36-EK$103,Frauen!$G$9:$J$102,4),Rundäx)))</f>
        <v>6.0979999999999999</v>
      </c>
      <c r="EL36" s="43">
        <f>IF($CU36&gt;=RAM,"",IF($CU36-EL$103&lt;BeginnAlter,"",ROUND((SUM(DE36:DE$56)+SUM(FW$9:FW$56))/VLOOKUP($CU36,$AH$9:$AI$102,2)/VLOOKUP($CU36-EL$103,Frauen!$G$9:$J$102,4),Rundäx)))</f>
        <v>6.3460000000000001</v>
      </c>
      <c r="EM36" s="43">
        <f>IF($CU36&gt;=RAM,"",IF($CU36-EM$103&lt;BeginnAlter,"",ROUND((SUM(DF36:DF$56)+SUM(FX$9:FX$56))/VLOOKUP($CU36,$AH$9:$AI$102,2)/VLOOKUP($CU36-EM$103,Frauen!$G$9:$J$102,4),Rundäx)))</f>
        <v>6.5979999999999999</v>
      </c>
      <c r="EN36" s="43">
        <f>IF($CU36&gt;=RAM,"",IF($CU36-EN$103&lt;BeginnAlter,"",ROUND((SUM(DG36:DG$56)+SUM(FY$9:FY$56))/VLOOKUP($CU36,$AH$9:$AI$102,2)/VLOOKUP($CU36-EN$103,Frauen!$G$9:$J$102,4),Rundäx)))</f>
        <v>6.8540000000000001</v>
      </c>
      <c r="EO36" s="43">
        <f>IF($CU36&gt;=RAM,"",IF($CU36-EO$103&lt;BeginnAlter,"",ROUND((SUM(DH36:DH$56)+SUM(FZ$9:FZ$56))/VLOOKUP($CU36,$AH$9:$AI$102,2)/VLOOKUP($CU36-EO$103,Frauen!$G$9:$J$102,4),Rundäx)))</f>
        <v>7.1139999999999999</v>
      </c>
      <c r="EP36" s="43">
        <f>IF($CU36&gt;=RAM,"",IF($CU36-EP$103&lt;BeginnAlter,"",ROUND((SUM(DI36:DI$56)+SUM(GA$9:GA$56))/VLOOKUP($CU36,$AH$9:$AI$102,2)/VLOOKUP($CU36-EP$103,Frauen!$G$9:$J$102,4),Rundäx)))</f>
        <v>7.3780000000000001</v>
      </c>
      <c r="EQ36" s="43">
        <f>IF($CU36&gt;=RAM,"",IF($CU36-EQ$103&lt;BeginnAlter,"",ROUND((SUM(DJ36:DJ$56)+SUM(GB$9:GB$56))/VLOOKUP($CU36,$AH$9:$AI$102,2)/VLOOKUP($CU36-EQ$103,Frauen!$G$9:$J$102,4),Rundäx)))</f>
        <v>7.6440000000000001</v>
      </c>
      <c r="ER36" s="43">
        <f>IF($CU36&gt;=RAM,"",IF($CU36-ER$103&lt;BeginnAlter,"",ROUND((SUM(DK36:DK$56)+SUM(GC$9:GC$56))/VLOOKUP($CU36,$AH$9:$AI$102,2)/VLOOKUP($CU36-ER$103,Frauen!$G$9:$J$102,4),Rundäx)))</f>
        <v>7.9139999999999997</v>
      </c>
      <c r="ES36" s="86"/>
      <c r="ET36" s="35">
        <f t="shared" si="61"/>
        <v>44</v>
      </c>
      <c r="EU36" s="43">
        <f>IF($CU36&gt;=RAM,"",IF($CU36-EU$103&lt;BeginnAlter,"",ROUND((SUM(DL36:DL$56)+SUM(GD$9:GD$56))/VLOOKUP($CU36,$AH$9:$AI$102,2)/VLOOKUP($CU36-EU$103,Frauen!$G$9:$J$102,4),Rundäx)))</f>
        <v>8.1859999999999999</v>
      </c>
      <c r="EV36" s="43">
        <f>IF($CU36&gt;=RAM,"",IF($CU36-EV$103&lt;BeginnAlter,"",ROUND((SUM(DM36:DM$56)+SUM(GE$9:GE$56))/VLOOKUP($CU36,$AH$9:$AI$102,2)/VLOOKUP($CU36-EV$103,Frauen!$G$9:$J$102,4),Rundäx)))</f>
        <v>8.4610000000000003</v>
      </c>
      <c r="EW36" s="43">
        <f>IF($CU36&gt;=RAM,"",IF($CU36-EW$103&lt;BeginnAlter,"",ROUND((SUM(DN36:DN$56)+SUM(GF$9:GF$56))/VLOOKUP($CU36,$AH$9:$AI$102,2)/VLOOKUP($CU36-EW$103,Frauen!$G$9:$J$102,4),Rundäx)))</f>
        <v>8.7370000000000001</v>
      </c>
      <c r="EX36" s="43">
        <f>IF($CU36&gt;=RAM,"",IF($CU36-EX$103&lt;BeginnAlter,"",ROUND((SUM(DO36:DO$56)+SUM(GG$9:GG$56))/VLOOKUP($CU36,$AH$9:$AI$102,2)/VLOOKUP($CU36-EX$103,Frauen!$G$9:$J$102,4),Rundäx)))</f>
        <v>9.0150000000000006</v>
      </c>
      <c r="EY36" s="43">
        <f>IF($CU36&gt;=RAM,"",IF($CU36-EY$103&lt;BeginnAlter,"",ROUND((SUM(DP36:DP$56)+SUM(GH$9:GH$56))/VLOOKUP($CU36,$AH$9:$AI$102,2)/VLOOKUP($CU36-EY$103,Frauen!$G$9:$J$102,4),Rundäx)))</f>
        <v>9.2940000000000005</v>
      </c>
      <c r="EZ36" s="43">
        <f>IF($CU36&gt;=RAM,"",IF($CU36-EZ$103&lt;BeginnAlter,"",ROUND((SUM(DQ36:DQ$56)+SUM(GI$9:GI$56))/VLOOKUP($CU36,$AH$9:$AI$102,2)/VLOOKUP($CU36-EZ$103,Frauen!$G$9:$J$102,4),Rundäx)))</f>
        <v>9.5730000000000004</v>
      </c>
      <c r="FA36" s="43">
        <f>IF($CU36&gt;=RAM,"",IF($CU36-FA$103&lt;BeginnAlter,"",ROUND((SUM(DR36:DR$56)+SUM(GJ$9:GJ$56))/VLOOKUP($CU36,$AH$9:$AI$102,2)/VLOOKUP($CU36-FA$103,Frauen!$G$9:$J$102,4),Rundäx)))</f>
        <v>9.8520000000000003</v>
      </c>
      <c r="FB36" s="43">
        <f>IF($CU36&gt;=RAM,"",IF($CU36-FB$103&lt;BeginnAlter,"",ROUND((SUM(DS36:DS$56)+SUM(GK$9:GK$56))/VLOOKUP($CU36,$AH$9:$AI$102,2)/VLOOKUP($CU36-FB$103,Frauen!$G$9:$J$102,4),Rundäx)))</f>
        <v>10.131</v>
      </c>
      <c r="FC36" s="86"/>
      <c r="FD36" s="35">
        <f t="shared" si="62"/>
        <v>44</v>
      </c>
      <c r="FE36" s="43">
        <f>IF($CU36&gt;=RAM,"",IF($CU36-FE$103&lt;BeginnAlter,"",ROUND((SUM(DT36:DT$56)+SUM(GL$9:GL$56))/VLOOKUP($CU36,$AH$9:$AI$102,2)/VLOOKUP($CU36-FE$103,Frauen!$G$9:$J$102,4),Rundäx)))</f>
        <v>10.409000000000001</v>
      </c>
      <c r="FF36" s="43">
        <f>IF($CU36&gt;=RAM,"",IF($CU36-FF$103&lt;BeginnAlter,"",ROUND((SUM(DU36:DU$56)+SUM(GM$9:GM$56))/VLOOKUP($CU36,$AH$9:$AI$102,2)/VLOOKUP($CU36-FF$103,Frauen!$G$9:$J$102,4),Rundäx)))</f>
        <v>10.685</v>
      </c>
      <c r="FG36" s="43">
        <f>IF($CU36&gt;=RAM,"",IF($CU36-FG$103&lt;BeginnAlter,"",ROUND((SUM(DV36:DV$56)+SUM(GN$9:GN$56))/VLOOKUP($CU36,$AH$9:$AI$102,2)/VLOOKUP($CU36-FG$103,Frauen!$G$9:$J$102,4),Rundäx)))</f>
        <v>10.96</v>
      </c>
      <c r="FH36" s="43">
        <f>IF($CU36&gt;=RAM,"",IF($CU36-FH$103&lt;BeginnAlter,"",ROUND((SUM(DW36:DW$56)+SUM(GO$9:GO$56))/VLOOKUP($CU36,$AH$9:$AI$102,2)/VLOOKUP($CU36-FH$103,Frauen!$G$9:$J$102,4),Rundäx)))</f>
        <v>11.233000000000001</v>
      </c>
      <c r="FI36" s="43">
        <f>IF($CU36&gt;=RAM,"",IF($CU36-FI$103&lt;BeginnAlter,"",ROUND((SUM(DX36:DX$56)+SUM(GP$9:GP$56))/VLOOKUP($CU36,$AH$9:$AI$102,2)/VLOOKUP($CU36-FI$103,Frauen!$G$9:$J$102,4),Rundäx)))</f>
        <v>11.504</v>
      </c>
      <c r="FJ36" s="43">
        <f>IF($CU36&gt;=RAM,"",IF($CU36-FJ$103&lt;BeginnAlter,"",ROUND((SUM(DY36:DY$56)+SUM(GQ$9:GQ$56))/VLOOKUP($CU36,$AH$9:$AI$102,2)/VLOOKUP($CU36-FJ$103,Frauen!$G$9:$J$102,4),Rundäx)))</f>
        <v>11.772</v>
      </c>
      <c r="FK36" s="43">
        <f>IF($CU36&gt;=RAM,"",IF($CU36-FK$103&lt;BeginnAlter,"",ROUND((SUM(DZ36:DZ$56)+SUM(GR$9:GR$56))/VLOOKUP($CU36,$AH$9:$AI$102,2)/VLOOKUP($CU36-FK$103,Frauen!$G$9:$J$102,4),Rundäx)))</f>
        <v>12.038</v>
      </c>
      <c r="FL36" s="86"/>
      <c r="FM36" s="35">
        <f t="shared" si="68"/>
        <v>92</v>
      </c>
      <c r="FN36" s="25"/>
      <c r="FO36" s="25"/>
      <c r="FP36" s="25"/>
      <c r="FQ36" s="25"/>
      <c r="FR36" s="25">
        <f>ROUND(v^($FM36+FaktorAlter)*VLOOKUP($FM36,$G$9:$J$102,4)*VLOOKUP($FM36,$A$9:$E$102,5)*0.5*(VLOOKUP($FM36-FR$103,Frauen!$G$9:$J$102,4)+VLOOKUP($FM36-FR$103+1,Frauen!$G$9:$J$102,4))*0.5*(VLOOKUP($FM36-FR$103,Frauen!$AZ$9:$BD$102,5)+VLOOKUP($FM36-FR$103+1,Frauen!$AZ$9:$BD$102,5)),RundDx)</f>
        <v>24939</v>
      </c>
      <c r="FS36" s="25">
        <f>ROUND(v^($FM36+FaktorAlter)*VLOOKUP($FM36,$G$9:$J$102,4)*VLOOKUP($FM36,$A$9:$E$102,5)*0.5*(VLOOKUP($FM36-FS$103,Frauen!$G$9:$J$102,4)+VLOOKUP($FM36-FS$103+1,Frauen!$G$9:$J$102,4))*0.5*(VLOOKUP($FM36-FS$103,Frauen!$AZ$9:$BD$102,5)+VLOOKUP($FM36-FS$103+1,Frauen!$AZ$9:$BD$102,5)),RundDx)</f>
        <v>93950</v>
      </c>
      <c r="FT36" s="25">
        <f>ROUND(v^($FM36+FaktorAlter)*VLOOKUP($FM36,$G$9:$J$102,4)*VLOOKUP($FM36,$A$9:$E$102,5)*0.5*(VLOOKUP($FM36-FT$103,Frauen!$G$9:$J$102,4)+VLOOKUP($FM36-FT$103+1,Frauen!$G$9:$J$102,4))*0.5*(VLOOKUP($FM36-FT$103,Frauen!$AZ$9:$BD$102,5)+VLOOKUP($FM36-FT$103+1,Frauen!$AZ$9:$BD$102,5)),RundDx)</f>
        <v>245885</v>
      </c>
      <c r="FU36" s="25">
        <f>ROUND(v^($FM36+FaktorAlter)*VLOOKUP($FM36,$G$9:$J$102,4)*VLOOKUP($FM36,$A$9:$E$102,5)*0.5*(VLOOKUP($FM36-FU$103,Frauen!$G$9:$J$102,4)+VLOOKUP($FM36-FU$103+1,Frauen!$G$9:$J$102,4))*0.5*(VLOOKUP($FM36-FU$103,Frauen!$AZ$9:$BD$102,5)+VLOOKUP($FM36-FU$103+1,Frauen!$AZ$9:$BD$102,5)),RundDx)</f>
        <v>540264</v>
      </c>
      <c r="FV36" s="25">
        <f>ROUND(v^($FM36+FaktorAlter)*VLOOKUP($FM36,$G$9:$J$102,4)*VLOOKUP($FM36,$A$9:$E$102,5)*0.5*(VLOOKUP($FM36-FV$103,Frauen!$G$9:$J$102,4)+VLOOKUP($FM36-FV$103+1,Frauen!$G$9:$J$102,4))*0.5*(VLOOKUP($FM36-FV$103,Frauen!$AZ$9:$BD$102,5)+VLOOKUP($FM36-FV$103+1,Frauen!$AZ$9:$BD$102,5)),RundDx)</f>
        <v>1047311</v>
      </c>
      <c r="FW36" s="25">
        <f>ROUND(v^($FM36+FaktorAlter)*VLOOKUP($FM36,$G$9:$J$102,4)*VLOOKUP($FM36,$A$9:$E$102,5)*0.5*(VLOOKUP($FM36-FW$103,Frauen!$G$9:$J$102,4)+VLOOKUP($FM36-FW$103+1,Frauen!$G$9:$J$102,4))*0.5*(VLOOKUP($FM36-FW$103,Frauen!$AZ$9:$BD$102,5)+VLOOKUP($FM36-FW$103+1,Frauen!$AZ$9:$BD$102,5)),RundDx)</f>
        <v>1867410</v>
      </c>
      <c r="FX36" s="25">
        <f>ROUND(v^($FM36+FaktorAlter)*VLOOKUP($FM36,$G$9:$J$102,4)*VLOOKUP($FM36,$A$9:$E$102,5)*0.5*(VLOOKUP($FM36-FX$103,Frauen!$G$9:$J$102,4)+VLOOKUP($FM36-FX$103+1,Frauen!$G$9:$J$102,4))*0.5*(VLOOKUP($FM36-FX$103,Frauen!$AZ$9:$BD$102,5)+VLOOKUP($FM36-FX$103+1,Frauen!$AZ$9:$BD$102,5)),RundDx)</f>
        <v>3110597</v>
      </c>
      <c r="FY36" s="25">
        <f>ROUND(v^($FM36+FaktorAlter)*VLOOKUP($FM36,$G$9:$J$102,4)*VLOOKUP($FM36,$A$9:$E$102,5)*0.5*(VLOOKUP($FM36-FY$103,Frauen!$G$9:$J$102,4)+VLOOKUP($FM36-FY$103+1,Frauen!$G$9:$J$102,4))*0.5*(VLOOKUP($FM36-FY$103,Frauen!$AZ$9:$BD$102,5)+VLOOKUP($FM36-FY$103+1,Frauen!$AZ$9:$BD$102,5)),RundDx)</f>
        <v>4916466</v>
      </c>
      <c r="FZ36" s="25">
        <f>ROUND(v^($FM36+FaktorAlter)*VLOOKUP($FM36,$G$9:$J$102,4)*VLOOKUP($FM36,$A$9:$E$102,5)*0.5*(VLOOKUP($FM36-FZ$103,Frauen!$G$9:$J$102,4)+VLOOKUP($FM36-FZ$103+1,Frauen!$G$9:$J$102,4))*0.5*(VLOOKUP($FM36-FZ$103,Frauen!$AZ$9:$BD$102,5)+VLOOKUP($FM36-FZ$103+1,Frauen!$AZ$9:$BD$102,5)),RundDx)</f>
        <v>7443972</v>
      </c>
      <c r="GA36" s="25">
        <f>ROUND(v^($FM36+FaktorAlter)*VLOOKUP($FM36,$G$9:$J$102,4)*VLOOKUP($FM36,$A$9:$E$102,5)*0.5*(VLOOKUP($FM36-GA$103,Frauen!$G$9:$J$102,4)+VLOOKUP($FM36-GA$103+1,Frauen!$G$9:$J$102,4))*0.5*(VLOOKUP($FM36-GA$103,Frauen!$AZ$9:$BD$102,5)+VLOOKUP($FM36-GA$103+1,Frauen!$AZ$9:$BD$102,5)),RundDx)</f>
        <v>10864348</v>
      </c>
      <c r="GB36" s="25">
        <f>ROUND(v^($FM36+FaktorAlter)*VLOOKUP($FM36,$G$9:$J$102,4)*VLOOKUP($FM36,$A$9:$E$102,5)*0.5*(VLOOKUP($FM36-GB$103,Frauen!$G$9:$J$102,4)+VLOOKUP($FM36-GB$103+1,Frauen!$G$9:$J$102,4))*0.5*(VLOOKUP($FM36-GB$103,Frauen!$AZ$9:$BD$102,5)+VLOOKUP($FM36-GB$103+1,Frauen!$AZ$9:$BD$102,5)),RundDx)</f>
        <v>15351280</v>
      </c>
      <c r="GC36" s="25">
        <f>ROUND(v^($FM36+FaktorAlter)*VLOOKUP($FM36,$G$9:$J$102,4)*VLOOKUP($FM36,$A$9:$E$102,5)*0.5*(VLOOKUP($FM36-GC$103,Frauen!$G$9:$J$102,4)+VLOOKUP($FM36-GC$103+1,Frauen!$G$9:$J$102,4))*0.5*(VLOOKUP($FM36-GC$103,Frauen!$AZ$9:$BD$102,5)+VLOOKUP($FM36-GC$103+1,Frauen!$AZ$9:$BD$102,5)),RundDx)</f>
        <v>21099909</v>
      </c>
      <c r="GD36" s="25">
        <f>ROUND(v^($FM36+FaktorAlter)*VLOOKUP($FM36,$G$9:$J$102,4)*VLOOKUP($FM36,$A$9:$E$102,5)*0.5*(VLOOKUP($FM36-GD$103,Frauen!$G$9:$J$102,4)+VLOOKUP($FM36-GD$103+1,Frauen!$G$9:$J$102,4))*0.5*(VLOOKUP($FM36-GD$103,Frauen!$AZ$9:$BD$102,5)+VLOOKUP($FM36-GD$103+1,Frauen!$AZ$9:$BD$102,5)),RundDx)</f>
        <v>28227569</v>
      </c>
      <c r="GE36" s="25">
        <f>ROUND(v^($FM36+FaktorAlter)*VLOOKUP($FM36,$G$9:$J$102,4)*VLOOKUP($FM36,$A$9:$E$102,5)*0.5*(VLOOKUP($FM36-GE$103,Frauen!$G$9:$J$102,4)+VLOOKUP($FM36-GE$103+1,Frauen!$G$9:$J$102,4))*0.5*(VLOOKUP($FM36-GE$103,Frauen!$AZ$9:$BD$102,5)+VLOOKUP($FM36-GE$103+1,Frauen!$AZ$9:$BD$102,5)),RundDx)</f>
        <v>36748164</v>
      </c>
      <c r="GF36" s="25">
        <f>ROUND(v^($FM36+FaktorAlter)*VLOOKUP($FM36,$G$9:$J$102,4)*VLOOKUP($FM36,$A$9:$E$102,5)*0.5*(VLOOKUP($FM36-GF$103,Frauen!$G$9:$J$102,4)+VLOOKUP($FM36-GF$103+1,Frauen!$G$9:$J$102,4))*0.5*(VLOOKUP($FM36-GF$103,Frauen!$AZ$9:$BD$102,5)+VLOOKUP($FM36-GF$103+1,Frauen!$AZ$9:$BD$102,5)),RundDx)</f>
        <v>46734783</v>
      </c>
      <c r="GG36" s="25">
        <f>ROUND(v^($FM36+FaktorAlter)*VLOOKUP($FM36,$G$9:$J$102,4)*VLOOKUP($FM36,$A$9:$E$102,5)*0.5*(VLOOKUP($FM36-GG$103,Frauen!$G$9:$J$102,4)+VLOOKUP($FM36-GG$103+1,Frauen!$G$9:$J$102,4))*0.5*(VLOOKUP($FM36-GG$103,Frauen!$AZ$9:$BD$102,5)+VLOOKUP($FM36-GG$103+1,Frauen!$AZ$9:$BD$102,5)),RundDx)</f>
        <v>58200238</v>
      </c>
      <c r="GH36" s="25">
        <f>ROUND(v^($FM36+FaktorAlter)*VLOOKUP($FM36,$G$9:$J$102,4)*VLOOKUP($FM36,$A$9:$E$102,5)*0.5*(VLOOKUP($FM36-GH$103,Frauen!$G$9:$J$102,4)+VLOOKUP($FM36-GH$103+1,Frauen!$G$9:$J$102,4))*0.5*(VLOOKUP($FM36-GH$103,Frauen!$AZ$9:$BD$102,5)+VLOOKUP($FM36-GH$103+1,Frauen!$AZ$9:$BD$102,5)),RundDx)</f>
        <v>71109132</v>
      </c>
      <c r="GI36" s="25">
        <f>ROUND(v^($FM36+FaktorAlter)*VLOOKUP($FM36,$G$9:$J$102,4)*VLOOKUP($FM36,$A$9:$E$102,5)*0.5*(VLOOKUP($FM36-GI$103,Frauen!$G$9:$J$102,4)+VLOOKUP($FM36-GI$103+1,Frauen!$G$9:$J$102,4))*0.5*(VLOOKUP($FM36-GI$103,Frauen!$AZ$9:$BD$102,5)+VLOOKUP($FM36-GI$103+1,Frauen!$AZ$9:$BD$102,5)),RundDx)</f>
        <v>85395766</v>
      </c>
      <c r="GJ36" s="25">
        <f>ROUND(v^($FM36+FaktorAlter)*VLOOKUP($FM36,$G$9:$J$102,4)*VLOOKUP($FM36,$A$9:$E$102,5)*0.5*(VLOOKUP($FM36-GJ$103,Frauen!$G$9:$J$102,4)+VLOOKUP($FM36-GJ$103+1,Frauen!$G$9:$J$102,4))*0.5*(VLOOKUP($FM36-GJ$103,Frauen!$AZ$9:$BD$102,5)+VLOOKUP($FM36-GJ$103+1,Frauen!$AZ$9:$BD$102,5)),RundDx)</f>
        <v>100923048</v>
      </c>
      <c r="GK36" s="25">
        <f>ROUND(v^($FM36+FaktorAlter)*VLOOKUP($FM36,$G$9:$J$102,4)*VLOOKUP($FM36,$A$9:$E$102,5)*0.5*(VLOOKUP($FM36-GK$103,Frauen!$G$9:$J$102,4)+VLOOKUP($FM36-GK$103+1,Frauen!$G$9:$J$102,4))*0.5*(VLOOKUP($FM36-GK$103,Frauen!$AZ$9:$BD$102,5)+VLOOKUP($FM36-GK$103+1,Frauen!$AZ$9:$BD$102,5)),RundDx)</f>
        <v>117526429</v>
      </c>
      <c r="GL36" s="25">
        <f>ROUND(v^($FM36+FaktorAlter)*VLOOKUP($FM36,$G$9:$J$102,4)*VLOOKUP($FM36,$A$9:$E$102,5)*0.5*(VLOOKUP($FM36-GL$103,Frauen!$G$9:$J$102,4)+VLOOKUP($FM36-GL$103+1,Frauen!$G$9:$J$102,4))*0.5*(VLOOKUP($FM36-GL$103,Frauen!$AZ$9:$BD$102,5)+VLOOKUP($FM36-GL$103+1,Frauen!$AZ$9:$BD$102,5)),RundDx)</f>
        <v>135043121</v>
      </c>
      <c r="GM36" s="25">
        <f>ROUND(v^($FM36+FaktorAlter)*VLOOKUP($FM36,$G$9:$J$102,4)*VLOOKUP($FM36,$A$9:$E$102,5)*0.5*(VLOOKUP($FM36-GM$103,Frauen!$G$9:$J$102,4)+VLOOKUP($FM36-GM$103+1,Frauen!$G$9:$J$102,4))*0.5*(VLOOKUP($FM36-GM$103,Frauen!$AZ$9:$BD$102,5)+VLOOKUP($FM36-GM$103+1,Frauen!$AZ$9:$BD$102,5)),RundDx)</f>
        <v>153280436</v>
      </c>
      <c r="GN36" s="25">
        <f>ROUND(v^($FM36+FaktorAlter)*VLOOKUP($FM36,$G$9:$J$102,4)*VLOOKUP($FM36,$A$9:$E$102,5)*0.5*(VLOOKUP($FM36-GN$103,Frauen!$G$9:$J$102,4)+VLOOKUP($FM36-GN$103+1,Frauen!$G$9:$J$102,4))*0.5*(VLOOKUP($FM36-GN$103,Frauen!$AZ$9:$BD$102,5)+VLOOKUP($FM36-GN$103+1,Frauen!$AZ$9:$BD$102,5)),RundDx)</f>
        <v>172056347</v>
      </c>
      <c r="GO36" s="25">
        <f>ROUND(v^($FM36+FaktorAlter)*VLOOKUP($FM36,$G$9:$J$102,4)*VLOOKUP($FM36,$A$9:$E$102,5)*0.5*(VLOOKUP($FM36-GO$103,Frauen!$G$9:$J$102,4)+VLOOKUP($FM36-GO$103+1,Frauen!$G$9:$J$102,4))*0.5*(VLOOKUP($FM36-GO$103,Frauen!$AZ$9:$BD$102,5)+VLOOKUP($FM36-GO$103+1,Frauen!$AZ$9:$BD$102,5)),RundDx)</f>
        <v>191246830</v>
      </c>
      <c r="GP36" s="25">
        <f>ROUND(v^($FM36+FaktorAlter)*VLOOKUP($FM36,$G$9:$J$102,4)*VLOOKUP($FM36,$A$9:$E$102,5)*0.5*(VLOOKUP($FM36-GP$103,Frauen!$G$9:$J$102,4)+VLOOKUP($FM36-GP$103+1,Frauen!$G$9:$J$102,4))*0.5*(VLOOKUP($FM36-GP$103,Frauen!$AZ$9:$BD$102,5)+VLOOKUP($FM36-GP$103+1,Frauen!$AZ$9:$BD$102,5)),RundDx)</f>
        <v>210791026</v>
      </c>
      <c r="GQ36" s="25">
        <f>ROUND(v^($FM36+FaktorAlter)*VLOOKUP($FM36,$G$9:$J$102,4)*VLOOKUP($FM36,$A$9:$E$102,5)*0.5*(VLOOKUP($FM36-GQ$103,Frauen!$G$9:$J$102,4)+VLOOKUP($FM36-GQ$103+1,Frauen!$G$9:$J$102,4))*0.5*(VLOOKUP($FM36-GQ$103,Frauen!$AZ$9:$BD$102,5)+VLOOKUP($FM36-GQ$103+1,Frauen!$AZ$9:$BD$102,5)),RundDx)</f>
        <v>230606053</v>
      </c>
      <c r="GR36" s="25">
        <f>ROUND(v^($FM36+FaktorAlter)*VLOOKUP($FM36,$G$9:$J$102,4)*VLOOKUP($FM36,$A$9:$E$102,5)*0.5*(VLOOKUP($FM36-GR$103,Frauen!$G$9:$J$102,4)+VLOOKUP($FM36-GR$103+1,Frauen!$G$9:$J$102,4))*0.5*(VLOOKUP($FM36-GR$103,Frauen!$AZ$9:$BD$102,5)+VLOOKUP($FM36-GR$103+1,Frauen!$AZ$9:$BD$102,5)),RundDx)</f>
        <v>250675643</v>
      </c>
      <c r="GS36" s="24"/>
      <c r="GT36" s="24"/>
      <c r="GU36" s="24"/>
      <c r="GV36" s="24"/>
      <c r="GW36" s="24">
        <f>ROUND(SUM(FR36:FR$56)/VLOOKUP($FM36,$AQ$9:$AR$102,2)/VLOOKUP($FM36-GW$103,Frauen!$G$9:$J$102,4),Rundäx)</f>
        <v>0.111</v>
      </c>
      <c r="GX36" s="24">
        <f>ROUND(SUM(FS36:FS$56)/VLOOKUP($FM36,$AQ$9:$AR$102,2)/VLOOKUP($FM36-GX$103,Frauen!$G$9:$J$102,4),Rundäx)</f>
        <v>0.20200000000000001</v>
      </c>
      <c r="GY36" s="24">
        <f>ROUND(SUM(FT36:FT$56)/VLOOKUP($FM36,$AQ$9:$AR$102,2)/VLOOKUP($FM36-GY$103,Frauen!$G$9:$J$102,4),Rundäx)</f>
        <v>0.28699999999999998</v>
      </c>
      <c r="GZ36" s="24">
        <f>ROUND(SUM(FU36:FU$56)/VLOOKUP($FM36,$AQ$9:$AR$102,2)/VLOOKUP($FM36-GZ$103,Frauen!$G$9:$J$102,4),Rundäx)</f>
        <v>0.377</v>
      </c>
      <c r="HA36" s="86"/>
      <c r="HB36" s="35">
        <f t="shared" si="63"/>
        <v>92</v>
      </c>
      <c r="HC36" s="24">
        <f>ROUND(SUM(FV36:FV$56)/VLOOKUP($FM36,$AQ$9:$AR$102,2)/VLOOKUP($FM36-HC$103,Frauen!$G$9:$J$102,4),Rundäx)</f>
        <v>0.47599999999999998</v>
      </c>
      <c r="HD36" s="24">
        <f>ROUND(SUM(FW36:FW$56)/VLOOKUP($FM36,$AQ$9:$AR$102,2)/VLOOKUP($FM36-HD$103,Frauen!$G$9:$J$102,4),Rundäx)</f>
        <v>0.58599999999999997</v>
      </c>
      <c r="HE36" s="24">
        <f>ROUND(SUM(FX36:FX$56)/VLOOKUP($FM36,$AQ$9:$AR$102,2)/VLOOKUP($FM36-HE$103,Frauen!$G$9:$J$102,4),Rundäx)</f>
        <v>0.70899999999999996</v>
      </c>
      <c r="HF36" s="24">
        <f>ROUND(SUM(FY36:FY$56)/VLOOKUP($FM36,$AQ$9:$AR$102,2)/VLOOKUP($FM36-HF$103,Frauen!$G$9:$J$102,4),Rundäx)</f>
        <v>0.84699999999999998</v>
      </c>
      <c r="HG36" s="24">
        <f>ROUND(SUM(FZ36:FZ$56)/VLOOKUP($FM36,$AQ$9:$AR$102,2)/VLOOKUP($FM36-HG$103,Frauen!$G$9:$J$102,4),Rundäx)</f>
        <v>1</v>
      </c>
      <c r="HH36" s="24">
        <f>ROUND(SUM(GA36:GA$56)/VLOOKUP($FM36,$AQ$9:$AR$102,2)/VLOOKUP($FM36-HH$103,Frauen!$G$9:$J$102,4),Rundäx)</f>
        <v>1.1719999999999999</v>
      </c>
      <c r="HI36" s="24">
        <f>ROUND(SUM(GB36:GB$56)/VLOOKUP($FM36,$AQ$9:$AR$102,2)/VLOOKUP($FM36-HI$103,Frauen!$G$9:$J$102,4),Rundäx)</f>
        <v>1.3620000000000001</v>
      </c>
      <c r="HJ36" s="24">
        <f>ROUND(SUM(GC36:GC$56)/VLOOKUP($FM36,$AQ$9:$AR$102,2)/VLOOKUP($FM36-HJ$103,Frauen!$G$9:$J$102,4),Rundäx)</f>
        <v>1.573</v>
      </c>
      <c r="HK36" s="86"/>
      <c r="HL36" s="35">
        <f t="shared" si="64"/>
        <v>92</v>
      </c>
      <c r="HM36" s="24">
        <f>ROUND(SUM(GD36:GD$56)/VLOOKUP($FM36,$AQ$9:$AR$102,2)/VLOOKUP($FM36-HM$103,Frauen!$G$9:$J$102,4),Rundäx)</f>
        <v>1.806</v>
      </c>
      <c r="HN36" s="24">
        <f>ROUND(SUM(GE36:GE$56)/VLOOKUP($FM36,$AQ$9:$AR$102,2)/VLOOKUP($FM36-HN$103,Frauen!$G$9:$J$102,4),Rundäx)</f>
        <v>2.06</v>
      </c>
      <c r="HO36" s="24">
        <f>ROUND(SUM(GF36:GF$56)/VLOOKUP($FM36,$AQ$9:$AR$102,2)/VLOOKUP($FM36-HO$103,Frauen!$G$9:$J$102,4),Rundäx)</f>
        <v>2.335</v>
      </c>
      <c r="HP36" s="24">
        <f>ROUND(SUM(GG36:GG$56)/VLOOKUP($FM36,$AQ$9:$AR$102,2)/VLOOKUP($FM36-HP$103,Frauen!$G$9:$J$102,4),Rundäx)</f>
        <v>2.6339999999999999</v>
      </c>
      <c r="HQ36" s="24">
        <f>ROUND(SUM(GH36:GH$56)/VLOOKUP($FM36,$AQ$9:$AR$102,2)/VLOOKUP($FM36-HQ$103,Frauen!$G$9:$J$102,4),Rundäx)</f>
        <v>2.956</v>
      </c>
      <c r="HR36" s="24">
        <f>ROUND(SUM(GI36:GI$56)/VLOOKUP($FM36,$AQ$9:$AR$102,2)/VLOOKUP($FM36-HR$103,Frauen!$G$9:$J$102,4),Rundäx)</f>
        <v>3.3039999999999998</v>
      </c>
      <c r="HS36" s="24">
        <f>ROUND(SUM(GJ36:GJ$56)/VLOOKUP($FM36,$AQ$9:$AR$102,2)/VLOOKUP($FM36-HS$103,Frauen!$G$9:$J$102,4),Rundäx)</f>
        <v>3.6779999999999999</v>
      </c>
      <c r="HT36" s="24">
        <f>ROUND(SUM(GK36:GK$56)/VLOOKUP($FM36,$AQ$9:$AR$102,2)/VLOOKUP($FM36-HT$103,Frauen!$G$9:$J$102,4),Rundäx)</f>
        <v>4.08</v>
      </c>
      <c r="HU36" s="86"/>
      <c r="HV36" s="35">
        <f t="shared" si="65"/>
        <v>92</v>
      </c>
      <c r="HW36" s="24">
        <f>ROUND(SUM(GL36:GL$56)/VLOOKUP($FM36,$AQ$9:$AR$102,2)/VLOOKUP($FM36-HW$103,Frauen!$G$9:$J$102,4),Rundäx)</f>
        <v>4.508</v>
      </c>
      <c r="HX36" s="24">
        <f>ROUND(SUM(GM36:GM$56)/VLOOKUP($FM36,$AQ$9:$AR$102,2)/VLOOKUP($FM36-HX$103,Frauen!$G$9:$J$102,4),Rundäx)</f>
        <v>4.9610000000000003</v>
      </c>
      <c r="HY36" s="24">
        <f>ROUND(SUM(GN36:GN$56)/VLOOKUP($FM36,$AQ$9:$AR$102,2)/VLOOKUP($FM36-HY$103,Frauen!$G$9:$J$102,4),Rundäx)</f>
        <v>5.4370000000000003</v>
      </c>
      <c r="HZ36" s="24">
        <f>ROUND(SUM(GO36:GO$56)/VLOOKUP($FM36,$AQ$9:$AR$102,2)/VLOOKUP($FM36-HZ$103,Frauen!$G$9:$J$102,4),Rundäx)</f>
        <v>5.9320000000000004</v>
      </c>
      <c r="IA36" s="24">
        <f>ROUND(SUM(GP36:GP$56)/VLOOKUP($FM36,$AQ$9:$AR$102,2)/VLOOKUP($FM36-IA$103,Frauen!$G$9:$J$102,4),Rundäx)</f>
        <v>6.444</v>
      </c>
      <c r="IB36" s="24">
        <f>ROUND(SUM(GQ36:GQ$56)/VLOOKUP($FM36,$AQ$9:$AR$102,2)/VLOOKUP($FM36-IB$103,Frauen!$G$9:$J$102,4),Rundäx)</f>
        <v>6.968</v>
      </c>
      <c r="IC36" s="24">
        <f>ROUND(SUM(GR36:GR$56)/VLOOKUP($FM36,$AQ$9:$AR$102,2)/VLOOKUP($FM36-IC$103,Frauen!$G$9:$J$102,4),Rundäx)</f>
        <v>7.4989999999999997</v>
      </c>
      <c r="ID36" s="89"/>
      <c r="IE36" s="35">
        <f t="shared" si="66"/>
        <v>44</v>
      </c>
      <c r="IF36" s="25">
        <f t="shared" si="31"/>
        <v>686</v>
      </c>
      <c r="IG36" s="25">
        <f>IF($IE36&lt;RAM,IF(S37&lt;=RAK,ROUND(SUM(IF36:INDEX(Dakx,RAM-BeginnAlter))+INDEX(Dax,RAM-BeginnAlter+1)*INDEX(äkx,1),RundDx),0),"")</f>
        <v>5459</v>
      </c>
      <c r="IH36" s="25">
        <f>IF($IE36&lt;RAM,IF(S37&lt;=RAK,ROUND(SUM(IG36:INDEX(Nakx,RAM-BeginnAlter))+INDEX(Dax,RAM-BeginnAlter+1)*INDEX(äkx,1),RundDx),0),"")</f>
        <v>34911</v>
      </c>
      <c r="II36" s="24">
        <f t="shared" si="32"/>
        <v>0.152</v>
      </c>
      <c r="IJ36" s="25">
        <f t="shared" si="33"/>
        <v>12040</v>
      </c>
      <c r="IK36" s="25">
        <f>IF($IE36&lt;RAM,IF(S37&lt;=RAK,SUM(IJ36:INDEX(Dikx,RAM-BeginnAlter))+INDEX(Dix,RAM-BeginnAlter+1)*INDEX(äkx,1),0),"")</f>
        <v>65929.831999999995</v>
      </c>
      <c r="IL36" s="24">
        <f t="shared" si="34"/>
        <v>1.2809999999999999</v>
      </c>
      <c r="IM36" s="86"/>
      <c r="IN36" s="35">
        <f t="shared" si="67"/>
        <v>92</v>
      </c>
      <c r="IO36" s="25"/>
      <c r="IP36" s="25"/>
      <c r="IQ36" s="24"/>
      <c r="IR36" s="86"/>
    </row>
    <row r="37" spans="1:252" ht="15.75" customHeight="1" x14ac:dyDescent="0.25">
      <c r="A37" s="35">
        <f t="shared" si="41"/>
        <v>45</v>
      </c>
      <c r="B37" s="77">
        <v>1.5086652173654624E-3</v>
      </c>
      <c r="C37" s="77">
        <v>2.3151602771473456E-3</v>
      </c>
      <c r="D37" s="77">
        <v>2.014836200157423E-2</v>
      </c>
      <c r="E37" s="77">
        <v>1.9580907077831888E-3</v>
      </c>
      <c r="F37" s="86"/>
      <c r="G37" s="35">
        <f t="shared" si="42"/>
        <v>45</v>
      </c>
      <c r="H37" s="25">
        <f t="shared" si="37"/>
        <v>95331</v>
      </c>
      <c r="I37" s="25">
        <f t="shared" si="38"/>
        <v>2213</v>
      </c>
      <c r="J37" s="25">
        <f t="shared" si="39"/>
        <v>97544</v>
      </c>
      <c r="K37" s="30">
        <f>IF(J37&gt;0,ROUND(SUM(J37:J$102)/J37-0.5,Rundex),"")</f>
        <v>34.93</v>
      </c>
      <c r="L37" s="25">
        <f t="shared" si="0"/>
        <v>134294</v>
      </c>
      <c r="M37" s="30">
        <f>IF(L37&gt;0,ROUND(SUM(L37:L$102)/L37-0.5,Rundex),"")</f>
        <v>27.71</v>
      </c>
      <c r="N37" s="86"/>
      <c r="O37" s="35">
        <f t="shared" si="43"/>
        <v>45</v>
      </c>
      <c r="P37" s="43">
        <v>0.74319570625295106</v>
      </c>
      <c r="Q37" s="78">
        <v>43.343974637995622</v>
      </c>
      <c r="R37" s="43">
        <v>1.0188464722990169</v>
      </c>
      <c r="S37" s="78">
        <v>12.463907306488442</v>
      </c>
      <c r="T37" s="15">
        <v>1.9542519093294075E-3</v>
      </c>
      <c r="U37" s="11">
        <f t="shared" si="40"/>
        <v>97544</v>
      </c>
      <c r="V37" s="30">
        <f>IF(U37&gt;0,ROUND(SUM(U37:U$102)/U37-0.5,Rundex),"")</f>
        <v>32.520000000000003</v>
      </c>
      <c r="W37" s="86"/>
      <c r="X37" s="35">
        <f t="shared" si="44"/>
        <v>45</v>
      </c>
      <c r="Y37" s="25">
        <f t="shared" si="1"/>
        <v>35026</v>
      </c>
      <c r="Z37" s="25">
        <f>IF($X37&lt;RAM,SUM(Y37:INDEX(Dax,RAM-BeginnAlter))," ")</f>
        <v>523648</v>
      </c>
      <c r="AA37" s="25">
        <f t="shared" si="2"/>
        <v>52</v>
      </c>
      <c r="AB37" s="25">
        <f>IF($X37&lt;RAM,SUM(AA37:INDEX(Cax,RAM-BeginnAlter))," ")</f>
        <v>1871</v>
      </c>
      <c r="AC37" s="25">
        <f t="shared" si="3"/>
        <v>80</v>
      </c>
      <c r="AD37" s="25">
        <f>IF($X37&lt;RAM,SUM(AC37:INDEX(Caix,RAM-BeginnAlter))," ")</f>
        <v>6948</v>
      </c>
      <c r="AE37" s="24">
        <f t="shared" si="4"/>
        <v>14.95</v>
      </c>
      <c r="AF37" s="24">
        <f t="shared" si="5"/>
        <v>14.685</v>
      </c>
      <c r="AG37" s="86"/>
      <c r="AH37" s="35">
        <f t="shared" si="45"/>
        <v>45</v>
      </c>
      <c r="AI37" s="25">
        <f t="shared" si="6"/>
        <v>49341</v>
      </c>
      <c r="AJ37" s="25">
        <f>IF($AH37&gt;RAM," ",IF($AH37&lt;RAM,SUM(AI37:INDEX(Dix,RAM-BeginnAlter))+INDEX(Nx,RAM-BeginnAlter+1),INDEX(Nx,RAM-BeginnAlter+1)))</f>
        <v>972473</v>
      </c>
      <c r="AK37" s="25">
        <f>IF($AH37&lt;RAM,SUM(AI37:INDEX(Dix,RAM-BeginnAlter))," ")</f>
        <v>675226</v>
      </c>
      <c r="AL37" s="24">
        <f t="shared" si="7"/>
        <v>19.709</v>
      </c>
      <c r="AM37" s="24">
        <f t="shared" si="8"/>
        <v>19.251000000000001</v>
      </c>
      <c r="AN37" s="24">
        <f t="shared" si="9"/>
        <v>13.685</v>
      </c>
      <c r="AO37" s="24">
        <f t="shared" si="10"/>
        <v>13.417</v>
      </c>
      <c r="AP37" s="86"/>
      <c r="AQ37" s="35">
        <f t="shared" si="46"/>
        <v>45</v>
      </c>
      <c r="AR37" s="25">
        <f t="shared" si="11"/>
        <v>35839</v>
      </c>
      <c r="AS37" s="25">
        <f>SUM(AR37:AR$94)</f>
        <v>864516</v>
      </c>
      <c r="AT37" s="25">
        <f>IF($AQ37&lt;RAM,SUM(AR37:INDEX(Dx,RAM-BeginnAlter))," ")</f>
        <v>567269</v>
      </c>
      <c r="AU37" s="24">
        <f t="shared" si="12"/>
        <v>24.122</v>
      </c>
      <c r="AV37" s="24">
        <f t="shared" si="13"/>
        <v>23.664000000000001</v>
      </c>
      <c r="AW37" s="24">
        <f t="shared" si="14"/>
        <v>15.827999999999999</v>
      </c>
      <c r="AX37" s="24">
        <f t="shared" si="15"/>
        <v>15.632</v>
      </c>
      <c r="AY37" s="86"/>
      <c r="AZ37" s="35">
        <f t="shared" si="47"/>
        <v>45</v>
      </c>
      <c r="BA37" s="25">
        <f t="shared" si="16"/>
        <v>35839</v>
      </c>
      <c r="BB37" s="25">
        <f>SUM(BA37:BA$94)</f>
        <v>822465</v>
      </c>
      <c r="BC37" s="24">
        <f t="shared" si="17"/>
        <v>22.949000000000002</v>
      </c>
      <c r="BD37" s="24">
        <f t="shared" si="18"/>
        <v>22.491</v>
      </c>
      <c r="BE37" s="86"/>
      <c r="BF37" s="35">
        <f t="shared" si="48"/>
        <v>28</v>
      </c>
      <c r="BG37" s="24" t="str">
        <f t="shared" si="19"/>
        <v/>
      </c>
      <c r="BH37" s="24" t="str">
        <f t="shared" si="20"/>
        <v/>
      </c>
      <c r="BI37" s="86"/>
      <c r="BJ37" s="35">
        <f t="shared" si="49"/>
        <v>45</v>
      </c>
      <c r="BK37" s="25">
        <f t="shared" si="21"/>
        <v>1536</v>
      </c>
      <c r="BL37" s="25">
        <f>IF(BJ37&lt;RAM,SUM(BK37:INDEX(Daix,RAM-BeginnAlter))," ")</f>
        <v>110643</v>
      </c>
      <c r="BM37" s="25">
        <f>IF(BJ37&lt;RAM,SUM(BL37:INDEX(Naix,RAM-BeginnAlter))," ")</f>
        <v>1536608</v>
      </c>
      <c r="BN37" s="24">
        <f t="shared" si="22"/>
        <v>5.931</v>
      </c>
      <c r="BO37" s="24">
        <f t="shared" si="23"/>
        <v>3.1589999999999998</v>
      </c>
      <c r="BP37" s="86"/>
      <c r="BQ37" s="35">
        <f t="shared" si="50"/>
        <v>45</v>
      </c>
      <c r="BR37" s="25">
        <f t="shared" si="51"/>
        <v>1058</v>
      </c>
      <c r="BS37" s="25">
        <f>IF(BQ37&lt;RAM,SUM(BR37:INDEX(Daixs,RAM-BeginnAlter))," ")</f>
        <v>35278</v>
      </c>
      <c r="BT37" s="25">
        <f>IF(BQ37&lt;RAM,SUM(BS37:INDEX(Naixs,RAM-BeginnAlter))," ")</f>
        <v>390134</v>
      </c>
      <c r="BU37" s="24">
        <f t="shared" si="52"/>
        <v>8.0830000000000002</v>
      </c>
      <c r="BV37" s="24">
        <f t="shared" si="53"/>
        <v>1.0069999999999999</v>
      </c>
      <c r="BW37" s="86"/>
      <c r="BX37" s="35">
        <f t="shared" si="54"/>
        <v>45</v>
      </c>
      <c r="BY37" s="10">
        <f t="shared" si="24"/>
        <v>9.6911896693454427</v>
      </c>
      <c r="BZ37" s="11">
        <f t="shared" si="25"/>
        <v>760</v>
      </c>
      <c r="CA37" s="25">
        <f>IF(S38&lt;=RAK,IF($BX37&lt;RAM,SUM(BZ37:INDEX(Dazx,RAM-BeginnAlter)),""),"")</f>
        <v>8133</v>
      </c>
      <c r="CB37" s="24">
        <f t="shared" si="26"/>
        <v>0.23200000000000001</v>
      </c>
      <c r="CC37" s="25">
        <f t="shared" si="27"/>
        <v>26021</v>
      </c>
      <c r="CD37" s="24">
        <f t="shared" si="28"/>
        <v>17.742999999999999</v>
      </c>
      <c r="CE37" s="24">
        <f t="shared" si="29"/>
        <v>2.9000000000000001E-2</v>
      </c>
      <c r="CF37" s="86"/>
      <c r="CG37" s="35">
        <f t="shared" si="55"/>
        <v>45</v>
      </c>
      <c r="CH37" s="25">
        <f>IF(CG37&lt;RAM,ROUND(v^($CG37+FaktorAlter)*$H37*($B37*0.5*($P37+$P38)*(VLOOKUP(TRUNC(0.5*($Q37+$Q38),0),Frauen!$AZ$9:$BD$95,5)+(0.5*($Q37+$Q38)-TRUNC(0.5*($Q37+$Q38),0))*(VLOOKUP(TRUNC(0.5*($Q37+$Q38)+1,0),Frauen!$AZ$9:$BD$95,5)-VLOOKUP(TRUNC(0.5*($Q37+$Q38),0),Frauen!$AZ$9:$BD$95,5)))+$C37*0.5*($CN37+$CN38)),RundDx),"")</f>
        <v>1599</v>
      </c>
      <c r="CI37" s="25">
        <f>IF(CG37&lt;RAM,ROUND(SUM(CH37:INDEX(Dawx,RAM-BeginnAlter))+INDEX(Dax,RAM-BeginnAlter+1)*INDEX(äwx,1),RundDx),"")</f>
        <v>150277</v>
      </c>
      <c r="CJ37" s="25">
        <f>IF(CG37&lt;RAM,ROUND(SUM(CI37:INDEX(Nawx,RAM-BeginnAlter))+INDEX(Dax,RAM-BeginnAlter+1)*INDEX(äwx,1),RundDx),"")</f>
        <v>2581558</v>
      </c>
      <c r="CK37" s="24">
        <f t="shared" si="56"/>
        <v>4.29</v>
      </c>
      <c r="CL37" s="25">
        <f>IF(CG37&lt;RAM,ROUND(v^($CG37+FaktorAlter)*$L37*$D37*0.5*($P37+$P38)*(VLOOKUP(TRUNC(0.5*($Q37+$Q38),0),Frauen!$AZ$9:$BD$95,5)+(0.5*($Q37+$Q38)-TRUNC(0.5*($Q37+$Q38),0))*(VLOOKUP(TRUNC(0.5*($Q37+$Q38)+1,0),Frauen!$AZ$9:$BD$95,5)-VLOOKUP(TRUNC(0.5*($Q37+$Q38),0),Frauen!$AZ$9:$BD$95,5))),RundDx),"")</f>
        <v>19171</v>
      </c>
      <c r="CM37" s="25">
        <f>IF(CG37&lt;RAM,SUM(CL37:INDEX(Diwx,RAM-BeginnAlter))+INDEX(Dix,RAM-BeginnAlter+1)*INDEX(äwx,1),"")</f>
        <v>359008.41399999999</v>
      </c>
      <c r="CN37" s="24">
        <f t="shared" si="57"/>
        <v>7.2759999999999998</v>
      </c>
      <c r="CO37" s="86"/>
      <c r="CP37" s="35">
        <f t="shared" si="58"/>
        <v>93</v>
      </c>
      <c r="CQ37" s="11">
        <f>ROUND(v^($CP37+FaktorAlter)*VLOOKUP(CP37,G$9:J$102,4)*VLOOKUP(CP37,A$9:E$102,5)*0.5*(VLOOKUP(CP37,O$9:P$102,2)+VLOOKUP(CP37+1,O$9:P$102,2))*(VLOOKUP(TRUNC(0.5*(VLOOKUP(CP37,O$9:Q$102,3)+VLOOKUP(CP37+1,O$9:Q$102,3)),0),Frauen!$AZ$9:$BD$95,5)+(0.5*(VLOOKUP(CP37,O$9:Q$102,3)+VLOOKUP(CP37+1,O$9:Q$102,3))-TRUNC(0.5*(VLOOKUP(CP37,O$9:Q$102,3)+VLOOKUP(CP37+1,O$9:Q$102,3)),0))*(VLOOKUP(TRUNC(0.5*(VLOOKUP(CP37,O$9:Q$102,3)+VLOOKUP(CP37+1,O$9:Q$102,3))+1,0),Frauen!$AZ$9:$BD$95,5)-VLOOKUP(TRUNC(0.5*(VLOOKUP(CP37,O$9:Q$102,3)+VLOOKUP(CP37+1,O$9:Q$102,3)),0),Frauen!$AZ$9:$BD$95,5))),RundDx)</f>
        <v>584</v>
      </c>
      <c r="CR37" s="25">
        <f>SUM(CQ37:CQ$56)</f>
        <v>1493</v>
      </c>
      <c r="CS37" s="24">
        <f t="shared" si="30"/>
        <v>1.3069999999999999</v>
      </c>
      <c r="CT37" s="86"/>
      <c r="CU37" s="35">
        <f t="shared" si="59"/>
        <v>45</v>
      </c>
      <c r="CV37" s="25">
        <f>IF($CU37&gt;=RAM,"",IF($CU37-CV$103&lt;BeginnAlter,"",ROUND(v^($CU37+FaktorAlter)*$L37*$D37*0.5*(VLOOKUP($CU37-CV$103,Frauen!$G$9:$J$102,4)+VLOOKUP($CU37-CV$103+1,Frauen!$G$9:$J$102,4))*0.5*(VLOOKUP($CU37-CV$103,Frauen!$AZ$9:$BD$102,5)+VLOOKUP($CU37-CV$103+1,Frauen!$AZ$9:$BD$102,5)),RundDx)))</f>
        <v>1709197887</v>
      </c>
      <c r="CW37" s="25">
        <f>IF($CU37&gt;=RAM,"",IF($CU37-CW$103&lt;BeginnAlter,"",ROUND(v^($CU37+FaktorAlter)*$L37*$D37*0.5*(VLOOKUP($CU37-CW$103,Frauen!$G$9:$J$102,4)+VLOOKUP($CU37-CW$103+1,Frauen!$G$9:$J$102,4))*0.5*(VLOOKUP($CU37-CW$103,Frauen!$AZ$9:$BD$102,5)+VLOOKUP($CU37-CW$103+1,Frauen!$AZ$9:$BD$102,5)),RundDx)))</f>
        <v>1763464420</v>
      </c>
      <c r="CX37" s="25">
        <f>IF($CU37&gt;=RAM,"",IF($CU37-CX$103&lt;BeginnAlter,"",ROUND(v^($CU37+FaktorAlter)*$L37*$D37*0.5*(VLOOKUP($CU37-CX$103,Frauen!$G$9:$J$102,4)+VLOOKUP($CU37-CX$103+1,Frauen!$G$9:$J$102,4))*0.5*(VLOOKUP($CU37-CX$103,Frauen!$AZ$9:$BD$102,5)+VLOOKUP($CU37-CX$103+1,Frauen!$AZ$9:$BD$102,5)),RundDx)))</f>
        <v>1816796278</v>
      </c>
      <c r="CY37" s="25">
        <f>IF($CU37&gt;=RAM,"",IF($CU37-CY$103&lt;BeginnAlter,"",ROUND(v^($CU37+FaktorAlter)*$L37*$D37*0.5*(VLOOKUP($CU37-CY$103,Frauen!$G$9:$J$102,4)+VLOOKUP($CU37-CY$103+1,Frauen!$G$9:$J$102,4))*0.5*(VLOOKUP($CU37-CY$103,Frauen!$AZ$9:$BD$102,5)+VLOOKUP($CU37-CY$103+1,Frauen!$AZ$9:$BD$102,5)),RundDx)))</f>
        <v>1869360184</v>
      </c>
      <c r="CZ37" s="25">
        <f>IF($CU37&gt;=RAM,"",IF($CU37-CZ$103&lt;BeginnAlter,"",ROUND(v^($CU37+FaktorAlter)*$L37*$D37*0.5*(VLOOKUP($CU37-CZ$103,Frauen!$G$9:$J$102,4)+VLOOKUP($CU37-CZ$103+1,Frauen!$G$9:$J$102,4))*0.5*(VLOOKUP($CU37-CZ$103,Frauen!$AZ$9:$BD$102,5)+VLOOKUP($CU37-CZ$103+1,Frauen!$AZ$9:$BD$102,5)),RundDx)))</f>
        <v>1921294113</v>
      </c>
      <c r="DA37" s="25">
        <f>IF($CU37&gt;=RAM,"",IF($CU37-DA$103&lt;BeginnAlter,"",ROUND(v^($CU37+FaktorAlter)*$L37*$D37*0.5*(VLOOKUP($CU37-DA$103,Frauen!$G$9:$J$102,4)+VLOOKUP($CU37-DA$103+1,Frauen!$G$9:$J$102,4))*0.5*(VLOOKUP($CU37-DA$103,Frauen!$AZ$9:$BD$102,5)+VLOOKUP($CU37-DA$103+1,Frauen!$AZ$9:$BD$102,5)),RundDx)))</f>
        <v>1972721707</v>
      </c>
      <c r="DB37" s="25">
        <f>IF($CU37&gt;=RAM,"",IF($CU37-DB$103&lt;BeginnAlter,"",ROUND(v^($CU37+FaktorAlter)*$L37*$D37*0.5*(VLOOKUP($CU37-DB$103,Frauen!$G$9:$J$102,4)+VLOOKUP($CU37-DB$103+1,Frauen!$G$9:$J$102,4))*0.5*(VLOOKUP($CU37-DB$103,Frauen!$AZ$9:$BD$102,5)+VLOOKUP($CU37-DB$103+1,Frauen!$AZ$9:$BD$102,5)),RundDx)))</f>
        <v>2023701433</v>
      </c>
      <c r="DC37" s="25">
        <f>IF($CU37&gt;=RAM,"",IF($CU37-DC$103&lt;BeginnAlter,"",ROUND(v^($CU37+FaktorAlter)*$L37*$D37*0.5*(VLOOKUP($CU37-DC$103,Frauen!$G$9:$J$102,4)+VLOOKUP($CU37-DC$103+1,Frauen!$G$9:$J$102,4))*0.5*(VLOOKUP($CU37-DC$103,Frauen!$AZ$9:$BD$102,5)+VLOOKUP($CU37-DC$103+1,Frauen!$AZ$9:$BD$102,5)),RundDx)))</f>
        <v>2074138250</v>
      </c>
      <c r="DD37" s="25">
        <f>IF($CU37&gt;=RAM,"",IF($CU37-DD$103&lt;BeginnAlter,"",ROUND(v^($CU37+FaktorAlter)*$L37*$D37*0.5*(VLOOKUP($CU37-DD$103,Frauen!$G$9:$J$102,4)+VLOOKUP($CU37-DD$103+1,Frauen!$G$9:$J$102,4))*0.5*(VLOOKUP($CU37-DD$103,Frauen!$AZ$9:$BD$102,5)+VLOOKUP($CU37-DD$103+1,Frauen!$AZ$9:$BD$102,5)),RundDx)))</f>
        <v>2124074961</v>
      </c>
      <c r="DE37" s="25">
        <f>IF($CU37&gt;=RAM,"",IF($CU37-DE$103&lt;BeginnAlter,"",ROUND(v^($CU37+FaktorAlter)*$L37*$D37*0.5*(VLOOKUP($CU37-DE$103,Frauen!$G$9:$J$102,4)+VLOOKUP($CU37-DE$103+1,Frauen!$G$9:$J$102,4))*0.5*(VLOOKUP($CU37-DE$103,Frauen!$AZ$9:$BD$102,5)+VLOOKUP($CU37-DE$103+1,Frauen!$AZ$9:$BD$102,5)),RundDx)))</f>
        <v>2173407765</v>
      </c>
      <c r="DF37" s="25">
        <f>IF($CU37&gt;=RAM,"",IF($CU37-DF$103&lt;BeginnAlter,"",ROUND(v^($CU37+FaktorAlter)*$L37*$D37*0.5*(VLOOKUP($CU37-DF$103,Frauen!$G$9:$J$102,4)+VLOOKUP($CU37-DF$103+1,Frauen!$G$9:$J$102,4))*0.5*(VLOOKUP($CU37-DF$103,Frauen!$AZ$9:$BD$102,5)+VLOOKUP($CU37-DF$103+1,Frauen!$AZ$9:$BD$102,5)),RundDx)))</f>
        <v>2221907996</v>
      </c>
      <c r="DG37" s="25">
        <f>IF($CU37&gt;=RAM,"",IF($CU37-DG$103&lt;BeginnAlter,"",ROUND(v^($CU37+FaktorAlter)*$L37*$D37*0.5*(VLOOKUP($CU37-DG$103,Frauen!$G$9:$J$102,4)+VLOOKUP($CU37-DG$103+1,Frauen!$G$9:$J$102,4))*0.5*(VLOOKUP($CU37-DG$103,Frauen!$AZ$9:$BD$102,5)+VLOOKUP($CU37-DG$103+1,Frauen!$AZ$9:$BD$102,5)),RundDx)))</f>
        <v>2269432703</v>
      </c>
      <c r="DH37" s="25">
        <f>IF($CU37&gt;=RAM,"",IF($CU37-DH$103&lt;BeginnAlter,"",ROUND(v^($CU37+FaktorAlter)*$L37*$D37*0.5*(VLOOKUP($CU37-DH$103,Frauen!$G$9:$J$102,4)+VLOOKUP($CU37-DH$103+1,Frauen!$G$9:$J$102,4))*0.5*(VLOOKUP($CU37-DH$103,Frauen!$AZ$9:$BD$102,5)+VLOOKUP($CU37-DH$103+1,Frauen!$AZ$9:$BD$102,5)),RundDx)))</f>
        <v>2315936950</v>
      </c>
      <c r="DI37" s="25">
        <f>IF($CU37&gt;=RAM,"",IF($CU37-DI$103&lt;BeginnAlter,"",ROUND(v^($CU37+FaktorAlter)*$L37*$D37*0.5*(VLOOKUP($CU37-DI$103,Frauen!$G$9:$J$102,4)+VLOOKUP($CU37-DI$103+1,Frauen!$G$9:$J$102,4))*0.5*(VLOOKUP($CU37-DI$103,Frauen!$AZ$9:$BD$102,5)+VLOOKUP($CU37-DI$103+1,Frauen!$AZ$9:$BD$102,5)),RundDx)))</f>
        <v>2361426913</v>
      </c>
      <c r="DJ37" s="25">
        <f>IF($CU37&gt;=RAM,"",IF($CU37-DJ$103&lt;BeginnAlter,"",ROUND(v^($CU37+FaktorAlter)*$L37*$D37*0.5*(VLOOKUP($CU37-DJ$103,Frauen!$G$9:$J$102,4)+VLOOKUP($CU37-DJ$103+1,Frauen!$G$9:$J$102,4))*0.5*(VLOOKUP($CU37-DJ$103,Frauen!$AZ$9:$BD$102,5)+VLOOKUP($CU37-DJ$103+1,Frauen!$AZ$9:$BD$102,5)),RundDx)))</f>
        <v>2405948047</v>
      </c>
      <c r="DK37" s="25">
        <f>IF($CU37&gt;=RAM,"",IF($CU37-DK$103&lt;BeginnAlter,"",ROUND(v^($CU37+FaktorAlter)*$L37*$D37*0.5*(VLOOKUP($CU37-DK$103,Frauen!$G$9:$J$102,4)+VLOOKUP($CU37-DK$103+1,Frauen!$G$9:$J$102,4))*0.5*(VLOOKUP($CU37-DK$103,Frauen!$AZ$9:$BD$102,5)+VLOOKUP($CU37-DK$103+1,Frauen!$AZ$9:$BD$102,5)),RundDx)))</f>
        <v>2449439574</v>
      </c>
      <c r="DL37" s="25">
        <f>IF($CU37&gt;=RAM,"",IF($CU37-DL$103&lt;BeginnAlter,"",ROUND(v^($CU37+FaktorAlter)*$L37*$D37*0.5*(VLOOKUP($CU37-DL$103,Frauen!$G$9:$J$102,4)+VLOOKUP($CU37-DL$103+1,Frauen!$G$9:$J$102,4))*0.5*(VLOOKUP($CU37-DL$103,Frauen!$AZ$9:$BD$102,5)+VLOOKUP($CU37-DL$103+1,Frauen!$AZ$9:$BD$102,5)),RundDx)))</f>
        <v>2491915635</v>
      </c>
      <c r="DM37" s="25">
        <f>IF($CU37&gt;=RAM,"",IF($CU37-DM$103&lt;BeginnAlter,"",ROUND(v^($CU37+FaktorAlter)*$L37*$D37*0.5*(VLOOKUP($CU37-DM$103,Frauen!$G$9:$J$102,4)+VLOOKUP($CU37-DM$103+1,Frauen!$G$9:$J$102,4))*0.5*(VLOOKUP($CU37-DM$103,Frauen!$AZ$9:$BD$102,5)+VLOOKUP($CU37-DM$103+1,Frauen!$AZ$9:$BD$102,5)),RundDx)))</f>
        <v>2533477431</v>
      </c>
      <c r="DN37" s="25">
        <f>IF($CU37&gt;=RAM,"",IF($CU37-DN$103&lt;BeginnAlter,"",ROUND(v^($CU37+FaktorAlter)*$L37*$D37*0.5*(VLOOKUP($CU37-DN$103,Frauen!$G$9:$J$102,4)+VLOOKUP($CU37-DN$103+1,Frauen!$G$9:$J$102,4))*0.5*(VLOOKUP($CU37-DN$103,Frauen!$AZ$9:$BD$102,5)+VLOOKUP($CU37-DN$103+1,Frauen!$AZ$9:$BD$102,5)),RundDx)))</f>
        <v>2574144970</v>
      </c>
      <c r="DO37" s="25">
        <f>IF($CU37&gt;=RAM,"",IF($CU37-DO$103&lt;BeginnAlter,"",ROUND(v^($CU37+FaktorAlter)*$L37*$D37*0.5*(VLOOKUP($CU37-DO$103,Frauen!$G$9:$J$102,4)+VLOOKUP($CU37-DO$103+1,Frauen!$G$9:$J$102,4))*0.5*(VLOOKUP($CU37-DO$103,Frauen!$AZ$9:$BD$102,5)+VLOOKUP($CU37-DO$103+1,Frauen!$AZ$9:$BD$102,5)),RundDx)))</f>
        <v>2613927830</v>
      </c>
      <c r="DP37" s="25">
        <f>IF($CU37&gt;=RAM,"",IF($CU37-DP$103&lt;BeginnAlter,"",ROUND(v^($CU37+FaktorAlter)*$L37*$D37*0.5*(VLOOKUP($CU37-DP$103,Frauen!$G$9:$J$102,4)+VLOOKUP($CU37-DP$103+1,Frauen!$G$9:$J$102,4))*0.5*(VLOOKUP($CU37-DP$103,Frauen!$AZ$9:$BD$102,5)+VLOOKUP($CU37-DP$103+1,Frauen!$AZ$9:$BD$102,5)),RundDx)))</f>
        <v>2652824148</v>
      </c>
      <c r="DQ37" s="25">
        <f>IF($CU37&gt;=RAM,"",IF($CU37-DQ$103&lt;BeginnAlter,"",ROUND(v^($CU37+FaktorAlter)*$L37*$D37*0.5*(VLOOKUP($CU37-DQ$103,Frauen!$G$9:$J$102,4)+VLOOKUP($CU37-DQ$103+1,Frauen!$G$9:$J$102,4))*0.5*(VLOOKUP($CU37-DQ$103,Frauen!$AZ$9:$BD$102,5)+VLOOKUP($CU37-DQ$103+1,Frauen!$AZ$9:$BD$102,5)),RundDx)))</f>
        <v>2690860438</v>
      </c>
      <c r="DR37" s="25">
        <f>IF($CU37&gt;=RAM,"",IF($CU37-DR$103&lt;BeginnAlter,"",ROUND(v^($CU37+FaktorAlter)*$L37*$D37*0.5*(VLOOKUP($CU37-DR$103,Frauen!$G$9:$J$102,4)+VLOOKUP($CU37-DR$103+1,Frauen!$G$9:$J$102,4))*0.5*(VLOOKUP($CU37-DR$103,Frauen!$AZ$9:$BD$102,5)+VLOOKUP($CU37-DR$103+1,Frauen!$AZ$9:$BD$102,5)),RundDx)))</f>
        <v>2728052001</v>
      </c>
      <c r="DS37" s="25">
        <f>IF($CU37&gt;=RAM,"",IF($CU37-DS$103&lt;BeginnAlter,"",ROUND(v^($CU37+FaktorAlter)*$L37*$D37*0.5*(VLOOKUP($CU37-DS$103,Frauen!$G$9:$J$102,4)+VLOOKUP($CU37-DS$103+1,Frauen!$G$9:$J$102,4))*0.5*(VLOOKUP($CU37-DS$103,Frauen!$AZ$9:$BD$102,5)+VLOOKUP($CU37-DS$103+1,Frauen!$AZ$9:$BD$102,5)),RundDx)))</f>
        <v>2764464640</v>
      </c>
      <c r="DT37" s="25">
        <f>IF($CU37&gt;=RAM,"",IF($CU37-DT$103&lt;BeginnAlter,"",ROUND(v^($CU37+FaktorAlter)*$L37*$D37*0.5*(VLOOKUP($CU37-DT$103,Frauen!$G$9:$J$102,4)+VLOOKUP($CU37-DT$103+1,Frauen!$G$9:$J$102,4))*0.5*(VLOOKUP($CU37-DT$103,Frauen!$AZ$9:$BD$102,5)+VLOOKUP($CU37-DT$103+1,Frauen!$AZ$9:$BD$102,5)),RundDx)))</f>
        <v>2800166005</v>
      </c>
      <c r="DU37" s="25">
        <f>IF($CU37&gt;=RAM,"",IF($CU37-DU$103&lt;BeginnAlter,"",ROUND(v^($CU37+FaktorAlter)*$L37*$D37*0.5*(VLOOKUP($CU37-DU$103,Frauen!$G$9:$J$102,4)+VLOOKUP($CU37-DU$103+1,Frauen!$G$9:$J$102,4))*0.5*(VLOOKUP($CU37-DU$103,Frauen!$AZ$9:$BD$102,5)+VLOOKUP($CU37-DU$103+1,Frauen!$AZ$9:$BD$102,5)),RundDx)))</f>
        <v>2835176693</v>
      </c>
      <c r="DV37" s="25">
        <f>IF($CU37&gt;=RAM,"",IF($CU37-DV$103&lt;BeginnAlter,"",ROUND(v^($CU37+FaktorAlter)*$L37*$D37*0.5*(VLOOKUP($CU37-DV$103,Frauen!$G$9:$J$102,4)+VLOOKUP($CU37-DV$103+1,Frauen!$G$9:$J$102,4))*0.5*(VLOOKUP($CU37-DV$103,Frauen!$AZ$9:$BD$102,5)+VLOOKUP($CU37-DV$103+1,Frauen!$AZ$9:$BD$102,5)),RundDx)))</f>
        <v>2869470002</v>
      </c>
      <c r="DW37" s="25">
        <f>IF($CU37&gt;=RAM,"",IF($CU37-DW$103&lt;BeginnAlter,"",ROUND(v^($CU37+FaktorAlter)*$L37*$D37*0.5*(VLOOKUP($CU37-DW$103,Frauen!$G$9:$J$102,4)+VLOOKUP($CU37-DW$103+1,Frauen!$G$9:$J$102,4))*0.5*(VLOOKUP($CU37-DW$103,Frauen!$AZ$9:$BD$102,5)+VLOOKUP($CU37-DW$103+1,Frauen!$AZ$9:$BD$102,5)),RundDx)))</f>
        <v>2903054845</v>
      </c>
      <c r="DX37" s="25">
        <f>IF($CU37&gt;=RAM,"",IF($CU37-DX$103&lt;BeginnAlter,"",ROUND(v^($CU37+FaktorAlter)*$L37*$D37*0.5*(VLOOKUP($CU37-DX$103,Frauen!$G$9:$J$102,4)+VLOOKUP($CU37-DX$103+1,Frauen!$G$9:$J$102,4))*0.5*(VLOOKUP($CU37-DX$103,Frauen!$AZ$9:$BD$102,5)+VLOOKUP($CU37-DX$103+1,Frauen!$AZ$9:$BD$102,5)),RundDx)))</f>
        <v>2935940940</v>
      </c>
      <c r="DY37" s="25">
        <f>IF($CU37&gt;=RAM,"",IF($CU37-DY$103&lt;BeginnAlter,"",ROUND(v^($CU37+FaktorAlter)*$L37*$D37*0.5*(VLOOKUP($CU37-DY$103,Frauen!$G$9:$J$102,4)+VLOOKUP($CU37-DY$103+1,Frauen!$G$9:$J$102,4))*0.5*(VLOOKUP($CU37-DY$103,Frauen!$AZ$9:$BD$102,5)+VLOOKUP($CU37-DY$103+1,Frauen!$AZ$9:$BD$102,5)),RundDx)))</f>
        <v>2968187694</v>
      </c>
      <c r="DZ37" s="25">
        <f>IF($CU37&gt;=RAM,"",IF($CU37-DZ$103&lt;BeginnAlter,"",ROUND(v^($CU37+FaktorAlter)*$L37*$D37*0.5*(VLOOKUP($CU37-DZ$103,Frauen!$G$9:$J$102,4)+VLOOKUP($CU37-DZ$103+1,Frauen!$G$9:$J$102,4))*0.5*(VLOOKUP($CU37-DZ$103,Frauen!$AZ$9:$BD$102,5)+VLOOKUP($CU37-DZ$103+1,Frauen!$AZ$9:$BD$102,5)),RundDx)))</f>
        <v>2999806404</v>
      </c>
      <c r="EA37" s="43">
        <f>IF($CU37&gt;=RAM,"",IF($CU37-EA$103&lt;BeginnAlter,"",ROUND((SUM(CV37:CV$56)+SUM(FN$9:FN$56))/VLOOKUP($CU37,$AH$9:$AI$102,2)/VLOOKUP($CU37-EA$103,Frauen!$G$9:$J$102,4),Rundäx)))</f>
        <v>4.0949999999999998</v>
      </c>
      <c r="EB37" s="43">
        <f>IF($CU37&gt;=RAM,"",IF($CU37-EB$103&lt;BeginnAlter,"",ROUND((SUM(CW37:CW$56)+SUM(FO$9:FO$56))/VLOOKUP($CU37,$AH$9:$AI$102,2)/VLOOKUP($CU37-EB$103,Frauen!$G$9:$J$102,4),Rundäx)))</f>
        <v>4.3029999999999999</v>
      </c>
      <c r="EC37" s="43">
        <f>IF($CU37&gt;=RAM,"",IF($CU37-EC$103&lt;BeginnAlter,"",ROUND((SUM(CX37:CX$56)+SUM(FP$9:FP$56))/VLOOKUP($CU37,$AH$9:$AI$102,2)/VLOOKUP($CU37-EC$103,Frauen!$G$9:$J$102,4),Rundäx)))</f>
        <v>4.5170000000000003</v>
      </c>
      <c r="ED37" s="43">
        <f>IF($CU37&gt;=RAM,"",IF($CU37-ED$103&lt;BeginnAlter,"",ROUND((SUM(CY37:CY$56)+SUM(FQ$9:FQ$56))/VLOOKUP($CU37,$AH$9:$AI$102,2)/VLOOKUP($CU37-ED$103,Frauen!$G$9:$J$102,4),Rundäx)))</f>
        <v>4.7370000000000001</v>
      </c>
      <c r="EE37" s="43">
        <f>IF($CU37&gt;=RAM,"",IF($CU37-EE$103&lt;BeginnAlter,"",ROUND((SUM(CZ37:CZ$56)+SUM(FR$9:FR$56))/VLOOKUP($CU37,$AH$9:$AI$102,2)/VLOOKUP($CU37-EE$103,Frauen!$G$9:$J$102,4),Rundäx)))</f>
        <v>4.9610000000000003</v>
      </c>
      <c r="EF37" s="43">
        <f>IF($CU37&gt;=RAM,"",IF($CU37-EF$103&lt;BeginnAlter,"",ROUND((SUM(DA37:DA$56)+SUM(FS$9:FS$56))/VLOOKUP($CU37,$AH$9:$AI$102,2)/VLOOKUP($CU37-EF$103,Frauen!$G$9:$J$102,4),Rundäx)))</f>
        <v>5.1909999999999998</v>
      </c>
      <c r="EG37" s="43">
        <f>IF($CU37&gt;=RAM,"",IF($CU37-EG$103&lt;BeginnAlter,"",ROUND((SUM(DB37:DB$56)+SUM(FT$9:FT$56))/VLOOKUP($CU37,$AH$9:$AI$102,2)/VLOOKUP($CU37-EG$103,Frauen!$G$9:$J$102,4),Rundäx)))</f>
        <v>5.4249999999999998</v>
      </c>
      <c r="EH37" s="43">
        <f>IF($CU37&gt;=RAM,"",IF($CU37-EH$103&lt;BeginnAlter,"",ROUND((SUM(DC37:DC$56)+SUM(FU$9:FU$56))/VLOOKUP($CU37,$AH$9:$AI$102,2)/VLOOKUP($CU37-EH$103,Frauen!$G$9:$J$102,4),Rundäx)))</f>
        <v>5.6639999999999997</v>
      </c>
      <c r="EI37" s="86"/>
      <c r="EJ37" s="35">
        <f t="shared" si="60"/>
        <v>45</v>
      </c>
      <c r="EK37" s="43">
        <f>IF($CU37&gt;=RAM,"",IF($CU37-EK$103&lt;BeginnAlter,"",ROUND((SUM(DD37:DD$56)+SUM(FV$9:FV$56))/VLOOKUP($CU37,$AH$9:$AI$102,2)/VLOOKUP($CU37-EK$103,Frauen!$G$9:$J$102,4),Rundäx)))</f>
        <v>5.9080000000000004</v>
      </c>
      <c r="EL37" s="43">
        <f>IF($CU37&gt;=RAM,"",IF($CU37-EL$103&lt;BeginnAlter,"",ROUND((SUM(DE37:DE$56)+SUM(FW$9:FW$56))/VLOOKUP($CU37,$AH$9:$AI$102,2)/VLOOKUP($CU37-EL$103,Frauen!$G$9:$J$102,4),Rundäx)))</f>
        <v>6.157</v>
      </c>
      <c r="EM37" s="43">
        <f>IF($CU37&gt;=RAM,"",IF($CU37-EM$103&lt;BeginnAlter,"",ROUND((SUM(DF37:DF$56)+SUM(FX$9:FX$56))/VLOOKUP($CU37,$AH$9:$AI$102,2)/VLOOKUP($CU37-EM$103,Frauen!$G$9:$J$102,4),Rundäx)))</f>
        <v>6.41</v>
      </c>
      <c r="EN37" s="43">
        <f>IF($CU37&gt;=RAM,"",IF($CU37-EN$103&lt;BeginnAlter,"",ROUND((SUM(DG37:DG$56)+SUM(FY$9:FY$56))/VLOOKUP($CU37,$AH$9:$AI$102,2)/VLOOKUP($CU37-EN$103,Frauen!$G$9:$J$102,4),Rundäx)))</f>
        <v>6.6680000000000001</v>
      </c>
      <c r="EO37" s="43">
        <f>IF($CU37&gt;=RAM,"",IF($CU37-EO$103&lt;BeginnAlter,"",ROUND((SUM(DH37:DH$56)+SUM(FZ$9:FZ$56))/VLOOKUP($CU37,$AH$9:$AI$102,2)/VLOOKUP($CU37-EO$103,Frauen!$G$9:$J$102,4),Rundäx)))</f>
        <v>6.93</v>
      </c>
      <c r="EP37" s="43">
        <f>IF($CU37&gt;=RAM,"",IF($CU37-EP$103&lt;BeginnAlter,"",ROUND((SUM(DI37:DI$56)+SUM(GA$9:GA$56))/VLOOKUP($CU37,$AH$9:$AI$102,2)/VLOOKUP($CU37-EP$103,Frauen!$G$9:$J$102,4),Rundäx)))</f>
        <v>7.1950000000000003</v>
      </c>
      <c r="EQ37" s="43">
        <f>IF($CU37&gt;=RAM,"",IF($CU37-EQ$103&lt;BeginnAlter,"",ROUND((SUM(DJ37:DJ$56)+SUM(GB$9:GB$56))/VLOOKUP($CU37,$AH$9:$AI$102,2)/VLOOKUP($CU37-EQ$103,Frauen!$G$9:$J$102,4),Rundäx)))</f>
        <v>7.4640000000000004</v>
      </c>
      <c r="ER37" s="43">
        <f>IF($CU37&gt;=RAM,"",IF($CU37-ER$103&lt;BeginnAlter,"",ROUND((SUM(DK37:DK$56)+SUM(GC$9:GC$56))/VLOOKUP($CU37,$AH$9:$AI$102,2)/VLOOKUP($CU37-ER$103,Frauen!$G$9:$J$102,4),Rundäx)))</f>
        <v>7.7370000000000001</v>
      </c>
      <c r="ES37" s="86"/>
      <c r="ET37" s="35">
        <f t="shared" si="61"/>
        <v>45</v>
      </c>
      <c r="EU37" s="43">
        <f>IF($CU37&gt;=RAM,"",IF($CU37-EU$103&lt;BeginnAlter,"",ROUND((SUM(DL37:DL$56)+SUM(GD$9:GD$56))/VLOOKUP($CU37,$AH$9:$AI$102,2)/VLOOKUP($CU37-EU$103,Frauen!$G$9:$J$102,4),Rundäx)))</f>
        <v>8.0120000000000005</v>
      </c>
      <c r="EV37" s="43">
        <f>IF($CU37&gt;=RAM,"",IF($CU37-EV$103&lt;BeginnAlter,"",ROUND((SUM(DM37:DM$56)+SUM(GE$9:GE$56))/VLOOKUP($CU37,$AH$9:$AI$102,2)/VLOOKUP($CU37-EV$103,Frauen!$G$9:$J$102,4),Rundäx)))</f>
        <v>8.2899999999999991</v>
      </c>
      <c r="EW37" s="43">
        <f>IF($CU37&gt;=RAM,"",IF($CU37-EW$103&lt;BeginnAlter,"",ROUND((SUM(DN37:DN$56)+SUM(GF$9:GF$56))/VLOOKUP($CU37,$AH$9:$AI$102,2)/VLOOKUP($CU37-EW$103,Frauen!$G$9:$J$102,4),Rundäx)))</f>
        <v>8.5690000000000008</v>
      </c>
      <c r="EX37" s="43">
        <f>IF($CU37&gt;=RAM,"",IF($CU37-EX$103&lt;BeginnAlter,"",ROUND((SUM(DO37:DO$56)+SUM(GG$9:GG$56))/VLOOKUP($CU37,$AH$9:$AI$102,2)/VLOOKUP($CU37-EX$103,Frauen!$G$9:$J$102,4),Rundäx)))</f>
        <v>8.8510000000000009</v>
      </c>
      <c r="EY37" s="43">
        <f>IF($CU37&gt;=RAM,"",IF($CU37-EY$103&lt;BeginnAlter,"",ROUND((SUM(DP37:DP$56)+SUM(GH$9:GH$56))/VLOOKUP($CU37,$AH$9:$AI$102,2)/VLOOKUP($CU37-EY$103,Frauen!$G$9:$J$102,4),Rundäx)))</f>
        <v>9.1340000000000003</v>
      </c>
      <c r="EZ37" s="43">
        <f>IF($CU37&gt;=RAM,"",IF($CU37-EZ$103&lt;BeginnAlter,"",ROUND((SUM(DQ37:DQ$56)+SUM(GI$9:GI$56))/VLOOKUP($CU37,$AH$9:$AI$102,2)/VLOOKUP($CU37-EZ$103,Frauen!$G$9:$J$102,4),Rundäx)))</f>
        <v>9.4169999999999998</v>
      </c>
      <c r="FA37" s="43">
        <f>IF($CU37&gt;=RAM,"",IF($CU37-FA$103&lt;BeginnAlter,"",ROUND((SUM(DR37:DR$56)+SUM(GJ$9:GJ$56))/VLOOKUP($CU37,$AH$9:$AI$102,2)/VLOOKUP($CU37-FA$103,Frauen!$G$9:$J$102,4),Rundäx)))</f>
        <v>9.7010000000000005</v>
      </c>
      <c r="FB37" s="43">
        <f>IF($CU37&gt;=RAM,"",IF($CU37-FB$103&lt;BeginnAlter,"",ROUND((SUM(DS37:DS$56)+SUM(GK$9:GK$56))/VLOOKUP($CU37,$AH$9:$AI$102,2)/VLOOKUP($CU37-FB$103,Frauen!$G$9:$J$102,4),Rundäx)))</f>
        <v>9.984</v>
      </c>
      <c r="FC37" s="86"/>
      <c r="FD37" s="35">
        <f t="shared" si="62"/>
        <v>45</v>
      </c>
      <c r="FE37" s="43">
        <f>IF($CU37&gt;=RAM,"",IF($CU37-FE$103&lt;BeginnAlter,"",ROUND((SUM(DT37:DT$56)+SUM(GL$9:GL$56))/VLOOKUP($CU37,$AH$9:$AI$102,2)/VLOOKUP($CU37-FE$103,Frauen!$G$9:$J$102,4),Rundäx)))</f>
        <v>10.266999999999999</v>
      </c>
      <c r="FF37" s="43">
        <f>IF($CU37&gt;=RAM,"",IF($CU37-FF$103&lt;BeginnAlter,"",ROUND((SUM(DU37:DU$56)+SUM(GM$9:GM$56))/VLOOKUP($CU37,$AH$9:$AI$102,2)/VLOOKUP($CU37-FF$103,Frauen!$G$9:$J$102,4),Rundäx)))</f>
        <v>10.548</v>
      </c>
      <c r="FG37" s="43">
        <f>IF($CU37&gt;=RAM,"",IF($CU37-FG$103&lt;BeginnAlter,"",ROUND((SUM(DV37:DV$56)+SUM(GN$9:GN$56))/VLOOKUP($CU37,$AH$9:$AI$102,2)/VLOOKUP($CU37-FG$103,Frauen!$G$9:$J$102,4),Rundäx)))</f>
        <v>10.827999999999999</v>
      </c>
      <c r="FH37" s="43">
        <f>IF($CU37&gt;=RAM,"",IF($CU37-FH$103&lt;BeginnAlter,"",ROUND((SUM(DW37:DW$56)+SUM(GO$9:GO$56))/VLOOKUP($CU37,$AH$9:$AI$102,2)/VLOOKUP($CU37-FH$103,Frauen!$G$9:$J$102,4),Rundäx)))</f>
        <v>11.106</v>
      </c>
      <c r="FI37" s="43">
        <f>IF($CU37&gt;=RAM,"",IF($CU37-FI$103&lt;BeginnAlter,"",ROUND((SUM(DX37:DX$56)+SUM(GP$9:GP$56))/VLOOKUP($CU37,$AH$9:$AI$102,2)/VLOOKUP($CU37-FI$103,Frauen!$G$9:$J$102,4),Rundäx)))</f>
        <v>11.382</v>
      </c>
      <c r="FJ37" s="43">
        <f>IF($CU37&gt;=RAM,"",IF($CU37-FJ$103&lt;BeginnAlter,"",ROUND((SUM(DY37:DY$56)+SUM(GQ$9:GQ$56))/VLOOKUP($CU37,$AH$9:$AI$102,2)/VLOOKUP($CU37-FJ$103,Frauen!$G$9:$J$102,4),Rundäx)))</f>
        <v>11.656000000000001</v>
      </c>
      <c r="FK37" s="43">
        <f>IF($CU37&gt;=RAM,"",IF($CU37-FK$103&lt;BeginnAlter,"",ROUND((SUM(DZ37:DZ$56)+SUM(GR$9:GR$56))/VLOOKUP($CU37,$AH$9:$AI$102,2)/VLOOKUP($CU37-FK$103,Frauen!$G$9:$J$102,4),Rundäx)))</f>
        <v>11.926</v>
      </c>
      <c r="FL37" s="86"/>
      <c r="FM37" s="35">
        <f t="shared" si="68"/>
        <v>93</v>
      </c>
      <c r="FN37" s="25"/>
      <c r="FO37" s="25"/>
      <c r="FP37" s="25"/>
      <c r="FQ37" s="25"/>
      <c r="FR37" s="25"/>
      <c r="FS37" s="25">
        <f>ROUND(v^($FM37+FaktorAlter)*VLOOKUP($FM37,$G$9:$J$102,4)*VLOOKUP($FM37,$A$9:$E$102,5)*0.5*(VLOOKUP($FM37-FS$103,Frauen!$G$9:$J$102,4)+VLOOKUP($FM37-FS$103+1,Frauen!$G$9:$J$102,4))*0.5*(VLOOKUP($FM37-FS$103,Frauen!$AZ$9:$BD$102,5)+VLOOKUP($FM37-FS$103+1,Frauen!$AZ$9:$BD$102,5)),RundDx)</f>
        <v>21074</v>
      </c>
      <c r="FT37" s="25">
        <f>ROUND(v^($FM37+FaktorAlter)*VLOOKUP($FM37,$G$9:$J$102,4)*VLOOKUP($FM37,$A$9:$E$102,5)*0.5*(VLOOKUP($FM37-FT$103,Frauen!$G$9:$J$102,4)+VLOOKUP($FM37-FT$103+1,Frauen!$G$9:$J$102,4))*0.5*(VLOOKUP($FM37-FT$103,Frauen!$AZ$9:$BD$102,5)+VLOOKUP($FM37-FT$103+1,Frauen!$AZ$9:$BD$102,5)),RundDx)</f>
        <v>79389</v>
      </c>
      <c r="FU37" s="25">
        <f>ROUND(v^($FM37+FaktorAlter)*VLOOKUP($FM37,$G$9:$J$102,4)*VLOOKUP($FM37,$A$9:$E$102,5)*0.5*(VLOOKUP($FM37-FU$103,Frauen!$G$9:$J$102,4)+VLOOKUP($FM37-FU$103+1,Frauen!$G$9:$J$102,4))*0.5*(VLOOKUP($FM37-FU$103,Frauen!$AZ$9:$BD$102,5)+VLOOKUP($FM37-FU$103+1,Frauen!$AZ$9:$BD$102,5)),RundDx)</f>
        <v>207777</v>
      </c>
      <c r="FV37" s="25">
        <f>ROUND(v^($FM37+FaktorAlter)*VLOOKUP($FM37,$G$9:$J$102,4)*VLOOKUP($FM37,$A$9:$E$102,5)*0.5*(VLOOKUP($FM37-FV$103,Frauen!$G$9:$J$102,4)+VLOOKUP($FM37-FV$103+1,Frauen!$G$9:$J$102,4))*0.5*(VLOOKUP($FM37-FV$103,Frauen!$AZ$9:$BD$102,5)+VLOOKUP($FM37-FV$103+1,Frauen!$AZ$9:$BD$102,5)),RundDx)</f>
        <v>456532</v>
      </c>
      <c r="FW37" s="25">
        <f>ROUND(v^($FM37+FaktorAlter)*VLOOKUP($FM37,$G$9:$J$102,4)*VLOOKUP($FM37,$A$9:$E$102,5)*0.5*(VLOOKUP($FM37-FW$103,Frauen!$G$9:$J$102,4)+VLOOKUP($FM37-FW$103+1,Frauen!$G$9:$J$102,4))*0.5*(VLOOKUP($FM37-FW$103,Frauen!$AZ$9:$BD$102,5)+VLOOKUP($FM37-FW$103+1,Frauen!$AZ$9:$BD$102,5)),RundDx)</f>
        <v>884995</v>
      </c>
      <c r="FX37" s="25">
        <f>ROUND(v^($FM37+FaktorAlter)*VLOOKUP($FM37,$G$9:$J$102,4)*VLOOKUP($FM37,$A$9:$E$102,5)*0.5*(VLOOKUP($FM37-FX$103,Frauen!$G$9:$J$102,4)+VLOOKUP($FM37-FX$103+1,Frauen!$G$9:$J$102,4))*0.5*(VLOOKUP($FM37-FX$103,Frauen!$AZ$9:$BD$102,5)+VLOOKUP($FM37-FX$103+1,Frauen!$AZ$9:$BD$102,5)),RundDx)</f>
        <v>1577992</v>
      </c>
      <c r="FY37" s="25">
        <f>ROUND(v^($FM37+FaktorAlter)*VLOOKUP($FM37,$G$9:$J$102,4)*VLOOKUP($FM37,$A$9:$E$102,5)*0.5*(VLOOKUP($FM37-FY$103,Frauen!$G$9:$J$102,4)+VLOOKUP($FM37-FY$103+1,Frauen!$G$9:$J$102,4))*0.5*(VLOOKUP($FM37-FY$103,Frauen!$AZ$9:$BD$102,5)+VLOOKUP($FM37-FY$103+1,Frauen!$AZ$9:$BD$102,5)),RundDx)</f>
        <v>2628506</v>
      </c>
      <c r="FZ37" s="25">
        <f>ROUND(v^($FM37+FaktorAlter)*VLOOKUP($FM37,$G$9:$J$102,4)*VLOOKUP($FM37,$A$9:$E$102,5)*0.5*(VLOOKUP($FM37-FZ$103,Frauen!$G$9:$J$102,4)+VLOOKUP($FM37-FZ$103+1,Frauen!$G$9:$J$102,4))*0.5*(VLOOKUP($FM37-FZ$103,Frauen!$AZ$9:$BD$102,5)+VLOOKUP($FM37-FZ$103+1,Frauen!$AZ$9:$BD$102,5)),RundDx)</f>
        <v>4154497</v>
      </c>
      <c r="GA37" s="25">
        <f>ROUND(v^($FM37+FaktorAlter)*VLOOKUP($FM37,$G$9:$J$102,4)*VLOOKUP($FM37,$A$9:$E$102,5)*0.5*(VLOOKUP($FM37-GA$103,Frauen!$G$9:$J$102,4)+VLOOKUP($FM37-GA$103+1,Frauen!$G$9:$J$102,4))*0.5*(VLOOKUP($FM37-GA$103,Frauen!$AZ$9:$BD$102,5)+VLOOKUP($FM37-GA$103+1,Frauen!$AZ$9:$BD$102,5)),RundDx)</f>
        <v>6290281</v>
      </c>
      <c r="GB37" s="25">
        <f>ROUND(v^($FM37+FaktorAlter)*VLOOKUP($FM37,$G$9:$J$102,4)*VLOOKUP($FM37,$A$9:$E$102,5)*0.5*(VLOOKUP($FM37-GB$103,Frauen!$G$9:$J$102,4)+VLOOKUP($FM37-GB$103+1,Frauen!$G$9:$J$102,4))*0.5*(VLOOKUP($FM37-GB$103,Frauen!$AZ$9:$BD$102,5)+VLOOKUP($FM37-GB$103+1,Frauen!$AZ$9:$BD$102,5)),RundDx)</f>
        <v>9180557</v>
      </c>
      <c r="GC37" s="25">
        <f>ROUND(v^($FM37+FaktorAlter)*VLOOKUP($FM37,$G$9:$J$102,4)*VLOOKUP($FM37,$A$9:$E$102,5)*0.5*(VLOOKUP($FM37-GC$103,Frauen!$G$9:$J$102,4)+VLOOKUP($FM37-GC$103+1,Frauen!$G$9:$J$102,4))*0.5*(VLOOKUP($FM37-GC$103,Frauen!$AZ$9:$BD$102,5)+VLOOKUP($FM37-GC$103+1,Frauen!$AZ$9:$BD$102,5)),RundDx)</f>
        <v>12972090</v>
      </c>
      <c r="GD37" s="25">
        <f>ROUND(v^($FM37+FaktorAlter)*VLOOKUP($FM37,$G$9:$J$102,4)*VLOOKUP($FM37,$A$9:$E$102,5)*0.5*(VLOOKUP($FM37-GD$103,Frauen!$G$9:$J$102,4)+VLOOKUP($FM37-GD$103+1,Frauen!$G$9:$J$102,4))*0.5*(VLOOKUP($FM37-GD$103,Frauen!$AZ$9:$BD$102,5)+VLOOKUP($FM37-GD$103+1,Frauen!$AZ$9:$BD$102,5)),RundDx)</f>
        <v>17829777</v>
      </c>
      <c r="GE37" s="25">
        <f>ROUND(v^($FM37+FaktorAlter)*VLOOKUP($FM37,$G$9:$J$102,4)*VLOOKUP($FM37,$A$9:$E$102,5)*0.5*(VLOOKUP($FM37-GE$103,Frauen!$G$9:$J$102,4)+VLOOKUP($FM37-GE$103+1,Frauen!$G$9:$J$102,4))*0.5*(VLOOKUP($FM37-GE$103,Frauen!$AZ$9:$BD$102,5)+VLOOKUP($FM37-GE$103+1,Frauen!$AZ$9:$BD$102,5)),RundDx)</f>
        <v>23852770</v>
      </c>
      <c r="GF37" s="25">
        <f>ROUND(v^($FM37+FaktorAlter)*VLOOKUP($FM37,$G$9:$J$102,4)*VLOOKUP($FM37,$A$9:$E$102,5)*0.5*(VLOOKUP($FM37-GF$103,Frauen!$G$9:$J$102,4)+VLOOKUP($FM37-GF$103+1,Frauen!$G$9:$J$102,4))*0.5*(VLOOKUP($FM37-GF$103,Frauen!$AZ$9:$BD$102,5)+VLOOKUP($FM37-GF$103+1,Frauen!$AZ$9:$BD$102,5)),RundDx)</f>
        <v>31052816</v>
      </c>
      <c r="GG37" s="25">
        <f>ROUND(v^($FM37+FaktorAlter)*VLOOKUP($FM37,$G$9:$J$102,4)*VLOOKUP($FM37,$A$9:$E$102,5)*0.5*(VLOOKUP($FM37-GG$103,Frauen!$G$9:$J$102,4)+VLOOKUP($FM37-GG$103+1,Frauen!$G$9:$J$102,4))*0.5*(VLOOKUP($FM37-GG$103,Frauen!$AZ$9:$BD$102,5)+VLOOKUP($FM37-GG$103+1,Frauen!$AZ$9:$BD$102,5)),RundDx)</f>
        <v>39491676</v>
      </c>
      <c r="GH37" s="25">
        <f>ROUND(v^($FM37+FaktorAlter)*VLOOKUP($FM37,$G$9:$J$102,4)*VLOOKUP($FM37,$A$9:$E$102,5)*0.5*(VLOOKUP($FM37-GH$103,Frauen!$G$9:$J$102,4)+VLOOKUP($FM37-GH$103+1,Frauen!$G$9:$J$102,4))*0.5*(VLOOKUP($FM37-GH$103,Frauen!$AZ$9:$BD$102,5)+VLOOKUP($FM37-GH$103+1,Frauen!$AZ$9:$BD$102,5)),RundDx)</f>
        <v>49180178</v>
      </c>
      <c r="GI37" s="25">
        <f>ROUND(v^($FM37+FaktorAlter)*VLOOKUP($FM37,$G$9:$J$102,4)*VLOOKUP($FM37,$A$9:$E$102,5)*0.5*(VLOOKUP($FM37-GI$103,Frauen!$G$9:$J$102,4)+VLOOKUP($FM37-GI$103+1,Frauen!$G$9:$J$102,4))*0.5*(VLOOKUP($FM37-GI$103,Frauen!$AZ$9:$BD$102,5)+VLOOKUP($FM37-GI$103+1,Frauen!$AZ$9:$BD$102,5)),RundDx)</f>
        <v>60088410</v>
      </c>
      <c r="GJ37" s="25">
        <f>ROUND(v^($FM37+FaktorAlter)*VLOOKUP($FM37,$G$9:$J$102,4)*VLOOKUP($FM37,$A$9:$E$102,5)*0.5*(VLOOKUP($FM37-GJ$103,Frauen!$G$9:$J$102,4)+VLOOKUP($FM37-GJ$103+1,Frauen!$G$9:$J$102,4))*0.5*(VLOOKUP($FM37-GJ$103,Frauen!$AZ$9:$BD$102,5)+VLOOKUP($FM37-GJ$103+1,Frauen!$AZ$9:$BD$102,5)),RundDx)</f>
        <v>72160856</v>
      </c>
      <c r="GK37" s="25">
        <f>ROUND(v^($FM37+FaktorAlter)*VLOOKUP($FM37,$G$9:$J$102,4)*VLOOKUP($FM37,$A$9:$E$102,5)*0.5*(VLOOKUP($FM37-GK$103,Frauen!$G$9:$J$102,4)+VLOOKUP($FM37-GK$103+1,Frauen!$G$9:$J$102,4))*0.5*(VLOOKUP($FM37-GK$103,Frauen!$AZ$9:$BD$102,5)+VLOOKUP($FM37-GK$103+1,Frauen!$AZ$9:$BD$102,5)),RundDx)</f>
        <v>85281670</v>
      </c>
      <c r="GL37" s="25">
        <f>ROUND(v^($FM37+FaktorAlter)*VLOOKUP($FM37,$G$9:$J$102,4)*VLOOKUP($FM37,$A$9:$E$102,5)*0.5*(VLOOKUP($FM37-GL$103,Frauen!$G$9:$J$102,4)+VLOOKUP($FM37-GL$103+1,Frauen!$G$9:$J$102,4))*0.5*(VLOOKUP($FM37-GL$103,Frauen!$AZ$9:$BD$102,5)+VLOOKUP($FM37-GL$103+1,Frauen!$AZ$9:$BD$102,5)),RundDx)</f>
        <v>99311805</v>
      </c>
      <c r="GM37" s="25">
        <f>ROUND(v^($FM37+FaktorAlter)*VLOOKUP($FM37,$G$9:$J$102,4)*VLOOKUP($FM37,$A$9:$E$102,5)*0.5*(VLOOKUP($FM37-GM$103,Frauen!$G$9:$J$102,4)+VLOOKUP($FM37-GM$103+1,Frauen!$G$9:$J$102,4))*0.5*(VLOOKUP($FM37-GM$103,Frauen!$AZ$9:$BD$102,5)+VLOOKUP($FM37-GM$103+1,Frauen!$AZ$9:$BD$102,5)),RundDx)</f>
        <v>114113704</v>
      </c>
      <c r="GN37" s="25">
        <f>ROUND(v^($FM37+FaktorAlter)*VLOOKUP($FM37,$G$9:$J$102,4)*VLOOKUP($FM37,$A$9:$E$102,5)*0.5*(VLOOKUP($FM37-GN$103,Frauen!$G$9:$J$102,4)+VLOOKUP($FM37-GN$103+1,Frauen!$G$9:$J$102,4))*0.5*(VLOOKUP($FM37-GN$103,Frauen!$AZ$9:$BD$102,5)+VLOOKUP($FM37-GN$103+1,Frauen!$AZ$9:$BD$102,5)),RundDx)</f>
        <v>129524542</v>
      </c>
      <c r="GO37" s="25">
        <f>ROUND(v^($FM37+FaktorAlter)*VLOOKUP($FM37,$G$9:$J$102,4)*VLOOKUP($FM37,$A$9:$E$102,5)*0.5*(VLOOKUP($FM37-GO$103,Frauen!$G$9:$J$102,4)+VLOOKUP($FM37-GO$103+1,Frauen!$G$9:$J$102,4))*0.5*(VLOOKUP($FM37-GO$103,Frauen!$AZ$9:$BD$102,5)+VLOOKUP($FM37-GO$103+1,Frauen!$AZ$9:$BD$102,5)),RundDx)</f>
        <v>145390502</v>
      </c>
      <c r="GP37" s="25">
        <f>ROUND(v^($FM37+FaktorAlter)*VLOOKUP($FM37,$G$9:$J$102,4)*VLOOKUP($FM37,$A$9:$E$102,5)*0.5*(VLOOKUP($FM37-GP$103,Frauen!$G$9:$J$102,4)+VLOOKUP($FM37-GP$103+1,Frauen!$G$9:$J$102,4))*0.5*(VLOOKUP($FM37-GP$103,Frauen!$AZ$9:$BD$102,5)+VLOOKUP($FM37-GP$103+1,Frauen!$AZ$9:$BD$102,5)),RundDx)</f>
        <v>161606782</v>
      </c>
      <c r="GQ37" s="25">
        <f>ROUND(v^($FM37+FaktorAlter)*VLOOKUP($FM37,$G$9:$J$102,4)*VLOOKUP($FM37,$A$9:$E$102,5)*0.5*(VLOOKUP($FM37-GQ$103,Frauen!$G$9:$J$102,4)+VLOOKUP($FM37-GQ$103+1,Frauen!$G$9:$J$102,4))*0.5*(VLOOKUP($FM37-GQ$103,Frauen!$AZ$9:$BD$102,5)+VLOOKUP($FM37-GQ$103+1,Frauen!$AZ$9:$BD$102,5)),RundDx)</f>
        <v>178121955</v>
      </c>
      <c r="GR37" s="25">
        <f>ROUND(v^($FM37+FaktorAlter)*VLOOKUP($FM37,$G$9:$J$102,4)*VLOOKUP($FM37,$A$9:$E$102,5)*0.5*(VLOOKUP($FM37-GR$103,Frauen!$G$9:$J$102,4)+VLOOKUP($FM37-GR$103+1,Frauen!$G$9:$J$102,4))*0.5*(VLOOKUP($FM37-GR$103,Frauen!$AZ$9:$BD$102,5)+VLOOKUP($FM37-GR$103+1,Frauen!$AZ$9:$BD$102,5)),RundDx)</f>
        <v>194865986</v>
      </c>
      <c r="GS37" s="24"/>
      <c r="GT37" s="24"/>
      <c r="GU37" s="24"/>
      <c r="GV37" s="24"/>
      <c r="GW37" s="24"/>
      <c r="GX37" s="24">
        <f>ROUND(SUM(FS37:FS$56)/VLOOKUP($FM37,$AQ$9:$AR$102,2)/VLOOKUP($FM37-GX$103,Frauen!$G$9:$J$102,4),Rundäx)</f>
        <v>0.125</v>
      </c>
      <c r="GY37" s="24">
        <f>ROUND(SUM(FT37:FT$56)/VLOOKUP($FM37,$AQ$9:$AR$102,2)/VLOOKUP($FM37-GY$103,Frauen!$G$9:$J$102,4),Rundäx)</f>
        <v>0.22600000000000001</v>
      </c>
      <c r="GZ37" s="24">
        <f>ROUND(SUM(FU37:FU$56)/VLOOKUP($FM37,$AQ$9:$AR$102,2)/VLOOKUP($FM37-GZ$103,Frauen!$G$9:$J$102,4),Rundäx)</f>
        <v>0.31900000000000001</v>
      </c>
      <c r="HA37" s="86"/>
      <c r="HB37" s="35">
        <f t="shared" si="63"/>
        <v>93</v>
      </c>
      <c r="HC37" s="24">
        <f>ROUND(SUM(FV37:FV$56)/VLOOKUP($FM37,$AQ$9:$AR$102,2)/VLOOKUP($FM37-HC$103,Frauen!$G$9:$J$102,4),Rundäx)</f>
        <v>0.41699999999999998</v>
      </c>
      <c r="HD37" s="24">
        <f>ROUND(SUM(FW37:FW$56)/VLOOKUP($FM37,$AQ$9:$AR$102,2)/VLOOKUP($FM37-HD$103,Frauen!$G$9:$J$102,4),Rundäx)</f>
        <v>0.52400000000000002</v>
      </c>
      <c r="HE37" s="24">
        <f>ROUND(SUM(FX37:FX$56)/VLOOKUP($FM37,$AQ$9:$AR$102,2)/VLOOKUP($FM37-HE$103,Frauen!$G$9:$J$102,4),Rundäx)</f>
        <v>0.64200000000000002</v>
      </c>
      <c r="HF37" s="24">
        <f>ROUND(SUM(FY37:FY$56)/VLOOKUP($FM37,$AQ$9:$AR$102,2)/VLOOKUP($FM37-HF$103,Frauen!$G$9:$J$102,4),Rundäx)</f>
        <v>0.77400000000000002</v>
      </c>
      <c r="HG37" s="24">
        <f>ROUND(SUM(FZ37:FZ$56)/VLOOKUP($FM37,$AQ$9:$AR$102,2)/VLOOKUP($FM37-HG$103,Frauen!$G$9:$J$102,4),Rundäx)</f>
        <v>0.92</v>
      </c>
      <c r="HH37" s="24">
        <f>ROUND(SUM(GA37:GA$56)/VLOOKUP($FM37,$AQ$9:$AR$102,2)/VLOOKUP($FM37-HH$103,Frauen!$G$9:$J$102,4),Rundäx)</f>
        <v>1.083</v>
      </c>
      <c r="HI37" s="24">
        <f>ROUND(SUM(GB37:GB$56)/VLOOKUP($FM37,$AQ$9:$AR$102,2)/VLOOKUP($FM37-HI$103,Frauen!$G$9:$J$102,4),Rundäx)</f>
        <v>1.264</v>
      </c>
      <c r="HJ37" s="24">
        <f>ROUND(SUM(GC37:GC$56)/VLOOKUP($FM37,$AQ$9:$AR$102,2)/VLOOKUP($FM37-HJ$103,Frauen!$G$9:$J$102,4),Rundäx)</f>
        <v>1.464</v>
      </c>
      <c r="HK37" s="86"/>
      <c r="HL37" s="35">
        <f t="shared" si="64"/>
        <v>93</v>
      </c>
      <c r="HM37" s="24">
        <f>ROUND(SUM(GD37:GD$56)/VLOOKUP($FM37,$AQ$9:$AR$102,2)/VLOOKUP($FM37-HM$103,Frauen!$G$9:$J$102,4),Rundäx)</f>
        <v>1.6859999999999999</v>
      </c>
      <c r="HN37" s="24">
        <f>ROUND(SUM(GE37:GE$56)/VLOOKUP($FM37,$AQ$9:$AR$102,2)/VLOOKUP($FM37-HN$103,Frauen!$G$9:$J$102,4),Rundäx)</f>
        <v>1.93</v>
      </c>
      <c r="HO37" s="24">
        <f>ROUND(SUM(GF37:GF$56)/VLOOKUP($FM37,$AQ$9:$AR$102,2)/VLOOKUP($FM37-HO$103,Frauen!$G$9:$J$102,4),Rundäx)</f>
        <v>2.1949999999999998</v>
      </c>
      <c r="HP37" s="24">
        <f>ROUND(SUM(GG37:GG$56)/VLOOKUP($FM37,$AQ$9:$AR$102,2)/VLOOKUP($FM37-HP$103,Frauen!$G$9:$J$102,4),Rundäx)</f>
        <v>2.4809999999999999</v>
      </c>
      <c r="HQ37" s="24">
        <f>ROUND(SUM(GH37:GH$56)/VLOOKUP($FM37,$AQ$9:$AR$102,2)/VLOOKUP($FM37-HQ$103,Frauen!$G$9:$J$102,4),Rundäx)</f>
        <v>2.7890000000000001</v>
      </c>
      <c r="HR37" s="24">
        <f>ROUND(SUM(GI37:GI$56)/VLOOKUP($FM37,$AQ$9:$AR$102,2)/VLOOKUP($FM37-HR$103,Frauen!$G$9:$J$102,4),Rundäx)</f>
        <v>3.121</v>
      </c>
      <c r="HS37" s="24">
        <f>ROUND(SUM(GJ37:GJ$56)/VLOOKUP($FM37,$AQ$9:$AR$102,2)/VLOOKUP($FM37-HS$103,Frauen!$G$9:$J$102,4),Rundäx)</f>
        <v>3.4780000000000002</v>
      </c>
      <c r="HT37" s="24">
        <f>ROUND(SUM(GK37:GK$56)/VLOOKUP($FM37,$AQ$9:$AR$102,2)/VLOOKUP($FM37-HT$103,Frauen!$G$9:$J$102,4),Rundäx)</f>
        <v>3.8620000000000001</v>
      </c>
      <c r="HU37" s="86"/>
      <c r="HV37" s="35">
        <f t="shared" si="65"/>
        <v>93</v>
      </c>
      <c r="HW37" s="24">
        <f>ROUND(SUM(GL37:GL$56)/VLOOKUP($FM37,$AQ$9:$AR$102,2)/VLOOKUP($FM37-HW$103,Frauen!$G$9:$J$102,4),Rundäx)</f>
        <v>4.2720000000000002</v>
      </c>
      <c r="HX37" s="24">
        <f>ROUND(SUM(GM37:GM$56)/VLOOKUP($FM37,$AQ$9:$AR$102,2)/VLOOKUP($FM37-HX$103,Frauen!$G$9:$J$102,4),Rundäx)</f>
        <v>4.7080000000000002</v>
      </c>
      <c r="HY37" s="24">
        <f>ROUND(SUM(GN37:GN$56)/VLOOKUP($FM37,$AQ$9:$AR$102,2)/VLOOKUP($FM37-HY$103,Frauen!$G$9:$J$102,4),Rundäx)</f>
        <v>5.1689999999999996</v>
      </c>
      <c r="HZ37" s="24">
        <f>ROUND(SUM(GO37:GO$56)/VLOOKUP($FM37,$AQ$9:$AR$102,2)/VLOOKUP($FM37-HZ$103,Frauen!$G$9:$J$102,4),Rundäx)</f>
        <v>5.6509999999999998</v>
      </c>
      <c r="IA37" s="24">
        <f>ROUND(SUM(GP37:GP$56)/VLOOKUP($FM37,$AQ$9:$AR$102,2)/VLOOKUP($FM37-IA$103,Frauen!$G$9:$J$102,4),Rundäx)</f>
        <v>6.1520000000000001</v>
      </c>
      <c r="IB37" s="24">
        <f>ROUND(SUM(GQ37:GQ$56)/VLOOKUP($FM37,$AQ$9:$AR$102,2)/VLOOKUP($FM37-IB$103,Frauen!$G$9:$J$102,4),Rundäx)</f>
        <v>6.6689999999999996</v>
      </c>
      <c r="IC37" s="24">
        <f>ROUND(SUM(GR37:GR$56)/VLOOKUP($FM37,$AQ$9:$AR$102,2)/VLOOKUP($FM37-IC$103,Frauen!$G$9:$J$102,4),Rundäx)</f>
        <v>7.1959999999999997</v>
      </c>
      <c r="ID37" s="89"/>
      <c r="IE37" s="35">
        <f t="shared" si="66"/>
        <v>45</v>
      </c>
      <c r="IF37" s="25">
        <f t="shared" si="31"/>
        <v>630</v>
      </c>
      <c r="IG37" s="25">
        <f>IF($IE37&lt;RAM,IF(S38&lt;=RAK,ROUND(SUM(IF37:INDEX(Dakx,RAM-BeginnAlter))+INDEX(Dax,RAM-BeginnAlter+1)*INDEX(äkx,1),RundDx),0),"")</f>
        <v>4773</v>
      </c>
      <c r="IH37" s="25">
        <f>IF($IE37&lt;RAM,IF(S38&lt;=RAK,ROUND(SUM(IG37:INDEX(Nakx,RAM-BeginnAlter))+INDEX(Dax,RAM-BeginnAlter+1)*INDEX(äkx,1),RundDx),0),"")</f>
        <v>29452</v>
      </c>
      <c r="II37" s="24">
        <f t="shared" si="32"/>
        <v>0.13600000000000001</v>
      </c>
      <c r="IJ37" s="25">
        <f t="shared" si="33"/>
        <v>10340</v>
      </c>
      <c r="IK37" s="25">
        <f>IF($IE37&lt;RAM,IF(S38&lt;=RAK,SUM(IJ37:INDEX(Dikx,RAM-BeginnAlter))+INDEX(Dix,RAM-BeginnAlter+1)*INDEX(äkx,1),0),"")</f>
        <v>53889.832000000002</v>
      </c>
      <c r="IL37" s="24">
        <f t="shared" si="34"/>
        <v>1.0920000000000001</v>
      </c>
      <c r="IM37" s="86"/>
      <c r="IN37" s="35">
        <f t="shared" si="67"/>
        <v>93</v>
      </c>
      <c r="IO37" s="25"/>
      <c r="IP37" s="25"/>
      <c r="IQ37" s="24"/>
      <c r="IR37" s="86"/>
    </row>
    <row r="38" spans="1:252" ht="15.75" customHeight="1" x14ac:dyDescent="0.25">
      <c r="A38" s="35">
        <f t="shared" si="41"/>
        <v>46</v>
      </c>
      <c r="B38" s="77">
        <v>1.5989404025518392E-3</v>
      </c>
      <c r="C38" s="77">
        <v>2.569046234486963E-3</v>
      </c>
      <c r="D38" s="77">
        <v>2.0227759565033143E-2</v>
      </c>
      <c r="E38" s="77">
        <v>2.085195114685745E-3</v>
      </c>
      <c r="F38" s="86"/>
      <c r="G38" s="35">
        <f t="shared" si="42"/>
        <v>46</v>
      </c>
      <c r="H38" s="25">
        <f t="shared" si="37"/>
        <v>94966</v>
      </c>
      <c r="I38" s="25">
        <f t="shared" si="38"/>
        <v>2387</v>
      </c>
      <c r="J38" s="25">
        <f t="shared" si="39"/>
        <v>97353</v>
      </c>
      <c r="K38" s="30">
        <f>IF(J38&gt;0,ROUND(SUM(J38:J$102)/J38-0.5,Rundex),"")</f>
        <v>34</v>
      </c>
      <c r="L38" s="25">
        <f t="shared" si="0"/>
        <v>131588</v>
      </c>
      <c r="M38" s="30">
        <f>IF(L38&gt;0,ROUND(SUM(L38:L$102)/L38-0.5,Rundex),"")</f>
        <v>27.27</v>
      </c>
      <c r="N38" s="86"/>
      <c r="O38" s="35">
        <f t="shared" si="43"/>
        <v>46</v>
      </c>
      <c r="P38" s="43">
        <v>0.75401547881511788</v>
      </c>
      <c r="Q38" s="78">
        <v>44.240694069742418</v>
      </c>
      <c r="R38" s="43">
        <v>0.93588426223046928</v>
      </c>
      <c r="S38" s="78">
        <v>12.958362843798309</v>
      </c>
      <c r="T38" s="15">
        <v>2.0809643652038856E-3</v>
      </c>
      <c r="U38" s="11">
        <f t="shared" si="40"/>
        <v>97353</v>
      </c>
      <c r="V38" s="30">
        <f>IF(U38&gt;0,ROUND(SUM(U38:U$102)/U38-0.5,Rundex),"")</f>
        <v>31.58</v>
      </c>
      <c r="W38" s="86"/>
      <c r="X38" s="35">
        <f t="shared" si="44"/>
        <v>46</v>
      </c>
      <c r="Y38" s="25">
        <f t="shared" si="1"/>
        <v>34124</v>
      </c>
      <c r="Z38" s="25">
        <f>IF($X38&lt;RAM,SUM(Y38:INDEX(Dax,RAM-BeginnAlter))," ")</f>
        <v>488622</v>
      </c>
      <c r="AA38" s="25">
        <f t="shared" si="2"/>
        <v>54</v>
      </c>
      <c r="AB38" s="25">
        <f>IF($X38&lt;RAM,SUM(AA38:INDEX(Cax,RAM-BeginnAlter))," ")</f>
        <v>1819</v>
      </c>
      <c r="AC38" s="25">
        <f t="shared" si="3"/>
        <v>87</v>
      </c>
      <c r="AD38" s="25">
        <f>IF($X38&lt;RAM,SUM(AC38:INDEX(Caix,RAM-BeginnAlter))," ")</f>
        <v>6868</v>
      </c>
      <c r="AE38" s="24">
        <f t="shared" si="4"/>
        <v>14.319000000000001</v>
      </c>
      <c r="AF38" s="24">
        <f t="shared" si="5"/>
        <v>14.058999999999999</v>
      </c>
      <c r="AG38" s="86"/>
      <c r="AH38" s="35">
        <f t="shared" si="45"/>
        <v>46</v>
      </c>
      <c r="AI38" s="25">
        <f t="shared" si="6"/>
        <v>47283</v>
      </c>
      <c r="AJ38" s="25">
        <f>IF($AH38&gt;RAM," ",IF($AH38&lt;RAM,SUM(AI38:INDEX(Dix,RAM-BeginnAlter))+INDEX(Nx,RAM-BeginnAlter+1),INDEX(Nx,RAM-BeginnAlter+1)))</f>
        <v>923132</v>
      </c>
      <c r="AK38" s="25">
        <f>IF($AH38&lt;RAM,SUM(AI38:INDEX(Dix,RAM-BeginnAlter))," ")</f>
        <v>625885</v>
      </c>
      <c r="AL38" s="24">
        <f t="shared" si="7"/>
        <v>19.524000000000001</v>
      </c>
      <c r="AM38" s="24">
        <f t="shared" si="8"/>
        <v>19.065000000000001</v>
      </c>
      <c r="AN38" s="24">
        <f t="shared" si="9"/>
        <v>13.237</v>
      </c>
      <c r="AO38" s="24">
        <f t="shared" si="10"/>
        <v>12.977</v>
      </c>
      <c r="AP38" s="86"/>
      <c r="AQ38" s="35">
        <f t="shared" si="46"/>
        <v>46</v>
      </c>
      <c r="AR38" s="25">
        <f t="shared" si="11"/>
        <v>34981</v>
      </c>
      <c r="AS38" s="25">
        <f>SUM(AR38:AR$94)</f>
        <v>828677</v>
      </c>
      <c r="AT38" s="25">
        <f>IF($AQ38&lt;RAM,SUM(AR38:INDEX(Dx,RAM-BeginnAlter))," ")</f>
        <v>531430</v>
      </c>
      <c r="AU38" s="24">
        <f t="shared" si="12"/>
        <v>23.689</v>
      </c>
      <c r="AV38" s="24">
        <f t="shared" si="13"/>
        <v>23.231000000000002</v>
      </c>
      <c r="AW38" s="24">
        <f t="shared" si="14"/>
        <v>15.192</v>
      </c>
      <c r="AX38" s="24">
        <f t="shared" si="15"/>
        <v>15.002000000000001</v>
      </c>
      <c r="AY38" s="86"/>
      <c r="AZ38" s="35">
        <f t="shared" si="47"/>
        <v>46</v>
      </c>
      <c r="BA38" s="25">
        <f t="shared" si="16"/>
        <v>34981</v>
      </c>
      <c r="BB38" s="25">
        <f>SUM(BA38:BA$94)</f>
        <v>786626</v>
      </c>
      <c r="BC38" s="24">
        <f t="shared" si="17"/>
        <v>22.486999999999998</v>
      </c>
      <c r="BD38" s="24">
        <f t="shared" si="18"/>
        <v>22.029</v>
      </c>
      <c r="BE38" s="86"/>
      <c r="BF38" s="35">
        <f t="shared" si="48"/>
        <v>29</v>
      </c>
      <c r="BG38" s="24" t="str">
        <f t="shared" si="19"/>
        <v/>
      </c>
      <c r="BH38" s="24" t="str">
        <f t="shared" si="20"/>
        <v/>
      </c>
      <c r="BI38" s="86"/>
      <c r="BJ38" s="35">
        <f t="shared" si="49"/>
        <v>46</v>
      </c>
      <c r="BK38" s="25">
        <f t="shared" si="21"/>
        <v>1645</v>
      </c>
      <c r="BL38" s="25">
        <f>IF(BJ38&lt;RAM,SUM(BK38:INDEX(Daix,RAM-BeginnAlter))," ")</f>
        <v>109107</v>
      </c>
      <c r="BM38" s="25">
        <f>IF(BJ38&lt;RAM,SUM(BL38:INDEX(Naix,RAM-BeginnAlter))," ")</f>
        <v>1425965</v>
      </c>
      <c r="BN38" s="24">
        <f t="shared" si="22"/>
        <v>6.0880000000000001</v>
      </c>
      <c r="BO38" s="24">
        <f t="shared" si="23"/>
        <v>3.1970000000000001</v>
      </c>
      <c r="BP38" s="86"/>
      <c r="BQ38" s="35">
        <f t="shared" si="50"/>
        <v>46</v>
      </c>
      <c r="BR38" s="25">
        <f t="shared" si="51"/>
        <v>1105</v>
      </c>
      <c r="BS38" s="25">
        <f>IF(BQ38&lt;RAM,SUM(BR38:INDEX(Daixs,RAM-BeginnAlter))," ")</f>
        <v>34220</v>
      </c>
      <c r="BT38" s="25">
        <f>IF(BQ38&lt;RAM,SUM(BS38:INDEX(Naixs,RAM-BeginnAlter))," ")</f>
        <v>354856</v>
      </c>
      <c r="BU38" s="24">
        <f t="shared" si="52"/>
        <v>8.282</v>
      </c>
      <c r="BV38" s="24">
        <f t="shared" si="53"/>
        <v>1.0029999999999999</v>
      </c>
      <c r="BW38" s="86"/>
      <c r="BX38" s="35">
        <f t="shared" si="54"/>
        <v>46</v>
      </c>
      <c r="BY38" s="10">
        <f t="shared" si="24"/>
        <v>9.089712644010481</v>
      </c>
      <c r="BZ38" s="11">
        <f t="shared" si="25"/>
        <v>704</v>
      </c>
      <c r="CA38" s="25">
        <f>IF(S39&lt;=RAK,IF($BX38&lt;RAM,SUM(BZ38:INDEX(Dazx,RAM-BeginnAlter)),""),"")</f>
        <v>7373</v>
      </c>
      <c r="CB38" s="24">
        <f t="shared" si="26"/>
        <v>0.216</v>
      </c>
      <c r="CC38" s="25">
        <f t="shared" si="27"/>
        <v>25649</v>
      </c>
      <c r="CD38" s="24">
        <f t="shared" si="28"/>
        <v>17.489999999999998</v>
      </c>
      <c r="CE38" s="24">
        <f t="shared" si="29"/>
        <v>0.03</v>
      </c>
      <c r="CF38" s="86"/>
      <c r="CG38" s="35">
        <f t="shared" si="55"/>
        <v>46</v>
      </c>
      <c r="CH38" s="25">
        <f>IF(CG38&lt;RAM,ROUND(v^($CG38+FaktorAlter)*$H38*($B38*0.5*($P38+$P39)*(VLOOKUP(TRUNC(0.5*($Q38+$Q39),0),Frauen!$AZ$9:$BD$95,5)+(0.5*($Q38+$Q39)-TRUNC(0.5*($Q38+$Q39),0))*(VLOOKUP(TRUNC(0.5*($Q38+$Q39)+1,0),Frauen!$AZ$9:$BD$95,5)-VLOOKUP(TRUNC(0.5*($Q38+$Q39),0),Frauen!$AZ$9:$BD$95,5)))+$C38*0.5*($CN38+$CN39)),RundDx),"")</f>
        <v>1671</v>
      </c>
      <c r="CI38" s="25">
        <f>IF(CG38&lt;RAM,ROUND(SUM(CH38:INDEX(Dawx,RAM-BeginnAlter))+INDEX(Dax,RAM-BeginnAlter+1)*INDEX(äwx,1),RundDx),"")</f>
        <v>148678</v>
      </c>
      <c r="CJ38" s="25">
        <f>IF(CG38&lt;RAM,ROUND(SUM(CI38:INDEX(Nawx,RAM-BeginnAlter))+INDEX(Dax,RAM-BeginnAlter+1)*INDEX(äwx,1),RundDx),"")</f>
        <v>2431281</v>
      </c>
      <c r="CK38" s="24">
        <f t="shared" si="56"/>
        <v>4.3570000000000002</v>
      </c>
      <c r="CL38" s="25">
        <f>IF(CG38&lt;RAM,ROUND(v^($CG38+FaktorAlter)*$L38*$D38*0.5*($P38+$P39)*(VLOOKUP(TRUNC(0.5*($Q38+$Q39),0),Frauen!$AZ$9:$BD$95,5)+(0.5*($Q38+$Q39)-TRUNC(0.5*($Q38+$Q39),0))*(VLOOKUP(TRUNC(0.5*($Q38+$Q39)+1,0),Frauen!$AZ$9:$BD$95,5)-VLOOKUP(TRUNC(0.5*($Q38+$Q39),0),Frauen!$AZ$9:$BD$95,5))),RundDx),"")</f>
        <v>18433</v>
      </c>
      <c r="CM38" s="25">
        <f>IF(CG38&lt;RAM,SUM(CL38:INDEX(Diwx,RAM-BeginnAlter))+INDEX(Dix,RAM-BeginnAlter+1)*INDEX(äwx,1),"")</f>
        <v>339837.41399999999</v>
      </c>
      <c r="CN38" s="24">
        <f t="shared" si="57"/>
        <v>7.1870000000000003</v>
      </c>
      <c r="CO38" s="86"/>
      <c r="CP38" s="35">
        <f t="shared" si="58"/>
        <v>94</v>
      </c>
      <c r="CQ38" s="11">
        <f>ROUND(v^($CP38+FaktorAlter)*VLOOKUP(CP38,G$9:J$102,4)*VLOOKUP(CP38,A$9:E$102,5)*0.5*(VLOOKUP(CP38,O$9:P$102,2)+VLOOKUP(CP38+1,O$9:P$102,2))*(VLOOKUP(TRUNC(0.5*(VLOOKUP(CP38,O$9:Q$102,3)+VLOOKUP(CP38+1,O$9:Q$102,3)),0),Frauen!$AZ$9:$BD$95,5)+(0.5*(VLOOKUP(CP38,O$9:Q$102,3)+VLOOKUP(CP38+1,O$9:Q$102,3))-TRUNC(0.5*(VLOOKUP(CP38,O$9:Q$102,3)+VLOOKUP(CP38+1,O$9:Q$102,3)),0))*(VLOOKUP(TRUNC(0.5*(VLOOKUP(CP38,O$9:Q$102,3)+VLOOKUP(CP38+1,O$9:Q$102,3))+1,0),Frauen!$AZ$9:$BD$95,5)-VLOOKUP(TRUNC(0.5*(VLOOKUP(CP38,O$9:Q$102,3)+VLOOKUP(CP38+1,O$9:Q$102,3)),0),Frauen!$AZ$9:$BD$95,5))),RundDx)</f>
        <v>393</v>
      </c>
      <c r="CR38" s="25">
        <f>SUM(CQ38:CQ$56)</f>
        <v>909</v>
      </c>
      <c r="CS38" s="24">
        <f t="shared" si="30"/>
        <v>1.1060000000000001</v>
      </c>
      <c r="CT38" s="86"/>
      <c r="CU38" s="35">
        <f t="shared" si="59"/>
        <v>46</v>
      </c>
      <c r="CV38" s="25">
        <f>IF($CU38&gt;=RAM,"",IF($CU38-CV$103&lt;BeginnAlter,"",ROUND(v^($CU38+FaktorAlter)*$L38*$D38*0.5*(VLOOKUP($CU38-CV$103,Frauen!$G$9:$J$102,4)+VLOOKUP($CU38-CV$103+1,Frauen!$G$9:$J$102,4))*0.5*(VLOOKUP($CU38-CV$103,Frauen!$AZ$9:$BD$102,5)+VLOOKUP($CU38-CV$103+1,Frauen!$AZ$9:$BD$102,5)),RundDx)))</f>
        <v>1591143803</v>
      </c>
      <c r="CW38" s="25">
        <f>IF($CU38&gt;=RAM,"",IF($CU38-CW$103&lt;BeginnAlter,"",ROUND(v^($CU38+FaktorAlter)*$L38*$D38*0.5*(VLOOKUP($CU38-CW$103,Frauen!$G$9:$J$102,4)+VLOOKUP($CU38-CW$103+1,Frauen!$G$9:$J$102,4))*0.5*(VLOOKUP($CU38-CW$103,Frauen!$AZ$9:$BD$102,5)+VLOOKUP($CU38-CW$103+1,Frauen!$AZ$9:$BD$102,5)),RundDx)))</f>
        <v>1644359398</v>
      </c>
      <c r="CX38" s="25">
        <f>IF($CU38&gt;=RAM,"",IF($CU38-CX$103&lt;BeginnAlter,"",ROUND(v^($CU38+FaktorAlter)*$L38*$D38*0.5*(VLOOKUP($CU38-CX$103,Frauen!$G$9:$J$102,4)+VLOOKUP($CU38-CX$103+1,Frauen!$G$9:$J$102,4))*0.5*(VLOOKUP($CU38-CX$103,Frauen!$AZ$9:$BD$102,5)+VLOOKUP($CU38-CX$103+1,Frauen!$AZ$9:$BD$102,5)),RundDx)))</f>
        <v>1696567328</v>
      </c>
      <c r="CY38" s="25">
        <f>IF($CU38&gt;=RAM,"",IF($CU38-CY$103&lt;BeginnAlter,"",ROUND(v^($CU38+FaktorAlter)*$L38*$D38*0.5*(VLOOKUP($CU38-CY$103,Frauen!$G$9:$J$102,4)+VLOOKUP($CU38-CY$103+1,Frauen!$G$9:$J$102,4))*0.5*(VLOOKUP($CU38-CY$103,Frauen!$AZ$9:$BD$102,5)+VLOOKUP($CU38-CY$103+1,Frauen!$AZ$9:$BD$102,5)),RundDx)))</f>
        <v>1747876039</v>
      </c>
      <c r="CZ38" s="25">
        <f>IF($CU38&gt;=RAM,"",IF($CU38-CZ$103&lt;BeginnAlter,"",ROUND(v^($CU38+FaktorAlter)*$L38*$D38*0.5*(VLOOKUP($CU38-CZ$103,Frauen!$G$9:$J$102,4)+VLOOKUP($CU38-CZ$103+1,Frauen!$G$9:$J$102,4))*0.5*(VLOOKUP($CU38-CZ$103,Frauen!$AZ$9:$BD$102,5)+VLOOKUP($CU38-CZ$103+1,Frauen!$AZ$9:$BD$102,5)),RundDx)))</f>
        <v>1798445932</v>
      </c>
      <c r="DA38" s="25">
        <f>IF($CU38&gt;=RAM,"",IF($CU38-DA$103&lt;BeginnAlter,"",ROUND(v^($CU38+FaktorAlter)*$L38*$D38*0.5*(VLOOKUP($CU38-DA$103,Frauen!$G$9:$J$102,4)+VLOOKUP($CU38-DA$103+1,Frauen!$G$9:$J$102,4))*0.5*(VLOOKUP($CU38-DA$103,Frauen!$AZ$9:$BD$102,5)+VLOOKUP($CU38-DA$103+1,Frauen!$AZ$9:$BD$102,5)),RundDx)))</f>
        <v>1848409745</v>
      </c>
      <c r="DB38" s="25">
        <f>IF($CU38&gt;=RAM,"",IF($CU38-DB$103&lt;BeginnAlter,"",ROUND(v^($CU38+FaktorAlter)*$L38*$D38*0.5*(VLOOKUP($CU38-DB$103,Frauen!$G$9:$J$102,4)+VLOOKUP($CU38-DB$103+1,Frauen!$G$9:$J$102,4))*0.5*(VLOOKUP($CU38-DB$103,Frauen!$AZ$9:$BD$102,5)+VLOOKUP($CU38-DB$103+1,Frauen!$AZ$9:$BD$102,5)),RundDx)))</f>
        <v>1897886431</v>
      </c>
      <c r="DC38" s="25">
        <f>IF($CU38&gt;=RAM,"",IF($CU38-DC$103&lt;BeginnAlter,"",ROUND(v^($CU38+FaktorAlter)*$L38*$D38*0.5*(VLOOKUP($CU38-DC$103,Frauen!$G$9:$J$102,4)+VLOOKUP($CU38-DC$103+1,Frauen!$G$9:$J$102,4))*0.5*(VLOOKUP($CU38-DC$103,Frauen!$AZ$9:$BD$102,5)+VLOOKUP($CU38-DC$103+1,Frauen!$AZ$9:$BD$102,5)),RundDx)))</f>
        <v>1946932240</v>
      </c>
      <c r="DD38" s="25">
        <f>IF($CU38&gt;=RAM,"",IF($CU38-DD$103&lt;BeginnAlter,"",ROUND(v^($CU38+FaktorAlter)*$L38*$D38*0.5*(VLOOKUP($CU38-DD$103,Frauen!$G$9:$J$102,4)+VLOOKUP($CU38-DD$103+1,Frauen!$G$9:$J$102,4))*0.5*(VLOOKUP($CU38-DD$103,Frauen!$AZ$9:$BD$102,5)+VLOOKUP($CU38-DD$103+1,Frauen!$AZ$9:$BD$102,5)),RundDx)))</f>
        <v>1995455733</v>
      </c>
      <c r="DE38" s="25">
        <f>IF($CU38&gt;=RAM,"",IF($CU38-DE$103&lt;BeginnAlter,"",ROUND(v^($CU38+FaktorAlter)*$L38*$D38*0.5*(VLOOKUP($CU38-DE$103,Frauen!$G$9:$J$102,4)+VLOOKUP($CU38-DE$103+1,Frauen!$G$9:$J$102,4))*0.5*(VLOOKUP($CU38-DE$103,Frauen!$AZ$9:$BD$102,5)+VLOOKUP($CU38-DE$103+1,Frauen!$AZ$9:$BD$102,5)),RundDx)))</f>
        <v>2043498094</v>
      </c>
      <c r="DF38" s="25">
        <f>IF($CU38&gt;=RAM,"",IF($CU38-DF$103&lt;BeginnAlter,"",ROUND(v^($CU38+FaktorAlter)*$L38*$D38*0.5*(VLOOKUP($CU38-DF$103,Frauen!$G$9:$J$102,4)+VLOOKUP($CU38-DF$103+1,Frauen!$G$9:$J$102,4))*0.5*(VLOOKUP($CU38-DF$103,Frauen!$AZ$9:$BD$102,5)+VLOOKUP($CU38-DF$103+1,Frauen!$AZ$9:$BD$102,5)),RundDx)))</f>
        <v>2090959456</v>
      </c>
      <c r="DG38" s="25">
        <f>IF($CU38&gt;=RAM,"",IF($CU38-DG$103&lt;BeginnAlter,"",ROUND(v^($CU38+FaktorAlter)*$L38*$D38*0.5*(VLOOKUP($CU38-DG$103,Frauen!$G$9:$J$102,4)+VLOOKUP($CU38-DG$103+1,Frauen!$G$9:$J$102,4))*0.5*(VLOOKUP($CU38-DG$103,Frauen!$AZ$9:$BD$102,5)+VLOOKUP($CU38-DG$103+1,Frauen!$AZ$9:$BD$102,5)),RundDx)))</f>
        <v>2137619829</v>
      </c>
      <c r="DH38" s="25">
        <f>IF($CU38&gt;=RAM,"",IF($CU38-DH$103&lt;BeginnAlter,"",ROUND(v^($CU38+FaktorAlter)*$L38*$D38*0.5*(VLOOKUP($CU38-DH$103,Frauen!$G$9:$J$102,4)+VLOOKUP($CU38-DH$103+1,Frauen!$G$9:$J$102,4))*0.5*(VLOOKUP($CU38-DH$103,Frauen!$AZ$9:$BD$102,5)+VLOOKUP($CU38-DH$103+1,Frauen!$AZ$9:$BD$102,5)),RundDx)))</f>
        <v>2183341684</v>
      </c>
      <c r="DI38" s="25">
        <f>IF($CU38&gt;=RAM,"",IF($CU38-DI$103&lt;BeginnAlter,"",ROUND(v^($CU38+FaktorAlter)*$L38*$D38*0.5*(VLOOKUP($CU38-DI$103,Frauen!$G$9:$J$102,4)+VLOOKUP($CU38-DI$103+1,Frauen!$G$9:$J$102,4))*0.5*(VLOOKUP($CU38-DI$103,Frauen!$AZ$9:$BD$102,5)+VLOOKUP($CU38-DI$103+1,Frauen!$AZ$9:$BD$102,5)),RundDx)))</f>
        <v>2228081791</v>
      </c>
      <c r="DJ38" s="25">
        <f>IF($CU38&gt;=RAM,"",IF($CU38-DJ$103&lt;BeginnAlter,"",ROUND(v^($CU38+FaktorAlter)*$L38*$D38*0.5*(VLOOKUP($CU38-DJ$103,Frauen!$G$9:$J$102,4)+VLOOKUP($CU38-DJ$103+1,Frauen!$G$9:$J$102,4))*0.5*(VLOOKUP($CU38-DJ$103,Frauen!$AZ$9:$BD$102,5)+VLOOKUP($CU38-DJ$103+1,Frauen!$AZ$9:$BD$102,5)),RundDx)))</f>
        <v>2271846090</v>
      </c>
      <c r="DK38" s="25">
        <f>IF($CU38&gt;=RAM,"",IF($CU38-DK$103&lt;BeginnAlter,"",ROUND(v^($CU38+FaktorAlter)*$L38*$D38*0.5*(VLOOKUP($CU38-DK$103,Frauen!$G$9:$J$102,4)+VLOOKUP($CU38-DK$103+1,Frauen!$G$9:$J$102,4))*0.5*(VLOOKUP($CU38-DK$103,Frauen!$AZ$9:$BD$102,5)+VLOOKUP($CU38-DK$103+1,Frauen!$AZ$9:$BD$102,5)),RundDx)))</f>
        <v>2314678313</v>
      </c>
      <c r="DL38" s="25">
        <f>IF($CU38&gt;=RAM,"",IF($CU38-DL$103&lt;BeginnAlter,"",ROUND(v^($CU38+FaktorAlter)*$L38*$D38*0.5*(VLOOKUP($CU38-DL$103,Frauen!$G$9:$J$102,4)+VLOOKUP($CU38-DL$103+1,Frauen!$G$9:$J$102,4))*0.5*(VLOOKUP($CU38-DL$103,Frauen!$AZ$9:$BD$102,5)+VLOOKUP($CU38-DL$103+1,Frauen!$AZ$9:$BD$102,5)),RundDx)))</f>
        <v>2356519988</v>
      </c>
      <c r="DM38" s="25">
        <f>IF($CU38&gt;=RAM,"",IF($CU38-DM$103&lt;BeginnAlter,"",ROUND(v^($CU38+FaktorAlter)*$L38*$D38*0.5*(VLOOKUP($CU38-DM$103,Frauen!$G$9:$J$102,4)+VLOOKUP($CU38-DM$103+1,Frauen!$G$9:$J$102,4))*0.5*(VLOOKUP($CU38-DM$103,Frauen!$AZ$9:$BD$102,5)+VLOOKUP($CU38-DM$103+1,Frauen!$AZ$9:$BD$102,5)),RundDx)))</f>
        <v>2397384717</v>
      </c>
      <c r="DN38" s="25">
        <f>IF($CU38&gt;=RAM,"",IF($CU38-DN$103&lt;BeginnAlter,"",ROUND(v^($CU38+FaktorAlter)*$L38*$D38*0.5*(VLOOKUP($CU38-DN$103,Frauen!$G$9:$J$102,4)+VLOOKUP($CU38-DN$103+1,Frauen!$G$9:$J$102,4))*0.5*(VLOOKUP($CU38-DN$103,Frauen!$AZ$9:$BD$102,5)+VLOOKUP($CU38-DN$103+1,Frauen!$AZ$9:$BD$102,5)),RundDx)))</f>
        <v>2437369864</v>
      </c>
      <c r="DO38" s="25">
        <f>IF($CU38&gt;=RAM,"",IF($CU38-DO$103&lt;BeginnAlter,"",ROUND(v^($CU38+FaktorAlter)*$L38*$D38*0.5*(VLOOKUP($CU38-DO$103,Frauen!$G$9:$J$102,4)+VLOOKUP($CU38-DO$103+1,Frauen!$G$9:$J$102,4))*0.5*(VLOOKUP($CU38-DO$103,Frauen!$AZ$9:$BD$102,5)+VLOOKUP($CU38-DO$103+1,Frauen!$AZ$9:$BD$102,5)),RundDx)))</f>
        <v>2476494679</v>
      </c>
      <c r="DP38" s="25">
        <f>IF($CU38&gt;=RAM,"",IF($CU38-DP$103&lt;BeginnAlter,"",ROUND(v^($CU38+FaktorAlter)*$L38*$D38*0.5*(VLOOKUP($CU38-DP$103,Frauen!$G$9:$J$102,4)+VLOOKUP($CU38-DP$103+1,Frauen!$G$9:$J$102,4))*0.5*(VLOOKUP($CU38-DP$103,Frauen!$AZ$9:$BD$102,5)+VLOOKUP($CU38-DP$103+1,Frauen!$AZ$9:$BD$102,5)),RundDx)))</f>
        <v>2514768375</v>
      </c>
      <c r="DQ38" s="25">
        <f>IF($CU38&gt;=RAM,"",IF($CU38-DQ$103&lt;BeginnAlter,"",ROUND(v^($CU38+FaktorAlter)*$L38*$D38*0.5*(VLOOKUP($CU38-DQ$103,Frauen!$G$9:$J$102,4)+VLOOKUP($CU38-DQ$103+1,Frauen!$G$9:$J$102,4))*0.5*(VLOOKUP($CU38-DQ$103,Frauen!$AZ$9:$BD$102,5)+VLOOKUP($CU38-DQ$103+1,Frauen!$AZ$9:$BD$102,5)),RundDx)))</f>
        <v>2552189159</v>
      </c>
      <c r="DR38" s="25">
        <f>IF($CU38&gt;=RAM,"",IF($CU38-DR$103&lt;BeginnAlter,"",ROUND(v^($CU38+FaktorAlter)*$L38*$D38*0.5*(VLOOKUP($CU38-DR$103,Frauen!$G$9:$J$102,4)+VLOOKUP($CU38-DR$103+1,Frauen!$G$9:$J$102,4))*0.5*(VLOOKUP($CU38-DR$103,Frauen!$AZ$9:$BD$102,5)+VLOOKUP($CU38-DR$103+1,Frauen!$AZ$9:$BD$102,5)),RundDx)))</f>
        <v>2588782541</v>
      </c>
      <c r="DS38" s="25">
        <f>IF($CU38&gt;=RAM,"",IF($CU38-DS$103&lt;BeginnAlter,"",ROUND(v^($CU38+FaktorAlter)*$L38*$D38*0.5*(VLOOKUP($CU38-DS$103,Frauen!$G$9:$J$102,4)+VLOOKUP($CU38-DS$103+1,Frauen!$G$9:$J$102,4))*0.5*(VLOOKUP($CU38-DS$103,Frauen!$AZ$9:$BD$102,5)+VLOOKUP($CU38-DS$103+1,Frauen!$AZ$9:$BD$102,5)),RundDx)))</f>
        <v>2624563241</v>
      </c>
      <c r="DT38" s="25">
        <f>IF($CU38&gt;=RAM,"",IF($CU38-DT$103&lt;BeginnAlter,"",ROUND(v^($CU38+FaktorAlter)*$L38*$D38*0.5*(VLOOKUP($CU38-DT$103,Frauen!$G$9:$J$102,4)+VLOOKUP($CU38-DT$103+1,Frauen!$G$9:$J$102,4))*0.5*(VLOOKUP($CU38-DT$103,Frauen!$AZ$9:$BD$102,5)+VLOOKUP($CU38-DT$103+1,Frauen!$AZ$9:$BD$102,5)),RundDx)))</f>
        <v>2659594565</v>
      </c>
      <c r="DU38" s="25">
        <f>IF($CU38&gt;=RAM,"",IF($CU38-DU$103&lt;BeginnAlter,"",ROUND(v^($CU38+FaktorAlter)*$L38*$D38*0.5*(VLOOKUP($CU38-DU$103,Frauen!$G$9:$J$102,4)+VLOOKUP($CU38-DU$103+1,Frauen!$G$9:$J$102,4))*0.5*(VLOOKUP($CU38-DU$103,Frauen!$AZ$9:$BD$102,5)+VLOOKUP($CU38-DU$103+1,Frauen!$AZ$9:$BD$102,5)),RundDx)))</f>
        <v>2693941597</v>
      </c>
      <c r="DV38" s="25">
        <f>IF($CU38&gt;=RAM,"",IF($CU38-DV$103&lt;BeginnAlter,"",ROUND(v^($CU38+FaktorAlter)*$L38*$D38*0.5*(VLOOKUP($CU38-DV$103,Frauen!$G$9:$J$102,4)+VLOOKUP($CU38-DV$103+1,Frauen!$G$9:$J$102,4))*0.5*(VLOOKUP($CU38-DV$103,Frauen!$AZ$9:$BD$102,5)+VLOOKUP($CU38-DV$103+1,Frauen!$AZ$9:$BD$102,5)),RundDx)))</f>
        <v>2727624154</v>
      </c>
      <c r="DW38" s="25">
        <f>IF($CU38&gt;=RAM,"",IF($CU38-DW$103&lt;BeginnAlter,"",ROUND(v^($CU38+FaktorAlter)*$L38*$D38*0.5*(VLOOKUP($CU38-DW$103,Frauen!$G$9:$J$102,4)+VLOOKUP($CU38-DW$103+1,Frauen!$G$9:$J$102,4))*0.5*(VLOOKUP($CU38-DW$103,Frauen!$AZ$9:$BD$102,5)+VLOOKUP($CU38-DW$103+1,Frauen!$AZ$9:$BD$102,5)),RundDx)))</f>
        <v>2760616544</v>
      </c>
      <c r="DX38" s="25">
        <f>IF($CU38&gt;=RAM,"",IF($CU38-DX$103&lt;BeginnAlter,"",ROUND(v^($CU38+FaktorAlter)*$L38*$D38*0.5*(VLOOKUP($CU38-DX$103,Frauen!$G$9:$J$102,4)+VLOOKUP($CU38-DX$103+1,Frauen!$G$9:$J$102,4))*0.5*(VLOOKUP($CU38-DX$103,Frauen!$AZ$9:$BD$102,5)+VLOOKUP($CU38-DX$103+1,Frauen!$AZ$9:$BD$102,5)),RundDx)))</f>
        <v>2792927345</v>
      </c>
      <c r="DY38" s="25">
        <f>IF($CU38&gt;=RAM,"",IF($CU38-DY$103&lt;BeginnAlter,"",ROUND(v^($CU38+FaktorAlter)*$L38*$D38*0.5*(VLOOKUP($CU38-DY$103,Frauen!$G$9:$J$102,4)+VLOOKUP($CU38-DY$103+1,Frauen!$G$9:$J$102,4))*0.5*(VLOOKUP($CU38-DY$103,Frauen!$AZ$9:$BD$102,5)+VLOOKUP($CU38-DY$103+1,Frauen!$AZ$9:$BD$102,5)),RundDx)))</f>
        <v>2824565905</v>
      </c>
      <c r="DZ38" s="25">
        <f>IF($CU38&gt;=RAM,"",IF($CU38-DZ$103&lt;BeginnAlter,"",ROUND(v^($CU38+FaktorAlter)*$L38*$D38*0.5*(VLOOKUP($CU38-DZ$103,Frauen!$G$9:$J$102,4)+VLOOKUP($CU38-DZ$103+1,Frauen!$G$9:$J$102,4))*0.5*(VLOOKUP($CU38-DZ$103,Frauen!$AZ$9:$BD$102,5)+VLOOKUP($CU38-DZ$103+1,Frauen!$AZ$9:$BD$102,5)),RundDx)))</f>
        <v>2855589377</v>
      </c>
      <c r="EA38" s="43">
        <f>IF($CU38&gt;=RAM,"",IF($CU38-EA$103&lt;BeginnAlter,"",ROUND((SUM(CV38:CV$56)+SUM(FN$9:FN$56))/VLOOKUP($CU38,$AH$9:$AI$102,2)/VLOOKUP($CU38-EA$103,Frauen!$G$9:$J$102,4),Rundäx)))</f>
        <v>3.9129999999999998</v>
      </c>
      <c r="EB38" s="43">
        <f>IF($CU38&gt;=RAM,"",IF($CU38-EB$103&lt;BeginnAlter,"",ROUND((SUM(CW38:CW$56)+SUM(FO$9:FO$56))/VLOOKUP($CU38,$AH$9:$AI$102,2)/VLOOKUP($CU38-EB$103,Frauen!$G$9:$J$102,4),Rundäx)))</f>
        <v>4.1189999999999998</v>
      </c>
      <c r="EC38" s="43">
        <f>IF($CU38&gt;=RAM,"",IF($CU38-EC$103&lt;BeginnAlter,"",ROUND((SUM(CX38:CX$56)+SUM(FP$9:FP$56))/VLOOKUP($CU38,$AH$9:$AI$102,2)/VLOOKUP($CU38-EC$103,Frauen!$G$9:$J$102,4),Rundäx)))</f>
        <v>4.3319999999999999</v>
      </c>
      <c r="ED38" s="43">
        <f>IF($CU38&gt;=RAM,"",IF($CU38-ED$103&lt;BeginnAlter,"",ROUND((SUM(CY38:CY$56)+SUM(FQ$9:FQ$56))/VLOOKUP($CU38,$AH$9:$AI$102,2)/VLOOKUP($CU38-ED$103,Frauen!$G$9:$J$102,4),Rundäx)))</f>
        <v>4.5490000000000004</v>
      </c>
      <c r="EE38" s="43">
        <f>IF($CU38&gt;=RAM,"",IF($CU38-EE$103&lt;BeginnAlter,"",ROUND((SUM(CZ38:CZ$56)+SUM(FR$9:FR$56))/VLOOKUP($CU38,$AH$9:$AI$102,2)/VLOOKUP($CU38-EE$103,Frauen!$G$9:$J$102,4),Rundäx)))</f>
        <v>4.7729999999999997</v>
      </c>
      <c r="EF38" s="43">
        <f>IF($CU38&gt;=RAM,"",IF($CU38-EF$103&lt;BeginnAlter,"",ROUND((SUM(DA38:DA$56)+SUM(FS$9:FS$56))/VLOOKUP($CU38,$AH$9:$AI$102,2)/VLOOKUP($CU38-EF$103,Frauen!$G$9:$J$102,4),Rundäx)))</f>
        <v>5.0010000000000003</v>
      </c>
      <c r="EG38" s="43">
        <f>IF($CU38&gt;=RAM,"",IF($CU38-EG$103&lt;BeginnAlter,"",ROUND((SUM(DB38:DB$56)+SUM(FT$9:FT$56))/VLOOKUP($CU38,$AH$9:$AI$102,2)/VLOOKUP($CU38-EG$103,Frauen!$G$9:$J$102,4),Rundäx)))</f>
        <v>5.2350000000000003</v>
      </c>
      <c r="EH38" s="43">
        <f>IF($CU38&gt;=RAM,"",IF($CU38-EH$103&lt;BeginnAlter,"",ROUND((SUM(DC38:DC$56)+SUM(FU$9:FU$56))/VLOOKUP($CU38,$AH$9:$AI$102,2)/VLOOKUP($CU38-EH$103,Frauen!$G$9:$J$102,4),Rundäx)))</f>
        <v>5.4749999999999996</v>
      </c>
      <c r="EI38" s="86"/>
      <c r="EJ38" s="35">
        <f t="shared" si="60"/>
        <v>46</v>
      </c>
      <c r="EK38" s="43">
        <f>IF($CU38&gt;=RAM,"",IF($CU38-EK$103&lt;BeginnAlter,"",ROUND((SUM(DD38:DD$56)+SUM(FV$9:FV$56))/VLOOKUP($CU38,$AH$9:$AI$102,2)/VLOOKUP($CU38-EK$103,Frauen!$G$9:$J$102,4),Rundäx)))</f>
        <v>5.7190000000000003</v>
      </c>
      <c r="EL38" s="43">
        <f>IF($CU38&gt;=RAM,"",IF($CU38-EL$103&lt;BeginnAlter,"",ROUND((SUM(DE38:DE$56)+SUM(FW$9:FW$56))/VLOOKUP($CU38,$AH$9:$AI$102,2)/VLOOKUP($CU38-EL$103,Frauen!$G$9:$J$102,4),Rundäx)))</f>
        <v>5.968</v>
      </c>
      <c r="EM38" s="43">
        <f>IF($CU38&gt;=RAM,"",IF($CU38-EM$103&lt;BeginnAlter,"",ROUND((SUM(DF38:DF$56)+SUM(FX$9:FX$56))/VLOOKUP($CU38,$AH$9:$AI$102,2)/VLOOKUP($CU38-EM$103,Frauen!$G$9:$J$102,4),Rundäx)))</f>
        <v>6.2229999999999999</v>
      </c>
      <c r="EN38" s="43">
        <f>IF($CU38&gt;=RAM,"",IF($CU38-EN$103&lt;BeginnAlter,"",ROUND((SUM(DG38:DG$56)+SUM(FY$9:FY$56))/VLOOKUP($CU38,$AH$9:$AI$102,2)/VLOOKUP($CU38-EN$103,Frauen!$G$9:$J$102,4),Rundäx)))</f>
        <v>6.4820000000000002</v>
      </c>
      <c r="EO38" s="43">
        <f>IF($CU38&gt;=RAM,"",IF($CU38-EO$103&lt;BeginnAlter,"",ROUND((SUM(DH38:DH$56)+SUM(FZ$9:FZ$56))/VLOOKUP($CU38,$AH$9:$AI$102,2)/VLOOKUP($CU38-EO$103,Frauen!$G$9:$J$102,4),Rundäx)))</f>
        <v>6.7450000000000001</v>
      </c>
      <c r="EP38" s="43">
        <f>IF($CU38&gt;=RAM,"",IF($CU38-EP$103&lt;BeginnAlter,"",ROUND((SUM(DI38:DI$56)+SUM(GA$9:GA$56))/VLOOKUP($CU38,$AH$9:$AI$102,2)/VLOOKUP($CU38-EP$103,Frauen!$G$9:$J$102,4),Rundäx)))</f>
        <v>7.0119999999999996</v>
      </c>
      <c r="EQ38" s="43">
        <f>IF($CU38&gt;=RAM,"",IF($CU38-EQ$103&lt;BeginnAlter,"",ROUND((SUM(DJ38:DJ$56)+SUM(GB$9:GB$56))/VLOOKUP($CU38,$AH$9:$AI$102,2)/VLOOKUP($CU38-EQ$103,Frauen!$G$9:$J$102,4),Rundäx)))</f>
        <v>7.2839999999999998</v>
      </c>
      <c r="ER38" s="43">
        <f>IF($CU38&gt;=RAM,"",IF($CU38-ER$103&lt;BeginnAlter,"",ROUND((SUM(DK38:DK$56)+SUM(GC$9:GC$56))/VLOOKUP($CU38,$AH$9:$AI$102,2)/VLOOKUP($CU38-ER$103,Frauen!$G$9:$J$102,4),Rundäx)))</f>
        <v>7.5590000000000002</v>
      </c>
      <c r="ES38" s="86"/>
      <c r="ET38" s="35">
        <f t="shared" si="61"/>
        <v>46</v>
      </c>
      <c r="EU38" s="43">
        <f>IF($CU38&gt;=RAM,"",IF($CU38-EU$103&lt;BeginnAlter,"",ROUND((SUM(DL38:DL$56)+SUM(GD$9:GD$56))/VLOOKUP($CU38,$AH$9:$AI$102,2)/VLOOKUP($CU38-EU$103,Frauen!$G$9:$J$102,4),Rundäx)))</f>
        <v>7.8369999999999997</v>
      </c>
      <c r="EV38" s="43">
        <f>IF($CU38&gt;=RAM,"",IF($CU38-EV$103&lt;BeginnAlter,"",ROUND((SUM(DM38:DM$56)+SUM(GE$9:GE$56))/VLOOKUP($CU38,$AH$9:$AI$102,2)/VLOOKUP($CU38-EV$103,Frauen!$G$9:$J$102,4),Rundäx)))</f>
        <v>8.1180000000000003</v>
      </c>
      <c r="EW38" s="43">
        <f>IF($CU38&gt;=RAM,"",IF($CU38-EW$103&lt;BeginnAlter,"",ROUND((SUM(DN38:DN$56)+SUM(GF$9:GF$56))/VLOOKUP($CU38,$AH$9:$AI$102,2)/VLOOKUP($CU38-EW$103,Frauen!$G$9:$J$102,4),Rundäx)))</f>
        <v>8.4019999999999992</v>
      </c>
      <c r="EX38" s="43">
        <f>IF($CU38&gt;=RAM,"",IF($CU38-EX$103&lt;BeginnAlter,"",ROUND((SUM(DO38:DO$56)+SUM(GG$9:GG$56))/VLOOKUP($CU38,$AH$9:$AI$102,2)/VLOOKUP($CU38-EX$103,Frauen!$G$9:$J$102,4),Rundäx)))</f>
        <v>8.6869999999999994</v>
      </c>
      <c r="EY38" s="43">
        <f>IF($CU38&gt;=RAM,"",IF($CU38-EY$103&lt;BeginnAlter,"",ROUND((SUM(DP38:DP$56)+SUM(GH$9:GH$56))/VLOOKUP($CU38,$AH$9:$AI$102,2)/VLOOKUP($CU38-EY$103,Frauen!$G$9:$J$102,4),Rundäx)))</f>
        <v>8.9730000000000008</v>
      </c>
      <c r="EZ38" s="43">
        <f>IF($CU38&gt;=RAM,"",IF($CU38-EZ$103&lt;BeginnAlter,"",ROUND((SUM(DQ38:DQ$56)+SUM(GI$9:GI$56))/VLOOKUP($CU38,$AH$9:$AI$102,2)/VLOOKUP($CU38-EZ$103,Frauen!$G$9:$J$102,4),Rundäx)))</f>
        <v>9.2609999999999992</v>
      </c>
      <c r="FA38" s="43">
        <f>IF($CU38&gt;=RAM,"",IF($CU38-FA$103&lt;BeginnAlter,"",ROUND((SUM(DR38:DR$56)+SUM(GJ$9:GJ$56))/VLOOKUP($CU38,$AH$9:$AI$102,2)/VLOOKUP($CU38-FA$103,Frauen!$G$9:$J$102,4),Rundäx)))</f>
        <v>9.5489999999999995</v>
      </c>
      <c r="FB38" s="43">
        <f>IF($CU38&gt;=RAM,"",IF($CU38-FB$103&lt;BeginnAlter,"",ROUND((SUM(DS38:DS$56)+SUM(GK$9:GK$56))/VLOOKUP($CU38,$AH$9:$AI$102,2)/VLOOKUP($CU38-FB$103,Frauen!$G$9:$J$102,4),Rundäx)))</f>
        <v>9.8369999999999997</v>
      </c>
      <c r="FC38" s="86"/>
      <c r="FD38" s="35">
        <f t="shared" si="62"/>
        <v>46</v>
      </c>
      <c r="FE38" s="43">
        <f>IF($CU38&gt;=RAM,"",IF($CU38-FE$103&lt;BeginnAlter,"",ROUND((SUM(DT38:DT$56)+SUM(GL$9:GL$56))/VLOOKUP($CU38,$AH$9:$AI$102,2)/VLOOKUP($CU38-FE$103,Frauen!$G$9:$J$102,4),Rundäx)))</f>
        <v>10.124000000000001</v>
      </c>
      <c r="FF38" s="43">
        <f>IF($CU38&gt;=RAM,"",IF($CU38-FF$103&lt;BeginnAlter,"",ROUND((SUM(DU38:DU$56)+SUM(GM$9:GM$56))/VLOOKUP($CU38,$AH$9:$AI$102,2)/VLOOKUP($CU38-FF$103,Frauen!$G$9:$J$102,4),Rundäx)))</f>
        <v>10.411</v>
      </c>
      <c r="FG38" s="43">
        <f>IF($CU38&gt;=RAM,"",IF($CU38-FG$103&lt;BeginnAlter,"",ROUND((SUM(DV38:DV$56)+SUM(GN$9:GN$56))/VLOOKUP($CU38,$AH$9:$AI$102,2)/VLOOKUP($CU38-FG$103,Frauen!$G$9:$J$102,4),Rundäx)))</f>
        <v>10.696</v>
      </c>
      <c r="FH38" s="43">
        <f>IF($CU38&gt;=RAM,"",IF($CU38-FH$103&lt;BeginnAlter,"",ROUND((SUM(DW38:DW$56)+SUM(GO$9:GO$56))/VLOOKUP($CU38,$AH$9:$AI$102,2)/VLOOKUP($CU38-FH$103,Frauen!$G$9:$J$102,4),Rundäx)))</f>
        <v>10.978999999999999</v>
      </c>
      <c r="FI38" s="43">
        <f>IF($CU38&gt;=RAM,"",IF($CU38-FI$103&lt;BeginnAlter,"",ROUND((SUM(DX38:DX$56)+SUM(GP$9:GP$56))/VLOOKUP($CU38,$AH$9:$AI$102,2)/VLOOKUP($CU38-FI$103,Frauen!$G$9:$J$102,4),Rundäx)))</f>
        <v>11.26</v>
      </c>
      <c r="FJ38" s="43">
        <f>IF($CU38&gt;=RAM,"",IF($CU38-FJ$103&lt;BeginnAlter,"",ROUND((SUM(DY38:DY$56)+SUM(GQ$9:GQ$56))/VLOOKUP($CU38,$AH$9:$AI$102,2)/VLOOKUP($CU38-FJ$103,Frauen!$G$9:$J$102,4),Rundäx)))</f>
        <v>11.539</v>
      </c>
      <c r="FK38" s="43">
        <f>IF($CU38&gt;=RAM,"",IF($CU38-FK$103&lt;BeginnAlter,"",ROUND((SUM(DZ38:DZ$56)+SUM(GR$9:GR$56))/VLOOKUP($CU38,$AH$9:$AI$102,2)/VLOOKUP($CU38-FK$103,Frauen!$G$9:$J$102,4),Rundäx)))</f>
        <v>11.815</v>
      </c>
      <c r="FL38" s="86"/>
      <c r="FM38" s="35">
        <f t="shared" si="68"/>
        <v>94</v>
      </c>
      <c r="FN38" s="25"/>
      <c r="FO38" s="25"/>
      <c r="FP38" s="25"/>
      <c r="FQ38" s="25"/>
      <c r="FR38" s="25"/>
      <c r="FS38" s="25"/>
      <c r="FT38" s="25">
        <f>ROUND(v^($FM38+FaktorAlter)*VLOOKUP($FM38,$G$9:$J$102,4)*VLOOKUP($FM38,$A$9:$E$102,5)*0.5*(VLOOKUP($FM38-FT$103,Frauen!$G$9:$J$102,4)+VLOOKUP($FM38-FT$103+1,Frauen!$G$9:$J$102,4))*0.5*(VLOOKUP($FM38-FT$103,Frauen!$AZ$9:$BD$102,5)+VLOOKUP($FM38-FT$103+1,Frauen!$AZ$9:$BD$102,5)),RundDx)</f>
        <v>17100</v>
      </c>
      <c r="FU38" s="25">
        <f>ROUND(v^($FM38+FaktorAlter)*VLOOKUP($FM38,$G$9:$J$102,4)*VLOOKUP($FM38,$A$9:$E$102,5)*0.5*(VLOOKUP($FM38-FU$103,Frauen!$G$9:$J$102,4)+VLOOKUP($FM38-FU$103+1,Frauen!$G$9:$J$102,4))*0.5*(VLOOKUP($FM38-FU$103,Frauen!$AZ$9:$BD$102,5)+VLOOKUP($FM38-FU$103+1,Frauen!$AZ$9:$BD$102,5)),RundDx)</f>
        <v>64420</v>
      </c>
      <c r="FV38" s="25">
        <f>ROUND(v^($FM38+FaktorAlter)*VLOOKUP($FM38,$G$9:$J$102,4)*VLOOKUP($FM38,$A$9:$E$102,5)*0.5*(VLOOKUP($FM38-FV$103,Frauen!$G$9:$J$102,4)+VLOOKUP($FM38-FV$103+1,Frauen!$G$9:$J$102,4))*0.5*(VLOOKUP($FM38-FV$103,Frauen!$AZ$9:$BD$102,5)+VLOOKUP($FM38-FV$103+1,Frauen!$AZ$9:$BD$102,5)),RundDx)</f>
        <v>168599</v>
      </c>
      <c r="FW38" s="25">
        <f>ROUND(v^($FM38+FaktorAlter)*VLOOKUP($FM38,$G$9:$J$102,4)*VLOOKUP($FM38,$A$9:$E$102,5)*0.5*(VLOOKUP($FM38-FW$103,Frauen!$G$9:$J$102,4)+VLOOKUP($FM38-FW$103+1,Frauen!$G$9:$J$102,4))*0.5*(VLOOKUP($FM38-FW$103,Frauen!$AZ$9:$BD$102,5)+VLOOKUP($FM38-FW$103+1,Frauen!$AZ$9:$BD$102,5)),RundDx)</f>
        <v>370448</v>
      </c>
      <c r="FX38" s="25">
        <f>ROUND(v^($FM38+FaktorAlter)*VLOOKUP($FM38,$G$9:$J$102,4)*VLOOKUP($FM38,$A$9:$E$102,5)*0.5*(VLOOKUP($FM38-FX$103,Frauen!$G$9:$J$102,4)+VLOOKUP($FM38-FX$103+1,Frauen!$G$9:$J$102,4))*0.5*(VLOOKUP($FM38-FX$103,Frauen!$AZ$9:$BD$102,5)+VLOOKUP($FM38-FX$103+1,Frauen!$AZ$9:$BD$102,5)),RundDx)</f>
        <v>718120</v>
      </c>
      <c r="FY38" s="25">
        <f>ROUND(v^($FM38+FaktorAlter)*VLOOKUP($FM38,$G$9:$J$102,4)*VLOOKUP($FM38,$A$9:$E$102,5)*0.5*(VLOOKUP($FM38-FY$103,Frauen!$G$9:$J$102,4)+VLOOKUP($FM38-FY$103+1,Frauen!$G$9:$J$102,4))*0.5*(VLOOKUP($FM38-FY$103,Frauen!$AZ$9:$BD$102,5)+VLOOKUP($FM38-FY$103+1,Frauen!$AZ$9:$BD$102,5)),RundDx)</f>
        <v>1280445</v>
      </c>
      <c r="FZ38" s="25">
        <f>ROUND(v^($FM38+FaktorAlter)*VLOOKUP($FM38,$G$9:$J$102,4)*VLOOKUP($FM38,$A$9:$E$102,5)*0.5*(VLOOKUP($FM38-FZ$103,Frauen!$G$9:$J$102,4)+VLOOKUP($FM38-FZ$103+1,Frauen!$G$9:$J$102,4))*0.5*(VLOOKUP($FM38-FZ$103,Frauen!$AZ$9:$BD$102,5)+VLOOKUP($FM38-FZ$103+1,Frauen!$AZ$9:$BD$102,5)),RundDx)</f>
        <v>2132874</v>
      </c>
      <c r="GA38" s="25">
        <f>ROUND(v^($FM38+FaktorAlter)*VLOOKUP($FM38,$G$9:$J$102,4)*VLOOKUP($FM38,$A$9:$E$102,5)*0.5*(VLOOKUP($FM38-GA$103,Frauen!$G$9:$J$102,4)+VLOOKUP($FM38-GA$103+1,Frauen!$G$9:$J$102,4))*0.5*(VLOOKUP($FM38-GA$103,Frauen!$AZ$9:$BD$102,5)+VLOOKUP($FM38-GA$103+1,Frauen!$AZ$9:$BD$102,5)),RundDx)</f>
        <v>3371122</v>
      </c>
      <c r="GB38" s="25">
        <f>ROUND(v^($FM38+FaktorAlter)*VLOOKUP($FM38,$G$9:$J$102,4)*VLOOKUP($FM38,$A$9:$E$102,5)*0.5*(VLOOKUP($FM38-GB$103,Frauen!$G$9:$J$102,4)+VLOOKUP($FM38-GB$103+1,Frauen!$G$9:$J$102,4))*0.5*(VLOOKUP($FM38-GB$103,Frauen!$AZ$9:$BD$102,5)+VLOOKUP($FM38-GB$103+1,Frauen!$AZ$9:$BD$102,5)),RundDx)</f>
        <v>5104182</v>
      </c>
      <c r="GC38" s="25">
        <f>ROUND(v^($FM38+FaktorAlter)*VLOOKUP($FM38,$G$9:$J$102,4)*VLOOKUP($FM38,$A$9:$E$102,5)*0.5*(VLOOKUP($FM38-GC$103,Frauen!$G$9:$J$102,4)+VLOOKUP($FM38-GC$103+1,Frauen!$G$9:$J$102,4))*0.5*(VLOOKUP($FM38-GC$103,Frauen!$AZ$9:$BD$102,5)+VLOOKUP($FM38-GC$103+1,Frauen!$AZ$9:$BD$102,5)),RundDx)</f>
        <v>7449466</v>
      </c>
      <c r="GD38" s="25">
        <f>ROUND(v^($FM38+FaktorAlter)*VLOOKUP($FM38,$G$9:$J$102,4)*VLOOKUP($FM38,$A$9:$E$102,5)*0.5*(VLOOKUP($FM38-GD$103,Frauen!$G$9:$J$102,4)+VLOOKUP($FM38-GD$103+1,Frauen!$G$9:$J$102,4))*0.5*(VLOOKUP($FM38-GD$103,Frauen!$AZ$9:$BD$102,5)+VLOOKUP($FM38-GD$103+1,Frauen!$AZ$9:$BD$102,5)),RundDx)</f>
        <v>10526065</v>
      </c>
      <c r="GE38" s="25">
        <f>ROUND(v^($FM38+FaktorAlter)*VLOOKUP($FM38,$G$9:$J$102,4)*VLOOKUP($FM38,$A$9:$E$102,5)*0.5*(VLOOKUP($FM38-GE$103,Frauen!$G$9:$J$102,4)+VLOOKUP($FM38-GE$103+1,Frauen!$G$9:$J$102,4))*0.5*(VLOOKUP($FM38-GE$103,Frauen!$AZ$9:$BD$102,5)+VLOOKUP($FM38-GE$103+1,Frauen!$AZ$9:$BD$102,5)),RundDx)</f>
        <v>14467785</v>
      </c>
      <c r="GF38" s="25">
        <f>ROUND(v^($FM38+FaktorAlter)*VLOOKUP($FM38,$G$9:$J$102,4)*VLOOKUP($FM38,$A$9:$E$102,5)*0.5*(VLOOKUP($FM38-GF$103,Frauen!$G$9:$J$102,4)+VLOOKUP($FM38-GF$103+1,Frauen!$G$9:$J$102,4))*0.5*(VLOOKUP($FM38-GF$103,Frauen!$AZ$9:$BD$102,5)+VLOOKUP($FM38-GF$103+1,Frauen!$AZ$9:$BD$102,5)),RundDx)</f>
        <v>19355079</v>
      </c>
      <c r="GG38" s="25">
        <f>ROUND(v^($FM38+FaktorAlter)*VLOOKUP($FM38,$G$9:$J$102,4)*VLOOKUP($FM38,$A$9:$E$102,5)*0.5*(VLOOKUP($FM38-GG$103,Frauen!$G$9:$J$102,4)+VLOOKUP($FM38-GG$103+1,Frauen!$G$9:$J$102,4))*0.5*(VLOOKUP($FM38-GG$103,Frauen!$AZ$9:$BD$102,5)+VLOOKUP($FM38-GG$103+1,Frauen!$AZ$9:$BD$102,5)),RundDx)</f>
        <v>25197480</v>
      </c>
      <c r="GH38" s="25">
        <f>ROUND(v^($FM38+FaktorAlter)*VLOOKUP($FM38,$G$9:$J$102,4)*VLOOKUP($FM38,$A$9:$E$102,5)*0.5*(VLOOKUP($FM38-GH$103,Frauen!$G$9:$J$102,4)+VLOOKUP($FM38-GH$103+1,Frauen!$G$9:$J$102,4))*0.5*(VLOOKUP($FM38-GH$103,Frauen!$AZ$9:$BD$102,5)+VLOOKUP($FM38-GH$103+1,Frauen!$AZ$9:$BD$102,5)),RundDx)</f>
        <v>32045104</v>
      </c>
      <c r="GI38" s="25">
        <f>ROUND(v^($FM38+FaktorAlter)*VLOOKUP($FM38,$G$9:$J$102,4)*VLOOKUP($FM38,$A$9:$E$102,5)*0.5*(VLOOKUP($FM38-GI$103,Frauen!$G$9:$J$102,4)+VLOOKUP($FM38-GI$103+1,Frauen!$G$9:$J$102,4))*0.5*(VLOOKUP($FM38-GI$103,Frauen!$AZ$9:$BD$102,5)+VLOOKUP($FM38-GI$103+1,Frauen!$AZ$9:$BD$102,5)),RundDx)</f>
        <v>39906737</v>
      </c>
      <c r="GJ38" s="25">
        <f>ROUND(v^($FM38+FaktorAlter)*VLOOKUP($FM38,$G$9:$J$102,4)*VLOOKUP($FM38,$A$9:$E$102,5)*0.5*(VLOOKUP($FM38-GJ$103,Frauen!$G$9:$J$102,4)+VLOOKUP($FM38-GJ$103+1,Frauen!$G$9:$J$102,4))*0.5*(VLOOKUP($FM38-GJ$103,Frauen!$AZ$9:$BD$102,5)+VLOOKUP($FM38-GJ$103+1,Frauen!$AZ$9:$BD$102,5)),RundDx)</f>
        <v>48758107</v>
      </c>
      <c r="GK38" s="25">
        <f>ROUND(v^($FM38+FaktorAlter)*VLOOKUP($FM38,$G$9:$J$102,4)*VLOOKUP($FM38,$A$9:$E$102,5)*0.5*(VLOOKUP($FM38-GK$103,Frauen!$G$9:$J$102,4)+VLOOKUP($FM38-GK$103+1,Frauen!$G$9:$J$102,4))*0.5*(VLOOKUP($FM38-GK$103,Frauen!$AZ$9:$BD$102,5)+VLOOKUP($FM38-GK$103+1,Frauen!$AZ$9:$BD$102,5)),RundDx)</f>
        <v>58554166</v>
      </c>
      <c r="GL38" s="25">
        <f>ROUND(v^($FM38+FaktorAlter)*VLOOKUP($FM38,$G$9:$J$102,4)*VLOOKUP($FM38,$A$9:$E$102,5)*0.5*(VLOOKUP($FM38-GL$103,Frauen!$G$9:$J$102,4)+VLOOKUP($FM38-GL$103+1,Frauen!$G$9:$J$102,4))*0.5*(VLOOKUP($FM38-GL$103,Frauen!$AZ$9:$BD$102,5)+VLOOKUP($FM38-GL$103+1,Frauen!$AZ$9:$BD$102,5)),RundDx)</f>
        <v>69200912</v>
      </c>
      <c r="GM38" s="25">
        <f>ROUND(v^($FM38+FaktorAlter)*VLOOKUP($FM38,$G$9:$J$102,4)*VLOOKUP($FM38,$A$9:$E$102,5)*0.5*(VLOOKUP($FM38-GM$103,Frauen!$G$9:$J$102,4)+VLOOKUP($FM38-GM$103+1,Frauen!$G$9:$J$102,4))*0.5*(VLOOKUP($FM38-GM$103,Frauen!$AZ$9:$BD$102,5)+VLOOKUP($FM38-GM$103+1,Frauen!$AZ$9:$BD$102,5)),RundDx)</f>
        <v>80585518</v>
      </c>
      <c r="GN38" s="25">
        <f>ROUND(v^($FM38+FaktorAlter)*VLOOKUP($FM38,$G$9:$J$102,4)*VLOOKUP($FM38,$A$9:$E$102,5)*0.5*(VLOOKUP($FM38-GN$103,Frauen!$G$9:$J$102,4)+VLOOKUP($FM38-GN$103+1,Frauen!$G$9:$J$102,4))*0.5*(VLOOKUP($FM38-GN$103,Frauen!$AZ$9:$BD$102,5)+VLOOKUP($FM38-GN$103+1,Frauen!$AZ$9:$BD$102,5)),RundDx)</f>
        <v>92596363</v>
      </c>
      <c r="GO38" s="25">
        <f>ROUND(v^($FM38+FaktorAlter)*VLOOKUP($FM38,$G$9:$J$102,4)*VLOOKUP($FM38,$A$9:$E$102,5)*0.5*(VLOOKUP($FM38-GO$103,Frauen!$G$9:$J$102,4)+VLOOKUP($FM38-GO$103+1,Frauen!$G$9:$J$102,4))*0.5*(VLOOKUP($FM38-GO$103,Frauen!$AZ$9:$BD$102,5)+VLOOKUP($FM38-GO$103+1,Frauen!$AZ$9:$BD$102,5)),RundDx)</f>
        <v>105101324</v>
      </c>
      <c r="GP38" s="25">
        <f>ROUND(v^($FM38+FaktorAlter)*VLOOKUP($FM38,$G$9:$J$102,4)*VLOOKUP($FM38,$A$9:$E$102,5)*0.5*(VLOOKUP($FM38-GP$103,Frauen!$G$9:$J$102,4)+VLOOKUP($FM38-GP$103+1,Frauen!$G$9:$J$102,4))*0.5*(VLOOKUP($FM38-GP$103,Frauen!$AZ$9:$BD$102,5)+VLOOKUP($FM38-GP$103+1,Frauen!$AZ$9:$BD$102,5)),RundDx)</f>
        <v>117975590</v>
      </c>
      <c r="GQ38" s="25">
        <f>ROUND(v^($FM38+FaktorAlter)*VLOOKUP($FM38,$G$9:$J$102,4)*VLOOKUP($FM38,$A$9:$E$102,5)*0.5*(VLOOKUP($FM38-GQ$103,Frauen!$G$9:$J$102,4)+VLOOKUP($FM38-GQ$103+1,Frauen!$G$9:$J$102,4))*0.5*(VLOOKUP($FM38-GQ$103,Frauen!$AZ$9:$BD$102,5)+VLOOKUP($FM38-GQ$103+1,Frauen!$AZ$9:$BD$102,5)),RundDx)</f>
        <v>131134120</v>
      </c>
      <c r="GR38" s="25">
        <f>ROUND(v^($FM38+FaktorAlter)*VLOOKUP($FM38,$G$9:$J$102,4)*VLOOKUP($FM38,$A$9:$E$102,5)*0.5*(VLOOKUP($FM38-GR$103,Frauen!$G$9:$J$102,4)+VLOOKUP($FM38-GR$103+1,Frauen!$G$9:$J$102,4))*0.5*(VLOOKUP($FM38-GR$103,Frauen!$AZ$9:$BD$102,5)+VLOOKUP($FM38-GR$103+1,Frauen!$AZ$9:$BD$102,5)),RundDx)</f>
        <v>144535183</v>
      </c>
      <c r="GS38" s="24"/>
      <c r="GT38" s="24"/>
      <c r="GU38" s="24"/>
      <c r="GV38" s="24"/>
      <c r="GW38" s="24"/>
      <c r="GX38" s="24"/>
      <c r="GY38" s="24">
        <f>ROUND(SUM(FT38:FT$56)/VLOOKUP($FM38,$AQ$9:$AR$102,2)/VLOOKUP($FM38-GY$103,Frauen!$G$9:$J$102,4),Rundäx)</f>
        <v>0.14099999999999999</v>
      </c>
      <c r="GZ38" s="24">
        <f>ROUND(SUM(FU38:FU$56)/VLOOKUP($FM38,$AQ$9:$AR$102,2)/VLOOKUP($FM38-GZ$103,Frauen!$G$9:$J$102,4),Rundäx)</f>
        <v>0.253</v>
      </c>
      <c r="HA38" s="86"/>
      <c r="HB38" s="35">
        <f t="shared" si="63"/>
        <v>94</v>
      </c>
      <c r="HC38" s="24">
        <f>ROUND(SUM(FV38:FV$56)/VLOOKUP($FM38,$AQ$9:$AR$102,2)/VLOOKUP($FM38-HC$103,Frauen!$G$9:$J$102,4),Rundäx)</f>
        <v>0.35399999999999998</v>
      </c>
      <c r="HD38" s="24">
        <f>ROUND(SUM(FW38:FW$56)/VLOOKUP($FM38,$AQ$9:$AR$102,2)/VLOOKUP($FM38-HD$103,Frauen!$G$9:$J$102,4),Rundäx)</f>
        <v>0.46100000000000002</v>
      </c>
      <c r="HE38" s="24">
        <f>ROUND(SUM(FX38:FX$56)/VLOOKUP($FM38,$AQ$9:$AR$102,2)/VLOOKUP($FM38-HE$103,Frauen!$G$9:$J$102,4),Rundäx)</f>
        <v>0.57499999999999996</v>
      </c>
      <c r="HF38" s="24">
        <f>ROUND(SUM(FY38:FY$56)/VLOOKUP($FM38,$AQ$9:$AR$102,2)/VLOOKUP($FM38-HF$103,Frauen!$G$9:$J$102,4),Rundäx)</f>
        <v>0.70199999999999996</v>
      </c>
      <c r="HG38" s="24">
        <f>ROUND(SUM(FZ38:FZ$56)/VLOOKUP($FM38,$AQ$9:$AR$102,2)/VLOOKUP($FM38-HG$103,Frauen!$G$9:$J$102,4),Rundäx)</f>
        <v>0.84199999999999997</v>
      </c>
      <c r="HH38" s="24">
        <f>ROUND(SUM(GA38:GA$56)/VLOOKUP($FM38,$AQ$9:$AR$102,2)/VLOOKUP($FM38-HH$103,Frauen!$G$9:$J$102,4),Rundäx)</f>
        <v>0.997</v>
      </c>
      <c r="HI38" s="24">
        <f>ROUND(SUM(GB38:GB$56)/VLOOKUP($FM38,$AQ$9:$AR$102,2)/VLOOKUP($FM38-HI$103,Frauen!$G$9:$J$102,4),Rundäx)</f>
        <v>1.169</v>
      </c>
      <c r="HJ38" s="24">
        <f>ROUND(SUM(GC38:GC$56)/VLOOKUP($FM38,$AQ$9:$AR$102,2)/VLOOKUP($FM38-HJ$103,Frauen!$G$9:$J$102,4),Rundäx)</f>
        <v>1.359</v>
      </c>
      <c r="HK38" s="86"/>
      <c r="HL38" s="35">
        <f t="shared" si="64"/>
        <v>94</v>
      </c>
      <c r="HM38" s="24">
        <f>ROUND(SUM(GD38:GD$56)/VLOOKUP($FM38,$AQ$9:$AR$102,2)/VLOOKUP($FM38-HM$103,Frauen!$G$9:$J$102,4),Rundäx)</f>
        <v>1.57</v>
      </c>
      <c r="HN38" s="24">
        <f>ROUND(SUM(GE38:GE$56)/VLOOKUP($FM38,$AQ$9:$AR$102,2)/VLOOKUP($FM38-HN$103,Frauen!$G$9:$J$102,4),Rundäx)</f>
        <v>1.802</v>
      </c>
      <c r="HO38" s="24">
        <f>ROUND(SUM(GF38:GF$56)/VLOOKUP($FM38,$AQ$9:$AR$102,2)/VLOOKUP($FM38-HO$103,Frauen!$G$9:$J$102,4),Rundäx)</f>
        <v>2.056</v>
      </c>
      <c r="HP38" s="24">
        <f>ROUND(SUM(GG38:GG$56)/VLOOKUP($FM38,$AQ$9:$AR$102,2)/VLOOKUP($FM38-HP$103,Frauen!$G$9:$J$102,4),Rundäx)</f>
        <v>2.331</v>
      </c>
      <c r="HQ38" s="24">
        <f>ROUND(SUM(GH38:GH$56)/VLOOKUP($FM38,$AQ$9:$AR$102,2)/VLOOKUP($FM38-HQ$103,Frauen!$G$9:$J$102,4),Rundäx)</f>
        <v>2.6259999999999999</v>
      </c>
      <c r="HR38" s="24">
        <f>ROUND(SUM(GI38:GI$56)/VLOOKUP($FM38,$AQ$9:$AR$102,2)/VLOOKUP($FM38-HR$103,Frauen!$G$9:$J$102,4),Rundäx)</f>
        <v>2.944</v>
      </c>
      <c r="HS38" s="24">
        <f>ROUND(SUM(GJ38:GJ$56)/VLOOKUP($FM38,$AQ$9:$AR$102,2)/VLOOKUP($FM38-HS$103,Frauen!$G$9:$J$102,4),Rundäx)</f>
        <v>3.2850000000000001</v>
      </c>
      <c r="HT38" s="24">
        <f>ROUND(SUM(GK38:GK$56)/VLOOKUP($FM38,$AQ$9:$AR$102,2)/VLOOKUP($FM38-HT$103,Frauen!$G$9:$J$102,4),Rundäx)</f>
        <v>3.6509999999999998</v>
      </c>
      <c r="HU38" s="86"/>
      <c r="HV38" s="35">
        <f t="shared" si="65"/>
        <v>94</v>
      </c>
      <c r="HW38" s="24">
        <f>ROUND(SUM(GL38:GL$56)/VLOOKUP($FM38,$AQ$9:$AR$102,2)/VLOOKUP($FM38-HW$103,Frauen!$G$9:$J$102,4),Rundäx)</f>
        <v>4.0430000000000001</v>
      </c>
      <c r="HX38" s="24">
        <f>ROUND(SUM(GM38:GM$56)/VLOOKUP($FM38,$AQ$9:$AR$102,2)/VLOOKUP($FM38-HX$103,Frauen!$G$9:$J$102,4),Rundäx)</f>
        <v>4.46</v>
      </c>
      <c r="HY38" s="24">
        <f>ROUND(SUM(GN38:GN$56)/VLOOKUP($FM38,$AQ$9:$AR$102,2)/VLOOKUP($FM38-HY$103,Frauen!$G$9:$J$102,4),Rundäx)</f>
        <v>4.9029999999999996</v>
      </c>
      <c r="HZ38" s="24">
        <f>ROUND(SUM(GO38:GO$56)/VLOOKUP($FM38,$AQ$9:$AR$102,2)/VLOOKUP($FM38-HZ$103,Frauen!$G$9:$J$102,4),Rundäx)</f>
        <v>5.37</v>
      </c>
      <c r="IA38" s="24">
        <f>ROUND(SUM(GP38:GP$56)/VLOOKUP($FM38,$AQ$9:$AR$102,2)/VLOOKUP($FM38-IA$103,Frauen!$G$9:$J$102,4),Rundäx)</f>
        <v>5.8579999999999997</v>
      </c>
      <c r="IB38" s="24">
        <f>ROUND(SUM(GQ38:GQ$56)/VLOOKUP($FM38,$AQ$9:$AR$102,2)/VLOOKUP($FM38-IB$103,Frauen!$G$9:$J$102,4),Rundäx)</f>
        <v>6.3639999999999999</v>
      </c>
      <c r="IC38" s="24">
        <f>ROUND(SUM(GR38:GR$56)/VLOOKUP($FM38,$AQ$9:$AR$102,2)/VLOOKUP($FM38-IC$103,Frauen!$G$9:$J$102,4),Rundäx)</f>
        <v>6.8840000000000003</v>
      </c>
      <c r="ID38" s="89"/>
      <c r="IE38" s="35">
        <f t="shared" si="66"/>
        <v>46</v>
      </c>
      <c r="IF38" s="25">
        <f t="shared" si="31"/>
        <v>574</v>
      </c>
      <c r="IG38" s="25">
        <f>IF($IE38&lt;RAM,IF(S39&lt;=RAK,ROUND(SUM(IF38:INDEX(Dakx,RAM-BeginnAlter))+INDEX(Dax,RAM-BeginnAlter+1)*INDEX(äkx,1),RundDx),0),"")</f>
        <v>4143</v>
      </c>
      <c r="IH38" s="25">
        <f>IF($IE38&lt;RAM,IF(S39&lt;=RAK,ROUND(SUM(IG38:INDEX(Nakx,RAM-BeginnAlter))+INDEX(Dax,RAM-BeginnAlter+1)*INDEX(äkx,1),RundDx),0),"")</f>
        <v>24679</v>
      </c>
      <c r="II38" s="24">
        <f t="shared" si="32"/>
        <v>0.121</v>
      </c>
      <c r="IJ38" s="25">
        <f t="shared" si="33"/>
        <v>8775</v>
      </c>
      <c r="IK38" s="25">
        <f>IF($IE38&lt;RAM,IF(S39&lt;=RAK,SUM(IJ38:INDEX(Dikx,RAM-BeginnAlter))+INDEX(Dix,RAM-BeginnAlter+1)*INDEX(äkx,1),0),"")</f>
        <v>43549.832000000002</v>
      </c>
      <c r="IL38" s="24">
        <f t="shared" si="34"/>
        <v>0.92100000000000004</v>
      </c>
      <c r="IM38" s="86"/>
      <c r="IN38" s="35">
        <f t="shared" si="67"/>
        <v>94</v>
      </c>
      <c r="IO38" s="25"/>
      <c r="IP38" s="25"/>
      <c r="IQ38" s="24"/>
      <c r="IR38" s="86"/>
    </row>
    <row r="39" spans="1:252" ht="15.75" customHeight="1" x14ac:dyDescent="0.25">
      <c r="A39" s="35">
        <f t="shared" si="41"/>
        <v>47</v>
      </c>
      <c r="B39" s="77">
        <v>1.6975039008744377E-3</v>
      </c>
      <c r="C39" s="77">
        <v>2.8984936599574145E-3</v>
      </c>
      <c r="D39" s="77">
        <v>2.0301381266231502E-2</v>
      </c>
      <c r="E39" s="77">
        <v>2.2233659289757624E-3</v>
      </c>
      <c r="F39" s="86"/>
      <c r="G39" s="35">
        <f t="shared" si="42"/>
        <v>47</v>
      </c>
      <c r="H39" s="25">
        <f t="shared" si="37"/>
        <v>94570</v>
      </c>
      <c r="I39" s="25">
        <f t="shared" si="38"/>
        <v>2580</v>
      </c>
      <c r="J39" s="25">
        <f t="shared" si="39"/>
        <v>97150</v>
      </c>
      <c r="K39" s="30">
        <f>IF(J39&gt;0,ROUND(SUM(J39:J$102)/J39-0.5,Rundex),"")</f>
        <v>33.07</v>
      </c>
      <c r="L39" s="25">
        <f t="shared" si="0"/>
        <v>128926</v>
      </c>
      <c r="M39" s="30">
        <f>IF(L39&gt;0,ROUND(SUM(L39:L$102)/L39-0.5,Rundex),"")</f>
        <v>26.82</v>
      </c>
      <c r="N39" s="86"/>
      <c r="O39" s="35">
        <f t="shared" si="43"/>
        <v>47</v>
      </c>
      <c r="P39" s="43">
        <v>0.76292218764770214</v>
      </c>
      <c r="Q39" s="78">
        <v>45.137413501489213</v>
      </c>
      <c r="R39" s="43">
        <v>0.85027108965501985</v>
      </c>
      <c r="S39" s="78">
        <v>13.440180451257483</v>
      </c>
      <c r="T39" s="15">
        <v>2.2202003295667128E-3</v>
      </c>
      <c r="U39" s="11">
        <f t="shared" si="40"/>
        <v>97150</v>
      </c>
      <c r="V39" s="30">
        <f>IF(U39&gt;0,ROUND(SUM(U39:U$102)/U39-0.5,Rundex),"")</f>
        <v>30.65</v>
      </c>
      <c r="W39" s="86"/>
      <c r="X39" s="35">
        <f t="shared" si="44"/>
        <v>47</v>
      </c>
      <c r="Y39" s="25">
        <f t="shared" si="1"/>
        <v>33234</v>
      </c>
      <c r="Z39" s="25">
        <f>IF($X39&lt;RAM,SUM(Y39:INDEX(Dax,RAM-BeginnAlter))," ")</f>
        <v>454498</v>
      </c>
      <c r="AA39" s="25">
        <f t="shared" si="2"/>
        <v>56</v>
      </c>
      <c r="AB39" s="25">
        <f>IF($X39&lt;RAM,SUM(AA39:INDEX(Cax,RAM-BeginnAlter))," ")</f>
        <v>1765</v>
      </c>
      <c r="AC39" s="25">
        <f t="shared" si="3"/>
        <v>95</v>
      </c>
      <c r="AD39" s="25">
        <f>IF($X39&lt;RAM,SUM(AC39:INDEX(Caix,RAM-BeginnAlter))," ")</f>
        <v>6781</v>
      </c>
      <c r="AE39" s="24">
        <f t="shared" si="4"/>
        <v>13.676</v>
      </c>
      <c r="AF39" s="24">
        <f t="shared" si="5"/>
        <v>13.420999999999999</v>
      </c>
      <c r="AG39" s="86"/>
      <c r="AH39" s="35">
        <f t="shared" si="45"/>
        <v>47</v>
      </c>
      <c r="AI39" s="25">
        <f t="shared" si="6"/>
        <v>45307</v>
      </c>
      <c r="AJ39" s="25">
        <f>IF($AH39&gt;RAM," ",IF($AH39&lt;RAM,SUM(AI39:INDEX(Dix,RAM-BeginnAlter))+INDEX(Nx,RAM-BeginnAlter+1),INDEX(Nx,RAM-BeginnAlter+1)))</f>
        <v>875849</v>
      </c>
      <c r="AK39" s="25">
        <f>IF($AH39&lt;RAM,SUM(AI39:INDEX(Dix,RAM-BeginnAlter))," ")</f>
        <v>578602</v>
      </c>
      <c r="AL39" s="24">
        <f t="shared" si="7"/>
        <v>19.331</v>
      </c>
      <c r="AM39" s="24">
        <f t="shared" si="8"/>
        <v>18.873000000000001</v>
      </c>
      <c r="AN39" s="24">
        <f t="shared" si="9"/>
        <v>12.771000000000001</v>
      </c>
      <c r="AO39" s="24">
        <f t="shared" si="10"/>
        <v>12.52</v>
      </c>
      <c r="AP39" s="86"/>
      <c r="AQ39" s="35">
        <f t="shared" si="46"/>
        <v>47</v>
      </c>
      <c r="AR39" s="25">
        <f t="shared" si="11"/>
        <v>34140</v>
      </c>
      <c r="AS39" s="25">
        <f>SUM(AR39:AR$94)</f>
        <v>793696</v>
      </c>
      <c r="AT39" s="25">
        <f>IF($AQ39&lt;RAM,SUM(AR39:INDEX(Dx,RAM-BeginnAlter))," ")</f>
        <v>496449</v>
      </c>
      <c r="AU39" s="24">
        <f t="shared" si="12"/>
        <v>23.248000000000001</v>
      </c>
      <c r="AV39" s="24">
        <f t="shared" si="13"/>
        <v>22.79</v>
      </c>
      <c r="AW39" s="24">
        <f t="shared" si="14"/>
        <v>14.542</v>
      </c>
      <c r="AX39" s="24">
        <f t="shared" si="15"/>
        <v>14.358000000000001</v>
      </c>
      <c r="AY39" s="86"/>
      <c r="AZ39" s="35">
        <f t="shared" si="47"/>
        <v>47</v>
      </c>
      <c r="BA39" s="25">
        <f t="shared" si="16"/>
        <v>34140</v>
      </c>
      <c r="BB39" s="25">
        <f>SUM(BA39:BA$94)</f>
        <v>751645</v>
      </c>
      <c r="BC39" s="24">
        <f t="shared" si="17"/>
        <v>22.016999999999999</v>
      </c>
      <c r="BD39" s="24">
        <f t="shared" si="18"/>
        <v>21.558</v>
      </c>
      <c r="BE39" s="86"/>
      <c r="BF39" s="35">
        <f t="shared" si="48"/>
        <v>30</v>
      </c>
      <c r="BG39" s="24" t="str">
        <f t="shared" si="19"/>
        <v/>
      </c>
      <c r="BH39" s="24" t="str">
        <f t="shared" si="20"/>
        <v/>
      </c>
      <c r="BI39" s="86"/>
      <c r="BJ39" s="35">
        <f t="shared" si="49"/>
        <v>47</v>
      </c>
      <c r="BK39" s="25">
        <f t="shared" si="21"/>
        <v>1788</v>
      </c>
      <c r="BL39" s="25">
        <f>IF(BJ39&lt;RAM,SUM(BK39:INDEX(Daix,RAM-BeginnAlter))," ")</f>
        <v>107462</v>
      </c>
      <c r="BM39" s="25">
        <f>IF(BJ39&lt;RAM,SUM(BL39:INDEX(Naix,RAM-BeginnAlter))," ")</f>
        <v>1316858</v>
      </c>
      <c r="BN39" s="24">
        <f t="shared" si="22"/>
        <v>6.2510000000000003</v>
      </c>
      <c r="BO39" s="24">
        <f t="shared" si="23"/>
        <v>3.2330000000000001</v>
      </c>
      <c r="BP39" s="86"/>
      <c r="BQ39" s="35">
        <f t="shared" si="50"/>
        <v>47</v>
      </c>
      <c r="BR39" s="25">
        <f t="shared" si="51"/>
        <v>1170</v>
      </c>
      <c r="BS39" s="25">
        <f>IF(BQ39&lt;RAM,SUM(BR39:INDEX(Daixs,RAM-BeginnAlter))," ")</f>
        <v>33115</v>
      </c>
      <c r="BT39" s="25">
        <f>IF(BQ39&lt;RAM,SUM(BS39:INDEX(Naixs,RAM-BeginnAlter))," ")</f>
        <v>320636</v>
      </c>
      <c r="BU39" s="24">
        <f t="shared" si="52"/>
        <v>8.4879999999999995</v>
      </c>
      <c r="BV39" s="24">
        <f t="shared" si="53"/>
        <v>0.996</v>
      </c>
      <c r="BW39" s="86"/>
      <c r="BX39" s="35">
        <f t="shared" si="54"/>
        <v>47</v>
      </c>
      <c r="BY39" s="10">
        <f t="shared" si="24"/>
        <v>9.0850936901701242</v>
      </c>
      <c r="BZ39" s="11">
        <f t="shared" si="25"/>
        <v>698</v>
      </c>
      <c r="CA39" s="25">
        <f>IF(S40&lt;=RAK,IF($BX39&lt;RAM,SUM(BZ39:INDEX(Dazx,RAM-BeginnAlter)),""),"")</f>
        <v>6669</v>
      </c>
      <c r="CB39" s="24">
        <f t="shared" si="26"/>
        <v>0.20100000000000001</v>
      </c>
      <c r="CC39" s="25">
        <f t="shared" si="27"/>
        <v>25268</v>
      </c>
      <c r="CD39" s="24">
        <f t="shared" si="28"/>
        <v>17.231999999999999</v>
      </c>
      <c r="CE39" s="24">
        <f t="shared" si="29"/>
        <v>3.1E-2</v>
      </c>
      <c r="CF39" s="86"/>
      <c r="CG39" s="35">
        <f t="shared" si="55"/>
        <v>47</v>
      </c>
      <c r="CH39" s="25">
        <f>IF(CG39&lt;RAM,ROUND(v^($CG39+FaktorAlter)*$H39*($B39*0.5*($P39+$P40)*(VLOOKUP(TRUNC(0.5*($Q39+$Q40),0),Frauen!$AZ$9:$BD$95,5)+(0.5*($Q39+$Q40)-TRUNC(0.5*($Q39+$Q40),0))*(VLOOKUP(TRUNC(0.5*($Q39+$Q40)+1,0),Frauen!$AZ$9:$BD$95,5)-VLOOKUP(TRUNC(0.5*($Q39+$Q40),0),Frauen!$AZ$9:$BD$95,5)))+$C39*0.5*($CN39+$CN40)),RundDx),"")</f>
        <v>1755</v>
      </c>
      <c r="CI39" s="25">
        <f>IF(CG39&lt;RAM,ROUND(SUM(CH39:INDEX(Dawx,RAM-BeginnAlter))+INDEX(Dax,RAM-BeginnAlter+1)*INDEX(äwx,1),RundDx),"")</f>
        <v>147007</v>
      </c>
      <c r="CJ39" s="25">
        <f>IF(CG39&lt;RAM,ROUND(SUM(CI39:INDEX(Nawx,RAM-BeginnAlter))+INDEX(Dax,RAM-BeginnAlter+1)*INDEX(äwx,1),RundDx),"")</f>
        <v>2282603</v>
      </c>
      <c r="CK39" s="24">
        <f t="shared" si="56"/>
        <v>4.423</v>
      </c>
      <c r="CL39" s="25">
        <f>IF(CG39&lt;RAM,ROUND(v^($CG39+FaktorAlter)*$L39*$D39*0.5*($P39+$P40)*(VLOOKUP(TRUNC(0.5*($Q39+$Q40),0),Frauen!$AZ$9:$BD$95,5)+(0.5*($Q39+$Q40)-TRUNC(0.5*($Q39+$Q40),0))*(VLOOKUP(TRUNC(0.5*($Q39+$Q40)+1,0),Frauen!$AZ$9:$BD$95,5)-VLOOKUP(TRUNC(0.5*($Q39+$Q40),0),Frauen!$AZ$9:$BD$95,5))),RundDx),"")</f>
        <v>17665</v>
      </c>
      <c r="CM39" s="25">
        <f>IF(CG39&lt;RAM,SUM(CL39:INDEX(Diwx,RAM-BeginnAlter))+INDEX(Dix,RAM-BeginnAlter+1)*INDEX(äwx,1),"")</f>
        <v>321404.41399999999</v>
      </c>
      <c r="CN39" s="24">
        <f t="shared" si="57"/>
        <v>7.0940000000000003</v>
      </c>
      <c r="CO39" s="86"/>
      <c r="CP39" s="35">
        <f t="shared" si="58"/>
        <v>95</v>
      </c>
      <c r="CQ39" s="11">
        <f>ROUND(v^($CP39+FaktorAlter)*VLOOKUP(CP39,G$9:J$102,4)*VLOOKUP(CP39,A$9:E$102,5)*0.5*(VLOOKUP(CP39,O$9:P$102,2)+VLOOKUP(CP39+1,O$9:P$102,2))*(VLOOKUP(TRUNC(0.5*(VLOOKUP(CP39,O$9:Q$102,3)+VLOOKUP(CP39+1,O$9:Q$102,3)),0),Frauen!$AZ$9:$BD$95,5)+(0.5*(VLOOKUP(CP39,O$9:Q$102,3)+VLOOKUP(CP39+1,O$9:Q$102,3))-TRUNC(0.5*(VLOOKUP(CP39,O$9:Q$102,3)+VLOOKUP(CP39+1,O$9:Q$102,3)),0))*(VLOOKUP(TRUNC(0.5*(VLOOKUP(CP39,O$9:Q$102,3)+VLOOKUP(CP39+1,O$9:Q$102,3))+1,0),Frauen!$AZ$9:$BD$95,5)-VLOOKUP(TRUNC(0.5*(VLOOKUP(CP39,O$9:Q$102,3)+VLOOKUP(CP39+1,O$9:Q$102,3)),0),Frauen!$AZ$9:$BD$95,5))),RundDx)</f>
        <v>246</v>
      </c>
      <c r="CR39" s="25">
        <f>SUM(CQ39:CQ$56)</f>
        <v>516</v>
      </c>
      <c r="CS39" s="24">
        <f t="shared" si="30"/>
        <v>0.91300000000000003</v>
      </c>
      <c r="CT39" s="86"/>
      <c r="CU39" s="35">
        <f t="shared" si="59"/>
        <v>47</v>
      </c>
      <c r="CV39" s="25">
        <f>IF($CU39&gt;=RAM,"",IF($CU39-CV$103&lt;BeginnAlter,"",ROUND(v^($CU39+FaktorAlter)*$L39*$D39*0.5*(VLOOKUP($CU39-CV$103,Frauen!$G$9:$J$102,4)+VLOOKUP($CU39-CV$103+1,Frauen!$G$9:$J$102,4))*0.5*(VLOOKUP($CU39-CV$103,Frauen!$AZ$9:$BD$102,5)+VLOOKUP($CU39-CV$103+1,Frauen!$AZ$9:$BD$102,5)),RundDx)))</f>
        <v>1478067242</v>
      </c>
      <c r="CW39" s="25">
        <f>IF($CU39&gt;=RAM,"",IF($CU39-CW$103&lt;BeginnAlter,"",ROUND(v^($CU39+FaktorAlter)*$L39*$D39*0.5*(VLOOKUP($CU39-CW$103,Frauen!$G$9:$J$102,4)+VLOOKUP($CU39-CW$103+1,Frauen!$G$9:$J$102,4))*0.5*(VLOOKUP($CU39-CW$103,Frauen!$AZ$9:$BD$102,5)+VLOOKUP($CU39-CW$103+1,Frauen!$AZ$9:$BD$102,5)),RundDx)))</f>
        <v>1530199804</v>
      </c>
      <c r="CX39" s="25">
        <f>IF($CU39&gt;=RAM,"",IF($CU39-CX$103&lt;BeginnAlter,"",ROUND(v^($CU39+FaktorAlter)*$L39*$D39*0.5*(VLOOKUP($CU39-CX$103,Frauen!$G$9:$J$102,4)+VLOOKUP($CU39-CX$103+1,Frauen!$G$9:$J$102,4))*0.5*(VLOOKUP($CU39-CX$103,Frauen!$AZ$9:$BD$102,5)+VLOOKUP($CU39-CX$103+1,Frauen!$AZ$9:$BD$102,5)),RundDx)))</f>
        <v>1581377135</v>
      </c>
      <c r="CY39" s="25">
        <f>IF($CU39&gt;=RAM,"",IF($CU39-CY$103&lt;BeginnAlter,"",ROUND(v^($CU39+FaktorAlter)*$L39*$D39*0.5*(VLOOKUP($CU39-CY$103,Frauen!$G$9:$J$102,4)+VLOOKUP($CU39-CY$103+1,Frauen!$G$9:$J$102,4))*0.5*(VLOOKUP($CU39-CY$103,Frauen!$AZ$9:$BD$102,5)+VLOOKUP($CU39-CY$103+1,Frauen!$AZ$9:$BD$102,5)),RundDx)))</f>
        <v>1631585397</v>
      </c>
      <c r="CZ39" s="25">
        <f>IF($CU39&gt;=RAM,"",IF($CU39-CZ$103&lt;BeginnAlter,"",ROUND(v^($CU39+FaktorAlter)*$L39*$D39*0.5*(VLOOKUP($CU39-CZ$103,Frauen!$G$9:$J$102,4)+VLOOKUP($CU39-CZ$103+1,Frauen!$G$9:$J$102,4))*0.5*(VLOOKUP($CU39-CZ$103,Frauen!$AZ$9:$BD$102,5)+VLOOKUP($CU39-CZ$103+1,Frauen!$AZ$9:$BD$102,5)),RundDx)))</f>
        <v>1680928882</v>
      </c>
      <c r="DA39" s="25">
        <f>IF($CU39&gt;=RAM,"",IF($CU39-DA$103&lt;BeginnAlter,"",ROUND(v^($CU39+FaktorAlter)*$L39*$D39*0.5*(VLOOKUP($CU39-DA$103,Frauen!$G$9:$J$102,4)+VLOOKUP($CU39-DA$103+1,Frauen!$G$9:$J$102,4))*0.5*(VLOOKUP($CU39-DA$103,Frauen!$AZ$9:$BD$102,5)+VLOOKUP($CU39-DA$103+1,Frauen!$AZ$9:$BD$102,5)),RundDx)))</f>
        <v>1729561846</v>
      </c>
      <c r="DB39" s="25">
        <f>IF($CU39&gt;=RAM,"",IF($CU39-DB$103&lt;BeginnAlter,"",ROUND(v^($CU39+FaktorAlter)*$L39*$D39*0.5*(VLOOKUP($CU39-DB$103,Frauen!$G$9:$J$102,4)+VLOOKUP($CU39-DB$103+1,Frauen!$G$9:$J$102,4))*0.5*(VLOOKUP($CU39-DB$103,Frauen!$AZ$9:$BD$102,5)+VLOOKUP($CU39-DB$103+1,Frauen!$AZ$9:$BD$102,5)),RundDx)))</f>
        <v>1777611945</v>
      </c>
      <c r="DC39" s="25">
        <f>IF($CU39&gt;=RAM,"",IF($CU39-DC$103&lt;BeginnAlter,"",ROUND(v^($CU39+FaktorAlter)*$L39*$D39*0.5*(VLOOKUP($CU39-DC$103,Frauen!$G$9:$J$102,4)+VLOOKUP($CU39-DC$103+1,Frauen!$G$9:$J$102,4))*0.5*(VLOOKUP($CU39-DC$103,Frauen!$AZ$9:$BD$102,5)+VLOOKUP($CU39-DC$103+1,Frauen!$AZ$9:$BD$102,5)),RundDx)))</f>
        <v>1825193575</v>
      </c>
      <c r="DD39" s="25">
        <f>IF($CU39&gt;=RAM,"",IF($CU39-DD$103&lt;BeginnAlter,"",ROUND(v^($CU39+FaktorAlter)*$L39*$D39*0.5*(VLOOKUP($CU39-DD$103,Frauen!$G$9:$J$102,4)+VLOOKUP($CU39-DD$103+1,Frauen!$G$9:$J$102,4))*0.5*(VLOOKUP($CU39-DD$103,Frauen!$AZ$9:$BD$102,5)+VLOOKUP($CU39-DD$103+1,Frauen!$AZ$9:$BD$102,5)),RundDx)))</f>
        <v>1872360831</v>
      </c>
      <c r="DE39" s="25">
        <f>IF($CU39&gt;=RAM,"",IF($CU39-DE$103&lt;BeginnAlter,"",ROUND(v^($CU39+FaktorAlter)*$L39*$D39*0.5*(VLOOKUP($CU39-DE$103,Frauen!$G$9:$J$102,4)+VLOOKUP($CU39-DE$103+1,Frauen!$G$9:$J$102,4))*0.5*(VLOOKUP($CU39-DE$103,Frauen!$AZ$9:$BD$102,5)+VLOOKUP($CU39-DE$103+1,Frauen!$AZ$9:$BD$102,5)),RundDx)))</f>
        <v>1919025777</v>
      </c>
      <c r="DF39" s="25">
        <f>IF($CU39&gt;=RAM,"",IF($CU39-DF$103&lt;BeginnAlter,"",ROUND(v^($CU39+FaktorAlter)*$L39*$D39*0.5*(VLOOKUP($CU39-DF$103,Frauen!$G$9:$J$102,4)+VLOOKUP($CU39-DF$103+1,Frauen!$G$9:$J$102,4))*0.5*(VLOOKUP($CU39-DF$103,Frauen!$AZ$9:$BD$102,5)+VLOOKUP($CU39-DF$103+1,Frauen!$AZ$9:$BD$102,5)),RundDx)))</f>
        <v>1965228019</v>
      </c>
      <c r="DG39" s="25">
        <f>IF($CU39&gt;=RAM,"",IF($CU39-DG$103&lt;BeginnAlter,"",ROUND(v^($CU39+FaktorAlter)*$L39*$D39*0.5*(VLOOKUP($CU39-DG$103,Frauen!$G$9:$J$102,4)+VLOOKUP($CU39-DG$103+1,Frauen!$G$9:$J$102,4))*0.5*(VLOOKUP($CU39-DG$103,Frauen!$AZ$9:$BD$102,5)+VLOOKUP($CU39-DG$103+1,Frauen!$AZ$9:$BD$102,5)),RundDx)))</f>
        <v>2010871516</v>
      </c>
      <c r="DH39" s="25">
        <f>IF($CU39&gt;=RAM,"",IF($CU39-DH$103&lt;BeginnAlter,"",ROUND(v^($CU39+FaktorAlter)*$L39*$D39*0.5*(VLOOKUP($CU39-DH$103,Frauen!$G$9:$J$102,4)+VLOOKUP($CU39-DH$103+1,Frauen!$G$9:$J$102,4))*0.5*(VLOOKUP($CU39-DH$103,Frauen!$AZ$9:$BD$102,5)+VLOOKUP($CU39-DH$103+1,Frauen!$AZ$9:$BD$102,5)),RundDx)))</f>
        <v>2055744703</v>
      </c>
      <c r="DI39" s="25">
        <f>IF($CU39&gt;=RAM,"",IF($CU39-DI$103&lt;BeginnAlter,"",ROUND(v^($CU39+FaktorAlter)*$L39*$D39*0.5*(VLOOKUP($CU39-DI$103,Frauen!$G$9:$J$102,4)+VLOOKUP($CU39-DI$103+1,Frauen!$G$9:$J$102,4))*0.5*(VLOOKUP($CU39-DI$103,Frauen!$AZ$9:$BD$102,5)+VLOOKUP($CU39-DI$103+1,Frauen!$AZ$9:$BD$102,5)),RundDx)))</f>
        <v>2099715320</v>
      </c>
      <c r="DJ39" s="25">
        <f>IF($CU39&gt;=RAM,"",IF($CU39-DJ$103&lt;BeginnAlter,"",ROUND(v^($CU39+FaktorAlter)*$L39*$D39*0.5*(VLOOKUP($CU39-DJ$103,Frauen!$G$9:$J$102,4)+VLOOKUP($CU39-DJ$103+1,Frauen!$G$9:$J$102,4))*0.5*(VLOOKUP($CU39-DJ$103,Frauen!$AZ$9:$BD$102,5)+VLOOKUP($CU39-DJ$103+1,Frauen!$AZ$9:$BD$102,5)),RundDx)))</f>
        <v>2142741790</v>
      </c>
      <c r="DK39" s="25">
        <f>IF($CU39&gt;=RAM,"",IF($CU39-DK$103&lt;BeginnAlter,"",ROUND(v^($CU39+FaktorAlter)*$L39*$D39*0.5*(VLOOKUP($CU39-DK$103,Frauen!$G$9:$J$102,4)+VLOOKUP($CU39-DK$103+1,Frauen!$G$9:$J$102,4))*0.5*(VLOOKUP($CU39-DK$103,Frauen!$AZ$9:$BD$102,5)+VLOOKUP($CU39-DK$103+1,Frauen!$AZ$9:$BD$102,5)),RundDx)))</f>
        <v>2184829829</v>
      </c>
      <c r="DL39" s="25">
        <f>IF($CU39&gt;=RAM,"",IF($CU39-DL$103&lt;BeginnAlter,"",ROUND(v^($CU39+FaktorAlter)*$L39*$D39*0.5*(VLOOKUP($CU39-DL$103,Frauen!$G$9:$J$102,4)+VLOOKUP($CU39-DL$103+1,Frauen!$G$9:$J$102,4))*0.5*(VLOOKUP($CU39-DL$103,Frauen!$AZ$9:$BD$102,5)+VLOOKUP($CU39-DL$103+1,Frauen!$AZ$9:$BD$102,5)),RundDx)))</f>
        <v>2226021492</v>
      </c>
      <c r="DM39" s="25">
        <f>IF($CU39&gt;=RAM,"",IF($CU39-DM$103&lt;BeginnAlter,"",ROUND(v^($CU39+FaktorAlter)*$L39*$D39*0.5*(VLOOKUP($CU39-DM$103,Frauen!$G$9:$J$102,4)+VLOOKUP($CU39-DM$103+1,Frauen!$G$9:$J$102,4))*0.5*(VLOOKUP($CU39-DM$103,Frauen!$AZ$9:$BD$102,5)+VLOOKUP($CU39-DM$103+1,Frauen!$AZ$9:$BD$102,5)),RundDx)))</f>
        <v>2266260547</v>
      </c>
      <c r="DN39" s="25">
        <f>IF($CU39&gt;=RAM,"",IF($CU39-DN$103&lt;BeginnAlter,"",ROUND(v^($CU39+FaktorAlter)*$L39*$D39*0.5*(VLOOKUP($CU39-DN$103,Frauen!$G$9:$J$102,4)+VLOOKUP($CU39-DN$103+1,Frauen!$G$9:$J$102,4))*0.5*(VLOOKUP($CU39-DN$103,Frauen!$AZ$9:$BD$102,5)+VLOOKUP($CU39-DN$103+1,Frauen!$AZ$9:$BD$102,5)),RundDx)))</f>
        <v>2305560075</v>
      </c>
      <c r="DO39" s="25">
        <f>IF($CU39&gt;=RAM,"",IF($CU39-DO$103&lt;BeginnAlter,"",ROUND(v^($CU39+FaktorAlter)*$L39*$D39*0.5*(VLOOKUP($CU39-DO$103,Frauen!$G$9:$J$102,4)+VLOOKUP($CU39-DO$103+1,Frauen!$G$9:$J$102,4))*0.5*(VLOOKUP($CU39-DO$103,Frauen!$AZ$9:$BD$102,5)+VLOOKUP($CU39-DO$103+1,Frauen!$AZ$9:$BD$102,5)),RundDx)))</f>
        <v>2344013711</v>
      </c>
      <c r="DP39" s="25">
        <f>IF($CU39&gt;=RAM,"",IF($CU39-DP$103&lt;BeginnAlter,"",ROUND(v^($CU39+FaktorAlter)*$L39*$D39*0.5*(VLOOKUP($CU39-DP$103,Frauen!$G$9:$J$102,4)+VLOOKUP($CU39-DP$103+1,Frauen!$G$9:$J$102,4))*0.5*(VLOOKUP($CU39-DP$103,Frauen!$AZ$9:$BD$102,5)+VLOOKUP($CU39-DP$103+1,Frauen!$AZ$9:$BD$102,5)),RundDx)))</f>
        <v>2381639966</v>
      </c>
      <c r="DQ39" s="25">
        <f>IF($CU39&gt;=RAM,"",IF($CU39-DQ$103&lt;BeginnAlter,"",ROUND(v^($CU39+FaktorAlter)*$L39*$D39*0.5*(VLOOKUP($CU39-DQ$103,Frauen!$G$9:$J$102,4)+VLOOKUP($CU39-DQ$103+1,Frauen!$G$9:$J$102,4))*0.5*(VLOOKUP($CU39-DQ$103,Frauen!$AZ$9:$BD$102,5)+VLOOKUP($CU39-DQ$103+1,Frauen!$AZ$9:$BD$102,5)),RundDx)))</f>
        <v>2418447704</v>
      </c>
      <c r="DR39" s="25">
        <f>IF($CU39&gt;=RAM,"",IF($CU39-DR$103&lt;BeginnAlter,"",ROUND(v^($CU39+FaktorAlter)*$L39*$D39*0.5*(VLOOKUP($CU39-DR$103,Frauen!$G$9:$J$102,4)+VLOOKUP($CU39-DR$103+1,Frauen!$G$9:$J$102,4))*0.5*(VLOOKUP($CU39-DR$103,Frauen!$AZ$9:$BD$102,5)+VLOOKUP($CU39-DR$103+1,Frauen!$AZ$9:$BD$102,5)),RundDx)))</f>
        <v>2454435197</v>
      </c>
      <c r="DS39" s="25">
        <f>IF($CU39&gt;=RAM,"",IF($CU39-DS$103&lt;BeginnAlter,"",ROUND(v^($CU39+FaktorAlter)*$L39*$D39*0.5*(VLOOKUP($CU39-DS$103,Frauen!$G$9:$J$102,4)+VLOOKUP($CU39-DS$103+1,Frauen!$G$9:$J$102,4))*0.5*(VLOOKUP($CU39-DS$103,Frauen!$AZ$9:$BD$102,5)+VLOOKUP($CU39-DS$103+1,Frauen!$AZ$9:$BD$102,5)),RundDx)))</f>
        <v>2489626978</v>
      </c>
      <c r="DT39" s="25">
        <f>IF($CU39&gt;=RAM,"",IF($CU39-DT$103&lt;BeginnAlter,"",ROUND(v^($CU39+FaktorAlter)*$L39*$D39*0.5*(VLOOKUP($CU39-DT$103,Frauen!$G$9:$J$102,4)+VLOOKUP($CU39-DT$103+1,Frauen!$G$9:$J$102,4))*0.5*(VLOOKUP($CU39-DT$103,Frauen!$AZ$9:$BD$102,5)+VLOOKUP($CU39-DT$103+1,Frauen!$AZ$9:$BD$102,5)),RundDx)))</f>
        <v>2524037206</v>
      </c>
      <c r="DU39" s="25">
        <f>IF($CU39&gt;=RAM,"",IF($CU39-DU$103&lt;BeginnAlter,"",ROUND(v^($CU39+FaktorAlter)*$L39*$D39*0.5*(VLOOKUP($CU39-DU$103,Frauen!$G$9:$J$102,4)+VLOOKUP($CU39-DU$103+1,Frauen!$G$9:$J$102,4))*0.5*(VLOOKUP($CU39-DU$103,Frauen!$AZ$9:$BD$102,5)+VLOOKUP($CU39-DU$103+1,Frauen!$AZ$9:$BD$102,5)),RundDx)))</f>
        <v>2557726760</v>
      </c>
      <c r="DV39" s="25">
        <f>IF($CU39&gt;=RAM,"",IF($CU39-DV$103&lt;BeginnAlter,"",ROUND(v^($CU39+FaktorAlter)*$L39*$D39*0.5*(VLOOKUP($CU39-DV$103,Frauen!$G$9:$J$102,4)+VLOOKUP($CU39-DV$103+1,Frauen!$G$9:$J$102,4))*0.5*(VLOOKUP($CU39-DV$103,Frauen!$AZ$9:$BD$102,5)+VLOOKUP($CU39-DV$103+1,Frauen!$AZ$9:$BD$102,5)),RundDx)))</f>
        <v>2590758232</v>
      </c>
      <c r="DW39" s="25">
        <f>IF($CU39&gt;=RAM,"",IF($CU39-DW$103&lt;BeginnAlter,"",ROUND(v^($CU39+FaktorAlter)*$L39*$D39*0.5*(VLOOKUP($CU39-DW$103,Frauen!$G$9:$J$102,4)+VLOOKUP($CU39-DW$103+1,Frauen!$G$9:$J$102,4))*0.5*(VLOOKUP($CU39-DW$103,Frauen!$AZ$9:$BD$102,5)+VLOOKUP($CU39-DW$103+1,Frauen!$AZ$9:$BD$102,5)),RundDx)))</f>
        <v>2623150679</v>
      </c>
      <c r="DX39" s="25">
        <f>IF($CU39&gt;=RAM,"",IF($CU39-DX$103&lt;BeginnAlter,"",ROUND(v^($CU39+FaktorAlter)*$L39*$D39*0.5*(VLOOKUP($CU39-DX$103,Frauen!$G$9:$J$102,4)+VLOOKUP($CU39-DX$103+1,Frauen!$G$9:$J$102,4))*0.5*(VLOOKUP($CU39-DX$103,Frauen!$AZ$9:$BD$102,5)+VLOOKUP($CU39-DX$103+1,Frauen!$AZ$9:$BD$102,5)),RundDx)))</f>
        <v>2654879395</v>
      </c>
      <c r="DY39" s="25">
        <f>IF($CU39&gt;=RAM,"",IF($CU39-DY$103&lt;BeginnAlter,"",ROUND(v^($CU39+FaktorAlter)*$L39*$D39*0.5*(VLOOKUP($CU39-DY$103,Frauen!$G$9:$J$102,4)+VLOOKUP($CU39-DY$103+1,Frauen!$G$9:$J$102,4))*0.5*(VLOOKUP($CU39-DY$103,Frauen!$AZ$9:$BD$102,5)+VLOOKUP($CU39-DY$103+1,Frauen!$AZ$9:$BD$102,5)),RundDx)))</f>
        <v>2685952627</v>
      </c>
      <c r="DZ39" s="25">
        <f>IF($CU39&gt;=RAM,"",IF($CU39-DZ$103&lt;BeginnAlter,"",ROUND(v^($CU39+FaktorAlter)*$L39*$D39*0.5*(VLOOKUP($CU39-DZ$103,Frauen!$G$9:$J$102,4)+VLOOKUP($CU39-DZ$103+1,Frauen!$G$9:$J$102,4))*0.5*(VLOOKUP($CU39-DZ$103,Frauen!$AZ$9:$BD$102,5)+VLOOKUP($CU39-DZ$103+1,Frauen!$AZ$9:$BD$102,5)),RundDx)))</f>
        <v>2716379367</v>
      </c>
      <c r="EA39" s="43">
        <f>IF($CU39&gt;=RAM,"",IF($CU39-EA$103&lt;BeginnAlter,"",ROUND((SUM(CV39:CV$56)+SUM(FN$9:FN$56))/VLOOKUP($CU39,$AH$9:$AI$102,2)/VLOOKUP($CU39-EA$103,Frauen!$G$9:$J$102,4),Rundäx)))</f>
        <v>3.734</v>
      </c>
      <c r="EB39" s="43">
        <f>IF($CU39&gt;=RAM,"",IF($CU39-EB$103&lt;BeginnAlter,"",ROUND((SUM(CW39:CW$56)+SUM(FO$9:FO$56))/VLOOKUP($CU39,$AH$9:$AI$102,2)/VLOOKUP($CU39-EB$103,Frauen!$G$9:$J$102,4),Rundäx)))</f>
        <v>3.9380000000000002</v>
      </c>
      <c r="EC39" s="43">
        <f>IF($CU39&gt;=RAM,"",IF($CU39-EC$103&lt;BeginnAlter,"",ROUND((SUM(CX39:CX$56)+SUM(FP$9:FP$56))/VLOOKUP($CU39,$AH$9:$AI$102,2)/VLOOKUP($CU39-EC$103,Frauen!$G$9:$J$102,4),Rundäx)))</f>
        <v>4.1479999999999997</v>
      </c>
      <c r="ED39" s="43">
        <f>IF($CU39&gt;=RAM,"",IF($CU39-ED$103&lt;BeginnAlter,"",ROUND((SUM(CY39:CY$56)+SUM(FQ$9:FQ$56))/VLOOKUP($CU39,$AH$9:$AI$102,2)/VLOOKUP($CU39-ED$103,Frauen!$G$9:$J$102,4),Rundäx)))</f>
        <v>4.3639999999999999</v>
      </c>
      <c r="EE39" s="43">
        <f>IF($CU39&gt;=RAM,"",IF($CU39-EE$103&lt;BeginnAlter,"",ROUND((SUM(CZ39:CZ$56)+SUM(FR$9:FR$56))/VLOOKUP($CU39,$AH$9:$AI$102,2)/VLOOKUP($CU39-EE$103,Frauen!$G$9:$J$102,4),Rundäx)))</f>
        <v>4.5860000000000003</v>
      </c>
      <c r="EF39" s="43">
        <f>IF($CU39&gt;=RAM,"",IF($CU39-EF$103&lt;BeginnAlter,"",ROUND((SUM(DA39:DA$56)+SUM(FS$9:FS$56))/VLOOKUP($CU39,$AH$9:$AI$102,2)/VLOOKUP($CU39-EF$103,Frauen!$G$9:$J$102,4),Rundäx)))</f>
        <v>4.8129999999999997</v>
      </c>
      <c r="EG39" s="43">
        <f>IF($CU39&gt;=RAM,"",IF($CU39-EG$103&lt;BeginnAlter,"",ROUND((SUM(DB39:DB$56)+SUM(FT$9:FT$56))/VLOOKUP($CU39,$AH$9:$AI$102,2)/VLOOKUP($CU39-EG$103,Frauen!$G$9:$J$102,4),Rundäx)))</f>
        <v>5.0469999999999997</v>
      </c>
      <c r="EH39" s="43">
        <f>IF($CU39&gt;=RAM,"",IF($CU39-EH$103&lt;BeginnAlter,"",ROUND((SUM(DC39:DC$56)+SUM(FU$9:FU$56))/VLOOKUP($CU39,$AH$9:$AI$102,2)/VLOOKUP($CU39-EH$103,Frauen!$G$9:$J$102,4),Rundäx)))</f>
        <v>5.2859999999999996</v>
      </c>
      <c r="EI39" s="86"/>
      <c r="EJ39" s="35">
        <f t="shared" si="60"/>
        <v>47</v>
      </c>
      <c r="EK39" s="43">
        <f>IF($CU39&gt;=RAM,"",IF($CU39-EK$103&lt;BeginnAlter,"",ROUND((SUM(DD39:DD$56)+SUM(FV$9:FV$56))/VLOOKUP($CU39,$AH$9:$AI$102,2)/VLOOKUP($CU39-EK$103,Frauen!$G$9:$J$102,4),Rundäx)))</f>
        <v>5.53</v>
      </c>
      <c r="EL39" s="43">
        <f>IF($CU39&gt;=RAM,"",IF($CU39-EL$103&lt;BeginnAlter,"",ROUND((SUM(DE39:DE$56)+SUM(FW$9:FW$56))/VLOOKUP($CU39,$AH$9:$AI$102,2)/VLOOKUP($CU39-EL$103,Frauen!$G$9:$J$102,4),Rundäx)))</f>
        <v>5.78</v>
      </c>
      <c r="EM39" s="43">
        <f>IF($CU39&gt;=RAM,"",IF($CU39-EM$103&lt;BeginnAlter,"",ROUND((SUM(DF39:DF$56)+SUM(FX$9:FX$56))/VLOOKUP($CU39,$AH$9:$AI$102,2)/VLOOKUP($CU39-EM$103,Frauen!$G$9:$J$102,4),Rundäx)))</f>
        <v>6.0359999999999996</v>
      </c>
      <c r="EN39" s="43">
        <f>IF($CU39&gt;=RAM,"",IF($CU39-EN$103&lt;BeginnAlter,"",ROUND((SUM(DG39:DG$56)+SUM(FY$9:FY$56))/VLOOKUP($CU39,$AH$9:$AI$102,2)/VLOOKUP($CU39-EN$103,Frauen!$G$9:$J$102,4),Rundäx)))</f>
        <v>6.2960000000000003</v>
      </c>
      <c r="EO39" s="43">
        <f>IF($CU39&gt;=RAM,"",IF($CU39-EO$103&lt;BeginnAlter,"",ROUND((SUM(DH39:DH$56)+SUM(FZ$9:FZ$56))/VLOOKUP($CU39,$AH$9:$AI$102,2)/VLOOKUP($CU39-EO$103,Frauen!$G$9:$J$102,4),Rundäx)))</f>
        <v>6.5609999999999999</v>
      </c>
      <c r="EP39" s="43">
        <f>IF($CU39&gt;=RAM,"",IF($CU39-EP$103&lt;BeginnAlter,"",ROUND((SUM(DI39:DI$56)+SUM(GA$9:GA$56))/VLOOKUP($CU39,$AH$9:$AI$102,2)/VLOOKUP($CU39-EP$103,Frauen!$G$9:$J$102,4),Rundäx)))</f>
        <v>6.83</v>
      </c>
      <c r="EQ39" s="43">
        <f>IF($CU39&gt;=RAM,"",IF($CU39-EQ$103&lt;BeginnAlter,"",ROUND((SUM(DJ39:DJ$56)+SUM(GB$9:GB$56))/VLOOKUP($CU39,$AH$9:$AI$102,2)/VLOOKUP($CU39-EQ$103,Frauen!$G$9:$J$102,4),Rundäx)))</f>
        <v>7.1040000000000001</v>
      </c>
      <c r="ER39" s="43">
        <f>IF($CU39&gt;=RAM,"",IF($CU39-ER$103&lt;BeginnAlter,"",ROUND((SUM(DK39:DK$56)+SUM(GC$9:GC$56))/VLOOKUP($CU39,$AH$9:$AI$102,2)/VLOOKUP($CU39-ER$103,Frauen!$G$9:$J$102,4),Rundäx)))</f>
        <v>7.3819999999999997</v>
      </c>
      <c r="ES39" s="86"/>
      <c r="ET39" s="35">
        <f t="shared" si="61"/>
        <v>47</v>
      </c>
      <c r="EU39" s="43">
        <f>IF($CU39&gt;=RAM,"",IF($CU39-EU$103&lt;BeginnAlter,"",ROUND((SUM(DL39:DL$56)+SUM(GD$9:GD$56))/VLOOKUP($CU39,$AH$9:$AI$102,2)/VLOOKUP($CU39-EU$103,Frauen!$G$9:$J$102,4),Rundäx)))</f>
        <v>7.6630000000000003</v>
      </c>
      <c r="EV39" s="43">
        <f>IF($CU39&gt;=RAM,"",IF($CU39-EV$103&lt;BeginnAlter,"",ROUND((SUM(DM39:DM$56)+SUM(GE$9:GE$56))/VLOOKUP($CU39,$AH$9:$AI$102,2)/VLOOKUP($CU39-EV$103,Frauen!$G$9:$J$102,4),Rundäx)))</f>
        <v>7.9470000000000001</v>
      </c>
      <c r="EW39" s="43">
        <f>IF($CU39&gt;=RAM,"",IF($CU39-EW$103&lt;BeginnAlter,"",ROUND((SUM(DN39:DN$56)+SUM(GF$9:GF$56))/VLOOKUP($CU39,$AH$9:$AI$102,2)/VLOOKUP($CU39-EW$103,Frauen!$G$9:$J$102,4),Rundäx)))</f>
        <v>8.234</v>
      </c>
      <c r="EX39" s="43">
        <f>IF($CU39&gt;=RAM,"",IF($CU39-EX$103&lt;BeginnAlter,"",ROUND((SUM(DO39:DO$56)+SUM(GG$9:GG$56))/VLOOKUP($CU39,$AH$9:$AI$102,2)/VLOOKUP($CU39-EX$103,Frauen!$G$9:$J$102,4),Rundäx)))</f>
        <v>8.5229999999999997</v>
      </c>
      <c r="EY39" s="43">
        <f>IF($CU39&gt;=RAM,"",IF($CU39-EY$103&lt;BeginnAlter,"",ROUND((SUM(DP39:DP$56)+SUM(GH$9:GH$56))/VLOOKUP($CU39,$AH$9:$AI$102,2)/VLOOKUP($CU39-EY$103,Frauen!$G$9:$J$102,4),Rundäx)))</f>
        <v>8.8130000000000006</v>
      </c>
      <c r="EZ39" s="43">
        <f>IF($CU39&gt;=RAM,"",IF($CU39-EZ$103&lt;BeginnAlter,"",ROUND((SUM(DQ39:DQ$56)+SUM(GI$9:GI$56))/VLOOKUP($CU39,$AH$9:$AI$102,2)/VLOOKUP($CU39-EZ$103,Frauen!$G$9:$J$102,4),Rundäx)))</f>
        <v>9.1050000000000004</v>
      </c>
      <c r="FA39" s="43">
        <f>IF($CU39&gt;=RAM,"",IF($CU39-FA$103&lt;BeginnAlter,"",ROUND((SUM(DR39:DR$56)+SUM(GJ$9:GJ$56))/VLOOKUP($CU39,$AH$9:$AI$102,2)/VLOOKUP($CU39-FA$103,Frauen!$G$9:$J$102,4),Rundäx)))</f>
        <v>9.3970000000000002</v>
      </c>
      <c r="FB39" s="43">
        <f>IF($CU39&gt;=RAM,"",IF($CU39-FB$103&lt;BeginnAlter,"",ROUND((SUM(DS39:DS$56)+SUM(GK$9:GK$56))/VLOOKUP($CU39,$AH$9:$AI$102,2)/VLOOKUP($CU39-FB$103,Frauen!$G$9:$J$102,4),Rundäx)))</f>
        <v>9.69</v>
      </c>
      <c r="FC39" s="86"/>
      <c r="FD39" s="35">
        <f t="shared" si="62"/>
        <v>47</v>
      </c>
      <c r="FE39" s="43">
        <f>IF($CU39&gt;=RAM,"",IF($CU39-FE$103&lt;BeginnAlter,"",ROUND((SUM(DT39:DT$56)+SUM(GL$9:GL$56))/VLOOKUP($CU39,$AH$9:$AI$102,2)/VLOOKUP($CU39-FE$103,Frauen!$G$9:$J$102,4),Rundäx)))</f>
        <v>9.9819999999999993</v>
      </c>
      <c r="FF39" s="43">
        <f>IF($CU39&gt;=RAM,"",IF($CU39-FF$103&lt;BeginnAlter,"",ROUND((SUM(DU39:DU$56)+SUM(GM$9:GM$56))/VLOOKUP($CU39,$AH$9:$AI$102,2)/VLOOKUP($CU39-FF$103,Frauen!$G$9:$J$102,4),Rundäx)))</f>
        <v>10.273999999999999</v>
      </c>
      <c r="FG39" s="43">
        <f>IF($CU39&gt;=RAM,"",IF($CU39-FG$103&lt;BeginnAlter,"",ROUND((SUM(DV39:DV$56)+SUM(GN$9:GN$56))/VLOOKUP($CU39,$AH$9:$AI$102,2)/VLOOKUP($CU39-FG$103,Frauen!$G$9:$J$102,4),Rundäx)))</f>
        <v>10.564</v>
      </c>
      <c r="FH39" s="43">
        <f>IF($CU39&gt;=RAM,"",IF($CU39-FH$103&lt;BeginnAlter,"",ROUND((SUM(DW39:DW$56)+SUM(GO$9:GO$56))/VLOOKUP($CU39,$AH$9:$AI$102,2)/VLOOKUP($CU39-FH$103,Frauen!$G$9:$J$102,4),Rundäx)))</f>
        <v>10.852</v>
      </c>
      <c r="FI39" s="43">
        <f>IF($CU39&gt;=RAM,"",IF($CU39-FI$103&lt;BeginnAlter,"",ROUND((SUM(DX39:DX$56)+SUM(GP$9:GP$56))/VLOOKUP($CU39,$AH$9:$AI$102,2)/VLOOKUP($CU39-FI$103,Frauen!$G$9:$J$102,4),Rundäx)))</f>
        <v>11.138</v>
      </c>
      <c r="FJ39" s="43">
        <f>IF($CU39&gt;=RAM,"",IF($CU39-FJ$103&lt;BeginnAlter,"",ROUND((SUM(DY39:DY$56)+SUM(GQ$9:GQ$56))/VLOOKUP($CU39,$AH$9:$AI$102,2)/VLOOKUP($CU39-FJ$103,Frauen!$G$9:$J$102,4),Rundäx)))</f>
        <v>11.422000000000001</v>
      </c>
      <c r="FK39" s="43">
        <f>IF($CU39&gt;=RAM,"",IF($CU39-FK$103&lt;BeginnAlter,"",ROUND((SUM(DZ39:DZ$56)+SUM(GR$9:GR$56))/VLOOKUP($CU39,$AH$9:$AI$102,2)/VLOOKUP($CU39-FK$103,Frauen!$G$9:$J$102,4),Rundäx)))</f>
        <v>11.702999999999999</v>
      </c>
      <c r="FL39" s="86"/>
      <c r="FM39" s="35">
        <f t="shared" si="68"/>
        <v>95</v>
      </c>
      <c r="FN39" s="25"/>
      <c r="FO39" s="25"/>
      <c r="FP39" s="25"/>
      <c r="FQ39" s="25"/>
      <c r="FR39" s="25"/>
      <c r="FS39" s="25"/>
      <c r="FT39" s="25"/>
      <c r="FU39" s="25">
        <f>ROUND(v^($FM39+FaktorAlter)*VLOOKUP($FM39,$G$9:$J$102,4)*VLOOKUP($FM39,$A$9:$E$102,5)*0.5*(VLOOKUP($FM39-FU$103,Frauen!$G$9:$J$102,4)+VLOOKUP($FM39-FU$103+1,Frauen!$G$9:$J$102,4))*0.5*(VLOOKUP($FM39-FU$103,Frauen!$AZ$9:$BD$102,5)+VLOOKUP($FM39-FU$103+1,Frauen!$AZ$9:$BD$102,5)),RundDx)</f>
        <v>13233</v>
      </c>
      <c r="FV39" s="25">
        <f>ROUND(v^($FM39+FaktorAlter)*VLOOKUP($FM39,$G$9:$J$102,4)*VLOOKUP($FM39,$A$9:$E$102,5)*0.5*(VLOOKUP($FM39-FV$103,Frauen!$G$9:$J$102,4)+VLOOKUP($FM39-FV$103+1,Frauen!$G$9:$J$102,4))*0.5*(VLOOKUP($FM39-FV$103,Frauen!$AZ$9:$BD$102,5)+VLOOKUP($FM39-FV$103+1,Frauen!$AZ$9:$BD$102,5)),RundDx)</f>
        <v>49849</v>
      </c>
      <c r="FW39" s="25">
        <f>ROUND(v^($FM39+FaktorAlter)*VLOOKUP($FM39,$G$9:$J$102,4)*VLOOKUP($FM39,$A$9:$E$102,5)*0.5*(VLOOKUP($FM39-FW$103,Frauen!$G$9:$J$102,4)+VLOOKUP($FM39-FW$103+1,Frauen!$G$9:$J$102,4))*0.5*(VLOOKUP($FM39-FW$103,Frauen!$AZ$9:$BD$102,5)+VLOOKUP($FM39-FW$103+1,Frauen!$AZ$9:$BD$102,5)),RundDx)</f>
        <v>130465</v>
      </c>
      <c r="FX39" s="25">
        <f>ROUND(v^($FM39+FaktorAlter)*VLOOKUP($FM39,$G$9:$J$102,4)*VLOOKUP($FM39,$A$9:$E$102,5)*0.5*(VLOOKUP($FM39-FX$103,Frauen!$G$9:$J$102,4)+VLOOKUP($FM39-FX$103+1,Frauen!$G$9:$J$102,4))*0.5*(VLOOKUP($FM39-FX$103,Frauen!$AZ$9:$BD$102,5)+VLOOKUP($FM39-FX$103+1,Frauen!$AZ$9:$BD$102,5)),RundDx)</f>
        <v>286661</v>
      </c>
      <c r="FY39" s="25">
        <f>ROUND(v^($FM39+FaktorAlter)*VLOOKUP($FM39,$G$9:$J$102,4)*VLOOKUP($FM39,$A$9:$E$102,5)*0.5*(VLOOKUP($FM39-FY$103,Frauen!$G$9:$J$102,4)+VLOOKUP($FM39-FY$103+1,Frauen!$G$9:$J$102,4))*0.5*(VLOOKUP($FM39-FY$103,Frauen!$AZ$9:$BD$102,5)+VLOOKUP($FM39-FY$103+1,Frauen!$AZ$9:$BD$102,5)),RundDx)</f>
        <v>555696</v>
      </c>
      <c r="FZ39" s="25">
        <f>ROUND(v^($FM39+FaktorAlter)*VLOOKUP($FM39,$G$9:$J$102,4)*VLOOKUP($FM39,$A$9:$E$102,5)*0.5*(VLOOKUP($FM39-FZ$103,Frauen!$G$9:$J$102,4)+VLOOKUP($FM39-FZ$103+1,Frauen!$G$9:$J$102,4))*0.5*(VLOOKUP($FM39-FZ$103,Frauen!$AZ$9:$BD$102,5)+VLOOKUP($FM39-FZ$103+1,Frauen!$AZ$9:$BD$102,5)),RundDx)</f>
        <v>990835</v>
      </c>
      <c r="GA39" s="25">
        <f>ROUND(v^($FM39+FaktorAlter)*VLOOKUP($FM39,$G$9:$J$102,4)*VLOOKUP($FM39,$A$9:$E$102,5)*0.5*(VLOOKUP($FM39-GA$103,Frauen!$G$9:$J$102,4)+VLOOKUP($FM39-GA$103+1,Frauen!$G$9:$J$102,4))*0.5*(VLOOKUP($FM39-GA$103,Frauen!$AZ$9:$BD$102,5)+VLOOKUP($FM39-GA$103+1,Frauen!$AZ$9:$BD$102,5)),RundDx)</f>
        <v>1650461</v>
      </c>
      <c r="GB39" s="25">
        <f>ROUND(v^($FM39+FaktorAlter)*VLOOKUP($FM39,$G$9:$J$102,4)*VLOOKUP($FM39,$A$9:$E$102,5)*0.5*(VLOOKUP($FM39-GB$103,Frauen!$G$9:$J$102,4)+VLOOKUP($FM39-GB$103+1,Frauen!$G$9:$J$102,4))*0.5*(VLOOKUP($FM39-GB$103,Frauen!$AZ$9:$BD$102,5)+VLOOKUP($FM39-GB$103+1,Frauen!$AZ$9:$BD$102,5)),RundDx)</f>
        <v>2608644</v>
      </c>
      <c r="GC39" s="25">
        <f>ROUND(v^($FM39+FaktorAlter)*VLOOKUP($FM39,$G$9:$J$102,4)*VLOOKUP($FM39,$A$9:$E$102,5)*0.5*(VLOOKUP($FM39-GC$103,Frauen!$G$9:$J$102,4)+VLOOKUP($FM39-GC$103+1,Frauen!$G$9:$J$102,4))*0.5*(VLOOKUP($FM39-GC$103,Frauen!$AZ$9:$BD$102,5)+VLOOKUP($FM39-GC$103+1,Frauen!$AZ$9:$BD$102,5)),RundDx)</f>
        <v>3949721</v>
      </c>
      <c r="GD39" s="25">
        <f>ROUND(v^($FM39+FaktorAlter)*VLOOKUP($FM39,$G$9:$J$102,4)*VLOOKUP($FM39,$A$9:$E$102,5)*0.5*(VLOOKUP($FM39-GD$103,Frauen!$G$9:$J$102,4)+VLOOKUP($FM39-GD$103+1,Frauen!$G$9:$J$102,4))*0.5*(VLOOKUP($FM39-GD$103,Frauen!$AZ$9:$BD$102,5)+VLOOKUP($FM39-GD$103+1,Frauen!$AZ$9:$BD$102,5)),RundDx)</f>
        <v>5764549</v>
      </c>
      <c r="GE39" s="25">
        <f>ROUND(v^($FM39+FaktorAlter)*VLOOKUP($FM39,$G$9:$J$102,4)*VLOOKUP($FM39,$A$9:$E$102,5)*0.5*(VLOOKUP($FM39-GE$103,Frauen!$G$9:$J$102,4)+VLOOKUP($FM39-GE$103+1,Frauen!$G$9:$J$102,4))*0.5*(VLOOKUP($FM39-GE$103,Frauen!$AZ$9:$BD$102,5)+VLOOKUP($FM39-GE$103+1,Frauen!$AZ$9:$BD$102,5)),RundDx)</f>
        <v>8145285</v>
      </c>
      <c r="GF39" s="25">
        <f>ROUND(v^($FM39+FaktorAlter)*VLOOKUP($FM39,$G$9:$J$102,4)*VLOOKUP($FM39,$A$9:$E$102,5)*0.5*(VLOOKUP($FM39-GF$103,Frauen!$G$9:$J$102,4)+VLOOKUP($FM39-GF$103+1,Frauen!$G$9:$J$102,4))*0.5*(VLOOKUP($FM39-GF$103,Frauen!$AZ$9:$BD$102,5)+VLOOKUP($FM39-GF$103+1,Frauen!$AZ$9:$BD$102,5)),RundDx)</f>
        <v>11195468</v>
      </c>
      <c r="GG39" s="25">
        <f>ROUND(v^($FM39+FaktorAlter)*VLOOKUP($FM39,$G$9:$J$102,4)*VLOOKUP($FM39,$A$9:$E$102,5)*0.5*(VLOOKUP($FM39-GG$103,Frauen!$G$9:$J$102,4)+VLOOKUP($FM39-GG$103+1,Frauen!$G$9:$J$102,4))*0.5*(VLOOKUP($FM39-GG$103,Frauen!$AZ$9:$BD$102,5)+VLOOKUP($FM39-GG$103+1,Frauen!$AZ$9:$BD$102,5)),RundDx)</f>
        <v>14977357</v>
      </c>
      <c r="GH39" s="25">
        <f>ROUND(v^($FM39+FaktorAlter)*VLOOKUP($FM39,$G$9:$J$102,4)*VLOOKUP($FM39,$A$9:$E$102,5)*0.5*(VLOOKUP($FM39-GH$103,Frauen!$G$9:$J$102,4)+VLOOKUP($FM39-GH$103+1,Frauen!$G$9:$J$102,4))*0.5*(VLOOKUP($FM39-GH$103,Frauen!$AZ$9:$BD$102,5)+VLOOKUP($FM39-GH$103+1,Frauen!$AZ$9:$BD$102,5)),RundDx)</f>
        <v>19498326</v>
      </c>
      <c r="GI39" s="25">
        <f>ROUND(v^($FM39+FaktorAlter)*VLOOKUP($FM39,$G$9:$J$102,4)*VLOOKUP($FM39,$A$9:$E$102,5)*0.5*(VLOOKUP($FM39-GI$103,Frauen!$G$9:$J$102,4)+VLOOKUP($FM39-GI$103+1,Frauen!$G$9:$J$102,4))*0.5*(VLOOKUP($FM39-GI$103,Frauen!$AZ$9:$BD$102,5)+VLOOKUP($FM39-GI$103+1,Frauen!$AZ$9:$BD$102,5)),RundDx)</f>
        <v>24797158</v>
      </c>
      <c r="GJ39" s="25">
        <f>ROUND(v^($FM39+FaktorAlter)*VLOOKUP($FM39,$G$9:$J$102,4)*VLOOKUP($FM39,$A$9:$E$102,5)*0.5*(VLOOKUP($FM39-GJ$103,Frauen!$G$9:$J$102,4)+VLOOKUP($FM39-GJ$103+1,Frauen!$G$9:$J$102,4))*0.5*(VLOOKUP($FM39-GJ$103,Frauen!$AZ$9:$BD$102,5)+VLOOKUP($FM39-GJ$103+1,Frauen!$AZ$9:$BD$102,5)),RundDx)</f>
        <v>30880651</v>
      </c>
      <c r="GK39" s="25">
        <f>ROUND(v^($FM39+FaktorAlter)*VLOOKUP($FM39,$G$9:$J$102,4)*VLOOKUP($FM39,$A$9:$E$102,5)*0.5*(VLOOKUP($FM39-GK$103,Frauen!$G$9:$J$102,4)+VLOOKUP($FM39-GK$103+1,Frauen!$G$9:$J$102,4))*0.5*(VLOOKUP($FM39-GK$103,Frauen!$AZ$9:$BD$102,5)+VLOOKUP($FM39-GK$103+1,Frauen!$AZ$9:$BD$102,5)),RundDx)</f>
        <v>37730023</v>
      </c>
      <c r="GL39" s="25">
        <f>ROUND(v^($FM39+FaktorAlter)*VLOOKUP($FM39,$G$9:$J$102,4)*VLOOKUP($FM39,$A$9:$E$102,5)*0.5*(VLOOKUP($FM39-GL$103,Frauen!$G$9:$J$102,4)+VLOOKUP($FM39-GL$103+1,Frauen!$G$9:$J$102,4))*0.5*(VLOOKUP($FM39-GL$103,Frauen!$AZ$9:$BD$102,5)+VLOOKUP($FM39-GL$103+1,Frauen!$AZ$9:$BD$102,5)),RundDx)</f>
        <v>45310414</v>
      </c>
      <c r="GM39" s="25">
        <f>ROUND(v^($FM39+FaktorAlter)*VLOOKUP($FM39,$G$9:$J$102,4)*VLOOKUP($FM39,$A$9:$E$102,5)*0.5*(VLOOKUP($FM39-GM$103,Frauen!$G$9:$J$102,4)+VLOOKUP($FM39-GM$103+1,Frauen!$G$9:$J$102,4))*0.5*(VLOOKUP($FM39-GM$103,Frauen!$AZ$9:$BD$102,5)+VLOOKUP($FM39-GM$103+1,Frauen!$AZ$9:$BD$102,5)),RundDx)</f>
        <v>53549084</v>
      </c>
      <c r="GN39" s="25">
        <f>ROUND(v^($FM39+FaktorAlter)*VLOOKUP($FM39,$G$9:$J$102,4)*VLOOKUP($FM39,$A$9:$E$102,5)*0.5*(VLOOKUP($FM39-GN$103,Frauen!$G$9:$J$102,4)+VLOOKUP($FM39-GN$103+1,Frauen!$G$9:$J$102,4))*0.5*(VLOOKUP($FM39-GN$103,Frauen!$AZ$9:$BD$102,5)+VLOOKUP($FM39-GN$103+1,Frauen!$AZ$9:$BD$102,5)),RundDx)</f>
        <v>62358725</v>
      </c>
      <c r="GO39" s="25">
        <f>ROUND(v^($FM39+FaktorAlter)*VLOOKUP($FM39,$G$9:$J$102,4)*VLOOKUP($FM39,$A$9:$E$102,5)*0.5*(VLOOKUP($FM39-GO$103,Frauen!$G$9:$J$102,4)+VLOOKUP($FM39-GO$103+1,Frauen!$G$9:$J$102,4))*0.5*(VLOOKUP($FM39-GO$103,Frauen!$AZ$9:$BD$102,5)+VLOOKUP($FM39-GO$103+1,Frauen!$AZ$9:$BD$102,5)),RundDx)</f>
        <v>71652963</v>
      </c>
      <c r="GP39" s="25">
        <f>ROUND(v^($FM39+FaktorAlter)*VLOOKUP($FM39,$G$9:$J$102,4)*VLOOKUP($FM39,$A$9:$E$102,5)*0.5*(VLOOKUP($FM39-GP$103,Frauen!$G$9:$J$102,4)+VLOOKUP($FM39-GP$103+1,Frauen!$G$9:$J$102,4))*0.5*(VLOOKUP($FM39-GP$103,Frauen!$AZ$9:$BD$102,5)+VLOOKUP($FM39-GP$103+1,Frauen!$AZ$9:$BD$102,5)),RundDx)</f>
        <v>81329559</v>
      </c>
      <c r="GQ39" s="25">
        <f>ROUND(v^($FM39+FaktorAlter)*VLOOKUP($FM39,$G$9:$J$102,4)*VLOOKUP($FM39,$A$9:$E$102,5)*0.5*(VLOOKUP($FM39-GQ$103,Frauen!$G$9:$J$102,4)+VLOOKUP($FM39-GQ$103+1,Frauen!$G$9:$J$102,4))*0.5*(VLOOKUP($FM39-GQ$103,Frauen!$AZ$9:$BD$102,5)+VLOOKUP($FM39-GQ$103+1,Frauen!$AZ$9:$BD$102,5)),RundDx)</f>
        <v>91291930</v>
      </c>
      <c r="GR39" s="25">
        <f>ROUND(v^($FM39+FaktorAlter)*VLOOKUP($FM39,$G$9:$J$102,4)*VLOOKUP($FM39,$A$9:$E$102,5)*0.5*(VLOOKUP($FM39-GR$103,Frauen!$G$9:$J$102,4)+VLOOKUP($FM39-GR$103+1,Frauen!$G$9:$J$102,4))*0.5*(VLOOKUP($FM39-GR$103,Frauen!$AZ$9:$BD$102,5)+VLOOKUP($FM39-GR$103+1,Frauen!$AZ$9:$BD$102,5)),RundDx)</f>
        <v>101474270</v>
      </c>
      <c r="GS39" s="24"/>
      <c r="GT39" s="24"/>
      <c r="GU39" s="24"/>
      <c r="GV39" s="24"/>
      <c r="GW39" s="24"/>
      <c r="GX39" s="24"/>
      <c r="GY39" s="24"/>
      <c r="GZ39" s="24">
        <f>ROUND(SUM(FU39:FU$56)/VLOOKUP($FM39,$AQ$9:$AR$102,2)/VLOOKUP($FM39-GZ$103,Frauen!$G$9:$J$102,4),Rundäx)</f>
        <v>0.158</v>
      </c>
      <c r="HA39" s="86"/>
      <c r="HB39" s="35">
        <f t="shared" si="63"/>
        <v>95</v>
      </c>
      <c r="HC39" s="24">
        <f>ROUND(SUM(FV39:FV$56)/VLOOKUP($FM39,$AQ$9:$AR$102,2)/VLOOKUP($FM39-HC$103,Frauen!$G$9:$J$102,4),Rundäx)</f>
        <v>0.28199999999999997</v>
      </c>
      <c r="HD39" s="24">
        <f>ROUND(SUM(FW39:FW$56)/VLOOKUP($FM39,$AQ$9:$AR$102,2)/VLOOKUP($FM39-HD$103,Frauen!$G$9:$J$102,4),Rundäx)</f>
        <v>0.39200000000000002</v>
      </c>
      <c r="HE39" s="24">
        <f>ROUND(SUM(FX39:FX$56)/VLOOKUP($FM39,$AQ$9:$AR$102,2)/VLOOKUP($FM39-HE$103,Frauen!$G$9:$J$102,4),Rundäx)</f>
        <v>0.50700000000000001</v>
      </c>
      <c r="HF39" s="24">
        <f>ROUND(SUM(FY39:FY$56)/VLOOKUP($FM39,$AQ$9:$AR$102,2)/VLOOKUP($FM39-HF$103,Frauen!$G$9:$J$102,4),Rundäx)</f>
        <v>0.629</v>
      </c>
      <c r="HG39" s="24">
        <f>ROUND(SUM(FZ39:FZ$56)/VLOOKUP($FM39,$AQ$9:$AR$102,2)/VLOOKUP($FM39-HG$103,Frauen!$G$9:$J$102,4),Rundäx)</f>
        <v>0.76400000000000001</v>
      </c>
      <c r="HH39" s="24">
        <f>ROUND(SUM(GA39:GA$56)/VLOOKUP($FM39,$AQ$9:$AR$102,2)/VLOOKUP($FM39-HH$103,Frauen!$G$9:$J$102,4),Rundäx)</f>
        <v>0.91200000000000003</v>
      </c>
      <c r="HI39" s="24">
        <f>ROUND(SUM(GB39:GB$56)/VLOOKUP($FM39,$AQ$9:$AR$102,2)/VLOOKUP($FM39-HI$103,Frauen!$G$9:$J$102,4),Rundäx)</f>
        <v>1.075</v>
      </c>
      <c r="HJ39" s="24">
        <f>ROUND(SUM(GC39:GC$56)/VLOOKUP($FM39,$AQ$9:$AR$102,2)/VLOOKUP($FM39-HJ$103,Frauen!$G$9:$J$102,4),Rundäx)</f>
        <v>1.256</v>
      </c>
      <c r="HK39" s="86"/>
      <c r="HL39" s="35">
        <f t="shared" si="64"/>
        <v>95</v>
      </c>
      <c r="HM39" s="24">
        <f>ROUND(SUM(GD39:GD$56)/VLOOKUP($FM39,$AQ$9:$AR$102,2)/VLOOKUP($FM39-HM$103,Frauen!$G$9:$J$102,4),Rundäx)</f>
        <v>1.4550000000000001</v>
      </c>
      <c r="HN39" s="24">
        <f>ROUND(SUM(GE39:GE$56)/VLOOKUP($FM39,$AQ$9:$AR$102,2)/VLOOKUP($FM39-HN$103,Frauen!$G$9:$J$102,4),Rundäx)</f>
        <v>1.675</v>
      </c>
      <c r="HO39" s="24">
        <f>ROUND(SUM(GF39:GF$56)/VLOOKUP($FM39,$AQ$9:$AR$102,2)/VLOOKUP($FM39-HO$103,Frauen!$G$9:$J$102,4),Rundäx)</f>
        <v>1.9159999999999999</v>
      </c>
      <c r="HP39" s="24">
        <f>ROUND(SUM(GG39:GG$56)/VLOOKUP($FM39,$AQ$9:$AR$102,2)/VLOOKUP($FM39-HP$103,Frauen!$G$9:$J$102,4),Rundäx)</f>
        <v>2.1800000000000002</v>
      </c>
      <c r="HQ39" s="24">
        <f>ROUND(SUM(GH39:GH$56)/VLOOKUP($FM39,$AQ$9:$AR$102,2)/VLOOKUP($FM39-HQ$103,Frauen!$G$9:$J$102,4),Rundäx)</f>
        <v>2.464</v>
      </c>
      <c r="HR39" s="24">
        <f>ROUND(SUM(GI39:GI$56)/VLOOKUP($FM39,$AQ$9:$AR$102,2)/VLOOKUP($FM39-HR$103,Frauen!$G$9:$J$102,4),Rundäx)</f>
        <v>2.7679999999999998</v>
      </c>
      <c r="HS39" s="24">
        <f>ROUND(SUM(GJ39:GJ$56)/VLOOKUP($FM39,$AQ$9:$AR$102,2)/VLOOKUP($FM39-HS$103,Frauen!$G$9:$J$102,4),Rundäx)</f>
        <v>3.0939999999999999</v>
      </c>
      <c r="HT39" s="24">
        <f>ROUND(SUM(GK39:GK$56)/VLOOKUP($FM39,$AQ$9:$AR$102,2)/VLOOKUP($FM39-HT$103,Frauen!$G$9:$J$102,4),Rundäx)</f>
        <v>3.4430000000000001</v>
      </c>
      <c r="HU39" s="86"/>
      <c r="HV39" s="35">
        <f t="shared" si="65"/>
        <v>95</v>
      </c>
      <c r="HW39" s="24">
        <f>ROUND(SUM(GL39:GL$56)/VLOOKUP($FM39,$AQ$9:$AR$102,2)/VLOOKUP($FM39-HW$103,Frauen!$G$9:$J$102,4),Rundäx)</f>
        <v>3.8159999999999998</v>
      </c>
      <c r="HX39" s="24">
        <f>ROUND(SUM(GM39:GM$56)/VLOOKUP($FM39,$AQ$9:$AR$102,2)/VLOOKUP($FM39-HX$103,Frauen!$G$9:$J$102,4),Rundäx)</f>
        <v>4.2149999999999999</v>
      </c>
      <c r="HY39" s="24">
        <f>ROUND(SUM(GN39:GN$56)/VLOOKUP($FM39,$AQ$9:$AR$102,2)/VLOOKUP($FM39-HY$103,Frauen!$G$9:$J$102,4),Rundäx)</f>
        <v>4.6390000000000002</v>
      </c>
      <c r="HZ39" s="24">
        <f>ROUND(SUM(GO39:GO$56)/VLOOKUP($FM39,$AQ$9:$AR$102,2)/VLOOKUP($FM39-HZ$103,Frauen!$G$9:$J$102,4),Rundäx)</f>
        <v>5.0880000000000001</v>
      </c>
      <c r="IA39" s="24">
        <f>ROUND(SUM(GP39:GP$56)/VLOOKUP($FM39,$AQ$9:$AR$102,2)/VLOOKUP($FM39-IA$103,Frauen!$G$9:$J$102,4),Rundäx)</f>
        <v>5.56</v>
      </c>
      <c r="IB39" s="24">
        <f>ROUND(SUM(GQ39:GQ$56)/VLOOKUP($FM39,$AQ$9:$AR$102,2)/VLOOKUP($FM39-IB$103,Frauen!$G$9:$J$102,4),Rundäx)</f>
        <v>6.0519999999999996</v>
      </c>
      <c r="IC39" s="24">
        <f>ROUND(SUM(GR39:GR$56)/VLOOKUP($FM39,$AQ$9:$AR$102,2)/VLOOKUP($FM39-IC$103,Frauen!$G$9:$J$102,4),Rundäx)</f>
        <v>6.5609999999999999</v>
      </c>
      <c r="ID39" s="89"/>
      <c r="IE39" s="35">
        <f t="shared" si="66"/>
        <v>47</v>
      </c>
      <c r="IF39" s="25">
        <f t="shared" si="31"/>
        <v>518</v>
      </c>
      <c r="IG39" s="25">
        <f>IF($IE39&lt;RAM,IF(S40&lt;=RAK,ROUND(SUM(IF39:INDEX(Dakx,RAM-BeginnAlter))+INDEX(Dax,RAM-BeginnAlter+1)*INDEX(äkx,1),RundDx),0),"")</f>
        <v>3569</v>
      </c>
      <c r="IH39" s="25">
        <f>IF($IE39&lt;RAM,IF(S40&lt;=RAK,ROUND(SUM(IG39:INDEX(Nakx,RAM-BeginnAlter))+INDEX(Dax,RAM-BeginnAlter+1)*INDEX(äkx,1),RundDx),0),"")</f>
        <v>20536</v>
      </c>
      <c r="II39" s="24">
        <f t="shared" si="32"/>
        <v>0.107</v>
      </c>
      <c r="IJ39" s="25">
        <f t="shared" si="33"/>
        <v>7354</v>
      </c>
      <c r="IK39" s="25">
        <f>IF($IE39&lt;RAM,IF(S40&lt;=RAK,SUM(IJ39:INDEX(Dikx,RAM-BeginnAlter))+INDEX(Dix,RAM-BeginnAlter+1)*INDEX(äkx,1),0),"")</f>
        <v>34774.832000000002</v>
      </c>
      <c r="IL39" s="24">
        <f t="shared" si="34"/>
        <v>0.76800000000000002</v>
      </c>
      <c r="IM39" s="86"/>
      <c r="IN39" s="35">
        <f t="shared" si="67"/>
        <v>95</v>
      </c>
      <c r="IO39" s="25"/>
      <c r="IP39" s="25"/>
      <c r="IQ39" s="24"/>
      <c r="IR39" s="86"/>
    </row>
    <row r="40" spans="1:252" ht="15.75" customHeight="1" x14ac:dyDescent="0.25">
      <c r="A40" s="35">
        <f t="shared" si="41"/>
        <v>48</v>
      </c>
      <c r="B40" s="77">
        <v>1.80799514270136E-3</v>
      </c>
      <c r="C40" s="77">
        <v>3.3249075565693507E-3</v>
      </c>
      <c r="D40" s="77">
        <v>2.0372970602846832E-2</v>
      </c>
      <c r="E40" s="77">
        <v>2.3727484680298172E-3</v>
      </c>
      <c r="F40" s="86"/>
      <c r="G40" s="35">
        <f t="shared" si="42"/>
        <v>48</v>
      </c>
      <c r="H40" s="25">
        <f t="shared" si="37"/>
        <v>94135</v>
      </c>
      <c r="I40" s="25">
        <f t="shared" si="38"/>
        <v>2799</v>
      </c>
      <c r="J40" s="25">
        <f t="shared" si="39"/>
        <v>96934</v>
      </c>
      <c r="K40" s="30">
        <f>IF(J40&gt;0,ROUND(SUM(J40:J$102)/J40-0.5,Rundex),"")</f>
        <v>32.14</v>
      </c>
      <c r="L40" s="25">
        <f t="shared" si="0"/>
        <v>126309</v>
      </c>
      <c r="M40" s="30">
        <f>IF(L40&gt;0,ROUND(SUM(L40:L$102)/L40-0.5,Rundex),"")</f>
        <v>26.36</v>
      </c>
      <c r="N40" s="86"/>
      <c r="O40" s="35">
        <f t="shared" si="43"/>
        <v>48</v>
      </c>
      <c r="P40" s="43">
        <v>0.77008494404048</v>
      </c>
      <c r="Q40" s="78">
        <v>46.034132933236009</v>
      </c>
      <c r="R40" s="43">
        <v>0.76363294606942056</v>
      </c>
      <c r="S40" s="78">
        <v>13.909360128865966</v>
      </c>
      <c r="T40" s="15">
        <v>2.3769862745124382E-3</v>
      </c>
      <c r="U40" s="11">
        <f t="shared" si="40"/>
        <v>96934</v>
      </c>
      <c r="V40" s="30">
        <f>IF(U40&gt;0,ROUND(SUM(U40:U$102)/U40-0.5,Rundex),"")</f>
        <v>29.71</v>
      </c>
      <c r="W40" s="86"/>
      <c r="X40" s="35">
        <f t="shared" si="44"/>
        <v>48</v>
      </c>
      <c r="Y40" s="25">
        <f t="shared" si="1"/>
        <v>32353</v>
      </c>
      <c r="Z40" s="25">
        <f>IF($X40&lt;RAM,SUM(Y40:INDEX(Dax,RAM-BeginnAlter))," ")</f>
        <v>421264</v>
      </c>
      <c r="AA40" s="25">
        <f t="shared" si="2"/>
        <v>58</v>
      </c>
      <c r="AB40" s="25">
        <f>IF($X40&lt;RAM,SUM(AA40:INDEX(Cax,RAM-BeginnAlter))," ")</f>
        <v>1709</v>
      </c>
      <c r="AC40" s="25">
        <f t="shared" si="3"/>
        <v>106</v>
      </c>
      <c r="AD40" s="25">
        <f>IF($X40&lt;RAM,SUM(AC40:INDEX(Caix,RAM-BeginnAlter))," ")</f>
        <v>6686</v>
      </c>
      <c r="AE40" s="24">
        <f t="shared" si="4"/>
        <v>13.021000000000001</v>
      </c>
      <c r="AF40" s="24">
        <f t="shared" si="5"/>
        <v>12.772</v>
      </c>
      <c r="AG40" s="86"/>
      <c r="AH40" s="35">
        <f t="shared" si="45"/>
        <v>48</v>
      </c>
      <c r="AI40" s="25">
        <f t="shared" si="6"/>
        <v>43411</v>
      </c>
      <c r="AJ40" s="25">
        <f>IF($AH40&gt;RAM," ",IF($AH40&lt;RAM,SUM(AI40:INDEX(Dix,RAM-BeginnAlter))+INDEX(Nx,RAM-BeginnAlter+1),INDEX(Nx,RAM-BeginnAlter+1)))</f>
        <v>830542</v>
      </c>
      <c r="AK40" s="25">
        <f>IF($AH40&lt;RAM,SUM(AI40:INDEX(Dix,RAM-BeginnAlter))," ")</f>
        <v>533295</v>
      </c>
      <c r="AL40" s="24">
        <f t="shared" si="7"/>
        <v>19.132000000000001</v>
      </c>
      <c r="AM40" s="24">
        <f t="shared" si="8"/>
        <v>18.673999999999999</v>
      </c>
      <c r="AN40" s="24">
        <f t="shared" si="9"/>
        <v>12.285</v>
      </c>
      <c r="AO40" s="24">
        <f t="shared" si="10"/>
        <v>12.042999999999999</v>
      </c>
      <c r="AP40" s="86"/>
      <c r="AQ40" s="35">
        <f t="shared" si="46"/>
        <v>48</v>
      </c>
      <c r="AR40" s="25">
        <f t="shared" si="11"/>
        <v>33315</v>
      </c>
      <c r="AS40" s="25">
        <f>SUM(AR40:AR$94)</f>
        <v>759556</v>
      </c>
      <c r="AT40" s="25">
        <f>IF($AQ40&lt;RAM,SUM(AR40:INDEX(Dx,RAM-BeginnAlter))," ")</f>
        <v>462309</v>
      </c>
      <c r="AU40" s="24">
        <f t="shared" si="12"/>
        <v>22.798999999999999</v>
      </c>
      <c r="AV40" s="24">
        <f t="shared" si="13"/>
        <v>22.341000000000001</v>
      </c>
      <c r="AW40" s="24">
        <f t="shared" si="14"/>
        <v>13.877000000000001</v>
      </c>
      <c r="AX40" s="24">
        <f t="shared" si="15"/>
        <v>13.7</v>
      </c>
      <c r="AY40" s="86"/>
      <c r="AZ40" s="35">
        <f t="shared" si="47"/>
        <v>48</v>
      </c>
      <c r="BA40" s="25">
        <f t="shared" si="16"/>
        <v>33315</v>
      </c>
      <c r="BB40" s="25">
        <f>SUM(BA40:BA$94)</f>
        <v>717505</v>
      </c>
      <c r="BC40" s="24">
        <f t="shared" si="17"/>
        <v>21.536999999999999</v>
      </c>
      <c r="BD40" s="24">
        <f t="shared" si="18"/>
        <v>21.079000000000001</v>
      </c>
      <c r="BE40" s="86"/>
      <c r="BF40" s="35">
        <f t="shared" si="48"/>
        <v>31</v>
      </c>
      <c r="BG40" s="24" t="str">
        <f t="shared" si="19"/>
        <v/>
      </c>
      <c r="BH40" s="24" t="str">
        <f t="shared" si="20"/>
        <v/>
      </c>
      <c r="BI40" s="86"/>
      <c r="BJ40" s="35">
        <f t="shared" si="49"/>
        <v>48</v>
      </c>
      <c r="BK40" s="25">
        <f t="shared" si="21"/>
        <v>1976</v>
      </c>
      <c r="BL40" s="25">
        <f>IF(BJ40&lt;RAM,SUM(BK40:INDEX(Daix,RAM-BeginnAlter))," ")</f>
        <v>105674</v>
      </c>
      <c r="BM40" s="25">
        <f>IF(BJ40&lt;RAM,SUM(BL40:INDEX(Naix,RAM-BeginnAlter))," ")</f>
        <v>1209396</v>
      </c>
      <c r="BN40" s="24">
        <f t="shared" si="22"/>
        <v>6.4210000000000003</v>
      </c>
      <c r="BO40" s="24">
        <f t="shared" si="23"/>
        <v>3.266</v>
      </c>
      <c r="BP40" s="86"/>
      <c r="BQ40" s="35">
        <f t="shared" si="50"/>
        <v>48</v>
      </c>
      <c r="BR40" s="25">
        <f t="shared" si="51"/>
        <v>1255</v>
      </c>
      <c r="BS40" s="25">
        <f>IF(BQ40&lt;RAM,SUM(BR40:INDEX(Daixs,RAM-BeginnAlter))," ")</f>
        <v>31945</v>
      </c>
      <c r="BT40" s="25">
        <f>IF(BQ40&lt;RAM,SUM(BS40:INDEX(Naixs,RAM-BeginnAlter))," ")</f>
        <v>287521</v>
      </c>
      <c r="BU40" s="24">
        <f t="shared" si="52"/>
        <v>8.6999999999999993</v>
      </c>
      <c r="BV40" s="24">
        <f t="shared" si="53"/>
        <v>0.98699999999999999</v>
      </c>
      <c r="BW40" s="86"/>
      <c r="BX40" s="35">
        <f t="shared" si="54"/>
        <v>48</v>
      </c>
      <c r="BY40" s="10">
        <f t="shared" si="24"/>
        <v>8.4587643287683925</v>
      </c>
      <c r="BZ40" s="11">
        <f t="shared" si="25"/>
        <v>648</v>
      </c>
      <c r="CA40" s="25">
        <f>IF(S41&lt;=RAK,IF($BX40&lt;RAM,SUM(BZ40:INDEX(Dazx,RAM-BeginnAlter)),""),"")</f>
        <v>5971</v>
      </c>
      <c r="CB40" s="24">
        <f t="shared" si="26"/>
        <v>0.185</v>
      </c>
      <c r="CC40" s="25">
        <f t="shared" si="27"/>
        <v>24877</v>
      </c>
      <c r="CD40" s="24">
        <f t="shared" si="28"/>
        <v>16.966999999999999</v>
      </c>
      <c r="CE40" s="24">
        <f t="shared" si="29"/>
        <v>3.1E-2</v>
      </c>
      <c r="CF40" s="86"/>
      <c r="CG40" s="35">
        <f t="shared" si="55"/>
        <v>48</v>
      </c>
      <c r="CH40" s="25">
        <f>IF(CG40&lt;RAM,ROUND(v^($CG40+FaktorAlter)*$H40*($B40*0.5*($P40+$P41)*(VLOOKUP(TRUNC(0.5*($Q40+$Q41),0),Frauen!$AZ$9:$BD$95,5)+(0.5*($Q40+$Q41)-TRUNC(0.5*($Q40+$Q41),0))*(VLOOKUP(TRUNC(0.5*($Q40+$Q41)+1,0),Frauen!$AZ$9:$BD$95,5)-VLOOKUP(TRUNC(0.5*($Q40+$Q41),0),Frauen!$AZ$9:$BD$95,5)))+$C40*0.5*($CN40+$CN41)),RundDx),"")</f>
        <v>1855</v>
      </c>
      <c r="CI40" s="25">
        <f>IF(CG40&lt;RAM,ROUND(SUM(CH40:INDEX(Dawx,RAM-BeginnAlter))+INDEX(Dax,RAM-BeginnAlter+1)*INDEX(äwx,1),RundDx),"")</f>
        <v>145252</v>
      </c>
      <c r="CJ40" s="25">
        <f>IF(CG40&lt;RAM,ROUND(SUM(CI40:INDEX(Nawx,RAM-BeginnAlter))+INDEX(Dax,RAM-BeginnAlter+1)*INDEX(äwx,1),RundDx),"")</f>
        <v>2135596</v>
      </c>
      <c r="CK40" s="24">
        <f t="shared" si="56"/>
        <v>4.49</v>
      </c>
      <c r="CL40" s="25">
        <f>IF(CG40&lt;RAM,ROUND(v^($CG40+FaktorAlter)*$L40*$D40*0.5*($P40+$P41)*(VLOOKUP(TRUNC(0.5*($Q40+$Q41),0),Frauen!$AZ$9:$BD$95,5)+(0.5*($Q40+$Q41)-TRUNC(0.5*($Q40+$Q41),0))*(VLOOKUP(TRUNC(0.5*($Q40+$Q41)+1,0),Frauen!$AZ$9:$BD$95,5)-VLOOKUP(TRUNC(0.5*($Q40+$Q41),0),Frauen!$AZ$9:$BD$95,5))),RundDx),"")</f>
        <v>16880</v>
      </c>
      <c r="CM40" s="25">
        <f>IF(CG40&lt;RAM,SUM(CL40:INDEX(Diwx,RAM-BeginnAlter))+INDEX(Dix,RAM-BeginnAlter+1)*INDEX(äwx,1),"")</f>
        <v>303739.41399999999</v>
      </c>
      <c r="CN40" s="24">
        <f t="shared" si="57"/>
        <v>6.9969999999999999</v>
      </c>
      <c r="CO40" s="86"/>
      <c r="CP40" s="35">
        <f t="shared" si="58"/>
        <v>96</v>
      </c>
      <c r="CQ40" s="11">
        <f>ROUND(v^($CP40+FaktorAlter)*VLOOKUP(CP40,G$9:J$102,4)*VLOOKUP(CP40,A$9:E$102,5)*0.5*(VLOOKUP(CP40,O$9:P$102,2)+VLOOKUP(CP40+1,O$9:P$102,2))*(VLOOKUP(TRUNC(0.5*(VLOOKUP(CP40,O$9:Q$102,3)+VLOOKUP(CP40+1,O$9:Q$102,3)),0),Frauen!$AZ$9:$BD$95,5)+(0.5*(VLOOKUP(CP40,O$9:Q$102,3)+VLOOKUP(CP40+1,O$9:Q$102,3))-TRUNC(0.5*(VLOOKUP(CP40,O$9:Q$102,3)+VLOOKUP(CP40+1,O$9:Q$102,3)),0))*(VLOOKUP(TRUNC(0.5*(VLOOKUP(CP40,O$9:Q$102,3)+VLOOKUP(CP40+1,O$9:Q$102,3))+1,0),Frauen!$AZ$9:$BD$95,5)-VLOOKUP(TRUNC(0.5*(VLOOKUP(CP40,O$9:Q$102,3)+VLOOKUP(CP40+1,O$9:Q$102,3)),0),Frauen!$AZ$9:$BD$95,5))),RundDx)</f>
        <v>142</v>
      </c>
      <c r="CR40" s="25">
        <f>SUM(CQ40:CQ$56)</f>
        <v>270</v>
      </c>
      <c r="CS40" s="24">
        <f t="shared" si="30"/>
        <v>0.73599999999999999</v>
      </c>
      <c r="CT40" s="86"/>
      <c r="CU40" s="35">
        <f t="shared" si="59"/>
        <v>48</v>
      </c>
      <c r="CV40" s="25">
        <f>IF($CU40&gt;=RAM,"",IF($CU40-CV$103&lt;BeginnAlter,"",ROUND(v^($CU40+FaktorAlter)*$L40*$D40*0.5*(VLOOKUP($CU40-CV$103,Frauen!$G$9:$J$102,4)+VLOOKUP($CU40-CV$103+1,Frauen!$G$9:$J$102,4))*0.5*(VLOOKUP($CU40-CV$103,Frauen!$AZ$9:$BD$102,5)+VLOOKUP($CU40-CV$103+1,Frauen!$AZ$9:$BD$102,5)),RundDx)))</f>
        <v>1370216019</v>
      </c>
      <c r="CW40" s="25">
        <f>IF($CU40&gt;=RAM,"",IF($CU40-CW$103&lt;BeginnAlter,"",ROUND(v^($CU40+FaktorAlter)*$L40*$D40*0.5*(VLOOKUP($CU40-CW$103,Frauen!$G$9:$J$102,4)+VLOOKUP($CU40-CW$103+1,Frauen!$G$9:$J$102,4))*0.5*(VLOOKUP($CU40-CW$103,Frauen!$AZ$9:$BD$102,5)+VLOOKUP($CU40-CW$103+1,Frauen!$AZ$9:$BD$102,5)),RundDx)))</f>
        <v>1421194227</v>
      </c>
      <c r="CX40" s="25">
        <f>IF($CU40&gt;=RAM,"",IF($CU40-CX$103&lt;BeginnAlter,"",ROUND(v^($CU40+FaktorAlter)*$L40*$D40*0.5*(VLOOKUP($CU40-CX$103,Frauen!$G$9:$J$102,4)+VLOOKUP($CU40-CX$103+1,Frauen!$G$9:$J$102,4))*0.5*(VLOOKUP($CU40-CX$103,Frauen!$AZ$9:$BD$102,5)+VLOOKUP($CU40-CX$103+1,Frauen!$AZ$9:$BD$102,5)),RundDx)))</f>
        <v>1471320834</v>
      </c>
      <c r="CY40" s="25">
        <f>IF($CU40&gt;=RAM,"",IF($CU40-CY$103&lt;BeginnAlter,"",ROUND(v^($CU40+FaktorAlter)*$L40*$D40*0.5*(VLOOKUP($CU40-CY$103,Frauen!$G$9:$J$102,4)+VLOOKUP($CU40-CY$103+1,Frauen!$G$9:$J$102,4))*0.5*(VLOOKUP($CU40-CY$103,Frauen!$AZ$9:$BD$102,5)+VLOOKUP($CU40-CY$103+1,Frauen!$AZ$9:$BD$102,5)),RundDx)))</f>
        <v>1520528966</v>
      </c>
      <c r="CZ40" s="25">
        <f>IF($CU40&gt;=RAM,"",IF($CU40-CZ$103&lt;BeginnAlter,"",ROUND(v^($CU40+FaktorAlter)*$L40*$D40*0.5*(VLOOKUP($CU40-CZ$103,Frauen!$G$9:$J$102,4)+VLOOKUP($CU40-CZ$103+1,Frauen!$G$9:$J$102,4))*0.5*(VLOOKUP($CU40-CZ$103,Frauen!$AZ$9:$BD$102,5)+VLOOKUP($CU40-CZ$103+1,Frauen!$AZ$9:$BD$102,5)),RundDx)))</f>
        <v>1568805316</v>
      </c>
      <c r="DA40" s="25">
        <f>IF($CU40&gt;=RAM,"",IF($CU40-DA$103&lt;BeginnAlter,"",ROUND(v^($CU40+FaktorAlter)*$L40*$D40*0.5*(VLOOKUP($CU40-DA$103,Frauen!$G$9:$J$102,4)+VLOOKUP($CU40-DA$103+1,Frauen!$G$9:$J$102,4))*0.5*(VLOOKUP($CU40-DA$103,Frauen!$AZ$9:$BD$102,5)+VLOOKUP($CU40-DA$103+1,Frauen!$AZ$9:$BD$102,5)),RundDx)))</f>
        <v>1616250164</v>
      </c>
      <c r="DB40" s="25">
        <f>IF($CU40&gt;=RAM,"",IF($CU40-DB$103&lt;BeginnAlter,"",ROUND(v^($CU40+FaktorAlter)*$L40*$D40*0.5*(VLOOKUP($CU40-DB$103,Frauen!$G$9:$J$102,4)+VLOOKUP($CU40-DB$103+1,Frauen!$G$9:$J$102,4))*0.5*(VLOOKUP($CU40-DB$103,Frauen!$AZ$9:$BD$102,5)+VLOOKUP($CU40-DB$103+1,Frauen!$AZ$9:$BD$102,5)),RundDx)))</f>
        <v>1663011830</v>
      </c>
      <c r="DC40" s="25">
        <f>IF($CU40&gt;=RAM,"",IF($CU40-DC$103&lt;BeginnAlter,"",ROUND(v^($CU40+FaktorAlter)*$L40*$D40*0.5*(VLOOKUP($CU40-DC$103,Frauen!$G$9:$J$102,4)+VLOOKUP($CU40-DC$103+1,Frauen!$G$9:$J$102,4))*0.5*(VLOOKUP($CU40-DC$103,Frauen!$AZ$9:$BD$102,5)+VLOOKUP($CU40-DC$103+1,Frauen!$AZ$9:$BD$102,5)),RundDx)))</f>
        <v>1709213060</v>
      </c>
      <c r="DD40" s="25">
        <f>IF($CU40&gt;=RAM,"",IF($CU40-DD$103&lt;BeginnAlter,"",ROUND(v^($CU40+FaktorAlter)*$L40*$D40*0.5*(VLOOKUP($CU40-DD$103,Frauen!$G$9:$J$102,4)+VLOOKUP($CU40-DD$103+1,Frauen!$G$9:$J$102,4))*0.5*(VLOOKUP($CU40-DD$103,Frauen!$AZ$9:$BD$102,5)+VLOOKUP($CU40-DD$103+1,Frauen!$AZ$9:$BD$102,5)),RundDx)))</f>
        <v>1754963845</v>
      </c>
      <c r="DE40" s="25">
        <f>IF($CU40&gt;=RAM,"",IF($CU40-DE$103&lt;BeginnAlter,"",ROUND(v^($CU40+FaktorAlter)*$L40*$D40*0.5*(VLOOKUP($CU40-DE$103,Frauen!$G$9:$J$102,4)+VLOOKUP($CU40-DE$103+1,Frauen!$G$9:$J$102,4))*0.5*(VLOOKUP($CU40-DE$103,Frauen!$AZ$9:$BD$102,5)+VLOOKUP($CU40-DE$103+1,Frauen!$AZ$9:$BD$102,5)),RundDx)))</f>
        <v>1800316201</v>
      </c>
      <c r="DF40" s="25">
        <f>IF($CU40&gt;=RAM,"",IF($CU40-DF$103&lt;BeginnAlter,"",ROUND(v^($CU40+FaktorAlter)*$L40*$D40*0.5*(VLOOKUP($CU40-DF$103,Frauen!$G$9:$J$102,4)+VLOOKUP($CU40-DF$103+1,Frauen!$G$9:$J$102,4))*0.5*(VLOOKUP($CU40-DF$103,Frauen!$AZ$9:$BD$102,5)+VLOOKUP($CU40-DF$103+1,Frauen!$AZ$9:$BD$102,5)),RundDx)))</f>
        <v>1845185576</v>
      </c>
      <c r="DG40" s="25">
        <f>IF($CU40&gt;=RAM,"",IF($CU40-DG$103&lt;BeginnAlter,"",ROUND(v^($CU40+FaktorAlter)*$L40*$D40*0.5*(VLOOKUP($CU40-DG$103,Frauen!$G$9:$J$102,4)+VLOOKUP($CU40-DG$103+1,Frauen!$G$9:$J$102,4))*0.5*(VLOOKUP($CU40-DG$103,Frauen!$AZ$9:$BD$102,5)+VLOOKUP($CU40-DG$103+1,Frauen!$AZ$9:$BD$102,5)),RundDx)))</f>
        <v>1889610049</v>
      </c>
      <c r="DH40" s="25">
        <f>IF($CU40&gt;=RAM,"",IF($CU40-DH$103&lt;BeginnAlter,"",ROUND(v^($CU40+FaktorAlter)*$L40*$D40*0.5*(VLOOKUP($CU40-DH$103,Frauen!$G$9:$J$102,4)+VLOOKUP($CU40-DH$103+1,Frauen!$G$9:$J$102,4))*0.5*(VLOOKUP($CU40-DH$103,Frauen!$AZ$9:$BD$102,5)+VLOOKUP($CU40-DH$103+1,Frauen!$AZ$9:$BD$102,5)),RundDx)))</f>
        <v>1933497277</v>
      </c>
      <c r="DI40" s="25">
        <f>IF($CU40&gt;=RAM,"",IF($CU40-DI$103&lt;BeginnAlter,"",ROUND(v^($CU40+FaktorAlter)*$L40*$D40*0.5*(VLOOKUP($CU40-DI$103,Frauen!$G$9:$J$102,4)+VLOOKUP($CU40-DI$103+1,Frauen!$G$9:$J$102,4))*0.5*(VLOOKUP($CU40-DI$103,Frauen!$AZ$9:$BD$102,5)+VLOOKUP($CU40-DI$103+1,Frauen!$AZ$9:$BD$102,5)),RundDx)))</f>
        <v>1976643835</v>
      </c>
      <c r="DJ40" s="25">
        <f>IF($CU40&gt;=RAM,"",IF($CU40-DJ$103&lt;BeginnAlter,"",ROUND(v^($CU40+FaktorAlter)*$L40*$D40*0.5*(VLOOKUP($CU40-DJ$103,Frauen!$G$9:$J$102,4)+VLOOKUP($CU40-DJ$103+1,Frauen!$G$9:$J$102,4))*0.5*(VLOOKUP($CU40-DJ$103,Frauen!$AZ$9:$BD$102,5)+VLOOKUP($CU40-DJ$103+1,Frauen!$AZ$9:$BD$102,5)),RundDx)))</f>
        <v>2018922553</v>
      </c>
      <c r="DK40" s="25">
        <f>IF($CU40&gt;=RAM,"",IF($CU40-DK$103&lt;BeginnAlter,"",ROUND(v^($CU40+FaktorAlter)*$L40*$D40*0.5*(VLOOKUP($CU40-DK$103,Frauen!$G$9:$J$102,4)+VLOOKUP($CU40-DK$103+1,Frauen!$G$9:$J$102,4))*0.5*(VLOOKUP($CU40-DK$103,Frauen!$AZ$9:$BD$102,5)+VLOOKUP($CU40-DK$103+1,Frauen!$AZ$9:$BD$102,5)),RundDx)))</f>
        <v>2060293453</v>
      </c>
      <c r="DL40" s="25">
        <f>IF($CU40&gt;=RAM,"",IF($CU40-DL$103&lt;BeginnAlter,"",ROUND(v^($CU40+FaktorAlter)*$L40*$D40*0.5*(VLOOKUP($CU40-DL$103,Frauen!$G$9:$J$102,4)+VLOOKUP($CU40-DL$103+1,Frauen!$G$9:$J$102,4))*0.5*(VLOOKUP($CU40-DL$103,Frauen!$AZ$9:$BD$102,5)+VLOOKUP($CU40-DL$103+1,Frauen!$AZ$9:$BD$102,5)),RundDx)))</f>
        <v>2100762030</v>
      </c>
      <c r="DM40" s="25">
        <f>IF($CU40&gt;=RAM,"",IF($CU40-DM$103&lt;BeginnAlter,"",ROUND(v^($CU40+FaktorAlter)*$L40*$D40*0.5*(VLOOKUP($CU40-DM$103,Frauen!$G$9:$J$102,4)+VLOOKUP($CU40-DM$103+1,Frauen!$G$9:$J$102,4))*0.5*(VLOOKUP($CU40-DM$103,Frauen!$AZ$9:$BD$102,5)+VLOOKUP($CU40-DM$103+1,Frauen!$AZ$9:$BD$102,5)),RundDx)))</f>
        <v>2140368721</v>
      </c>
      <c r="DN40" s="25">
        <f>IF($CU40&gt;=RAM,"",IF($CU40-DN$103&lt;BeginnAlter,"",ROUND(v^($CU40+FaktorAlter)*$L40*$D40*0.5*(VLOOKUP($CU40-DN$103,Frauen!$G$9:$J$102,4)+VLOOKUP($CU40-DN$103+1,Frauen!$G$9:$J$102,4))*0.5*(VLOOKUP($CU40-DN$103,Frauen!$AZ$9:$BD$102,5)+VLOOKUP($CU40-DN$103+1,Frauen!$AZ$9:$BD$102,5)),RundDx)))</f>
        <v>2179059459</v>
      </c>
      <c r="DO40" s="25">
        <f>IF($CU40&gt;=RAM,"",IF($CU40-DO$103&lt;BeginnAlter,"",ROUND(v^($CU40+FaktorAlter)*$L40*$D40*0.5*(VLOOKUP($CU40-DO$103,Frauen!$G$9:$J$102,4)+VLOOKUP($CU40-DO$103+1,Frauen!$G$9:$J$102,4))*0.5*(VLOOKUP($CU40-DO$103,Frauen!$AZ$9:$BD$102,5)+VLOOKUP($CU40-DO$103+1,Frauen!$AZ$9:$BD$102,5)),RundDx)))</f>
        <v>2216846821</v>
      </c>
      <c r="DP40" s="25">
        <f>IF($CU40&gt;=RAM,"",IF($CU40-DP$103&lt;BeginnAlter,"",ROUND(v^($CU40+FaktorAlter)*$L40*$D40*0.5*(VLOOKUP($CU40-DP$103,Frauen!$G$9:$J$102,4)+VLOOKUP($CU40-DP$103+1,Frauen!$G$9:$J$102,4))*0.5*(VLOOKUP($CU40-DP$103,Frauen!$AZ$9:$BD$102,5)+VLOOKUP($CU40-DP$103+1,Frauen!$AZ$9:$BD$102,5)),RundDx)))</f>
        <v>2253820840</v>
      </c>
      <c r="DQ40" s="25">
        <f>IF($CU40&gt;=RAM,"",IF($CU40-DQ$103&lt;BeginnAlter,"",ROUND(v^($CU40+FaktorAlter)*$L40*$D40*0.5*(VLOOKUP($CU40-DQ$103,Frauen!$G$9:$J$102,4)+VLOOKUP($CU40-DQ$103+1,Frauen!$G$9:$J$102,4))*0.5*(VLOOKUP($CU40-DQ$103,Frauen!$AZ$9:$BD$102,5)+VLOOKUP($CU40-DQ$103+1,Frauen!$AZ$9:$BD$102,5)),RundDx)))</f>
        <v>2289999314</v>
      </c>
      <c r="DR40" s="25">
        <f>IF($CU40&gt;=RAM,"",IF($CU40-DR$103&lt;BeginnAlter,"",ROUND(v^($CU40+FaktorAlter)*$L40*$D40*0.5*(VLOOKUP($CU40-DR$103,Frauen!$G$9:$J$102,4)+VLOOKUP($CU40-DR$103+1,Frauen!$G$9:$J$102,4))*0.5*(VLOOKUP($CU40-DR$103,Frauen!$AZ$9:$BD$102,5)+VLOOKUP($CU40-DR$103+1,Frauen!$AZ$9:$BD$102,5)),RundDx)))</f>
        <v>2325390764</v>
      </c>
      <c r="DS40" s="25">
        <f>IF($CU40&gt;=RAM,"",IF($CU40-DS$103&lt;BeginnAlter,"",ROUND(v^($CU40+FaktorAlter)*$L40*$D40*0.5*(VLOOKUP($CU40-DS$103,Frauen!$G$9:$J$102,4)+VLOOKUP($CU40-DS$103+1,Frauen!$G$9:$J$102,4))*0.5*(VLOOKUP($CU40-DS$103,Frauen!$AZ$9:$BD$102,5)+VLOOKUP($CU40-DS$103+1,Frauen!$AZ$9:$BD$102,5)),RundDx)))</f>
        <v>2359993532</v>
      </c>
      <c r="DT40" s="25">
        <f>IF($CU40&gt;=RAM,"",IF($CU40-DT$103&lt;BeginnAlter,"",ROUND(v^($CU40+FaktorAlter)*$L40*$D40*0.5*(VLOOKUP($CU40-DT$103,Frauen!$G$9:$J$102,4)+VLOOKUP($CU40-DT$103+1,Frauen!$G$9:$J$102,4))*0.5*(VLOOKUP($CU40-DT$103,Frauen!$AZ$9:$BD$102,5)+VLOOKUP($CU40-DT$103+1,Frauen!$AZ$9:$BD$102,5)),RundDx)))</f>
        <v>2393831205</v>
      </c>
      <c r="DU40" s="25">
        <f>IF($CU40&gt;=RAM,"",IF($CU40-DU$103&lt;BeginnAlter,"",ROUND(v^($CU40+FaktorAlter)*$L40*$D40*0.5*(VLOOKUP($CU40-DU$103,Frauen!$G$9:$J$102,4)+VLOOKUP($CU40-DU$103+1,Frauen!$G$9:$J$102,4))*0.5*(VLOOKUP($CU40-DU$103,Frauen!$AZ$9:$BD$102,5)+VLOOKUP($CU40-DU$103+1,Frauen!$AZ$9:$BD$102,5)),RundDx)))</f>
        <v>2426917397</v>
      </c>
      <c r="DV40" s="25">
        <f>IF($CU40&gt;=RAM,"",IF($CU40-DV$103&lt;BeginnAlter,"",ROUND(v^($CU40+FaktorAlter)*$L40*$D40*0.5*(VLOOKUP($CU40-DV$103,Frauen!$G$9:$J$102,4)+VLOOKUP($CU40-DV$103+1,Frauen!$G$9:$J$102,4))*0.5*(VLOOKUP($CU40-DV$103,Frauen!$AZ$9:$BD$102,5)+VLOOKUP($CU40-DV$103+1,Frauen!$AZ$9:$BD$102,5)),RundDx)))</f>
        <v>2459310646</v>
      </c>
      <c r="DW40" s="25">
        <f>IF($CU40&gt;=RAM,"",IF($CU40-DW$103&lt;BeginnAlter,"",ROUND(v^($CU40+FaktorAlter)*$L40*$D40*0.5*(VLOOKUP($CU40-DW$103,Frauen!$G$9:$J$102,4)+VLOOKUP($CU40-DW$103+1,Frauen!$G$9:$J$102,4))*0.5*(VLOOKUP($CU40-DW$103,Frauen!$AZ$9:$BD$102,5)+VLOOKUP($CU40-DW$103+1,Frauen!$AZ$9:$BD$102,5)),RundDx)))</f>
        <v>2491071134</v>
      </c>
      <c r="DX40" s="25">
        <f>IF($CU40&gt;=RAM,"",IF($CU40-DX$103&lt;BeginnAlter,"",ROUND(v^($CU40+FaktorAlter)*$L40*$D40*0.5*(VLOOKUP($CU40-DX$103,Frauen!$G$9:$J$102,4)+VLOOKUP($CU40-DX$103+1,Frauen!$G$9:$J$102,4))*0.5*(VLOOKUP($CU40-DX$103,Frauen!$AZ$9:$BD$102,5)+VLOOKUP($CU40-DX$103+1,Frauen!$AZ$9:$BD$102,5)),RundDx)))</f>
        <v>2522217186</v>
      </c>
      <c r="DY40" s="25">
        <f>IF($CU40&gt;=RAM,"",IF($CU40-DY$103&lt;BeginnAlter,"",ROUND(v^($CU40+FaktorAlter)*$L40*$D40*0.5*(VLOOKUP($CU40-DY$103,Frauen!$G$9:$J$102,4)+VLOOKUP($CU40-DY$103+1,Frauen!$G$9:$J$102,4))*0.5*(VLOOKUP($CU40-DY$103,Frauen!$AZ$9:$BD$102,5)+VLOOKUP($CU40-DY$103+1,Frauen!$AZ$9:$BD$102,5)),RundDx)))</f>
        <v>2552725045</v>
      </c>
      <c r="DZ40" s="25">
        <f>IF($CU40&gt;=RAM,"",IF($CU40-DZ$103&lt;BeginnAlter,"",ROUND(v^($CU40+FaktorAlter)*$L40*$D40*0.5*(VLOOKUP($CU40-DZ$103,Frauen!$G$9:$J$102,4)+VLOOKUP($CU40-DZ$103+1,Frauen!$G$9:$J$102,4))*0.5*(VLOOKUP($CU40-DZ$103,Frauen!$AZ$9:$BD$102,5)+VLOOKUP($CU40-DZ$103+1,Frauen!$AZ$9:$BD$102,5)),RundDx)))</f>
        <v>2582602643</v>
      </c>
      <c r="EA40" s="43">
        <f>IF($CU40&gt;=RAM,"",IF($CU40-EA$103&lt;BeginnAlter,"",ROUND((SUM(CV40:CV$56)+SUM(FN$9:FN$56))/VLOOKUP($CU40,$AH$9:$AI$102,2)/VLOOKUP($CU40-EA$103,Frauen!$G$9:$J$102,4),Rundäx)))</f>
        <v>3.5579999999999998</v>
      </c>
      <c r="EB40" s="43">
        <f>IF($CU40&gt;=RAM,"",IF($CU40-EB$103&lt;BeginnAlter,"",ROUND((SUM(CW40:CW$56)+SUM(FO$9:FO$56))/VLOOKUP($CU40,$AH$9:$AI$102,2)/VLOOKUP($CU40-EB$103,Frauen!$G$9:$J$102,4),Rundäx)))</f>
        <v>3.76</v>
      </c>
      <c r="EC40" s="43">
        <f>IF($CU40&gt;=RAM,"",IF($CU40-EC$103&lt;BeginnAlter,"",ROUND((SUM(CX40:CX$56)+SUM(FP$9:FP$56))/VLOOKUP($CU40,$AH$9:$AI$102,2)/VLOOKUP($CU40-EC$103,Frauen!$G$9:$J$102,4),Rundäx)))</f>
        <v>3.9670000000000001</v>
      </c>
      <c r="ED40" s="43">
        <f>IF($CU40&gt;=RAM,"",IF($CU40-ED$103&lt;BeginnAlter,"",ROUND((SUM(CY40:CY$56)+SUM(FQ$9:FQ$56))/VLOOKUP($CU40,$AH$9:$AI$102,2)/VLOOKUP($CU40-ED$103,Frauen!$G$9:$J$102,4),Rundäx)))</f>
        <v>4.18</v>
      </c>
      <c r="EE40" s="43">
        <f>IF($CU40&gt;=RAM,"",IF($CU40-EE$103&lt;BeginnAlter,"",ROUND((SUM(CZ40:CZ$56)+SUM(FR$9:FR$56))/VLOOKUP($CU40,$AH$9:$AI$102,2)/VLOOKUP($CU40-EE$103,Frauen!$G$9:$J$102,4),Rundäx)))</f>
        <v>4.4009999999999998</v>
      </c>
      <c r="EF40" s="43">
        <f>IF($CU40&gt;=RAM,"",IF($CU40-EF$103&lt;BeginnAlter,"",ROUND((SUM(DA40:DA$56)+SUM(FS$9:FS$56))/VLOOKUP($CU40,$AH$9:$AI$102,2)/VLOOKUP($CU40-EF$103,Frauen!$G$9:$J$102,4),Rundäx)))</f>
        <v>4.6269999999999998</v>
      </c>
      <c r="EG40" s="43">
        <f>IF($CU40&gt;=RAM,"",IF($CU40-EG$103&lt;BeginnAlter,"",ROUND((SUM(DB40:DB$56)+SUM(FT$9:FT$56))/VLOOKUP($CU40,$AH$9:$AI$102,2)/VLOOKUP($CU40-EG$103,Frauen!$G$9:$J$102,4),Rundäx)))</f>
        <v>4.8600000000000003</v>
      </c>
      <c r="EH40" s="43">
        <f>IF($CU40&gt;=RAM,"",IF($CU40-EH$103&lt;BeginnAlter,"",ROUND((SUM(DC40:DC$56)+SUM(FU$9:FU$56))/VLOOKUP($CU40,$AH$9:$AI$102,2)/VLOOKUP($CU40-EH$103,Frauen!$G$9:$J$102,4),Rundäx)))</f>
        <v>5.0979999999999999</v>
      </c>
      <c r="EI40" s="86"/>
      <c r="EJ40" s="35">
        <f t="shared" si="60"/>
        <v>48</v>
      </c>
      <c r="EK40" s="43">
        <f>IF($CU40&gt;=RAM,"",IF($CU40-EK$103&lt;BeginnAlter,"",ROUND((SUM(DD40:DD$56)+SUM(FV$9:FV$56))/VLOOKUP($CU40,$AH$9:$AI$102,2)/VLOOKUP($CU40-EK$103,Frauen!$G$9:$J$102,4),Rundäx)))</f>
        <v>5.343</v>
      </c>
      <c r="EL40" s="43">
        <f>IF($CU40&gt;=RAM,"",IF($CU40-EL$103&lt;BeginnAlter,"",ROUND((SUM(DE40:DE$56)+SUM(FW$9:FW$56))/VLOOKUP($CU40,$AH$9:$AI$102,2)/VLOOKUP($CU40-EL$103,Frauen!$G$9:$J$102,4),Rundäx)))</f>
        <v>5.593</v>
      </c>
      <c r="EM40" s="43">
        <f>IF($CU40&gt;=RAM,"",IF($CU40-EM$103&lt;BeginnAlter,"",ROUND((SUM(DF40:DF$56)+SUM(FX$9:FX$56))/VLOOKUP($CU40,$AH$9:$AI$102,2)/VLOOKUP($CU40-EM$103,Frauen!$G$9:$J$102,4),Rundäx)))</f>
        <v>5.8490000000000002</v>
      </c>
      <c r="EN40" s="43">
        <f>IF($CU40&gt;=RAM,"",IF($CU40-EN$103&lt;BeginnAlter,"",ROUND((SUM(DG40:DG$56)+SUM(FY$9:FY$56))/VLOOKUP($CU40,$AH$9:$AI$102,2)/VLOOKUP($CU40-EN$103,Frauen!$G$9:$J$102,4),Rundäx)))</f>
        <v>6.1109999999999998</v>
      </c>
      <c r="EO40" s="43">
        <f>IF($CU40&gt;=RAM,"",IF($CU40-EO$103&lt;BeginnAlter,"",ROUND((SUM(DH40:DH$56)+SUM(FZ$9:FZ$56))/VLOOKUP($CU40,$AH$9:$AI$102,2)/VLOOKUP($CU40-EO$103,Frauen!$G$9:$J$102,4),Rundäx)))</f>
        <v>6.3769999999999998</v>
      </c>
      <c r="EP40" s="43">
        <f>IF($CU40&gt;=RAM,"",IF($CU40-EP$103&lt;BeginnAlter,"",ROUND((SUM(DI40:DI$56)+SUM(GA$9:GA$56))/VLOOKUP($CU40,$AH$9:$AI$102,2)/VLOOKUP($CU40-EP$103,Frauen!$G$9:$J$102,4),Rundäx)))</f>
        <v>6.6479999999999997</v>
      </c>
      <c r="EQ40" s="43">
        <f>IF($CU40&gt;=RAM,"",IF($CU40-EQ$103&lt;BeginnAlter,"",ROUND((SUM(DJ40:DJ$56)+SUM(GB$9:GB$56))/VLOOKUP($CU40,$AH$9:$AI$102,2)/VLOOKUP($CU40-EQ$103,Frauen!$G$9:$J$102,4),Rundäx)))</f>
        <v>6.9240000000000004</v>
      </c>
      <c r="ER40" s="43">
        <f>IF($CU40&gt;=RAM,"",IF($CU40-ER$103&lt;BeginnAlter,"",ROUND((SUM(DK40:DK$56)+SUM(GC$9:GC$56))/VLOOKUP($CU40,$AH$9:$AI$102,2)/VLOOKUP($CU40-ER$103,Frauen!$G$9:$J$102,4),Rundäx)))</f>
        <v>7.2050000000000001</v>
      </c>
      <c r="ES40" s="86"/>
      <c r="ET40" s="35">
        <f t="shared" si="61"/>
        <v>48</v>
      </c>
      <c r="EU40" s="43">
        <f>IF($CU40&gt;=RAM,"",IF($CU40-EU$103&lt;BeginnAlter,"",ROUND((SUM(DL40:DL$56)+SUM(GD$9:GD$56))/VLOOKUP($CU40,$AH$9:$AI$102,2)/VLOOKUP($CU40-EU$103,Frauen!$G$9:$J$102,4),Rundäx)))</f>
        <v>7.4889999999999999</v>
      </c>
      <c r="EV40" s="43">
        <f>IF($CU40&gt;=RAM,"",IF($CU40-EV$103&lt;BeginnAlter,"",ROUND((SUM(DM40:DM$56)+SUM(GE$9:GE$56))/VLOOKUP($CU40,$AH$9:$AI$102,2)/VLOOKUP($CU40-EV$103,Frauen!$G$9:$J$102,4),Rundäx)))</f>
        <v>7.7759999999999998</v>
      </c>
      <c r="EW40" s="43">
        <f>IF($CU40&gt;=RAM,"",IF($CU40-EW$103&lt;BeginnAlter,"",ROUND((SUM(DN40:DN$56)+SUM(GF$9:GF$56))/VLOOKUP($CU40,$AH$9:$AI$102,2)/VLOOKUP($CU40-EW$103,Frauen!$G$9:$J$102,4),Rundäx)))</f>
        <v>8.0660000000000007</v>
      </c>
      <c r="EX40" s="43">
        <f>IF($CU40&gt;=RAM,"",IF($CU40-EX$103&lt;BeginnAlter,"",ROUND((SUM(DO40:DO$56)+SUM(GG$9:GG$56))/VLOOKUP($CU40,$AH$9:$AI$102,2)/VLOOKUP($CU40-EX$103,Frauen!$G$9:$J$102,4),Rundäx)))</f>
        <v>8.359</v>
      </c>
      <c r="EY40" s="43">
        <f>IF($CU40&gt;=RAM,"",IF($CU40-EY$103&lt;BeginnAlter,"",ROUND((SUM(DP40:DP$56)+SUM(GH$9:GH$56))/VLOOKUP($CU40,$AH$9:$AI$102,2)/VLOOKUP($CU40-EY$103,Frauen!$G$9:$J$102,4),Rundäx)))</f>
        <v>8.6530000000000005</v>
      </c>
      <c r="EZ40" s="43">
        <f>IF($CU40&gt;=RAM,"",IF($CU40-EZ$103&lt;BeginnAlter,"",ROUND((SUM(DQ40:DQ$56)+SUM(GI$9:GI$56))/VLOOKUP($CU40,$AH$9:$AI$102,2)/VLOOKUP($CU40-EZ$103,Frauen!$G$9:$J$102,4),Rundäx)))</f>
        <v>8.9489999999999998</v>
      </c>
      <c r="FA40" s="43">
        <f>IF($CU40&gt;=RAM,"",IF($CU40-FA$103&lt;BeginnAlter,"",ROUND((SUM(DR40:DR$56)+SUM(GJ$9:GJ$56))/VLOOKUP($CU40,$AH$9:$AI$102,2)/VLOOKUP($CU40-FA$103,Frauen!$G$9:$J$102,4),Rundäx)))</f>
        <v>9.2460000000000004</v>
      </c>
      <c r="FB40" s="43">
        <f>IF($CU40&gt;=RAM,"",IF($CU40-FB$103&lt;BeginnAlter,"",ROUND((SUM(DS40:DS$56)+SUM(GK$9:GK$56))/VLOOKUP($CU40,$AH$9:$AI$102,2)/VLOOKUP($CU40-FB$103,Frauen!$G$9:$J$102,4),Rundäx)))</f>
        <v>9.5429999999999993</v>
      </c>
      <c r="FC40" s="86"/>
      <c r="FD40" s="35">
        <f t="shared" si="62"/>
        <v>48</v>
      </c>
      <c r="FE40" s="43">
        <f>IF($CU40&gt;=RAM,"",IF($CU40-FE$103&lt;BeginnAlter,"",ROUND((SUM(DT40:DT$56)+SUM(GL$9:GL$56))/VLOOKUP($CU40,$AH$9:$AI$102,2)/VLOOKUP($CU40-FE$103,Frauen!$G$9:$J$102,4),Rundäx)))</f>
        <v>9.84</v>
      </c>
      <c r="FF40" s="43">
        <f>IF($CU40&gt;=RAM,"",IF($CU40-FF$103&lt;BeginnAlter,"",ROUND((SUM(DU40:DU$56)+SUM(GM$9:GM$56))/VLOOKUP($CU40,$AH$9:$AI$102,2)/VLOOKUP($CU40-FF$103,Frauen!$G$9:$J$102,4),Rundäx)))</f>
        <v>10.135999999999999</v>
      </c>
      <c r="FG40" s="43">
        <f>IF($CU40&gt;=RAM,"",IF($CU40-FG$103&lt;BeginnAlter,"",ROUND((SUM(DV40:DV$56)+SUM(GN$9:GN$56))/VLOOKUP($CU40,$AH$9:$AI$102,2)/VLOOKUP($CU40-FG$103,Frauen!$G$9:$J$102,4),Rundäx)))</f>
        <v>10.430999999999999</v>
      </c>
      <c r="FH40" s="43">
        <f>IF($CU40&gt;=RAM,"",IF($CU40-FH$103&lt;BeginnAlter,"",ROUND((SUM(DW40:DW$56)+SUM(GO$9:GO$56))/VLOOKUP($CU40,$AH$9:$AI$102,2)/VLOOKUP($CU40-FH$103,Frauen!$G$9:$J$102,4),Rundäx)))</f>
        <v>10.725</v>
      </c>
      <c r="FI40" s="43">
        <f>IF($CU40&gt;=RAM,"",IF($CU40-FI$103&lt;BeginnAlter,"",ROUND((SUM(DX40:DX$56)+SUM(GP$9:GP$56))/VLOOKUP($CU40,$AH$9:$AI$102,2)/VLOOKUP($CU40-FI$103,Frauen!$G$9:$J$102,4),Rundäx)))</f>
        <v>11.016999999999999</v>
      </c>
      <c r="FJ40" s="43">
        <f>IF($CU40&gt;=RAM,"",IF($CU40-FJ$103&lt;BeginnAlter,"",ROUND((SUM(DY40:DY$56)+SUM(GQ$9:GQ$56))/VLOOKUP($CU40,$AH$9:$AI$102,2)/VLOOKUP($CU40-FJ$103,Frauen!$G$9:$J$102,4),Rundäx)))</f>
        <v>11.305999999999999</v>
      </c>
      <c r="FK40" s="43">
        <f>IF($CU40&gt;=RAM,"",IF($CU40-FK$103&lt;BeginnAlter,"",ROUND((SUM(DZ40:DZ$56)+SUM(GR$9:GR$56))/VLOOKUP($CU40,$AH$9:$AI$102,2)/VLOOKUP($CU40-FK$103,Frauen!$G$9:$J$102,4),Rundäx)))</f>
        <v>11.593</v>
      </c>
      <c r="FL40" s="86"/>
      <c r="FM40" s="35">
        <f t="shared" si="68"/>
        <v>96</v>
      </c>
      <c r="FN40" s="25"/>
      <c r="FO40" s="25"/>
      <c r="FP40" s="25"/>
      <c r="FQ40" s="25"/>
      <c r="FR40" s="25"/>
      <c r="FS40" s="25"/>
      <c r="FT40" s="25"/>
      <c r="FU40" s="25"/>
      <c r="FV40" s="25">
        <f>ROUND(v^($FM40+FaktorAlter)*VLOOKUP($FM40,$G$9:$J$102,4)*VLOOKUP($FM40,$A$9:$E$102,5)*0.5*(VLOOKUP($FM40-FV$103,Frauen!$G$9:$J$102,4)+VLOOKUP($FM40-FV$103+1,Frauen!$G$9:$J$102,4))*0.5*(VLOOKUP($FM40-FV$103,Frauen!$AZ$9:$BD$102,5)+VLOOKUP($FM40-FV$103+1,Frauen!$AZ$9:$BD$102,5)),RundDx)</f>
        <v>9681</v>
      </c>
      <c r="FW40" s="25">
        <f>ROUND(v^($FM40+FaktorAlter)*VLOOKUP($FM40,$G$9:$J$102,4)*VLOOKUP($FM40,$A$9:$E$102,5)*0.5*(VLOOKUP($FM40-FW$103,Frauen!$G$9:$J$102,4)+VLOOKUP($FM40-FW$103+1,Frauen!$G$9:$J$102,4))*0.5*(VLOOKUP($FM40-FW$103,Frauen!$AZ$9:$BD$102,5)+VLOOKUP($FM40-FW$103+1,Frauen!$AZ$9:$BD$102,5)),RundDx)</f>
        <v>36469</v>
      </c>
      <c r="FX40" s="25">
        <f>ROUND(v^($FM40+FaktorAlter)*VLOOKUP($FM40,$G$9:$J$102,4)*VLOOKUP($FM40,$A$9:$E$102,5)*0.5*(VLOOKUP($FM40-FX$103,Frauen!$G$9:$J$102,4)+VLOOKUP($FM40-FX$103+1,Frauen!$G$9:$J$102,4))*0.5*(VLOOKUP($FM40-FX$103,Frauen!$AZ$9:$BD$102,5)+VLOOKUP($FM40-FX$103+1,Frauen!$AZ$9:$BD$102,5)),RundDx)</f>
        <v>95446</v>
      </c>
      <c r="FY40" s="25">
        <f>ROUND(v^($FM40+FaktorAlter)*VLOOKUP($FM40,$G$9:$J$102,4)*VLOOKUP($FM40,$A$9:$E$102,5)*0.5*(VLOOKUP($FM40-FY$103,Frauen!$G$9:$J$102,4)+VLOOKUP($FM40-FY$103+1,Frauen!$G$9:$J$102,4))*0.5*(VLOOKUP($FM40-FY$103,Frauen!$AZ$9:$BD$102,5)+VLOOKUP($FM40-FY$103+1,Frauen!$AZ$9:$BD$102,5)),RundDx)</f>
        <v>209716</v>
      </c>
      <c r="FZ40" s="25">
        <f>ROUND(v^($FM40+FaktorAlter)*VLOOKUP($FM40,$G$9:$J$102,4)*VLOOKUP($FM40,$A$9:$E$102,5)*0.5*(VLOOKUP($FM40-FZ$103,Frauen!$G$9:$J$102,4)+VLOOKUP($FM40-FZ$103+1,Frauen!$G$9:$J$102,4))*0.5*(VLOOKUP($FM40-FZ$103,Frauen!$AZ$9:$BD$102,5)+VLOOKUP($FM40-FZ$103+1,Frauen!$AZ$9:$BD$102,5)),RundDx)</f>
        <v>406538</v>
      </c>
      <c r="GA40" s="25">
        <f>ROUND(v^($FM40+FaktorAlter)*VLOOKUP($FM40,$G$9:$J$102,4)*VLOOKUP($FM40,$A$9:$E$102,5)*0.5*(VLOOKUP($FM40-GA$103,Frauen!$G$9:$J$102,4)+VLOOKUP($FM40-GA$103+1,Frauen!$G$9:$J$102,4))*0.5*(VLOOKUP($FM40-GA$103,Frauen!$AZ$9:$BD$102,5)+VLOOKUP($FM40-GA$103+1,Frauen!$AZ$9:$BD$102,5)),RundDx)</f>
        <v>724878</v>
      </c>
      <c r="GB40" s="25">
        <f>ROUND(v^($FM40+FaktorAlter)*VLOOKUP($FM40,$G$9:$J$102,4)*VLOOKUP($FM40,$A$9:$E$102,5)*0.5*(VLOOKUP($FM40-GB$103,Frauen!$G$9:$J$102,4)+VLOOKUP($FM40-GB$103+1,Frauen!$G$9:$J$102,4))*0.5*(VLOOKUP($FM40-GB$103,Frauen!$AZ$9:$BD$102,5)+VLOOKUP($FM40-GB$103+1,Frauen!$AZ$9:$BD$102,5)),RundDx)</f>
        <v>1207450</v>
      </c>
      <c r="GC40" s="25">
        <f>ROUND(v^($FM40+FaktorAlter)*VLOOKUP($FM40,$G$9:$J$102,4)*VLOOKUP($FM40,$A$9:$E$102,5)*0.5*(VLOOKUP($FM40-GC$103,Frauen!$G$9:$J$102,4)+VLOOKUP($FM40-GC$103+1,Frauen!$G$9:$J$102,4))*0.5*(VLOOKUP($FM40-GC$103,Frauen!$AZ$9:$BD$102,5)+VLOOKUP($FM40-GC$103+1,Frauen!$AZ$9:$BD$102,5)),RundDx)</f>
        <v>1908441</v>
      </c>
      <c r="GD40" s="25">
        <f>ROUND(v^($FM40+FaktorAlter)*VLOOKUP($FM40,$G$9:$J$102,4)*VLOOKUP($FM40,$A$9:$E$102,5)*0.5*(VLOOKUP($FM40-GD$103,Frauen!$G$9:$J$102,4)+VLOOKUP($FM40-GD$103+1,Frauen!$G$9:$J$102,4))*0.5*(VLOOKUP($FM40-GD$103,Frauen!$AZ$9:$BD$102,5)+VLOOKUP($FM40-GD$103+1,Frauen!$AZ$9:$BD$102,5)),RundDx)</f>
        <v>2889551</v>
      </c>
      <c r="GE40" s="25">
        <f>ROUND(v^($FM40+FaktorAlter)*VLOOKUP($FM40,$G$9:$J$102,4)*VLOOKUP($FM40,$A$9:$E$102,5)*0.5*(VLOOKUP($FM40-GE$103,Frauen!$G$9:$J$102,4)+VLOOKUP($FM40-GE$103+1,Frauen!$G$9:$J$102,4))*0.5*(VLOOKUP($FM40-GE$103,Frauen!$AZ$9:$BD$102,5)+VLOOKUP($FM40-GE$103+1,Frauen!$AZ$9:$BD$102,5)),RundDx)</f>
        <v>4217250</v>
      </c>
      <c r="GF40" s="25">
        <f>ROUND(v^($FM40+FaktorAlter)*VLOOKUP($FM40,$G$9:$J$102,4)*VLOOKUP($FM40,$A$9:$E$102,5)*0.5*(VLOOKUP($FM40-GF$103,Frauen!$G$9:$J$102,4)+VLOOKUP($FM40-GF$103+1,Frauen!$G$9:$J$102,4))*0.5*(VLOOKUP($FM40-GF$103,Frauen!$AZ$9:$BD$102,5)+VLOOKUP($FM40-GF$103+1,Frauen!$AZ$9:$BD$102,5)),RundDx)</f>
        <v>5958957</v>
      </c>
      <c r="GG40" s="25">
        <f>ROUND(v^($FM40+FaktorAlter)*VLOOKUP($FM40,$G$9:$J$102,4)*VLOOKUP($FM40,$A$9:$E$102,5)*0.5*(VLOOKUP($FM40-GG$103,Frauen!$G$9:$J$102,4)+VLOOKUP($FM40-GG$103+1,Frauen!$G$9:$J$102,4))*0.5*(VLOOKUP($FM40-GG$103,Frauen!$AZ$9:$BD$102,5)+VLOOKUP($FM40-GG$103+1,Frauen!$AZ$9:$BD$102,5)),RundDx)</f>
        <v>8190421</v>
      </c>
      <c r="GH40" s="25">
        <f>ROUND(v^($FM40+FaktorAlter)*VLOOKUP($FM40,$G$9:$J$102,4)*VLOOKUP($FM40,$A$9:$E$102,5)*0.5*(VLOOKUP($FM40-GH$103,Frauen!$G$9:$J$102,4)+VLOOKUP($FM40-GH$103+1,Frauen!$G$9:$J$102,4))*0.5*(VLOOKUP($FM40-GH$103,Frauen!$AZ$9:$BD$102,5)+VLOOKUP($FM40-GH$103+1,Frauen!$AZ$9:$BD$102,5)),RundDx)</f>
        <v>10957188</v>
      </c>
      <c r="GI40" s="25">
        <f>ROUND(v^($FM40+FaktorAlter)*VLOOKUP($FM40,$G$9:$J$102,4)*VLOOKUP($FM40,$A$9:$E$102,5)*0.5*(VLOOKUP($FM40-GI$103,Frauen!$G$9:$J$102,4)+VLOOKUP($FM40-GI$103+1,Frauen!$G$9:$J$102,4))*0.5*(VLOOKUP($FM40-GI$103,Frauen!$AZ$9:$BD$102,5)+VLOOKUP($FM40-GI$103+1,Frauen!$AZ$9:$BD$102,5)),RundDx)</f>
        <v>14264656</v>
      </c>
      <c r="GJ40" s="25">
        <f>ROUND(v^($FM40+FaktorAlter)*VLOOKUP($FM40,$G$9:$J$102,4)*VLOOKUP($FM40,$A$9:$E$102,5)*0.5*(VLOOKUP($FM40-GJ$103,Frauen!$G$9:$J$102,4)+VLOOKUP($FM40-GJ$103+1,Frauen!$G$9:$J$102,4))*0.5*(VLOOKUP($FM40-GJ$103,Frauen!$AZ$9:$BD$102,5)+VLOOKUP($FM40-GJ$103+1,Frauen!$AZ$9:$BD$102,5)),RundDx)</f>
        <v>18141194</v>
      </c>
      <c r="GK40" s="25">
        <f>ROUND(v^($FM40+FaktorAlter)*VLOOKUP($FM40,$G$9:$J$102,4)*VLOOKUP($FM40,$A$9:$E$102,5)*0.5*(VLOOKUP($FM40-GK$103,Frauen!$G$9:$J$102,4)+VLOOKUP($FM40-GK$103+1,Frauen!$G$9:$J$102,4))*0.5*(VLOOKUP($FM40-GK$103,Frauen!$AZ$9:$BD$102,5)+VLOOKUP($FM40-GK$103+1,Frauen!$AZ$9:$BD$102,5)),RundDx)</f>
        <v>22591777</v>
      </c>
      <c r="GL40" s="25">
        <f>ROUND(v^($FM40+FaktorAlter)*VLOOKUP($FM40,$G$9:$J$102,4)*VLOOKUP($FM40,$A$9:$E$102,5)*0.5*(VLOOKUP($FM40-GL$103,Frauen!$G$9:$J$102,4)+VLOOKUP($FM40-GL$103+1,Frauen!$G$9:$J$102,4))*0.5*(VLOOKUP($FM40-GL$103,Frauen!$AZ$9:$BD$102,5)+VLOOKUP($FM40-GL$103+1,Frauen!$AZ$9:$BD$102,5)),RundDx)</f>
        <v>27602665</v>
      </c>
      <c r="GM40" s="25">
        <f>ROUND(v^($FM40+FaktorAlter)*VLOOKUP($FM40,$G$9:$J$102,4)*VLOOKUP($FM40,$A$9:$E$102,5)*0.5*(VLOOKUP($FM40-GM$103,Frauen!$G$9:$J$102,4)+VLOOKUP($FM40-GM$103+1,Frauen!$G$9:$J$102,4))*0.5*(VLOOKUP($FM40-GM$103,Frauen!$AZ$9:$BD$102,5)+VLOOKUP($FM40-GM$103+1,Frauen!$AZ$9:$BD$102,5)),RundDx)</f>
        <v>33148355</v>
      </c>
      <c r="GN40" s="25">
        <f>ROUND(v^($FM40+FaktorAlter)*VLOOKUP($FM40,$G$9:$J$102,4)*VLOOKUP($FM40,$A$9:$E$102,5)*0.5*(VLOOKUP($FM40-GN$103,Frauen!$G$9:$J$102,4)+VLOOKUP($FM40-GN$103+1,Frauen!$G$9:$J$102,4))*0.5*(VLOOKUP($FM40-GN$103,Frauen!$AZ$9:$BD$102,5)+VLOOKUP($FM40-GN$103+1,Frauen!$AZ$9:$BD$102,5)),RundDx)</f>
        <v>39175631</v>
      </c>
      <c r="GO40" s="25">
        <f>ROUND(v^($FM40+FaktorAlter)*VLOOKUP($FM40,$G$9:$J$102,4)*VLOOKUP($FM40,$A$9:$E$102,5)*0.5*(VLOOKUP($FM40-GO$103,Frauen!$G$9:$J$102,4)+VLOOKUP($FM40-GO$103+1,Frauen!$G$9:$J$102,4))*0.5*(VLOOKUP($FM40-GO$103,Frauen!$AZ$9:$BD$102,5)+VLOOKUP($FM40-GO$103+1,Frauen!$AZ$9:$BD$102,5)),RundDx)</f>
        <v>45620620</v>
      </c>
      <c r="GP40" s="25">
        <f>ROUND(v^($FM40+FaktorAlter)*VLOOKUP($FM40,$G$9:$J$102,4)*VLOOKUP($FM40,$A$9:$E$102,5)*0.5*(VLOOKUP($FM40-GP$103,Frauen!$G$9:$J$102,4)+VLOOKUP($FM40-GP$103+1,Frauen!$G$9:$J$102,4))*0.5*(VLOOKUP($FM40-GP$103,Frauen!$AZ$9:$BD$102,5)+VLOOKUP($FM40-GP$103+1,Frauen!$AZ$9:$BD$102,5)),RundDx)</f>
        <v>52420132</v>
      </c>
      <c r="GQ40" s="25">
        <f>ROUND(v^($FM40+FaktorAlter)*VLOOKUP($FM40,$G$9:$J$102,4)*VLOOKUP($FM40,$A$9:$E$102,5)*0.5*(VLOOKUP($FM40-GQ$103,Frauen!$G$9:$J$102,4)+VLOOKUP($FM40-GQ$103+1,Frauen!$G$9:$J$102,4))*0.5*(VLOOKUP($FM40-GQ$103,Frauen!$AZ$9:$BD$102,5)+VLOOKUP($FM40-GQ$103+1,Frauen!$AZ$9:$BD$102,5)),RundDx)</f>
        <v>59499370</v>
      </c>
      <c r="GR40" s="25">
        <f>ROUND(v^($FM40+FaktorAlter)*VLOOKUP($FM40,$G$9:$J$102,4)*VLOOKUP($FM40,$A$9:$E$102,5)*0.5*(VLOOKUP($FM40-GR$103,Frauen!$G$9:$J$102,4)+VLOOKUP($FM40-GR$103+1,Frauen!$G$9:$J$102,4))*0.5*(VLOOKUP($FM40-GR$103,Frauen!$AZ$9:$BD$102,5)+VLOOKUP($FM40-GR$103+1,Frauen!$AZ$9:$BD$102,5)),RundDx)</f>
        <v>66787677</v>
      </c>
      <c r="GS40" s="24"/>
      <c r="GT40" s="24"/>
      <c r="GU40" s="24"/>
      <c r="GV40" s="24"/>
      <c r="GW40" s="24"/>
      <c r="GX40" s="24"/>
      <c r="GY40" s="24"/>
      <c r="GZ40" s="24"/>
      <c r="HA40" s="86"/>
      <c r="HB40" s="35">
        <f t="shared" si="63"/>
        <v>96</v>
      </c>
      <c r="HC40" s="24">
        <f>ROUND(SUM(FV40:FV$56)/VLOOKUP($FM40,$AQ$9:$AR$102,2)/VLOOKUP($FM40-HC$103,Frauen!$G$9:$J$102,4),Rundäx)</f>
        <v>0.17799999999999999</v>
      </c>
      <c r="HD40" s="24">
        <f>ROUND(SUM(FW40:FW$56)/VLOOKUP($FM40,$AQ$9:$AR$102,2)/VLOOKUP($FM40-HD$103,Frauen!$G$9:$J$102,4),Rundäx)</f>
        <v>0.314</v>
      </c>
      <c r="HE40" s="24">
        <f>ROUND(SUM(FX40:FX$56)/VLOOKUP($FM40,$AQ$9:$AR$102,2)/VLOOKUP($FM40-HE$103,Frauen!$G$9:$J$102,4),Rundäx)</f>
        <v>0.434</v>
      </c>
      <c r="HF40" s="24">
        <f>ROUND(SUM(FY40:FY$56)/VLOOKUP($FM40,$AQ$9:$AR$102,2)/VLOOKUP($FM40-HF$103,Frauen!$G$9:$J$102,4),Rundäx)</f>
        <v>0.55600000000000005</v>
      </c>
      <c r="HG40" s="24">
        <f>ROUND(SUM(FZ40:FZ$56)/VLOOKUP($FM40,$AQ$9:$AR$102,2)/VLOOKUP($FM40-HG$103,Frauen!$G$9:$J$102,4),Rundäx)</f>
        <v>0.68600000000000005</v>
      </c>
      <c r="HH40" s="24">
        <f>ROUND(SUM(GA40:GA$56)/VLOOKUP($FM40,$AQ$9:$AR$102,2)/VLOOKUP($FM40-HH$103,Frauen!$G$9:$J$102,4),Rundäx)</f>
        <v>0.82899999999999996</v>
      </c>
      <c r="HI40" s="24">
        <f>ROUND(SUM(GB40:GB$56)/VLOOKUP($FM40,$AQ$9:$AR$102,2)/VLOOKUP($FM40-HI$103,Frauen!$G$9:$J$102,4),Rundäx)</f>
        <v>0.98499999999999999</v>
      </c>
      <c r="HJ40" s="24">
        <f>ROUND(SUM(GC40:GC$56)/VLOOKUP($FM40,$AQ$9:$AR$102,2)/VLOOKUP($FM40-HJ$103,Frauen!$G$9:$J$102,4),Rundäx)</f>
        <v>1.157</v>
      </c>
      <c r="HK40" s="86"/>
      <c r="HL40" s="35">
        <f t="shared" si="64"/>
        <v>96</v>
      </c>
      <c r="HM40" s="24">
        <f>ROUND(SUM(GD40:GD$56)/VLOOKUP($FM40,$AQ$9:$AR$102,2)/VLOOKUP($FM40-HM$103,Frauen!$G$9:$J$102,4),Rundäx)</f>
        <v>1.3460000000000001</v>
      </c>
      <c r="HN40" s="24">
        <f>ROUND(SUM(GE40:GE$56)/VLOOKUP($FM40,$AQ$9:$AR$102,2)/VLOOKUP($FM40-HN$103,Frauen!$G$9:$J$102,4),Rundäx)</f>
        <v>1.554</v>
      </c>
      <c r="HO40" s="24">
        <f>ROUND(SUM(GF40:GF$56)/VLOOKUP($FM40,$AQ$9:$AR$102,2)/VLOOKUP($FM40-HO$103,Frauen!$G$9:$J$102,4),Rundäx)</f>
        <v>1.7829999999999999</v>
      </c>
      <c r="HP40" s="24">
        <f>ROUND(SUM(GG40:GG$56)/VLOOKUP($FM40,$AQ$9:$AR$102,2)/VLOOKUP($FM40-HP$103,Frauen!$G$9:$J$102,4),Rundäx)</f>
        <v>2.0329999999999999</v>
      </c>
      <c r="HQ40" s="24">
        <f>ROUND(SUM(GH40:GH$56)/VLOOKUP($FM40,$AQ$9:$AR$102,2)/VLOOKUP($FM40-HQ$103,Frauen!$G$9:$J$102,4),Rundäx)</f>
        <v>2.3069999999999999</v>
      </c>
      <c r="HR40" s="24">
        <f>ROUND(SUM(GI40:GI$56)/VLOOKUP($FM40,$AQ$9:$AR$102,2)/VLOOKUP($FM40-HR$103,Frauen!$G$9:$J$102,4),Rundäx)</f>
        <v>2.6</v>
      </c>
      <c r="HS40" s="24">
        <f>ROUND(SUM(GJ40:GJ$56)/VLOOKUP($FM40,$AQ$9:$AR$102,2)/VLOOKUP($FM40-HS$103,Frauen!$G$9:$J$102,4),Rundäx)</f>
        <v>2.9119999999999999</v>
      </c>
      <c r="HT40" s="24">
        <f>ROUND(SUM(GK40:GK$56)/VLOOKUP($FM40,$AQ$9:$AR$102,2)/VLOOKUP($FM40-HT$103,Frauen!$G$9:$J$102,4),Rundäx)</f>
        <v>3.246</v>
      </c>
      <c r="HU40" s="86"/>
      <c r="HV40" s="35">
        <f t="shared" si="65"/>
        <v>96</v>
      </c>
      <c r="HW40" s="24">
        <f>ROUND(SUM(GL40:GL$56)/VLOOKUP($FM40,$AQ$9:$AR$102,2)/VLOOKUP($FM40-HW$103,Frauen!$G$9:$J$102,4),Rundäx)</f>
        <v>3.6019999999999999</v>
      </c>
      <c r="HX40" s="24">
        <f>ROUND(SUM(GM40:GM$56)/VLOOKUP($FM40,$AQ$9:$AR$102,2)/VLOOKUP($FM40-HX$103,Frauen!$G$9:$J$102,4),Rundäx)</f>
        <v>3.9820000000000002</v>
      </c>
      <c r="HY40" s="24">
        <f>ROUND(SUM(GN40:GN$56)/VLOOKUP($FM40,$AQ$9:$AR$102,2)/VLOOKUP($FM40-HY$103,Frauen!$G$9:$J$102,4),Rundäx)</f>
        <v>4.3869999999999996</v>
      </c>
      <c r="HZ40" s="24">
        <f>ROUND(SUM(GO40:GO$56)/VLOOKUP($FM40,$AQ$9:$AR$102,2)/VLOOKUP($FM40-HZ$103,Frauen!$G$9:$J$102,4),Rundäx)</f>
        <v>4.8170000000000002</v>
      </c>
      <c r="IA40" s="24">
        <f>ROUND(SUM(GP40:GP$56)/VLOOKUP($FM40,$AQ$9:$AR$102,2)/VLOOKUP($FM40-IA$103,Frauen!$G$9:$J$102,4),Rundäx)</f>
        <v>5.2720000000000002</v>
      </c>
      <c r="IB40" s="24">
        <f>ROUND(SUM(GQ40:GQ$56)/VLOOKUP($FM40,$AQ$9:$AR$102,2)/VLOOKUP($FM40-IB$103,Frauen!$G$9:$J$102,4),Rundäx)</f>
        <v>5.7489999999999997</v>
      </c>
      <c r="IC40" s="24">
        <f>ROUND(SUM(GR40:GR$56)/VLOOKUP($FM40,$AQ$9:$AR$102,2)/VLOOKUP($FM40-IC$103,Frauen!$G$9:$J$102,4),Rundäx)</f>
        <v>6.2450000000000001</v>
      </c>
      <c r="ID40" s="89"/>
      <c r="IE40" s="35">
        <f t="shared" si="66"/>
        <v>48</v>
      </c>
      <c r="IF40" s="25">
        <f t="shared" si="31"/>
        <v>463</v>
      </c>
      <c r="IG40" s="25">
        <f>IF($IE40&lt;RAM,IF(S41&lt;=RAK,ROUND(SUM(IF40:INDEX(Dakx,RAM-BeginnAlter))+INDEX(Dax,RAM-BeginnAlter+1)*INDEX(äkx,1),RundDx),0),"")</f>
        <v>3051</v>
      </c>
      <c r="IH40" s="25">
        <f>IF($IE40&lt;RAM,IF(S41&lt;=RAK,ROUND(SUM(IG40:INDEX(Nakx,RAM-BeginnAlter))+INDEX(Dax,RAM-BeginnAlter+1)*INDEX(äkx,1),RundDx),0),"")</f>
        <v>16967</v>
      </c>
      <c r="II40" s="24">
        <f t="shared" si="32"/>
        <v>9.4E-2</v>
      </c>
      <c r="IJ40" s="25">
        <f t="shared" si="33"/>
        <v>6087</v>
      </c>
      <c r="IK40" s="25">
        <f>IF($IE40&lt;RAM,IF(S41&lt;=RAK,SUM(IJ40:INDEX(Dikx,RAM-BeginnAlter))+INDEX(Dix,RAM-BeginnAlter+1)*INDEX(äkx,1),0),"")</f>
        <v>27420.831999999999</v>
      </c>
      <c r="IL40" s="24">
        <f t="shared" si="34"/>
        <v>0.63200000000000001</v>
      </c>
      <c r="IM40" s="86"/>
      <c r="IN40" s="35">
        <f t="shared" si="67"/>
        <v>96</v>
      </c>
      <c r="IO40" s="25"/>
      <c r="IP40" s="25"/>
      <c r="IQ40" s="24"/>
      <c r="IR40" s="86"/>
    </row>
    <row r="41" spans="1:252" ht="15.75" customHeight="1" x14ac:dyDescent="0.25">
      <c r="A41" s="35">
        <f t="shared" si="41"/>
        <v>49</v>
      </c>
      <c r="B41" s="77">
        <v>1.934860617419202E-3</v>
      </c>
      <c r="C41" s="77">
        <v>3.8730570617254772E-3</v>
      </c>
      <c r="D41" s="77">
        <v>2.0446271072556615E-2</v>
      </c>
      <c r="E41" s="77">
        <v>2.5541859695565883E-3</v>
      </c>
      <c r="F41" s="86"/>
      <c r="G41" s="35">
        <f t="shared" si="42"/>
        <v>49</v>
      </c>
      <c r="H41" s="25">
        <f t="shared" si="37"/>
        <v>93652</v>
      </c>
      <c r="I41" s="25">
        <f t="shared" si="38"/>
        <v>3052</v>
      </c>
      <c r="J41" s="25">
        <f t="shared" si="39"/>
        <v>96704</v>
      </c>
      <c r="K41" s="30">
        <f>IF(J41&gt;0,ROUND(SUM(J41:J$102)/J41-0.5,Rundex),"")</f>
        <v>31.22</v>
      </c>
      <c r="L41" s="25">
        <f t="shared" si="0"/>
        <v>123736</v>
      </c>
      <c r="M41" s="30">
        <f>IF(L41&gt;0,ROUND(SUM(L41:L$102)/L41-0.5,Rundex),"")</f>
        <v>25.9</v>
      </c>
      <c r="N41" s="86"/>
      <c r="O41" s="35">
        <f t="shared" si="43"/>
        <v>49</v>
      </c>
      <c r="P41" s="43">
        <v>0.7756789438468521</v>
      </c>
      <c r="Q41" s="78">
        <v>46.930852364982798</v>
      </c>
      <c r="R41" s="43">
        <v>0.67749668147160869</v>
      </c>
      <c r="S41" s="78">
        <v>14.365901876623758</v>
      </c>
      <c r="T41" s="15">
        <v>2.5574793985067013E-3</v>
      </c>
      <c r="U41" s="11">
        <f t="shared" si="40"/>
        <v>96704</v>
      </c>
      <c r="V41" s="30">
        <f>IF(U41&gt;0,ROUND(SUM(U41:U$102)/U41-0.5,Rundex),"")</f>
        <v>28.78</v>
      </c>
      <c r="W41" s="86"/>
      <c r="X41" s="35">
        <f t="shared" si="44"/>
        <v>49</v>
      </c>
      <c r="Y41" s="25">
        <f t="shared" si="1"/>
        <v>31479</v>
      </c>
      <c r="Z41" s="25">
        <f>IF($X41&lt;RAM,SUM(Y41:INDEX(Dax,RAM-BeginnAlter))," ")</f>
        <v>388911</v>
      </c>
      <c r="AA41" s="25">
        <f t="shared" si="2"/>
        <v>60</v>
      </c>
      <c r="AB41" s="25">
        <f>IF($X41&lt;RAM,SUM(AA41:INDEX(Cax,RAM-BeginnAlter))," ")</f>
        <v>1651</v>
      </c>
      <c r="AC41" s="25">
        <f t="shared" si="3"/>
        <v>121</v>
      </c>
      <c r="AD41" s="25">
        <f>IF($X41&lt;RAM,SUM(AC41:INDEX(Caix,RAM-BeginnAlter))," ")</f>
        <v>6580</v>
      </c>
      <c r="AE41" s="24">
        <f t="shared" si="4"/>
        <v>12.355</v>
      </c>
      <c r="AF41" s="24">
        <f t="shared" si="5"/>
        <v>12.112</v>
      </c>
      <c r="AG41" s="86"/>
      <c r="AH41" s="35">
        <f t="shared" si="45"/>
        <v>49</v>
      </c>
      <c r="AI41" s="25">
        <f t="shared" si="6"/>
        <v>41590</v>
      </c>
      <c r="AJ41" s="25">
        <f>IF($AH41&gt;RAM," ",IF($AH41&lt;RAM,SUM(AI41:INDEX(Dix,RAM-BeginnAlter))+INDEX(Nx,RAM-BeginnAlter+1),INDEX(Nx,RAM-BeginnAlter+1)))</f>
        <v>787131</v>
      </c>
      <c r="AK41" s="25">
        <f>IF($AH41&lt;RAM,SUM(AI41:INDEX(Dix,RAM-BeginnAlter))," ")</f>
        <v>489884</v>
      </c>
      <c r="AL41" s="24">
        <f t="shared" si="7"/>
        <v>18.925999999999998</v>
      </c>
      <c r="AM41" s="24">
        <f t="shared" si="8"/>
        <v>18.468</v>
      </c>
      <c r="AN41" s="24">
        <f t="shared" si="9"/>
        <v>11.779</v>
      </c>
      <c r="AO41" s="24">
        <f t="shared" si="10"/>
        <v>11.545999999999999</v>
      </c>
      <c r="AP41" s="86"/>
      <c r="AQ41" s="35">
        <f t="shared" si="46"/>
        <v>49</v>
      </c>
      <c r="AR41" s="25">
        <f t="shared" si="11"/>
        <v>32504</v>
      </c>
      <c r="AS41" s="25">
        <f>SUM(AR41:AR$94)</f>
        <v>726241</v>
      </c>
      <c r="AT41" s="25">
        <f>IF($AQ41&lt;RAM,SUM(AR41:INDEX(Dx,RAM-BeginnAlter))," ")</f>
        <v>428994</v>
      </c>
      <c r="AU41" s="24">
        <f t="shared" si="12"/>
        <v>22.343</v>
      </c>
      <c r="AV41" s="24">
        <f t="shared" si="13"/>
        <v>21.885000000000002</v>
      </c>
      <c r="AW41" s="24">
        <f t="shared" si="14"/>
        <v>13.198</v>
      </c>
      <c r="AX41" s="24">
        <f t="shared" si="15"/>
        <v>13.029</v>
      </c>
      <c r="AY41" s="86"/>
      <c r="AZ41" s="35">
        <f t="shared" si="47"/>
        <v>49</v>
      </c>
      <c r="BA41" s="25">
        <f t="shared" si="16"/>
        <v>32504</v>
      </c>
      <c r="BB41" s="25">
        <f>SUM(BA41:BA$94)</f>
        <v>684190</v>
      </c>
      <c r="BC41" s="24">
        <f t="shared" si="17"/>
        <v>21.048999999999999</v>
      </c>
      <c r="BD41" s="24">
        <f t="shared" si="18"/>
        <v>20.591000000000001</v>
      </c>
      <c r="BE41" s="86"/>
      <c r="BF41" s="35">
        <f t="shared" si="48"/>
        <v>32</v>
      </c>
      <c r="BG41" s="24" t="str">
        <f t="shared" si="19"/>
        <v/>
      </c>
      <c r="BH41" s="24" t="str">
        <f t="shared" si="20"/>
        <v/>
      </c>
      <c r="BI41" s="86"/>
      <c r="BJ41" s="35">
        <f t="shared" si="49"/>
        <v>49</v>
      </c>
      <c r="BK41" s="25">
        <f t="shared" si="21"/>
        <v>2214</v>
      </c>
      <c r="BL41" s="25">
        <f>IF(BJ41&lt;RAM,SUM(BK41:INDEX(Daix,RAM-BeginnAlter))," ")</f>
        <v>103698</v>
      </c>
      <c r="BM41" s="25">
        <f>IF(BJ41&lt;RAM,SUM(BL41:INDEX(Naix,RAM-BeginnAlter))," ")</f>
        <v>1103722</v>
      </c>
      <c r="BN41" s="24">
        <f t="shared" si="22"/>
        <v>6.6</v>
      </c>
      <c r="BO41" s="24">
        <f t="shared" si="23"/>
        <v>3.294</v>
      </c>
      <c r="BP41" s="86"/>
      <c r="BQ41" s="35">
        <f t="shared" si="50"/>
        <v>49</v>
      </c>
      <c r="BR41" s="25">
        <f t="shared" si="51"/>
        <v>1361</v>
      </c>
      <c r="BS41" s="25">
        <f>IF(BQ41&lt;RAM,SUM(BR41:INDEX(Daixs,RAM-BeginnAlter))," ")</f>
        <v>30690</v>
      </c>
      <c r="BT41" s="25">
        <f>IF(BQ41&lt;RAM,SUM(BS41:INDEX(Naixs,RAM-BeginnAlter))," ")</f>
        <v>255576</v>
      </c>
      <c r="BU41" s="24">
        <f t="shared" si="52"/>
        <v>8.9190000000000005</v>
      </c>
      <c r="BV41" s="24">
        <f t="shared" si="53"/>
        <v>0.97499999999999998</v>
      </c>
      <c r="BW41" s="86"/>
      <c r="BX41" s="35">
        <f t="shared" si="54"/>
        <v>49</v>
      </c>
      <c r="BY41" s="10">
        <f t="shared" si="24"/>
        <v>8.4539610229266628</v>
      </c>
      <c r="BZ41" s="11">
        <f t="shared" si="25"/>
        <v>648</v>
      </c>
      <c r="CA41" s="25">
        <f>IF(S42&lt;=RAK,IF($BX41&lt;RAM,SUM(BZ41:INDEX(Dazx,RAM-BeginnAlter)),""),"")</f>
        <v>5323</v>
      </c>
      <c r="CB41" s="24">
        <f t="shared" si="26"/>
        <v>0.16900000000000001</v>
      </c>
      <c r="CC41" s="25">
        <f t="shared" si="27"/>
        <v>24475</v>
      </c>
      <c r="CD41" s="24">
        <f t="shared" si="28"/>
        <v>16.696999999999999</v>
      </c>
      <c r="CE41" s="24">
        <f t="shared" si="29"/>
        <v>3.2000000000000001E-2</v>
      </c>
      <c r="CF41" s="86"/>
      <c r="CG41" s="35">
        <f t="shared" si="55"/>
        <v>49</v>
      </c>
      <c r="CH41" s="25">
        <f>IF(CG41&lt;RAM,ROUND(v^($CG41+FaktorAlter)*$H41*($B41*0.5*($P41+$P42)*(VLOOKUP(TRUNC(0.5*($Q41+$Q42),0),Frauen!$AZ$9:$BD$95,5)+(0.5*($Q41+$Q42)-TRUNC(0.5*($Q41+$Q42),0))*(VLOOKUP(TRUNC(0.5*($Q41+$Q42)+1,0),Frauen!$AZ$9:$BD$95,5)-VLOOKUP(TRUNC(0.5*($Q41+$Q42),0),Frauen!$AZ$9:$BD$95,5)))+$C41*0.5*($CN41+$CN42)),RundDx),"")</f>
        <v>1978</v>
      </c>
      <c r="CI41" s="25">
        <f>IF(CG41&lt;RAM,ROUND(SUM(CH41:INDEX(Dawx,RAM-BeginnAlter))+INDEX(Dax,RAM-BeginnAlter+1)*INDEX(äwx,1),RundDx),"")</f>
        <v>143397</v>
      </c>
      <c r="CJ41" s="25">
        <f>IF(CG41&lt;RAM,ROUND(SUM(CI41:INDEX(Nawx,RAM-BeginnAlter))+INDEX(Dax,RAM-BeginnAlter+1)*INDEX(äwx,1),RundDx),"")</f>
        <v>1990344</v>
      </c>
      <c r="CK41" s="24">
        <f t="shared" si="56"/>
        <v>4.5549999999999997</v>
      </c>
      <c r="CL41" s="25">
        <f>IF(CG41&lt;RAM,ROUND(v^($CG41+FaktorAlter)*$L41*$D41*0.5*($P41+$P42)*(VLOOKUP(TRUNC(0.5*($Q41+$Q42),0),Frauen!$AZ$9:$BD$95,5)+(0.5*($Q41+$Q42)-TRUNC(0.5*($Q41+$Q42),0))*(VLOOKUP(TRUNC(0.5*($Q41+$Q42)+1,0),Frauen!$AZ$9:$BD$95,5)-VLOOKUP(TRUNC(0.5*($Q41+$Q42),0),Frauen!$AZ$9:$BD$95,5))),RundDx),"")</f>
        <v>16091</v>
      </c>
      <c r="CM41" s="25">
        <f>IF(CG41&lt;RAM,SUM(CL41:INDEX(Diwx,RAM-BeginnAlter))+INDEX(Dix,RAM-BeginnAlter+1)*INDEX(äwx,1),"")</f>
        <v>286859.41399999999</v>
      </c>
      <c r="CN41" s="24">
        <f t="shared" si="57"/>
        <v>6.8970000000000002</v>
      </c>
      <c r="CO41" s="86"/>
      <c r="CP41" s="35">
        <f t="shared" si="58"/>
        <v>97</v>
      </c>
      <c r="CQ41" s="11">
        <f>ROUND(v^($CP41+FaktorAlter)*VLOOKUP(CP41,G$9:J$102,4)*VLOOKUP(CP41,A$9:E$102,5)*0.5*(VLOOKUP(CP41,O$9:P$102,2)+VLOOKUP(CP41+1,O$9:P$102,2))*(VLOOKUP(TRUNC(0.5*(VLOOKUP(CP41,O$9:Q$102,3)+VLOOKUP(CP41+1,O$9:Q$102,3)),0),Frauen!$AZ$9:$BD$95,5)+(0.5*(VLOOKUP(CP41,O$9:Q$102,3)+VLOOKUP(CP41+1,O$9:Q$102,3))-TRUNC(0.5*(VLOOKUP(CP41,O$9:Q$102,3)+VLOOKUP(CP41+1,O$9:Q$102,3)),0))*(VLOOKUP(TRUNC(0.5*(VLOOKUP(CP41,O$9:Q$102,3)+VLOOKUP(CP41+1,O$9:Q$102,3))+1,0),Frauen!$AZ$9:$BD$95,5)-VLOOKUP(TRUNC(0.5*(VLOOKUP(CP41,O$9:Q$102,3)+VLOOKUP(CP41+1,O$9:Q$102,3)),0),Frauen!$AZ$9:$BD$95,5))),RundDx)</f>
        <v>74</v>
      </c>
      <c r="CR41" s="25">
        <f>SUM(CQ41:CQ$56)</f>
        <v>128</v>
      </c>
      <c r="CS41" s="24">
        <f t="shared" si="30"/>
        <v>0.57099999999999995</v>
      </c>
      <c r="CT41" s="86"/>
      <c r="CU41" s="35">
        <f t="shared" si="59"/>
        <v>49</v>
      </c>
      <c r="CV41" s="25">
        <f>IF($CU41&gt;=RAM,"",IF($CU41-CV$103&lt;BeginnAlter,"",ROUND(v^($CU41+FaktorAlter)*$L41*$D41*0.5*(VLOOKUP($CU41-CV$103,Frauen!$G$9:$J$102,4)+VLOOKUP($CU41-CV$103+1,Frauen!$G$9:$J$102,4))*0.5*(VLOOKUP($CU41-CV$103,Frauen!$AZ$9:$BD$102,5)+VLOOKUP($CU41-CV$103+1,Frauen!$AZ$9:$BD$102,5)),RundDx)))</f>
        <v>1267527767</v>
      </c>
      <c r="CW41" s="25">
        <f>IF($CU41&gt;=RAM,"",IF($CU41-CW$103&lt;BeginnAlter,"",ROUND(v^($CU41+FaktorAlter)*$L41*$D41*0.5*(VLOOKUP($CU41-CW$103,Frauen!$G$9:$J$102,4)+VLOOKUP($CU41-CW$103+1,Frauen!$G$9:$J$102,4))*0.5*(VLOOKUP($CU41-CW$103,Frauen!$AZ$9:$BD$102,5)+VLOOKUP($CU41-CW$103+1,Frauen!$AZ$9:$BD$102,5)),RundDx)))</f>
        <v>1317489781</v>
      </c>
      <c r="CX41" s="25">
        <f>IF($CU41&gt;=RAM,"",IF($CU41-CX$103&lt;BeginnAlter,"",ROUND(v^($CU41+FaktorAlter)*$L41*$D41*0.5*(VLOOKUP($CU41-CX$103,Frauen!$G$9:$J$102,4)+VLOOKUP($CU41-CX$103+1,Frauen!$G$9:$J$102,4))*0.5*(VLOOKUP($CU41-CX$103,Frauen!$AZ$9:$BD$102,5)+VLOOKUP($CU41-CX$103+1,Frauen!$AZ$9:$BD$102,5)),RundDx)))</f>
        <v>1366506335</v>
      </c>
      <c r="CY41" s="25">
        <f>IF($CU41&gt;=RAM,"",IF($CU41-CY$103&lt;BeginnAlter,"",ROUND(v^($CU41+FaktorAlter)*$L41*$D41*0.5*(VLOOKUP($CU41-CY$103,Frauen!$G$9:$J$102,4)+VLOOKUP($CU41-CY$103+1,Frauen!$G$9:$J$102,4))*0.5*(VLOOKUP($CU41-CY$103,Frauen!$AZ$9:$BD$102,5)+VLOOKUP($CU41-CY$103+1,Frauen!$AZ$9:$BD$102,5)),RundDx)))</f>
        <v>1414704058</v>
      </c>
      <c r="CZ41" s="25">
        <f>IF($CU41&gt;=RAM,"",IF($CU41-CZ$103&lt;BeginnAlter,"",ROUND(v^($CU41+FaktorAlter)*$L41*$D41*0.5*(VLOOKUP($CU41-CZ$103,Frauen!$G$9:$J$102,4)+VLOOKUP($CU41-CZ$103+1,Frauen!$G$9:$J$102,4))*0.5*(VLOOKUP($CU41-CZ$103,Frauen!$AZ$9:$BD$102,5)+VLOOKUP($CU41-CZ$103+1,Frauen!$AZ$9:$BD$102,5)),RundDx)))</f>
        <v>1462018649</v>
      </c>
      <c r="DA41" s="25">
        <f>IF($CU41&gt;=RAM,"",IF($CU41-DA$103&lt;BeginnAlter,"",ROUND(v^($CU41+FaktorAlter)*$L41*$D41*0.5*(VLOOKUP($CU41-DA$103,Frauen!$G$9:$J$102,4)+VLOOKUP($CU41-DA$103+1,Frauen!$G$9:$J$102,4))*0.5*(VLOOKUP($CU41-DA$103,Frauen!$AZ$9:$BD$102,5)+VLOOKUP($CU41-DA$103+1,Frauen!$AZ$9:$BD$102,5)),RundDx)))</f>
        <v>1508437314</v>
      </c>
      <c r="DB41" s="25">
        <f>IF($CU41&gt;=RAM,"",IF($CU41-DB$103&lt;BeginnAlter,"",ROUND(v^($CU41+FaktorAlter)*$L41*$D41*0.5*(VLOOKUP($CU41-DB$103,Frauen!$G$9:$J$102,4)+VLOOKUP($CU41-DB$103+1,Frauen!$G$9:$J$102,4))*0.5*(VLOOKUP($CU41-DB$103,Frauen!$AZ$9:$BD$102,5)+VLOOKUP($CU41-DB$103+1,Frauen!$AZ$9:$BD$102,5)),RundDx)))</f>
        <v>1554056473</v>
      </c>
      <c r="DC41" s="25">
        <f>IF($CU41&gt;=RAM,"",IF($CU41-DC$103&lt;BeginnAlter,"",ROUND(v^($CU41+FaktorAlter)*$L41*$D41*0.5*(VLOOKUP($CU41-DC$103,Frauen!$G$9:$J$102,4)+VLOOKUP($CU41-DC$103+1,Frauen!$G$9:$J$102,4))*0.5*(VLOOKUP($CU41-DC$103,Frauen!$AZ$9:$BD$102,5)+VLOOKUP($CU41-DC$103+1,Frauen!$AZ$9:$BD$102,5)),RundDx)))</f>
        <v>1599018740</v>
      </c>
      <c r="DD41" s="25">
        <f>IF($CU41&gt;=RAM,"",IF($CU41-DD$103&lt;BeginnAlter,"",ROUND(v^($CU41+FaktorAlter)*$L41*$D41*0.5*(VLOOKUP($CU41-DD$103,Frauen!$G$9:$J$102,4)+VLOOKUP($CU41-DD$103+1,Frauen!$G$9:$J$102,4))*0.5*(VLOOKUP($CU41-DD$103,Frauen!$AZ$9:$BD$102,5)+VLOOKUP($CU41-DD$103+1,Frauen!$AZ$9:$BD$102,5)),RundDx)))</f>
        <v>1643442135</v>
      </c>
      <c r="DE41" s="25">
        <f>IF($CU41&gt;=RAM,"",IF($CU41-DE$103&lt;BeginnAlter,"",ROUND(v^($CU41+FaktorAlter)*$L41*$D41*0.5*(VLOOKUP($CU41-DE$103,Frauen!$G$9:$J$102,4)+VLOOKUP($CU41-DE$103+1,Frauen!$G$9:$J$102,4))*0.5*(VLOOKUP($CU41-DE$103,Frauen!$AZ$9:$BD$102,5)+VLOOKUP($CU41-DE$103+1,Frauen!$AZ$9:$BD$102,5)),RundDx)))</f>
        <v>1687432419</v>
      </c>
      <c r="DF41" s="25">
        <f>IF($CU41&gt;=RAM,"",IF($CU41-DF$103&lt;BeginnAlter,"",ROUND(v^($CU41+FaktorAlter)*$L41*$D41*0.5*(VLOOKUP($CU41-DF$103,Frauen!$G$9:$J$102,4)+VLOOKUP($CU41-DF$103+1,Frauen!$G$9:$J$102,4))*0.5*(VLOOKUP($CU41-DF$103,Frauen!$AZ$9:$BD$102,5)+VLOOKUP($CU41-DF$103+1,Frauen!$AZ$9:$BD$102,5)),RundDx)))</f>
        <v>1731039606</v>
      </c>
      <c r="DG41" s="25">
        <f>IF($CU41&gt;=RAM,"",IF($CU41-DG$103&lt;BeginnAlter,"",ROUND(v^($CU41+FaktorAlter)*$L41*$D41*0.5*(VLOOKUP($CU41-DG$103,Frauen!$G$9:$J$102,4)+VLOOKUP($CU41-DG$103+1,Frauen!$G$9:$J$102,4))*0.5*(VLOOKUP($CU41-DG$103,Frauen!$AZ$9:$BD$102,5)+VLOOKUP($CU41-DG$103+1,Frauen!$AZ$9:$BD$102,5)),RundDx)))</f>
        <v>1774182396</v>
      </c>
      <c r="DH41" s="25">
        <f>IF($CU41&gt;=RAM,"",IF($CU41-DH$103&lt;BeginnAlter,"",ROUND(v^($CU41+FaktorAlter)*$L41*$D41*0.5*(VLOOKUP($CU41-DH$103,Frauen!$G$9:$J$102,4)+VLOOKUP($CU41-DH$103+1,Frauen!$G$9:$J$102,4))*0.5*(VLOOKUP($CU41-DH$103,Frauen!$AZ$9:$BD$102,5)+VLOOKUP($CU41-DH$103+1,Frauen!$AZ$9:$BD$102,5)),RundDx)))</f>
        <v>1816897405</v>
      </c>
      <c r="DI41" s="25">
        <f>IF($CU41&gt;=RAM,"",IF($CU41-DI$103&lt;BeginnAlter,"",ROUND(v^($CU41+FaktorAlter)*$L41*$D41*0.5*(VLOOKUP($CU41-DI$103,Frauen!$G$9:$J$102,4)+VLOOKUP($CU41-DI$103+1,Frauen!$G$9:$J$102,4))*0.5*(VLOOKUP($CU41-DI$103,Frauen!$AZ$9:$BD$102,5)+VLOOKUP($CU41-DI$103+1,Frauen!$AZ$9:$BD$102,5)),RundDx)))</f>
        <v>1859095842</v>
      </c>
      <c r="DJ41" s="25">
        <f>IF($CU41&gt;=RAM,"",IF($CU41-DJ$103&lt;BeginnAlter,"",ROUND(v^($CU41+FaktorAlter)*$L41*$D41*0.5*(VLOOKUP($CU41-DJ$103,Frauen!$G$9:$J$102,4)+VLOOKUP($CU41-DJ$103+1,Frauen!$G$9:$J$102,4))*0.5*(VLOOKUP($CU41-DJ$103,Frauen!$AZ$9:$BD$102,5)+VLOOKUP($CU41-DJ$103+1,Frauen!$AZ$9:$BD$102,5)),RundDx)))</f>
        <v>1900582111</v>
      </c>
      <c r="DK41" s="25">
        <f>IF($CU41&gt;=RAM,"",IF($CU41-DK$103&lt;BeginnAlter,"",ROUND(v^($CU41+FaktorAlter)*$L41*$D41*0.5*(VLOOKUP($CU41-DK$103,Frauen!$G$9:$J$102,4)+VLOOKUP($CU41-DK$103+1,Frauen!$G$9:$J$102,4))*0.5*(VLOOKUP($CU41-DK$103,Frauen!$AZ$9:$BD$102,5)+VLOOKUP($CU41-DK$103+1,Frauen!$AZ$9:$BD$102,5)),RundDx)))</f>
        <v>1941233933</v>
      </c>
      <c r="DL41" s="25">
        <f>IF($CU41&gt;=RAM,"",IF($CU41-DL$103&lt;BeginnAlter,"",ROUND(v^($CU41+FaktorAlter)*$L41*$D41*0.5*(VLOOKUP($CU41-DL$103,Frauen!$G$9:$J$102,4)+VLOOKUP($CU41-DL$103+1,Frauen!$G$9:$J$102,4))*0.5*(VLOOKUP($CU41-DL$103,Frauen!$AZ$9:$BD$102,5)+VLOOKUP($CU41-DL$103+1,Frauen!$AZ$9:$BD$102,5)),RundDx)))</f>
        <v>1981012871</v>
      </c>
      <c r="DM41" s="25">
        <f>IF($CU41&gt;=RAM,"",IF($CU41-DM$103&lt;BeginnAlter,"",ROUND(v^($CU41+FaktorAlter)*$L41*$D41*0.5*(VLOOKUP($CU41-DM$103,Frauen!$G$9:$J$102,4)+VLOOKUP($CU41-DM$103+1,Frauen!$G$9:$J$102,4))*0.5*(VLOOKUP($CU41-DM$103,Frauen!$AZ$9:$BD$102,5)+VLOOKUP($CU41-DM$103+1,Frauen!$AZ$9:$BD$102,5)),RundDx)))</f>
        <v>2019924207</v>
      </c>
      <c r="DN41" s="25">
        <f>IF($CU41&gt;=RAM,"",IF($CU41-DN$103&lt;BeginnAlter,"",ROUND(v^($CU41+FaktorAlter)*$L41*$D41*0.5*(VLOOKUP($CU41-DN$103,Frauen!$G$9:$J$102,4)+VLOOKUP($CU41-DN$103+1,Frauen!$G$9:$J$102,4))*0.5*(VLOOKUP($CU41-DN$103,Frauen!$AZ$9:$BD$102,5)+VLOOKUP($CU41-DN$103+1,Frauen!$AZ$9:$BD$102,5)),RundDx)))</f>
        <v>2058006823</v>
      </c>
      <c r="DO41" s="25">
        <f>IF($CU41&gt;=RAM,"",IF($CU41-DO$103&lt;BeginnAlter,"",ROUND(v^($CU41+FaktorAlter)*$L41*$D41*0.5*(VLOOKUP($CU41-DO$103,Frauen!$G$9:$J$102,4)+VLOOKUP($CU41-DO$103+1,Frauen!$G$9:$J$102,4))*0.5*(VLOOKUP($CU41-DO$103,Frauen!$AZ$9:$BD$102,5)+VLOOKUP($CU41-DO$103+1,Frauen!$AZ$9:$BD$102,5)),RundDx)))</f>
        <v>2095208733</v>
      </c>
      <c r="DP41" s="25">
        <f>IF($CU41&gt;=RAM,"",IF($CU41-DP$103&lt;BeginnAlter,"",ROUND(v^($CU41+FaktorAlter)*$L41*$D41*0.5*(VLOOKUP($CU41-DP$103,Frauen!$G$9:$J$102,4)+VLOOKUP($CU41-DP$103+1,Frauen!$G$9:$J$102,4))*0.5*(VLOOKUP($CU41-DP$103,Frauen!$AZ$9:$BD$102,5)+VLOOKUP($CU41-DP$103+1,Frauen!$AZ$9:$BD$102,5)),RundDx)))</f>
        <v>2131542029</v>
      </c>
      <c r="DQ41" s="25">
        <f>IF($CU41&gt;=RAM,"",IF($CU41-DQ$103&lt;BeginnAlter,"",ROUND(v^($CU41+FaktorAlter)*$L41*$D41*0.5*(VLOOKUP($CU41-DQ$103,Frauen!$G$9:$J$102,4)+VLOOKUP($CU41-DQ$103+1,Frauen!$G$9:$J$102,4))*0.5*(VLOOKUP($CU41-DQ$103,Frauen!$AZ$9:$BD$102,5)+VLOOKUP($CU41-DQ$103+1,Frauen!$AZ$9:$BD$102,5)),RundDx)))</f>
        <v>2167093278</v>
      </c>
      <c r="DR41" s="25">
        <f>IF($CU41&gt;=RAM,"",IF($CU41-DR$103&lt;BeginnAlter,"",ROUND(v^($CU41+FaktorAlter)*$L41*$D41*0.5*(VLOOKUP($CU41-DR$103,Frauen!$G$9:$J$102,4)+VLOOKUP($CU41-DR$103+1,Frauen!$G$9:$J$102,4))*0.5*(VLOOKUP($CU41-DR$103,Frauen!$AZ$9:$BD$102,5)+VLOOKUP($CU41-DR$103+1,Frauen!$AZ$9:$BD$102,5)),RundDx)))</f>
        <v>2201879596</v>
      </c>
      <c r="DS41" s="25">
        <f>IF($CU41&gt;=RAM,"",IF($CU41-DS$103&lt;BeginnAlter,"",ROUND(v^($CU41+FaktorAlter)*$L41*$D41*0.5*(VLOOKUP($CU41-DS$103,Frauen!$G$9:$J$102,4)+VLOOKUP($CU41-DS$103+1,Frauen!$G$9:$J$102,4))*0.5*(VLOOKUP($CU41-DS$103,Frauen!$AZ$9:$BD$102,5)+VLOOKUP($CU41-DS$103+1,Frauen!$AZ$9:$BD$102,5)),RundDx)))</f>
        <v>2235909175</v>
      </c>
      <c r="DT41" s="25">
        <f>IF($CU41&gt;=RAM,"",IF($CU41-DT$103&lt;BeginnAlter,"",ROUND(v^($CU41+FaktorAlter)*$L41*$D41*0.5*(VLOOKUP($CU41-DT$103,Frauen!$G$9:$J$102,4)+VLOOKUP($CU41-DT$103+1,Frauen!$G$9:$J$102,4))*0.5*(VLOOKUP($CU41-DT$103,Frauen!$AZ$9:$BD$102,5)+VLOOKUP($CU41-DT$103+1,Frauen!$AZ$9:$BD$102,5)),RundDx)))</f>
        <v>2269180420</v>
      </c>
      <c r="DU41" s="25">
        <f>IF($CU41&gt;=RAM,"",IF($CU41-DU$103&lt;BeginnAlter,"",ROUND(v^($CU41+FaktorAlter)*$L41*$D41*0.5*(VLOOKUP($CU41-DU$103,Frauen!$G$9:$J$102,4)+VLOOKUP($CU41-DU$103+1,Frauen!$G$9:$J$102,4))*0.5*(VLOOKUP($CU41-DU$103,Frauen!$AZ$9:$BD$102,5)+VLOOKUP($CU41-DU$103+1,Frauen!$AZ$9:$BD$102,5)),RundDx)))</f>
        <v>2301716011</v>
      </c>
      <c r="DV41" s="25">
        <f>IF($CU41&gt;=RAM,"",IF($CU41-DV$103&lt;BeginnAlter,"",ROUND(v^($CU41+FaktorAlter)*$L41*$D41*0.5*(VLOOKUP($CU41-DV$103,Frauen!$G$9:$J$102,4)+VLOOKUP($CU41-DV$103+1,Frauen!$G$9:$J$102,4))*0.5*(VLOOKUP($CU41-DV$103,Frauen!$AZ$9:$BD$102,5)+VLOOKUP($CU41-DV$103+1,Frauen!$AZ$9:$BD$102,5)),RundDx)))</f>
        <v>2333529039</v>
      </c>
      <c r="DW41" s="25">
        <f>IF($CU41&gt;=RAM,"",IF($CU41-DW$103&lt;BeginnAlter,"",ROUND(v^($CU41+FaktorAlter)*$L41*$D41*0.5*(VLOOKUP($CU41-DW$103,Frauen!$G$9:$J$102,4)+VLOOKUP($CU41-DW$103+1,Frauen!$G$9:$J$102,4))*0.5*(VLOOKUP($CU41-DW$103,Frauen!$AZ$9:$BD$102,5)+VLOOKUP($CU41-DW$103+1,Frauen!$AZ$9:$BD$102,5)),RundDx)))</f>
        <v>2364675788</v>
      </c>
      <c r="DX41" s="25">
        <f>IF($CU41&gt;=RAM,"",IF($CU41-DX$103&lt;BeginnAlter,"",ROUND(v^($CU41+FaktorAlter)*$L41*$D41*0.5*(VLOOKUP($CU41-DX$103,Frauen!$G$9:$J$102,4)+VLOOKUP($CU41-DX$103+1,Frauen!$G$9:$J$102,4))*0.5*(VLOOKUP($CU41-DX$103,Frauen!$AZ$9:$BD$102,5)+VLOOKUP($CU41-DX$103+1,Frauen!$AZ$9:$BD$102,5)),RundDx)))</f>
        <v>2395214125</v>
      </c>
      <c r="DY41" s="25">
        <f>IF($CU41&gt;=RAM,"",IF($CU41-DY$103&lt;BeginnAlter,"",ROUND(v^($CU41+FaktorAlter)*$L41*$D41*0.5*(VLOOKUP($CU41-DY$103,Frauen!$G$9:$J$102,4)+VLOOKUP($CU41-DY$103+1,Frauen!$G$9:$J$102,4))*0.5*(VLOOKUP($CU41-DY$103,Frauen!$AZ$9:$BD$102,5)+VLOOKUP($CU41-DY$103+1,Frauen!$AZ$9:$BD$102,5)),RundDx)))</f>
        <v>2425161669</v>
      </c>
      <c r="DZ41" s="25">
        <f>IF($CU41&gt;=RAM,"",IF($CU41-DZ$103&lt;BeginnAlter,"",ROUND(v^($CU41+FaktorAlter)*$L41*$D41*0.5*(VLOOKUP($CU41-DZ$103,Frauen!$G$9:$J$102,4)+VLOOKUP($CU41-DZ$103+1,Frauen!$G$9:$J$102,4))*0.5*(VLOOKUP($CU41-DZ$103,Frauen!$AZ$9:$BD$102,5)+VLOOKUP($CU41-DZ$103+1,Frauen!$AZ$9:$BD$102,5)),RundDx)))</f>
        <v>2454495579</v>
      </c>
      <c r="EA41" s="43">
        <f>IF($CU41&gt;=RAM,"",IF($CU41-EA$103&lt;BeginnAlter,"",ROUND((SUM(CV41:CV$56)+SUM(FN$9:FN$56))/VLOOKUP($CU41,$AH$9:$AI$102,2)/VLOOKUP($CU41-EA$103,Frauen!$G$9:$J$102,4),Rundäx)))</f>
        <v>3.3849999999999998</v>
      </c>
      <c r="EB41" s="43">
        <f>IF($CU41&gt;=RAM,"",IF($CU41-EB$103&lt;BeginnAlter,"",ROUND((SUM(CW41:CW$56)+SUM(FO$9:FO$56))/VLOOKUP($CU41,$AH$9:$AI$102,2)/VLOOKUP($CU41-EB$103,Frauen!$G$9:$J$102,4),Rundäx)))</f>
        <v>3.5840000000000001</v>
      </c>
      <c r="EC41" s="43">
        <f>IF($CU41&gt;=RAM,"",IF($CU41-EC$103&lt;BeginnAlter,"",ROUND((SUM(CX41:CX$56)+SUM(FP$9:FP$56))/VLOOKUP($CU41,$AH$9:$AI$102,2)/VLOOKUP($CU41-EC$103,Frauen!$G$9:$J$102,4),Rundäx)))</f>
        <v>3.7890000000000001</v>
      </c>
      <c r="ED41" s="43">
        <f>IF($CU41&gt;=RAM,"",IF($CU41-ED$103&lt;BeginnAlter,"",ROUND((SUM(CY41:CY$56)+SUM(FQ$9:FQ$56))/VLOOKUP($CU41,$AH$9:$AI$102,2)/VLOOKUP($CU41-ED$103,Frauen!$G$9:$J$102,4),Rundäx)))</f>
        <v>4</v>
      </c>
      <c r="EE41" s="43">
        <f>IF($CU41&gt;=RAM,"",IF($CU41-EE$103&lt;BeginnAlter,"",ROUND((SUM(CZ41:CZ$56)+SUM(FR$9:FR$56))/VLOOKUP($CU41,$AH$9:$AI$102,2)/VLOOKUP($CU41-EE$103,Frauen!$G$9:$J$102,4),Rundäx)))</f>
        <v>4.218</v>
      </c>
      <c r="EF41" s="43">
        <f>IF($CU41&gt;=RAM,"",IF($CU41-EF$103&lt;BeginnAlter,"",ROUND((SUM(DA41:DA$56)+SUM(FS$9:FS$56))/VLOOKUP($CU41,$AH$9:$AI$102,2)/VLOOKUP($CU41-EF$103,Frauen!$G$9:$J$102,4),Rundäx)))</f>
        <v>4.4429999999999996</v>
      </c>
      <c r="EG41" s="43">
        <f>IF($CU41&gt;=RAM,"",IF($CU41-EG$103&lt;BeginnAlter,"",ROUND((SUM(DB41:DB$56)+SUM(FT$9:FT$56))/VLOOKUP($CU41,$AH$9:$AI$102,2)/VLOOKUP($CU41-EG$103,Frauen!$G$9:$J$102,4),Rundäx)))</f>
        <v>4.6749999999999998</v>
      </c>
      <c r="EH41" s="43">
        <f>IF($CU41&gt;=RAM,"",IF($CU41-EH$103&lt;BeginnAlter,"",ROUND((SUM(DC41:DC$56)+SUM(FU$9:FU$56))/VLOOKUP($CU41,$AH$9:$AI$102,2)/VLOOKUP($CU41-EH$103,Frauen!$G$9:$J$102,4),Rundäx)))</f>
        <v>4.9130000000000003</v>
      </c>
      <c r="EI41" s="86"/>
      <c r="EJ41" s="35">
        <f t="shared" si="60"/>
        <v>49</v>
      </c>
      <c r="EK41" s="43">
        <f>IF($CU41&gt;=RAM,"",IF($CU41-EK$103&lt;BeginnAlter,"",ROUND((SUM(DD41:DD$56)+SUM(FV$9:FV$56))/VLOOKUP($CU41,$AH$9:$AI$102,2)/VLOOKUP($CU41-EK$103,Frauen!$G$9:$J$102,4),Rundäx)))</f>
        <v>5.157</v>
      </c>
      <c r="EL41" s="43">
        <f>IF($CU41&gt;=RAM,"",IF($CU41-EL$103&lt;BeginnAlter,"",ROUND((SUM(DE41:DE$56)+SUM(FW$9:FW$56))/VLOOKUP($CU41,$AH$9:$AI$102,2)/VLOOKUP($CU41-EL$103,Frauen!$G$9:$J$102,4),Rundäx)))</f>
        <v>5.4080000000000004</v>
      </c>
      <c r="EM41" s="43">
        <f>IF($CU41&gt;=RAM,"",IF($CU41-EM$103&lt;BeginnAlter,"",ROUND((SUM(DF41:DF$56)+SUM(FX$9:FX$56))/VLOOKUP($CU41,$AH$9:$AI$102,2)/VLOOKUP($CU41-EM$103,Frauen!$G$9:$J$102,4),Rundäx)))</f>
        <v>5.665</v>
      </c>
      <c r="EN41" s="43">
        <f>IF($CU41&gt;=RAM,"",IF($CU41-EN$103&lt;BeginnAlter,"",ROUND((SUM(DG41:DG$56)+SUM(FY$9:FY$56))/VLOOKUP($CU41,$AH$9:$AI$102,2)/VLOOKUP($CU41-EN$103,Frauen!$G$9:$J$102,4),Rundäx)))</f>
        <v>5.9269999999999996</v>
      </c>
      <c r="EO41" s="43">
        <f>IF($CU41&gt;=RAM,"",IF($CU41-EO$103&lt;BeginnAlter,"",ROUND((SUM(DH41:DH$56)+SUM(FZ$9:FZ$56))/VLOOKUP($CU41,$AH$9:$AI$102,2)/VLOOKUP($CU41-EO$103,Frauen!$G$9:$J$102,4),Rundäx)))</f>
        <v>6.1950000000000003</v>
      </c>
      <c r="EP41" s="43">
        <f>IF($CU41&gt;=RAM,"",IF($CU41-EP$103&lt;BeginnAlter,"",ROUND((SUM(DI41:DI$56)+SUM(GA$9:GA$56))/VLOOKUP($CU41,$AH$9:$AI$102,2)/VLOOKUP($CU41-EP$103,Frauen!$G$9:$J$102,4),Rundäx)))</f>
        <v>6.468</v>
      </c>
      <c r="EQ41" s="43">
        <f>IF($CU41&gt;=RAM,"",IF($CU41-EQ$103&lt;BeginnAlter,"",ROUND((SUM(DJ41:DJ$56)+SUM(GB$9:GB$56))/VLOOKUP($CU41,$AH$9:$AI$102,2)/VLOOKUP($CU41-EQ$103,Frauen!$G$9:$J$102,4),Rundäx)))</f>
        <v>6.7460000000000004</v>
      </c>
      <c r="ER41" s="43">
        <f>IF($CU41&gt;=RAM,"",IF($CU41-ER$103&lt;BeginnAlter,"",ROUND((SUM(DK41:DK$56)+SUM(GC$9:GC$56))/VLOOKUP($CU41,$AH$9:$AI$102,2)/VLOOKUP($CU41-ER$103,Frauen!$G$9:$J$102,4),Rundäx)))</f>
        <v>7.0289999999999999</v>
      </c>
      <c r="ES41" s="86"/>
      <c r="ET41" s="35">
        <f t="shared" si="61"/>
        <v>49</v>
      </c>
      <c r="EU41" s="43">
        <f>IF($CU41&gt;=RAM,"",IF($CU41-EU$103&lt;BeginnAlter,"",ROUND((SUM(DL41:DL$56)+SUM(GD$9:GD$56))/VLOOKUP($CU41,$AH$9:$AI$102,2)/VLOOKUP($CU41-EU$103,Frauen!$G$9:$J$102,4),Rundäx)))</f>
        <v>7.3150000000000004</v>
      </c>
      <c r="EV41" s="43">
        <f>IF($CU41&gt;=RAM,"",IF($CU41-EV$103&lt;BeginnAlter,"",ROUND((SUM(DM41:DM$56)+SUM(GE$9:GE$56))/VLOOKUP($CU41,$AH$9:$AI$102,2)/VLOOKUP($CU41-EV$103,Frauen!$G$9:$J$102,4),Rundäx)))</f>
        <v>7.6059999999999999</v>
      </c>
      <c r="EW41" s="43">
        <f>IF($CU41&gt;=RAM,"",IF($CU41-EW$103&lt;BeginnAlter,"",ROUND((SUM(DN41:DN$56)+SUM(GF$9:GF$56))/VLOOKUP($CU41,$AH$9:$AI$102,2)/VLOOKUP($CU41-EW$103,Frauen!$G$9:$J$102,4),Rundäx)))</f>
        <v>7.899</v>
      </c>
      <c r="EX41" s="43">
        <f>IF($CU41&gt;=RAM,"",IF($CU41-EX$103&lt;BeginnAlter,"",ROUND((SUM(DO41:DO$56)+SUM(GG$9:GG$56))/VLOOKUP($CU41,$AH$9:$AI$102,2)/VLOOKUP($CU41-EX$103,Frauen!$G$9:$J$102,4),Rundäx)))</f>
        <v>8.1959999999999997</v>
      </c>
      <c r="EY41" s="43">
        <f>IF($CU41&gt;=RAM,"",IF($CU41-EY$103&lt;BeginnAlter,"",ROUND((SUM(DP41:DP$56)+SUM(GH$9:GH$56))/VLOOKUP($CU41,$AH$9:$AI$102,2)/VLOOKUP($CU41-EY$103,Frauen!$G$9:$J$102,4),Rundäx)))</f>
        <v>8.4939999999999998</v>
      </c>
      <c r="EZ41" s="43">
        <f>IF($CU41&gt;=RAM,"",IF($CU41-EZ$103&lt;BeginnAlter,"",ROUND((SUM(DQ41:DQ$56)+SUM(GI$9:GI$56))/VLOOKUP($CU41,$AH$9:$AI$102,2)/VLOOKUP($CU41-EZ$103,Frauen!$G$9:$J$102,4),Rundäx)))</f>
        <v>8.7940000000000005</v>
      </c>
      <c r="FA41" s="43">
        <f>IF($CU41&gt;=RAM,"",IF($CU41-FA$103&lt;BeginnAlter,"",ROUND((SUM(DR41:DR$56)+SUM(GJ$9:GJ$56))/VLOOKUP($CU41,$AH$9:$AI$102,2)/VLOOKUP($CU41-FA$103,Frauen!$G$9:$J$102,4),Rundäx)))</f>
        <v>9.0960000000000001</v>
      </c>
      <c r="FB41" s="43">
        <f>IF($CU41&gt;=RAM,"",IF($CU41-FB$103&lt;BeginnAlter,"",ROUND((SUM(DS41:DS$56)+SUM(GK$9:GK$56))/VLOOKUP($CU41,$AH$9:$AI$102,2)/VLOOKUP($CU41-FB$103,Frauen!$G$9:$J$102,4),Rundäx)))</f>
        <v>9.3970000000000002</v>
      </c>
      <c r="FC41" s="86"/>
      <c r="FD41" s="35">
        <f t="shared" si="62"/>
        <v>49</v>
      </c>
      <c r="FE41" s="43">
        <f>IF($CU41&gt;=RAM,"",IF($CU41-FE$103&lt;BeginnAlter,"",ROUND((SUM(DT41:DT$56)+SUM(GL$9:GL$56))/VLOOKUP($CU41,$AH$9:$AI$102,2)/VLOOKUP($CU41-FE$103,Frauen!$G$9:$J$102,4),Rundäx)))</f>
        <v>9.6989999999999998</v>
      </c>
      <c r="FF41" s="43">
        <f>IF($CU41&gt;=RAM,"",IF($CU41-FF$103&lt;BeginnAlter,"",ROUND((SUM(DU41:DU$56)+SUM(GM$9:GM$56))/VLOOKUP($CU41,$AH$9:$AI$102,2)/VLOOKUP($CU41-FF$103,Frauen!$G$9:$J$102,4),Rundäx)))</f>
        <v>10</v>
      </c>
      <c r="FG41" s="43">
        <f>IF($CU41&gt;=RAM,"",IF($CU41-FG$103&lt;BeginnAlter,"",ROUND((SUM(DV41:DV$56)+SUM(GN$9:GN$56))/VLOOKUP($CU41,$AH$9:$AI$102,2)/VLOOKUP($CU41-FG$103,Frauen!$G$9:$J$102,4),Rundäx)))</f>
        <v>10.3</v>
      </c>
      <c r="FH41" s="43">
        <f>IF($CU41&gt;=RAM,"",IF($CU41-FH$103&lt;BeginnAlter,"",ROUND((SUM(DW41:DW$56)+SUM(GO$9:GO$56))/VLOOKUP($CU41,$AH$9:$AI$102,2)/VLOOKUP($CU41-FH$103,Frauen!$G$9:$J$102,4),Rundäx)))</f>
        <v>10.599</v>
      </c>
      <c r="FI41" s="43">
        <f>IF($CU41&gt;=RAM,"",IF($CU41-FI$103&lt;BeginnAlter,"",ROUND((SUM(DX41:DX$56)+SUM(GP$9:GP$56))/VLOOKUP($CU41,$AH$9:$AI$102,2)/VLOOKUP($CU41-FI$103,Frauen!$G$9:$J$102,4),Rundäx)))</f>
        <v>10.896000000000001</v>
      </c>
      <c r="FJ41" s="43">
        <f>IF($CU41&gt;=RAM,"",IF($CU41-FJ$103&lt;BeginnAlter,"",ROUND((SUM(DY41:DY$56)+SUM(GQ$9:GQ$56))/VLOOKUP($CU41,$AH$9:$AI$102,2)/VLOOKUP($CU41-FJ$103,Frauen!$G$9:$J$102,4),Rundäx)))</f>
        <v>11.191000000000001</v>
      </c>
      <c r="FK41" s="43">
        <f>IF($CU41&gt;=RAM,"",IF($CU41-FK$103&lt;BeginnAlter,"",ROUND((SUM(DZ41:DZ$56)+SUM(GR$9:GR$56))/VLOOKUP($CU41,$AH$9:$AI$102,2)/VLOOKUP($CU41-FK$103,Frauen!$G$9:$J$102,4),Rundäx)))</f>
        <v>11.483000000000001</v>
      </c>
      <c r="FL41" s="86"/>
      <c r="FM41" s="35">
        <f t="shared" si="68"/>
        <v>97</v>
      </c>
      <c r="FN41" s="25"/>
      <c r="FO41" s="25"/>
      <c r="FP41" s="25"/>
      <c r="FQ41" s="25"/>
      <c r="FR41" s="25"/>
      <c r="FS41" s="25"/>
      <c r="FT41" s="25"/>
      <c r="FU41" s="25"/>
      <c r="FV41" s="25"/>
      <c r="FW41" s="25">
        <f>ROUND(v^($FM41+FaktorAlter)*VLOOKUP($FM41,$G$9:$J$102,4)*VLOOKUP($FM41,$A$9:$E$102,5)*0.5*(VLOOKUP($FM41-FW$103,Frauen!$G$9:$J$102,4)+VLOOKUP($FM41-FW$103+1,Frauen!$G$9:$J$102,4))*0.5*(VLOOKUP($FM41-FW$103,Frauen!$AZ$9:$BD$102,5)+VLOOKUP($FM41-FW$103+1,Frauen!$AZ$9:$BD$102,5)),RundDx)</f>
        <v>6629</v>
      </c>
      <c r="FX41" s="25">
        <f>ROUND(v^($FM41+FaktorAlter)*VLOOKUP($FM41,$G$9:$J$102,4)*VLOOKUP($FM41,$A$9:$E$102,5)*0.5*(VLOOKUP($FM41-FX$103,Frauen!$G$9:$J$102,4)+VLOOKUP($FM41-FX$103+1,Frauen!$G$9:$J$102,4))*0.5*(VLOOKUP($FM41-FX$103,Frauen!$AZ$9:$BD$102,5)+VLOOKUP($FM41-FX$103+1,Frauen!$AZ$9:$BD$102,5)),RundDx)</f>
        <v>24971</v>
      </c>
      <c r="FY41" s="25">
        <f>ROUND(v^($FM41+FaktorAlter)*VLOOKUP($FM41,$G$9:$J$102,4)*VLOOKUP($FM41,$A$9:$E$102,5)*0.5*(VLOOKUP($FM41-FY$103,Frauen!$G$9:$J$102,4)+VLOOKUP($FM41-FY$103+1,Frauen!$G$9:$J$102,4))*0.5*(VLOOKUP($FM41-FY$103,Frauen!$AZ$9:$BD$102,5)+VLOOKUP($FM41-FY$103+1,Frauen!$AZ$9:$BD$102,5)),RundDx)</f>
        <v>65355</v>
      </c>
      <c r="FZ41" s="25">
        <f>ROUND(v^($FM41+FaktorAlter)*VLOOKUP($FM41,$G$9:$J$102,4)*VLOOKUP($FM41,$A$9:$E$102,5)*0.5*(VLOOKUP($FM41-FZ$103,Frauen!$G$9:$J$102,4)+VLOOKUP($FM41-FZ$103+1,Frauen!$G$9:$J$102,4))*0.5*(VLOOKUP($FM41-FZ$103,Frauen!$AZ$9:$BD$102,5)+VLOOKUP($FM41-FZ$103+1,Frauen!$AZ$9:$BD$102,5)),RundDx)</f>
        <v>143598</v>
      </c>
      <c r="GA41" s="25">
        <f>ROUND(v^($FM41+FaktorAlter)*VLOOKUP($FM41,$G$9:$J$102,4)*VLOOKUP($FM41,$A$9:$E$102,5)*0.5*(VLOOKUP($FM41-GA$103,Frauen!$G$9:$J$102,4)+VLOOKUP($FM41-GA$103+1,Frauen!$G$9:$J$102,4))*0.5*(VLOOKUP($FM41-GA$103,Frauen!$AZ$9:$BD$102,5)+VLOOKUP($FM41-GA$103+1,Frauen!$AZ$9:$BD$102,5)),RundDx)</f>
        <v>278368</v>
      </c>
      <c r="GB41" s="25">
        <f>ROUND(v^($FM41+FaktorAlter)*VLOOKUP($FM41,$G$9:$J$102,4)*VLOOKUP($FM41,$A$9:$E$102,5)*0.5*(VLOOKUP($FM41-GB$103,Frauen!$G$9:$J$102,4)+VLOOKUP($FM41-GB$103+1,Frauen!$G$9:$J$102,4))*0.5*(VLOOKUP($FM41-GB$103,Frauen!$AZ$9:$BD$102,5)+VLOOKUP($FM41-GB$103+1,Frauen!$AZ$9:$BD$102,5)),RundDx)</f>
        <v>496344</v>
      </c>
      <c r="GC41" s="25">
        <f>ROUND(v^($FM41+FaktorAlter)*VLOOKUP($FM41,$G$9:$J$102,4)*VLOOKUP($FM41,$A$9:$E$102,5)*0.5*(VLOOKUP($FM41-GC$103,Frauen!$G$9:$J$102,4)+VLOOKUP($FM41-GC$103+1,Frauen!$G$9:$J$102,4))*0.5*(VLOOKUP($FM41-GC$103,Frauen!$AZ$9:$BD$102,5)+VLOOKUP($FM41-GC$103+1,Frauen!$AZ$9:$BD$102,5)),RundDx)</f>
        <v>826774</v>
      </c>
      <c r="GD41" s="25">
        <f>ROUND(v^($FM41+FaktorAlter)*VLOOKUP($FM41,$G$9:$J$102,4)*VLOOKUP($FM41,$A$9:$E$102,5)*0.5*(VLOOKUP($FM41-GD$103,Frauen!$G$9:$J$102,4)+VLOOKUP($FM41-GD$103+1,Frauen!$G$9:$J$102,4))*0.5*(VLOOKUP($FM41-GD$103,Frauen!$AZ$9:$BD$102,5)+VLOOKUP($FM41-GD$103+1,Frauen!$AZ$9:$BD$102,5)),RundDx)</f>
        <v>1306762</v>
      </c>
      <c r="GE41" s="25">
        <f>ROUND(v^($FM41+FaktorAlter)*VLOOKUP($FM41,$G$9:$J$102,4)*VLOOKUP($FM41,$A$9:$E$102,5)*0.5*(VLOOKUP($FM41-GE$103,Frauen!$G$9:$J$102,4)+VLOOKUP($FM41-GE$103+1,Frauen!$G$9:$J$102,4))*0.5*(VLOOKUP($FM41-GE$103,Frauen!$AZ$9:$BD$102,5)+VLOOKUP($FM41-GE$103+1,Frauen!$AZ$9:$BD$102,5)),RundDx)</f>
        <v>1978555</v>
      </c>
      <c r="GF41" s="25">
        <f>ROUND(v^($FM41+FaktorAlter)*VLOOKUP($FM41,$G$9:$J$102,4)*VLOOKUP($FM41,$A$9:$E$102,5)*0.5*(VLOOKUP($FM41-GF$103,Frauen!$G$9:$J$102,4)+VLOOKUP($FM41-GF$103+1,Frauen!$G$9:$J$102,4))*0.5*(VLOOKUP($FM41-GF$103,Frauen!$AZ$9:$BD$102,5)+VLOOKUP($FM41-GF$103+1,Frauen!$AZ$9:$BD$102,5)),RundDx)</f>
        <v>2887666</v>
      </c>
      <c r="GG41" s="25">
        <f>ROUND(v^($FM41+FaktorAlter)*VLOOKUP($FM41,$G$9:$J$102,4)*VLOOKUP($FM41,$A$9:$E$102,5)*0.5*(VLOOKUP($FM41-GG$103,Frauen!$G$9:$J$102,4)+VLOOKUP($FM41-GG$103+1,Frauen!$G$9:$J$102,4))*0.5*(VLOOKUP($FM41-GG$103,Frauen!$AZ$9:$BD$102,5)+VLOOKUP($FM41-GG$103+1,Frauen!$AZ$9:$BD$102,5)),RundDx)</f>
        <v>4080261</v>
      </c>
      <c r="GH41" s="25">
        <f>ROUND(v^($FM41+FaktorAlter)*VLOOKUP($FM41,$G$9:$J$102,4)*VLOOKUP($FM41,$A$9:$E$102,5)*0.5*(VLOOKUP($FM41-GH$103,Frauen!$G$9:$J$102,4)+VLOOKUP($FM41-GH$103+1,Frauen!$G$9:$J$102,4))*0.5*(VLOOKUP($FM41-GH$103,Frauen!$AZ$9:$BD$102,5)+VLOOKUP($FM41-GH$103+1,Frauen!$AZ$9:$BD$102,5)),RundDx)</f>
        <v>5608206</v>
      </c>
      <c r="GI41" s="25">
        <f>ROUND(v^($FM41+FaktorAlter)*VLOOKUP($FM41,$G$9:$J$102,4)*VLOOKUP($FM41,$A$9:$E$102,5)*0.5*(VLOOKUP($FM41-GI$103,Frauen!$G$9:$J$102,4)+VLOOKUP($FM41-GI$103+1,Frauen!$G$9:$J$102,4))*0.5*(VLOOKUP($FM41-GI$103,Frauen!$AZ$9:$BD$102,5)+VLOOKUP($FM41-GI$103+1,Frauen!$AZ$9:$BD$102,5)),RundDx)</f>
        <v>7502687</v>
      </c>
      <c r="GJ41" s="25">
        <f>ROUND(v^($FM41+FaktorAlter)*VLOOKUP($FM41,$G$9:$J$102,4)*VLOOKUP($FM41,$A$9:$E$102,5)*0.5*(VLOOKUP($FM41-GJ$103,Frauen!$G$9:$J$102,4)+VLOOKUP($FM41-GJ$103+1,Frauen!$G$9:$J$102,4))*0.5*(VLOOKUP($FM41-GJ$103,Frauen!$AZ$9:$BD$102,5)+VLOOKUP($FM41-GJ$103+1,Frauen!$AZ$9:$BD$102,5)),RundDx)</f>
        <v>9767401</v>
      </c>
      <c r="GK41" s="25">
        <f>ROUND(v^($FM41+FaktorAlter)*VLOOKUP($FM41,$G$9:$J$102,4)*VLOOKUP($FM41,$A$9:$E$102,5)*0.5*(VLOOKUP($FM41-GK$103,Frauen!$G$9:$J$102,4)+VLOOKUP($FM41-GK$103+1,Frauen!$G$9:$J$102,4))*0.5*(VLOOKUP($FM41-GK$103,Frauen!$AZ$9:$BD$102,5)+VLOOKUP($FM41-GK$103+1,Frauen!$AZ$9:$BD$102,5)),RundDx)</f>
        <v>12421773</v>
      </c>
      <c r="GL41" s="25">
        <f>ROUND(v^($FM41+FaktorAlter)*VLOOKUP($FM41,$G$9:$J$102,4)*VLOOKUP($FM41,$A$9:$E$102,5)*0.5*(VLOOKUP($FM41-GL$103,Frauen!$G$9:$J$102,4)+VLOOKUP($FM41-GL$103+1,Frauen!$G$9:$J$102,4))*0.5*(VLOOKUP($FM41-GL$103,Frauen!$AZ$9:$BD$102,5)+VLOOKUP($FM41-GL$103+1,Frauen!$AZ$9:$BD$102,5)),RundDx)</f>
        <v>15469209</v>
      </c>
      <c r="GM41" s="25">
        <f>ROUND(v^($FM41+FaktorAlter)*VLOOKUP($FM41,$G$9:$J$102,4)*VLOOKUP($FM41,$A$9:$E$102,5)*0.5*(VLOOKUP($FM41-GM$103,Frauen!$G$9:$J$102,4)+VLOOKUP($FM41-GM$103+1,Frauen!$G$9:$J$102,4))*0.5*(VLOOKUP($FM41-GM$103,Frauen!$AZ$9:$BD$102,5)+VLOOKUP($FM41-GM$103+1,Frauen!$AZ$9:$BD$102,5)),RundDx)</f>
        <v>18900301</v>
      </c>
      <c r="GN41" s="25">
        <f>ROUND(v^($FM41+FaktorAlter)*VLOOKUP($FM41,$G$9:$J$102,4)*VLOOKUP($FM41,$A$9:$E$102,5)*0.5*(VLOOKUP($FM41-GN$103,Frauen!$G$9:$J$102,4)+VLOOKUP($FM41-GN$103+1,Frauen!$G$9:$J$102,4))*0.5*(VLOOKUP($FM41-GN$103,Frauen!$AZ$9:$BD$102,5)+VLOOKUP($FM41-GN$103+1,Frauen!$AZ$9:$BD$102,5)),RundDx)</f>
        <v>22697587</v>
      </c>
      <c r="GO41" s="25">
        <f>ROUND(v^($FM41+FaktorAlter)*VLOOKUP($FM41,$G$9:$J$102,4)*VLOOKUP($FM41,$A$9:$E$102,5)*0.5*(VLOOKUP($FM41-GO$103,Frauen!$G$9:$J$102,4)+VLOOKUP($FM41-GO$103+1,Frauen!$G$9:$J$102,4))*0.5*(VLOOKUP($FM41-GO$103,Frauen!$AZ$9:$BD$102,5)+VLOOKUP($FM41-GO$103+1,Frauen!$AZ$9:$BD$102,5)),RundDx)</f>
        <v>26824628</v>
      </c>
      <c r="GP41" s="25">
        <f>ROUND(v^($FM41+FaktorAlter)*VLOOKUP($FM41,$G$9:$J$102,4)*VLOOKUP($FM41,$A$9:$E$102,5)*0.5*(VLOOKUP($FM41-GP$103,Frauen!$G$9:$J$102,4)+VLOOKUP($FM41-GP$103+1,Frauen!$G$9:$J$102,4))*0.5*(VLOOKUP($FM41-GP$103,Frauen!$AZ$9:$BD$102,5)+VLOOKUP($FM41-GP$103+1,Frauen!$AZ$9:$BD$102,5)),RundDx)</f>
        <v>31237689</v>
      </c>
      <c r="GQ41" s="25">
        <f>ROUND(v^($FM41+FaktorAlter)*VLOOKUP($FM41,$G$9:$J$102,4)*VLOOKUP($FM41,$A$9:$E$102,5)*0.5*(VLOOKUP($FM41-GQ$103,Frauen!$G$9:$J$102,4)+VLOOKUP($FM41-GQ$103+1,Frauen!$G$9:$J$102,4))*0.5*(VLOOKUP($FM41-GQ$103,Frauen!$AZ$9:$BD$102,5)+VLOOKUP($FM41-GQ$103+1,Frauen!$AZ$9:$BD$102,5)),RundDx)</f>
        <v>35893501</v>
      </c>
      <c r="GR41" s="25">
        <f>ROUND(v^($FM41+FaktorAlter)*VLOOKUP($FM41,$G$9:$J$102,4)*VLOOKUP($FM41,$A$9:$E$102,5)*0.5*(VLOOKUP($FM41-GR$103,Frauen!$G$9:$J$102,4)+VLOOKUP($FM41-GR$103+1,Frauen!$G$9:$J$102,4))*0.5*(VLOOKUP($FM41-GR$103,Frauen!$AZ$9:$BD$102,5)+VLOOKUP($FM41-GR$103+1,Frauen!$AZ$9:$BD$102,5)),RundDx)</f>
        <v>40740849</v>
      </c>
      <c r="GS41" s="24"/>
      <c r="GT41" s="24"/>
      <c r="GU41" s="24"/>
      <c r="GV41" s="24"/>
      <c r="GW41" s="24"/>
      <c r="GX41" s="24"/>
      <c r="GY41" s="24"/>
      <c r="GZ41" s="24"/>
      <c r="HA41" s="86"/>
      <c r="HB41" s="35">
        <f t="shared" si="63"/>
        <v>97</v>
      </c>
      <c r="HC41" s="24"/>
      <c r="HD41" s="24">
        <f>ROUND(SUM(FW41:FW$56)/VLOOKUP($FM41,$AQ$9:$AR$102,2)/VLOOKUP($FM41-HD$103,Frauen!$G$9:$J$102,4),Rundäx)</f>
        <v>0.2</v>
      </c>
      <c r="HE41" s="24">
        <f>ROUND(SUM(FX41:FX$56)/VLOOKUP($FM41,$AQ$9:$AR$102,2)/VLOOKUP($FM41-HE$103,Frauen!$G$9:$J$102,4),Rundäx)</f>
        <v>0.34799999999999998</v>
      </c>
      <c r="HF41" s="24">
        <f>ROUND(SUM(FY41:FY$56)/VLOOKUP($FM41,$AQ$9:$AR$102,2)/VLOOKUP($FM41-HF$103,Frauen!$G$9:$J$102,4),Rundäx)</f>
        <v>0.47599999999999998</v>
      </c>
      <c r="HG41" s="24">
        <f>ROUND(SUM(FZ41:FZ$56)/VLOOKUP($FM41,$AQ$9:$AR$102,2)/VLOOKUP($FM41-HG$103,Frauen!$G$9:$J$102,4),Rundäx)</f>
        <v>0.60699999999999998</v>
      </c>
      <c r="HH41" s="24">
        <f>ROUND(SUM(GA41:GA$56)/VLOOKUP($FM41,$AQ$9:$AR$102,2)/VLOOKUP($FM41-HH$103,Frauen!$G$9:$J$102,4),Rundäx)</f>
        <v>0.74399999999999999</v>
      </c>
      <c r="HI41" s="24">
        <f>ROUND(SUM(GB41:GB$56)/VLOOKUP($FM41,$AQ$9:$AR$102,2)/VLOOKUP($FM41-HI$103,Frauen!$G$9:$J$102,4),Rundäx)</f>
        <v>0.89400000000000002</v>
      </c>
      <c r="HJ41" s="24">
        <f>ROUND(SUM(GC41:GC$56)/VLOOKUP($FM41,$AQ$9:$AR$102,2)/VLOOKUP($FM41-HJ$103,Frauen!$G$9:$J$102,4),Rundäx)</f>
        <v>1.0569999999999999</v>
      </c>
      <c r="HK41" s="86"/>
      <c r="HL41" s="35">
        <f t="shared" si="64"/>
        <v>97</v>
      </c>
      <c r="HM41" s="24">
        <f>ROUND(SUM(GD41:GD$56)/VLOOKUP($FM41,$AQ$9:$AR$102,2)/VLOOKUP($FM41-HM$103,Frauen!$G$9:$J$102,4),Rundäx)</f>
        <v>1.236</v>
      </c>
      <c r="HN41" s="24">
        <f>ROUND(SUM(GE41:GE$56)/VLOOKUP($FM41,$AQ$9:$AR$102,2)/VLOOKUP($FM41-HN$103,Frauen!$G$9:$J$102,4),Rundäx)</f>
        <v>1.4330000000000001</v>
      </c>
      <c r="HO41" s="24">
        <f>ROUND(SUM(GF41:GF$56)/VLOOKUP($FM41,$AQ$9:$AR$102,2)/VLOOKUP($FM41-HO$103,Frauen!$G$9:$J$102,4),Rundäx)</f>
        <v>1.649</v>
      </c>
      <c r="HP41" s="24">
        <f>ROUND(SUM(GG41:GG$56)/VLOOKUP($FM41,$AQ$9:$AR$102,2)/VLOOKUP($FM41-HP$103,Frauen!$G$9:$J$102,4),Rundäx)</f>
        <v>1.885</v>
      </c>
      <c r="HQ41" s="24">
        <f>ROUND(SUM(GH41:GH$56)/VLOOKUP($FM41,$AQ$9:$AR$102,2)/VLOOKUP($FM41-HQ$103,Frauen!$G$9:$J$102,4),Rundäx)</f>
        <v>2.1440000000000001</v>
      </c>
      <c r="HR41" s="24">
        <f>ROUND(SUM(GI41:GI$56)/VLOOKUP($FM41,$AQ$9:$AR$102,2)/VLOOKUP($FM41-HR$103,Frauen!$G$9:$J$102,4),Rundäx)</f>
        <v>2.4249999999999998</v>
      </c>
      <c r="HS41" s="24">
        <f>ROUND(SUM(GJ41:GJ$56)/VLOOKUP($FM41,$AQ$9:$AR$102,2)/VLOOKUP($FM41-HS$103,Frauen!$G$9:$J$102,4),Rundäx)</f>
        <v>2.7250000000000001</v>
      </c>
      <c r="HT41" s="24">
        <f>ROUND(SUM(GK41:GK$56)/VLOOKUP($FM41,$AQ$9:$AR$102,2)/VLOOKUP($FM41-HT$103,Frauen!$G$9:$J$102,4),Rundäx)</f>
        <v>3.044</v>
      </c>
      <c r="HU41" s="86"/>
      <c r="HV41" s="35">
        <f t="shared" si="65"/>
        <v>97</v>
      </c>
      <c r="HW41" s="24">
        <f>ROUND(SUM(GL41:GL$56)/VLOOKUP($FM41,$AQ$9:$AR$102,2)/VLOOKUP($FM41-HW$103,Frauen!$G$9:$J$102,4),Rundäx)</f>
        <v>3.383</v>
      </c>
      <c r="HX41" s="24">
        <f>ROUND(SUM(GM41:GM$56)/VLOOKUP($FM41,$AQ$9:$AR$102,2)/VLOOKUP($FM41-HX$103,Frauen!$G$9:$J$102,4),Rundäx)</f>
        <v>3.7450000000000001</v>
      </c>
      <c r="HY41" s="24">
        <f>ROUND(SUM(GN41:GN$56)/VLOOKUP($FM41,$AQ$9:$AR$102,2)/VLOOKUP($FM41-HY$103,Frauen!$G$9:$J$102,4),Rundäx)</f>
        <v>4.1310000000000002</v>
      </c>
      <c r="HZ41" s="24">
        <f>ROUND(SUM(GO41:GO$56)/VLOOKUP($FM41,$AQ$9:$AR$102,2)/VLOOKUP($FM41-HZ$103,Frauen!$G$9:$J$102,4),Rundäx)</f>
        <v>4.54</v>
      </c>
      <c r="IA41" s="24">
        <f>ROUND(SUM(GP41:GP$56)/VLOOKUP($FM41,$AQ$9:$AR$102,2)/VLOOKUP($FM41-IA$103,Frauen!$G$9:$J$102,4),Rundäx)</f>
        <v>4.9749999999999996</v>
      </c>
      <c r="IB41" s="24">
        <f>ROUND(SUM(GQ41:GQ$56)/VLOOKUP($FM41,$AQ$9:$AR$102,2)/VLOOKUP($FM41-IB$103,Frauen!$G$9:$J$102,4),Rundäx)</f>
        <v>5.4320000000000004</v>
      </c>
      <c r="IC41" s="24">
        <f>ROUND(SUM(GR41:GR$56)/VLOOKUP($FM41,$AQ$9:$AR$102,2)/VLOOKUP($FM41-IC$103,Frauen!$G$9:$J$102,4),Rundäx)</f>
        <v>5.9119999999999999</v>
      </c>
      <c r="ID41" s="89"/>
      <c r="IE41" s="35">
        <f t="shared" si="66"/>
        <v>49</v>
      </c>
      <c r="IF41" s="25">
        <f t="shared" si="31"/>
        <v>412</v>
      </c>
      <c r="IG41" s="25">
        <f>IF($IE41&lt;RAM,IF(S42&lt;=RAK,ROUND(SUM(IF41:INDEX(Dakx,RAM-BeginnAlter))+INDEX(Dax,RAM-BeginnAlter+1)*INDEX(äkx,1),RundDx),0),"")</f>
        <v>2588</v>
      </c>
      <c r="IH41" s="25">
        <f>IF($IE41&lt;RAM,IF(S42&lt;=RAK,ROUND(SUM(IG41:INDEX(Nakx,RAM-BeginnAlter))+INDEX(Dax,RAM-BeginnAlter+1)*INDEX(äkx,1),RundDx),0),"")</f>
        <v>13916</v>
      </c>
      <c r="II41" s="24">
        <f t="shared" si="32"/>
        <v>8.2000000000000003E-2</v>
      </c>
      <c r="IJ41" s="25">
        <f t="shared" si="33"/>
        <v>4970</v>
      </c>
      <c r="IK41" s="25">
        <f>IF($IE41&lt;RAM,IF(S42&lt;=RAK,SUM(IJ41:INDEX(Dikx,RAM-BeginnAlter))+INDEX(Dix,RAM-BeginnAlter+1)*INDEX(äkx,1),0),"")</f>
        <v>21333.831999999999</v>
      </c>
      <c r="IL41" s="24">
        <f t="shared" si="34"/>
        <v>0.51300000000000001</v>
      </c>
      <c r="IM41" s="86"/>
      <c r="IN41" s="35">
        <f t="shared" si="67"/>
        <v>97</v>
      </c>
      <c r="IO41" s="25"/>
      <c r="IP41" s="25"/>
      <c r="IQ41" s="24"/>
      <c r="IR41" s="86"/>
    </row>
    <row r="42" spans="1:252" ht="15.75" customHeight="1" x14ac:dyDescent="0.25">
      <c r="A42" s="35">
        <f t="shared" si="41"/>
        <v>50</v>
      </c>
      <c r="B42" s="77">
        <v>2.0833773642258565E-3</v>
      </c>
      <c r="C42" s="77">
        <v>4.5712935507758465E-3</v>
      </c>
      <c r="D42" s="77">
        <v>2.0525026173038363E-2</v>
      </c>
      <c r="E42" s="77">
        <v>2.778440133945681E-3</v>
      </c>
      <c r="F42" s="86"/>
      <c r="G42" s="35">
        <f t="shared" si="42"/>
        <v>50</v>
      </c>
      <c r="H42" s="25">
        <f t="shared" si="37"/>
        <v>93108</v>
      </c>
      <c r="I42" s="25">
        <f t="shared" si="38"/>
        <v>3349</v>
      </c>
      <c r="J42" s="25">
        <f t="shared" si="39"/>
        <v>96457</v>
      </c>
      <c r="K42" s="30">
        <f>IF(J42&gt;0,ROUND(SUM(J42:J$102)/J42-0.5,Rundex),"")</f>
        <v>30.3</v>
      </c>
      <c r="L42" s="25">
        <f t="shared" si="0"/>
        <v>121206</v>
      </c>
      <c r="M42" s="30">
        <f>IF(L42&gt;0,ROUND(SUM(L42:L$102)/L42-0.5,Rundex),"")</f>
        <v>25.43</v>
      </c>
      <c r="N42" s="86"/>
      <c r="O42" s="35">
        <f t="shared" si="43"/>
        <v>50</v>
      </c>
      <c r="P42" s="43">
        <v>0.77988238296863321</v>
      </c>
      <c r="Q42" s="78">
        <v>47.8275717967296</v>
      </c>
      <c r="R42" s="43">
        <v>0.59326726672776708</v>
      </c>
      <c r="S42" s="78">
        <v>14.809805694530855</v>
      </c>
      <c r="T42" s="15">
        <v>2.7690101333367467E-3</v>
      </c>
      <c r="U42" s="11">
        <f t="shared" si="40"/>
        <v>96457</v>
      </c>
      <c r="V42" s="30">
        <f>IF(U42&gt;0,ROUND(SUM(U42:U$102)/U42-0.5,Rundex),"")</f>
        <v>27.86</v>
      </c>
      <c r="W42" s="86"/>
      <c r="X42" s="35">
        <f t="shared" si="44"/>
        <v>50</v>
      </c>
      <c r="Y42" s="25">
        <f t="shared" si="1"/>
        <v>30607</v>
      </c>
      <c r="Z42" s="25">
        <f>IF($X42&lt;RAM,SUM(Y42:INDEX(Dax,RAM-BeginnAlter))," ")</f>
        <v>357432</v>
      </c>
      <c r="AA42" s="25">
        <f t="shared" si="2"/>
        <v>63</v>
      </c>
      <c r="AB42" s="25">
        <f>IF($X42&lt;RAM,SUM(AA42:INDEX(Cax,RAM-BeginnAlter))," ")</f>
        <v>1591</v>
      </c>
      <c r="AC42" s="25">
        <f t="shared" si="3"/>
        <v>138</v>
      </c>
      <c r="AD42" s="25">
        <f>IF($X42&lt;RAM,SUM(AC42:INDEX(Caix,RAM-BeginnAlter))," ")</f>
        <v>6459</v>
      </c>
      <c r="AE42" s="24">
        <f t="shared" si="4"/>
        <v>11.678000000000001</v>
      </c>
      <c r="AF42" s="24">
        <f t="shared" si="5"/>
        <v>11.441000000000001</v>
      </c>
      <c r="AG42" s="86"/>
      <c r="AH42" s="35">
        <f t="shared" si="45"/>
        <v>50</v>
      </c>
      <c r="AI42" s="25">
        <f t="shared" si="6"/>
        <v>39844</v>
      </c>
      <c r="AJ42" s="25">
        <f>IF($AH42&gt;RAM," ",IF($AH42&lt;RAM,SUM(AI42:INDEX(Dix,RAM-BeginnAlter))+INDEX(Nx,RAM-BeginnAlter+1),INDEX(Nx,RAM-BeginnAlter+1)))</f>
        <v>745541</v>
      </c>
      <c r="AK42" s="25">
        <f>IF($AH42&lt;RAM,SUM(AI42:INDEX(Dix,RAM-BeginnAlter))," ")</f>
        <v>448294</v>
      </c>
      <c r="AL42" s="24">
        <f t="shared" si="7"/>
        <v>18.710999999999999</v>
      </c>
      <c r="AM42" s="24">
        <f t="shared" si="8"/>
        <v>18.253</v>
      </c>
      <c r="AN42" s="24">
        <f t="shared" si="9"/>
        <v>11.250999999999999</v>
      </c>
      <c r="AO42" s="24">
        <f t="shared" si="10"/>
        <v>11.028</v>
      </c>
      <c r="AP42" s="86"/>
      <c r="AQ42" s="35">
        <f t="shared" si="46"/>
        <v>50</v>
      </c>
      <c r="AR42" s="25">
        <f t="shared" si="11"/>
        <v>31708</v>
      </c>
      <c r="AS42" s="25">
        <f>SUM(AR42:AR$94)</f>
        <v>693737</v>
      </c>
      <c r="AT42" s="25">
        <f>IF($AQ42&lt;RAM,SUM(AR42:INDEX(Dx,RAM-BeginnAlter))," ")</f>
        <v>396490</v>
      </c>
      <c r="AU42" s="24">
        <f t="shared" si="12"/>
        <v>21.879000000000001</v>
      </c>
      <c r="AV42" s="24">
        <f t="shared" si="13"/>
        <v>21.420999999999999</v>
      </c>
      <c r="AW42" s="24">
        <f t="shared" si="14"/>
        <v>12.504</v>
      </c>
      <c r="AX42" s="24">
        <f t="shared" si="15"/>
        <v>12.342000000000001</v>
      </c>
      <c r="AY42" s="86"/>
      <c r="AZ42" s="35">
        <f t="shared" si="47"/>
        <v>50</v>
      </c>
      <c r="BA42" s="25">
        <f t="shared" si="16"/>
        <v>31708</v>
      </c>
      <c r="BB42" s="25">
        <f>SUM(BA42:BA$94)</f>
        <v>651686</v>
      </c>
      <c r="BC42" s="24">
        <f t="shared" si="17"/>
        <v>20.553000000000001</v>
      </c>
      <c r="BD42" s="24">
        <f t="shared" si="18"/>
        <v>20.094000000000001</v>
      </c>
      <c r="BE42" s="86"/>
      <c r="BF42" s="35">
        <f t="shared" si="48"/>
        <v>33</v>
      </c>
      <c r="BG42" s="24" t="str">
        <f t="shared" si="19"/>
        <v/>
      </c>
      <c r="BH42" s="24" t="str">
        <f t="shared" si="20"/>
        <v/>
      </c>
      <c r="BI42" s="86"/>
      <c r="BJ42" s="35">
        <f t="shared" si="49"/>
        <v>50</v>
      </c>
      <c r="BK42" s="25">
        <f t="shared" si="21"/>
        <v>2510</v>
      </c>
      <c r="BL42" s="25">
        <f>IF(BJ42&lt;RAM,SUM(BK42:INDEX(Daix,RAM-BeginnAlter))," ")</f>
        <v>101484</v>
      </c>
      <c r="BM42" s="25">
        <f>IF(BJ42&lt;RAM,SUM(BL42:INDEX(Naix,RAM-BeginnAlter))," ")</f>
        <v>1000024</v>
      </c>
      <c r="BN42" s="24">
        <f t="shared" si="22"/>
        <v>6.7880000000000003</v>
      </c>
      <c r="BO42" s="24">
        <f t="shared" si="23"/>
        <v>3.3159999999999998</v>
      </c>
      <c r="BP42" s="86"/>
      <c r="BQ42" s="35">
        <f t="shared" si="50"/>
        <v>50</v>
      </c>
      <c r="BR42" s="25">
        <f t="shared" si="51"/>
        <v>1489</v>
      </c>
      <c r="BS42" s="25">
        <f>IF(BQ42&lt;RAM,SUM(BR42:INDEX(Daixs,RAM-BeginnAlter))," ")</f>
        <v>29329</v>
      </c>
      <c r="BT42" s="25">
        <f>IF(BQ42&lt;RAM,SUM(BS42:INDEX(Naixs,RAM-BeginnAlter))," ")</f>
        <v>224886</v>
      </c>
      <c r="BU42" s="24">
        <f t="shared" si="52"/>
        <v>9.1449999999999996</v>
      </c>
      <c r="BV42" s="24">
        <f t="shared" si="53"/>
        <v>0.95799999999999996</v>
      </c>
      <c r="BW42" s="86"/>
      <c r="BX42" s="35">
        <f t="shared" si="54"/>
        <v>50</v>
      </c>
      <c r="BY42" s="10">
        <f t="shared" si="24"/>
        <v>7.8006027958342177</v>
      </c>
      <c r="BZ42" s="11">
        <f t="shared" si="25"/>
        <v>597</v>
      </c>
      <c r="CA42" s="25">
        <f>IF(S43&lt;=RAK,IF($BX42&lt;RAM,SUM(BZ42:INDEX(Dazx,RAM-BeginnAlter)),""),"")</f>
        <v>4675</v>
      </c>
      <c r="CB42" s="24">
        <f t="shared" si="26"/>
        <v>0.153</v>
      </c>
      <c r="CC42" s="25">
        <f t="shared" si="27"/>
        <v>24063</v>
      </c>
      <c r="CD42" s="24">
        <f t="shared" si="28"/>
        <v>16.420999999999999</v>
      </c>
      <c r="CE42" s="24">
        <f t="shared" si="29"/>
        <v>3.3000000000000002E-2</v>
      </c>
      <c r="CF42" s="86"/>
      <c r="CG42" s="35">
        <f t="shared" si="55"/>
        <v>50</v>
      </c>
      <c r="CH42" s="25">
        <f>IF(CG42&lt;RAM,ROUND(v^($CG42+FaktorAlter)*$H42*($B42*0.5*($P42+$P43)*(VLOOKUP(TRUNC(0.5*($Q42+$Q43),0),Frauen!$AZ$9:$BD$95,5)+(0.5*($Q42+$Q43)-TRUNC(0.5*($Q42+$Q43),0))*(VLOOKUP(TRUNC(0.5*($Q42+$Q43)+1,0),Frauen!$AZ$9:$BD$95,5)-VLOOKUP(TRUNC(0.5*($Q42+$Q43),0),Frauen!$AZ$9:$BD$95,5)))+$C42*0.5*($CN42+$CN43)),RundDx),"")</f>
        <v>2127</v>
      </c>
      <c r="CI42" s="25">
        <f>IF(CG42&lt;RAM,ROUND(SUM(CH42:INDEX(Dawx,RAM-BeginnAlter))+INDEX(Dax,RAM-BeginnAlter+1)*INDEX(äwx,1),RundDx),"")</f>
        <v>141419</v>
      </c>
      <c r="CJ42" s="25">
        <f>IF(CG42&lt;RAM,ROUND(SUM(CI42:INDEX(Nawx,RAM-BeginnAlter))+INDEX(Dax,RAM-BeginnAlter+1)*INDEX(äwx,1),RundDx),"")</f>
        <v>1846947</v>
      </c>
      <c r="CK42" s="24">
        <f t="shared" si="56"/>
        <v>4.62</v>
      </c>
      <c r="CL42" s="25">
        <f>IF(CG42&lt;RAM,ROUND(v^($CG42+FaktorAlter)*$L42*$D42*0.5*($P42+$P43)*(VLOOKUP(TRUNC(0.5*($Q42+$Q43),0),Frauen!$AZ$9:$BD$95,5)+(0.5*($Q42+$Q43)-TRUNC(0.5*($Q42+$Q43),0))*(VLOOKUP(TRUNC(0.5*($Q42+$Q43)+1,0),Frauen!$AZ$9:$BD$95,5)-VLOOKUP(TRUNC(0.5*($Q42+$Q43),0),Frauen!$AZ$9:$BD$95,5))),RundDx),"")</f>
        <v>15308</v>
      </c>
      <c r="CM42" s="25">
        <f>IF(CG42&lt;RAM,SUM(CL42:INDEX(Diwx,RAM-BeginnAlter))+INDEX(Dix,RAM-BeginnAlter+1)*INDEX(äwx,1),"")</f>
        <v>270768.41399999999</v>
      </c>
      <c r="CN42" s="24">
        <f t="shared" si="57"/>
        <v>6.7960000000000003</v>
      </c>
      <c r="CO42" s="86"/>
      <c r="CP42" s="35">
        <f t="shared" si="58"/>
        <v>98</v>
      </c>
      <c r="CQ42" s="11">
        <f>ROUND(v^($CP42+FaktorAlter)*VLOOKUP(CP42,G$9:J$102,4)*VLOOKUP(CP42,A$9:E$102,5)*0.5*(VLOOKUP(CP42,O$9:P$102,2)+VLOOKUP(CP42+1,O$9:P$102,2))*(VLOOKUP(TRUNC(0.5*(VLOOKUP(CP42,O$9:Q$102,3)+VLOOKUP(CP42+1,O$9:Q$102,3)),0),Frauen!$AZ$9:$BD$95,5)+(0.5*(VLOOKUP(CP42,O$9:Q$102,3)+VLOOKUP(CP42+1,O$9:Q$102,3))-TRUNC(0.5*(VLOOKUP(CP42,O$9:Q$102,3)+VLOOKUP(CP42+1,O$9:Q$102,3)),0))*(VLOOKUP(TRUNC(0.5*(VLOOKUP(CP42,O$9:Q$102,3)+VLOOKUP(CP42+1,O$9:Q$102,3))+1,0),Frauen!$AZ$9:$BD$95,5)-VLOOKUP(TRUNC(0.5*(VLOOKUP(CP42,O$9:Q$102,3)+VLOOKUP(CP42+1,O$9:Q$102,3)),0),Frauen!$AZ$9:$BD$95,5))),RundDx)</f>
        <v>34</v>
      </c>
      <c r="CR42" s="25">
        <f>SUM(CQ42:CQ$56)</f>
        <v>54</v>
      </c>
      <c r="CS42" s="24">
        <f t="shared" si="30"/>
        <v>0.42899999999999999</v>
      </c>
      <c r="CT42" s="86"/>
      <c r="CU42" s="35">
        <f t="shared" si="59"/>
        <v>50</v>
      </c>
      <c r="CV42" s="25">
        <f>IF($CU42&gt;=RAM,"",IF($CU42-CV$103&lt;BeginnAlter,"",ROUND(v^($CU42+FaktorAlter)*$L42*$D42*0.5*(VLOOKUP($CU42-CV$103,Frauen!$G$9:$J$102,4)+VLOOKUP($CU42-CV$103+1,Frauen!$G$9:$J$102,4))*0.5*(VLOOKUP($CU42-CV$103,Frauen!$AZ$9:$BD$102,5)+VLOOKUP($CU42-CV$103+1,Frauen!$AZ$9:$BD$102,5)),RundDx)))</f>
        <v>1170035546</v>
      </c>
      <c r="CW42" s="25">
        <f>IF($CU42&gt;=RAM,"",IF($CU42-CW$103&lt;BeginnAlter,"",ROUND(v^($CU42+FaktorAlter)*$L42*$D42*0.5*(VLOOKUP($CU42-CW$103,Frauen!$G$9:$J$102,4)+VLOOKUP($CU42-CW$103+1,Frauen!$G$9:$J$102,4))*0.5*(VLOOKUP($CU42-CW$103,Frauen!$AZ$9:$BD$102,5)+VLOOKUP($CU42-CW$103+1,Frauen!$AZ$9:$BD$102,5)),RundDx)))</f>
        <v>1218966631</v>
      </c>
      <c r="CX42" s="25">
        <f>IF($CU42&gt;=RAM,"",IF($CU42-CX$103&lt;BeginnAlter,"",ROUND(v^($CU42+FaktorAlter)*$L42*$D42*0.5*(VLOOKUP($CU42-CX$103,Frauen!$G$9:$J$102,4)+VLOOKUP($CU42-CX$103+1,Frauen!$G$9:$J$102,4))*0.5*(VLOOKUP($CU42-CX$103,Frauen!$AZ$9:$BD$102,5)+VLOOKUP($CU42-CX$103+1,Frauen!$AZ$9:$BD$102,5)),RundDx)))</f>
        <v>1267014515</v>
      </c>
      <c r="CY42" s="25">
        <f>IF($CU42&gt;=RAM,"",IF($CU42-CY$103&lt;BeginnAlter,"",ROUND(v^($CU42+FaktorAlter)*$L42*$D42*0.5*(VLOOKUP($CU42-CY$103,Frauen!$G$9:$J$102,4)+VLOOKUP($CU42-CY$103+1,Frauen!$G$9:$J$102,4))*0.5*(VLOOKUP($CU42-CY$103,Frauen!$AZ$9:$BD$102,5)+VLOOKUP($CU42-CY$103+1,Frauen!$AZ$9:$BD$102,5)),RundDx)))</f>
        <v>1314153163</v>
      </c>
      <c r="CZ42" s="25">
        <f>IF($CU42&gt;=RAM,"",IF($CU42-CZ$103&lt;BeginnAlter,"",ROUND(v^($CU42+FaktorAlter)*$L42*$D42*0.5*(VLOOKUP($CU42-CZ$103,Frauen!$G$9:$J$102,4)+VLOOKUP($CU42-CZ$103+1,Frauen!$G$9:$J$102,4))*0.5*(VLOOKUP($CU42-CZ$103,Frauen!$AZ$9:$BD$102,5)+VLOOKUP($CU42-CZ$103+1,Frauen!$AZ$9:$BD$102,5)),RundDx)))</f>
        <v>1360504349</v>
      </c>
      <c r="DA42" s="25">
        <f>IF($CU42&gt;=RAM,"",IF($CU42-DA$103&lt;BeginnAlter,"",ROUND(v^($CU42+FaktorAlter)*$L42*$D42*0.5*(VLOOKUP($CU42-DA$103,Frauen!$G$9:$J$102,4)+VLOOKUP($CU42-DA$103+1,Frauen!$G$9:$J$102,4))*0.5*(VLOOKUP($CU42-DA$103,Frauen!$AZ$9:$BD$102,5)+VLOOKUP($CU42-DA$103+1,Frauen!$AZ$9:$BD$102,5)),RundDx)))</f>
        <v>1406006238</v>
      </c>
      <c r="DB42" s="25">
        <f>IF($CU42&gt;=RAM,"",IF($CU42-DB$103&lt;BeginnAlter,"",ROUND(v^($CU42+FaktorAlter)*$L42*$D42*0.5*(VLOOKUP($CU42-DB$103,Frauen!$G$9:$J$102,4)+VLOOKUP($CU42-DB$103+1,Frauen!$G$9:$J$102,4))*0.5*(VLOOKUP($CU42-DB$103,Frauen!$AZ$9:$BD$102,5)+VLOOKUP($CU42-DB$103+1,Frauen!$AZ$9:$BD$102,5)),RundDx)))</f>
        <v>1450646525</v>
      </c>
      <c r="DC42" s="25">
        <f>IF($CU42&gt;=RAM,"",IF($CU42-DC$103&lt;BeginnAlter,"",ROUND(v^($CU42+FaktorAlter)*$L42*$D42*0.5*(VLOOKUP($CU42-DC$103,Frauen!$G$9:$J$102,4)+VLOOKUP($CU42-DC$103+1,Frauen!$G$9:$J$102,4))*0.5*(VLOOKUP($CU42-DC$103,Frauen!$AZ$9:$BD$102,5)+VLOOKUP($CU42-DC$103+1,Frauen!$AZ$9:$BD$102,5)),RundDx)))</f>
        <v>1494517937</v>
      </c>
      <c r="DD42" s="25">
        <f>IF($CU42&gt;=RAM,"",IF($CU42-DD$103&lt;BeginnAlter,"",ROUND(v^($CU42+FaktorAlter)*$L42*$D42*0.5*(VLOOKUP($CU42-DD$103,Frauen!$G$9:$J$102,4)+VLOOKUP($CU42-DD$103+1,Frauen!$G$9:$J$102,4))*0.5*(VLOOKUP($CU42-DD$103,Frauen!$AZ$9:$BD$102,5)+VLOOKUP($CU42-DD$103+1,Frauen!$AZ$9:$BD$102,5)),RundDx)))</f>
        <v>1537757623</v>
      </c>
      <c r="DE42" s="25">
        <f>IF($CU42&gt;=RAM,"",IF($CU42-DE$103&lt;BeginnAlter,"",ROUND(v^($CU42+FaktorAlter)*$L42*$D42*0.5*(VLOOKUP($CU42-DE$103,Frauen!$G$9:$J$102,4)+VLOOKUP($CU42-DE$103+1,Frauen!$G$9:$J$102,4))*0.5*(VLOOKUP($CU42-DE$103,Frauen!$AZ$9:$BD$102,5)+VLOOKUP($CU42-DE$103+1,Frauen!$AZ$9:$BD$102,5)),RundDx)))</f>
        <v>1580479083</v>
      </c>
      <c r="DF42" s="25">
        <f>IF($CU42&gt;=RAM,"",IF($CU42-DF$103&lt;BeginnAlter,"",ROUND(v^($CU42+FaktorAlter)*$L42*$D42*0.5*(VLOOKUP($CU42-DF$103,Frauen!$G$9:$J$102,4)+VLOOKUP($CU42-DF$103+1,Frauen!$G$9:$J$102,4))*0.5*(VLOOKUP($CU42-DF$103,Frauen!$AZ$9:$BD$102,5)+VLOOKUP($CU42-DF$103+1,Frauen!$AZ$9:$BD$102,5)),RundDx)))</f>
        <v>1622784025</v>
      </c>
      <c r="DG42" s="25">
        <f>IF($CU42&gt;=RAM,"",IF($CU42-DG$103&lt;BeginnAlter,"",ROUND(v^($CU42+FaktorAlter)*$L42*$D42*0.5*(VLOOKUP($CU42-DG$103,Frauen!$G$9:$J$102,4)+VLOOKUP($CU42-DG$103+1,Frauen!$G$9:$J$102,4))*0.5*(VLOOKUP($CU42-DG$103,Frauen!$AZ$9:$BD$102,5)+VLOOKUP($CU42-DG$103+1,Frauen!$AZ$9:$BD$102,5)),RundDx)))</f>
        <v>1664720546</v>
      </c>
      <c r="DH42" s="25">
        <f>IF($CU42&gt;=RAM,"",IF($CU42-DH$103&lt;BeginnAlter,"",ROUND(v^($CU42+FaktorAlter)*$L42*$D42*0.5*(VLOOKUP($CU42-DH$103,Frauen!$G$9:$J$102,4)+VLOOKUP($CU42-DH$103+1,Frauen!$G$9:$J$102,4))*0.5*(VLOOKUP($CU42-DH$103,Frauen!$AZ$9:$BD$102,5)+VLOOKUP($CU42-DH$103+1,Frauen!$AZ$9:$BD$102,5)),RundDx)))</f>
        <v>1706210463</v>
      </c>
      <c r="DI42" s="25">
        <f>IF($CU42&gt;=RAM,"",IF($CU42-DI$103&lt;BeginnAlter,"",ROUND(v^($CU42+FaktorAlter)*$L42*$D42*0.5*(VLOOKUP($CU42-DI$103,Frauen!$G$9:$J$102,4)+VLOOKUP($CU42-DI$103+1,Frauen!$G$9:$J$102,4))*0.5*(VLOOKUP($CU42-DI$103,Frauen!$AZ$9:$BD$102,5)+VLOOKUP($CU42-DI$103+1,Frauen!$AZ$9:$BD$102,5)),RundDx)))</f>
        <v>1747288988</v>
      </c>
      <c r="DJ42" s="25">
        <f>IF($CU42&gt;=RAM,"",IF($CU42-DJ$103&lt;BeginnAlter,"",ROUND(v^($CU42+FaktorAlter)*$L42*$D42*0.5*(VLOOKUP($CU42-DJ$103,Frauen!$G$9:$J$102,4)+VLOOKUP($CU42-DJ$103+1,Frauen!$G$9:$J$102,4))*0.5*(VLOOKUP($CU42-DJ$103,Frauen!$AZ$9:$BD$102,5)+VLOOKUP($CU42-DJ$103+1,Frauen!$AZ$9:$BD$102,5)),RundDx)))</f>
        <v>1787870731</v>
      </c>
      <c r="DK42" s="25">
        <f>IF($CU42&gt;=RAM,"",IF($CU42-DK$103&lt;BeginnAlter,"",ROUND(v^($CU42+FaktorAlter)*$L42*$D42*0.5*(VLOOKUP($CU42-DK$103,Frauen!$G$9:$J$102,4)+VLOOKUP($CU42-DK$103+1,Frauen!$G$9:$J$102,4))*0.5*(VLOOKUP($CU42-DK$103,Frauen!$AZ$9:$BD$102,5)+VLOOKUP($CU42-DK$103+1,Frauen!$AZ$9:$BD$102,5)),RundDx)))</f>
        <v>1827767591</v>
      </c>
      <c r="DL42" s="25">
        <f>IF($CU42&gt;=RAM,"",IF($CU42-DL$103&lt;BeginnAlter,"",ROUND(v^($CU42+FaktorAlter)*$L42*$D42*0.5*(VLOOKUP($CU42-DL$103,Frauen!$G$9:$J$102,4)+VLOOKUP($CU42-DL$103+1,Frauen!$G$9:$J$102,4))*0.5*(VLOOKUP($CU42-DL$103,Frauen!$AZ$9:$BD$102,5)+VLOOKUP($CU42-DL$103+1,Frauen!$AZ$9:$BD$102,5)),RundDx)))</f>
        <v>1866861973</v>
      </c>
      <c r="DM42" s="25">
        <f>IF($CU42&gt;=RAM,"",IF($CU42-DM$103&lt;BeginnAlter,"",ROUND(v^($CU42+FaktorAlter)*$L42*$D42*0.5*(VLOOKUP($CU42-DM$103,Frauen!$G$9:$J$102,4)+VLOOKUP($CU42-DM$103+1,Frauen!$G$9:$J$102,4))*0.5*(VLOOKUP($CU42-DM$103,Frauen!$AZ$9:$BD$102,5)+VLOOKUP($CU42-DM$103+1,Frauen!$AZ$9:$BD$102,5)),RundDx)))</f>
        <v>1905116912</v>
      </c>
      <c r="DN42" s="25">
        <f>IF($CU42&gt;=RAM,"",IF($CU42-DN$103&lt;BeginnAlter,"",ROUND(v^($CU42+FaktorAlter)*$L42*$D42*0.5*(VLOOKUP($CU42-DN$103,Frauen!$G$9:$J$102,4)+VLOOKUP($CU42-DN$103+1,Frauen!$G$9:$J$102,4))*0.5*(VLOOKUP($CU42-DN$103,Frauen!$AZ$9:$BD$102,5)+VLOOKUP($CU42-DN$103+1,Frauen!$AZ$9:$BD$102,5)),RundDx)))</f>
        <v>1942537489</v>
      </c>
      <c r="DO42" s="25">
        <f>IF($CU42&gt;=RAM,"",IF($CU42-DO$103&lt;BeginnAlter,"",ROUND(v^($CU42+FaktorAlter)*$L42*$D42*0.5*(VLOOKUP($CU42-DO$103,Frauen!$G$9:$J$102,4)+VLOOKUP($CU42-DO$103+1,Frauen!$G$9:$J$102,4))*0.5*(VLOOKUP($CU42-DO$103,Frauen!$AZ$9:$BD$102,5)+VLOOKUP($CU42-DO$103+1,Frauen!$AZ$9:$BD$102,5)),RundDx)))</f>
        <v>1979161096</v>
      </c>
      <c r="DP42" s="25">
        <f>IF($CU42&gt;=RAM,"",IF($CU42-DP$103&lt;BeginnAlter,"",ROUND(v^($CU42+FaktorAlter)*$L42*$D42*0.5*(VLOOKUP($CU42-DP$103,Frauen!$G$9:$J$102,4)+VLOOKUP($CU42-DP$103+1,Frauen!$G$9:$J$102,4))*0.5*(VLOOKUP($CU42-DP$103,Frauen!$AZ$9:$BD$102,5)+VLOOKUP($CU42-DP$103+1,Frauen!$AZ$9:$BD$102,5)),RundDx)))</f>
        <v>2014937737</v>
      </c>
      <c r="DQ42" s="25">
        <f>IF($CU42&gt;=RAM,"",IF($CU42-DQ$103&lt;BeginnAlter,"",ROUND(v^($CU42+FaktorAlter)*$L42*$D42*0.5*(VLOOKUP($CU42-DQ$103,Frauen!$G$9:$J$102,4)+VLOOKUP($CU42-DQ$103+1,Frauen!$G$9:$J$102,4))*0.5*(VLOOKUP($CU42-DQ$103,Frauen!$AZ$9:$BD$102,5)+VLOOKUP($CU42-DQ$103+1,Frauen!$AZ$9:$BD$102,5)),RundDx)))</f>
        <v>2049879043</v>
      </c>
      <c r="DR42" s="25">
        <f>IF($CU42&gt;=RAM,"",IF($CU42-DR$103&lt;BeginnAlter,"",ROUND(v^($CU42+FaktorAlter)*$L42*$D42*0.5*(VLOOKUP($CU42-DR$103,Frauen!$G$9:$J$102,4)+VLOOKUP($CU42-DR$103+1,Frauen!$G$9:$J$102,4))*0.5*(VLOOKUP($CU42-DR$103,Frauen!$AZ$9:$BD$102,5)+VLOOKUP($CU42-DR$103+1,Frauen!$AZ$9:$BD$102,5)),RundDx)))</f>
        <v>2084068264</v>
      </c>
      <c r="DS42" s="25">
        <f>IF($CU42&gt;=RAM,"",IF($CU42-DS$103&lt;BeginnAlter,"",ROUND(v^($CU42+FaktorAlter)*$L42*$D42*0.5*(VLOOKUP($CU42-DS$103,Frauen!$G$9:$J$102,4)+VLOOKUP($CU42-DS$103+1,Frauen!$G$9:$J$102,4))*0.5*(VLOOKUP($CU42-DS$103,Frauen!$AZ$9:$BD$102,5)+VLOOKUP($CU42-DS$103+1,Frauen!$AZ$9:$BD$102,5)),RundDx)))</f>
        <v>2117521858</v>
      </c>
      <c r="DT42" s="25">
        <f>IF($CU42&gt;=RAM,"",IF($CU42-DT$103&lt;BeginnAlter,"",ROUND(v^($CU42+FaktorAlter)*$L42*$D42*0.5*(VLOOKUP($CU42-DT$103,Frauen!$G$9:$J$102,4)+VLOOKUP($CU42-DT$103+1,Frauen!$G$9:$J$102,4))*0.5*(VLOOKUP($CU42-DT$103,Frauen!$AZ$9:$BD$102,5)+VLOOKUP($CU42-DT$103+1,Frauen!$AZ$9:$BD$102,5)),RundDx)))</f>
        <v>2150247707</v>
      </c>
      <c r="DU42" s="25">
        <f>IF($CU42&gt;=RAM,"",IF($CU42-DU$103&lt;BeginnAlter,"",ROUND(v^($CU42+FaktorAlter)*$L42*$D42*0.5*(VLOOKUP($CU42-DU$103,Frauen!$G$9:$J$102,4)+VLOOKUP($CU42-DU$103+1,Frauen!$G$9:$J$102,4))*0.5*(VLOOKUP($CU42-DU$103,Frauen!$AZ$9:$BD$102,5)+VLOOKUP($CU42-DU$103+1,Frauen!$AZ$9:$BD$102,5)),RundDx)))</f>
        <v>2182244274</v>
      </c>
      <c r="DV42" s="25">
        <f>IF($CU42&gt;=RAM,"",IF($CU42-DV$103&lt;BeginnAlter,"",ROUND(v^($CU42+FaktorAlter)*$L42*$D42*0.5*(VLOOKUP($CU42-DV$103,Frauen!$G$9:$J$102,4)+VLOOKUP($CU42-DV$103+1,Frauen!$G$9:$J$102,4))*0.5*(VLOOKUP($CU42-DV$103,Frauen!$AZ$9:$BD$102,5)+VLOOKUP($CU42-DV$103+1,Frauen!$AZ$9:$BD$102,5)),RundDx)))</f>
        <v>2213533372</v>
      </c>
      <c r="DW42" s="25">
        <f>IF($CU42&gt;=RAM,"",IF($CU42-DW$103&lt;BeginnAlter,"",ROUND(v^($CU42+FaktorAlter)*$L42*$D42*0.5*(VLOOKUP($CU42-DW$103,Frauen!$G$9:$J$102,4)+VLOOKUP($CU42-DW$103+1,Frauen!$G$9:$J$102,4))*0.5*(VLOOKUP($CU42-DW$103,Frauen!$AZ$9:$BD$102,5)+VLOOKUP($CU42-DW$103+1,Frauen!$AZ$9:$BD$102,5)),RundDx)))</f>
        <v>2244127589</v>
      </c>
      <c r="DX42" s="25">
        <f>IF($CU42&gt;=RAM,"",IF($CU42-DX$103&lt;BeginnAlter,"",ROUND(v^($CU42+FaktorAlter)*$L42*$D42*0.5*(VLOOKUP($CU42-DX$103,Frauen!$G$9:$J$102,4)+VLOOKUP($CU42-DX$103+1,Frauen!$G$9:$J$102,4))*0.5*(VLOOKUP($CU42-DX$103,Frauen!$AZ$9:$BD$102,5)+VLOOKUP($CU42-DX$103+1,Frauen!$AZ$9:$BD$102,5)),RundDx)))</f>
        <v>2274081053</v>
      </c>
      <c r="DY42" s="25">
        <f>IF($CU42&gt;=RAM,"",IF($CU42-DY$103&lt;BeginnAlter,"",ROUND(v^($CU42+FaktorAlter)*$L42*$D42*0.5*(VLOOKUP($CU42-DY$103,Frauen!$G$9:$J$102,4)+VLOOKUP($CU42-DY$103+1,Frauen!$G$9:$J$102,4))*0.5*(VLOOKUP($CU42-DY$103,Frauen!$AZ$9:$BD$102,5)+VLOOKUP($CU42-DY$103+1,Frauen!$AZ$9:$BD$102,5)),RundDx)))</f>
        <v>2303449414</v>
      </c>
      <c r="DZ42" s="25">
        <f>IF($CU42&gt;=RAM,"",IF($CU42-DZ$103&lt;BeginnAlter,"",ROUND(v^($CU42+FaktorAlter)*$L42*$D42*0.5*(VLOOKUP($CU42-DZ$103,Frauen!$G$9:$J$102,4)+VLOOKUP($CU42-DZ$103+1,Frauen!$G$9:$J$102,4))*0.5*(VLOOKUP($CU42-DZ$103,Frauen!$AZ$9:$BD$102,5)+VLOOKUP($CU42-DZ$103+1,Frauen!$AZ$9:$BD$102,5)),RundDx)))</f>
        <v>2332249618</v>
      </c>
      <c r="EA42" s="43">
        <f>IF($CU42&gt;=RAM,"",IF($CU42-EA$103&lt;BeginnAlter,"",ROUND((SUM(CV42:CV$56)+SUM(FN$9:FN$56))/VLOOKUP($CU42,$AH$9:$AI$102,2)/VLOOKUP($CU42-EA$103,Frauen!$G$9:$J$102,4),Rundäx)))</f>
        <v>3.2149999999999999</v>
      </c>
      <c r="EB42" s="43">
        <f>IF($CU42&gt;=RAM,"",IF($CU42-EB$103&lt;BeginnAlter,"",ROUND((SUM(CW42:CW$56)+SUM(FO$9:FO$56))/VLOOKUP($CU42,$AH$9:$AI$102,2)/VLOOKUP($CU42-EB$103,Frauen!$G$9:$J$102,4),Rundäx)))</f>
        <v>3.411</v>
      </c>
      <c r="EC42" s="43">
        <f>IF($CU42&gt;=RAM,"",IF($CU42-EC$103&lt;BeginnAlter,"",ROUND((SUM(CX42:CX$56)+SUM(FP$9:FP$56))/VLOOKUP($CU42,$AH$9:$AI$102,2)/VLOOKUP($CU42-EC$103,Frauen!$G$9:$J$102,4),Rundäx)))</f>
        <v>3.613</v>
      </c>
      <c r="ED42" s="43">
        <f>IF($CU42&gt;=RAM,"",IF($CU42-ED$103&lt;BeginnAlter,"",ROUND((SUM(CY42:CY$56)+SUM(FQ$9:FQ$56))/VLOOKUP($CU42,$AH$9:$AI$102,2)/VLOOKUP($CU42-ED$103,Frauen!$G$9:$J$102,4),Rundäx)))</f>
        <v>3.823</v>
      </c>
      <c r="EE42" s="43">
        <f>IF($CU42&gt;=RAM,"",IF($CU42-EE$103&lt;BeginnAlter,"",ROUND((SUM(CZ42:CZ$56)+SUM(FR$9:FR$56))/VLOOKUP($CU42,$AH$9:$AI$102,2)/VLOOKUP($CU42-EE$103,Frauen!$G$9:$J$102,4),Rundäx)))</f>
        <v>4.0389999999999997</v>
      </c>
      <c r="EF42" s="43">
        <f>IF($CU42&gt;=RAM,"",IF($CU42-EF$103&lt;BeginnAlter,"",ROUND((SUM(DA42:DA$56)+SUM(FS$9:FS$56))/VLOOKUP($CU42,$AH$9:$AI$102,2)/VLOOKUP($CU42-EF$103,Frauen!$G$9:$J$102,4),Rundäx)))</f>
        <v>4.2619999999999996</v>
      </c>
      <c r="EG42" s="43">
        <f>IF($CU42&gt;=RAM,"",IF($CU42-EG$103&lt;BeginnAlter,"",ROUND((SUM(DB42:DB$56)+SUM(FT$9:FT$56))/VLOOKUP($CU42,$AH$9:$AI$102,2)/VLOOKUP($CU42-EG$103,Frauen!$G$9:$J$102,4),Rundäx)))</f>
        <v>4.492</v>
      </c>
      <c r="EH42" s="43">
        <f>IF($CU42&gt;=RAM,"",IF($CU42-EH$103&lt;BeginnAlter,"",ROUND((SUM(DC42:DC$56)+SUM(FU$9:FU$56))/VLOOKUP($CU42,$AH$9:$AI$102,2)/VLOOKUP($CU42-EH$103,Frauen!$G$9:$J$102,4),Rundäx)))</f>
        <v>4.7290000000000001</v>
      </c>
      <c r="EI42" s="86"/>
      <c r="EJ42" s="35">
        <f t="shared" si="60"/>
        <v>50</v>
      </c>
      <c r="EK42" s="43">
        <f>IF($CU42&gt;=RAM,"",IF($CU42-EK$103&lt;BeginnAlter,"",ROUND((SUM(DD42:DD$56)+SUM(FV$9:FV$56))/VLOOKUP($CU42,$AH$9:$AI$102,2)/VLOOKUP($CU42-EK$103,Frauen!$G$9:$J$102,4),Rundäx)))</f>
        <v>4.9729999999999999</v>
      </c>
      <c r="EL42" s="43">
        <f>IF($CU42&gt;=RAM,"",IF($CU42-EL$103&lt;BeginnAlter,"",ROUND((SUM(DE42:DE$56)+SUM(FW$9:FW$56))/VLOOKUP($CU42,$AH$9:$AI$102,2)/VLOOKUP($CU42-EL$103,Frauen!$G$9:$J$102,4),Rundäx)))</f>
        <v>5.2240000000000002</v>
      </c>
      <c r="EM42" s="43">
        <f>IF($CU42&gt;=RAM,"",IF($CU42-EM$103&lt;BeginnAlter,"",ROUND((SUM(DF42:DF$56)+SUM(FX$9:FX$56))/VLOOKUP($CU42,$AH$9:$AI$102,2)/VLOOKUP($CU42-EM$103,Frauen!$G$9:$J$102,4),Rundäx)))</f>
        <v>5.4809999999999999</v>
      </c>
      <c r="EN42" s="43">
        <f>IF($CU42&gt;=RAM,"",IF($CU42-EN$103&lt;BeginnAlter,"",ROUND((SUM(DG42:DG$56)+SUM(FY$9:FY$56))/VLOOKUP($CU42,$AH$9:$AI$102,2)/VLOOKUP($CU42-EN$103,Frauen!$G$9:$J$102,4),Rundäx)))</f>
        <v>5.7439999999999998</v>
      </c>
      <c r="EO42" s="43">
        <f>IF($CU42&gt;=RAM,"",IF($CU42-EO$103&lt;BeginnAlter,"",ROUND((SUM(DH42:DH$56)+SUM(FZ$9:FZ$56))/VLOOKUP($CU42,$AH$9:$AI$102,2)/VLOOKUP($CU42-EO$103,Frauen!$G$9:$J$102,4),Rundäx)))</f>
        <v>6.0140000000000002</v>
      </c>
      <c r="EP42" s="43">
        <f>IF($CU42&gt;=RAM,"",IF($CU42-EP$103&lt;BeginnAlter,"",ROUND((SUM(DI42:DI$56)+SUM(GA$9:GA$56))/VLOOKUP($CU42,$AH$9:$AI$102,2)/VLOOKUP($CU42-EP$103,Frauen!$G$9:$J$102,4),Rundäx)))</f>
        <v>6.2880000000000003</v>
      </c>
      <c r="EQ42" s="43">
        <f>IF($CU42&gt;=RAM,"",IF($CU42-EQ$103&lt;BeginnAlter,"",ROUND((SUM(DJ42:DJ$56)+SUM(GB$9:GB$56))/VLOOKUP($CU42,$AH$9:$AI$102,2)/VLOOKUP($CU42-EQ$103,Frauen!$G$9:$J$102,4),Rundäx)))</f>
        <v>6.5679999999999996</v>
      </c>
      <c r="ER42" s="43">
        <f>IF($CU42&gt;=RAM,"",IF($CU42-ER$103&lt;BeginnAlter,"",ROUND((SUM(DK42:DK$56)+SUM(GC$9:GC$56))/VLOOKUP($CU42,$AH$9:$AI$102,2)/VLOOKUP($CU42-ER$103,Frauen!$G$9:$J$102,4),Rundäx)))</f>
        <v>6.8540000000000001</v>
      </c>
      <c r="ES42" s="86"/>
      <c r="ET42" s="35">
        <f t="shared" si="61"/>
        <v>50</v>
      </c>
      <c r="EU42" s="43">
        <f>IF($CU42&gt;=RAM,"",IF($CU42-EU$103&lt;BeginnAlter,"",ROUND((SUM(DL42:DL$56)+SUM(GD$9:GD$56))/VLOOKUP($CU42,$AH$9:$AI$102,2)/VLOOKUP($CU42-EU$103,Frauen!$G$9:$J$102,4),Rundäx)))</f>
        <v>7.1429999999999998</v>
      </c>
      <c r="EV42" s="43">
        <f>IF($CU42&gt;=RAM,"",IF($CU42-EV$103&lt;BeginnAlter,"",ROUND((SUM(DM42:DM$56)+SUM(GE$9:GE$56))/VLOOKUP($CU42,$AH$9:$AI$102,2)/VLOOKUP($CU42-EV$103,Frauen!$G$9:$J$102,4),Rundäx)))</f>
        <v>7.4370000000000003</v>
      </c>
      <c r="EW42" s="43">
        <f>IF($CU42&gt;=RAM,"",IF($CU42-EW$103&lt;BeginnAlter,"",ROUND((SUM(DN42:DN$56)+SUM(GF$9:GF$56))/VLOOKUP($CU42,$AH$9:$AI$102,2)/VLOOKUP($CU42-EW$103,Frauen!$G$9:$J$102,4),Rundäx)))</f>
        <v>7.7329999999999997</v>
      </c>
      <c r="EX42" s="43">
        <f>IF($CU42&gt;=RAM,"",IF($CU42-EX$103&lt;BeginnAlter,"",ROUND((SUM(DO42:DO$56)+SUM(GG$9:GG$56))/VLOOKUP($CU42,$AH$9:$AI$102,2)/VLOOKUP($CU42-EX$103,Frauen!$G$9:$J$102,4),Rundäx)))</f>
        <v>8.0329999999999995</v>
      </c>
      <c r="EY42" s="43">
        <f>IF($CU42&gt;=RAM,"",IF($CU42-EY$103&lt;BeginnAlter,"",ROUND((SUM(DP42:DP$56)+SUM(GH$9:GH$56))/VLOOKUP($CU42,$AH$9:$AI$102,2)/VLOOKUP($CU42-EY$103,Frauen!$G$9:$J$102,4),Rundäx)))</f>
        <v>8.3360000000000003</v>
      </c>
      <c r="EZ42" s="43">
        <f>IF($CU42&gt;=RAM,"",IF($CU42-EZ$103&lt;BeginnAlter,"",ROUND((SUM(DQ42:DQ$56)+SUM(GI$9:GI$56))/VLOOKUP($CU42,$AH$9:$AI$102,2)/VLOOKUP($CU42-EZ$103,Frauen!$G$9:$J$102,4),Rundäx)))</f>
        <v>8.64</v>
      </c>
      <c r="FA42" s="43">
        <f>IF($CU42&gt;=RAM,"",IF($CU42-FA$103&lt;BeginnAlter,"",ROUND((SUM(DR42:DR$56)+SUM(GJ$9:GJ$56))/VLOOKUP($CU42,$AH$9:$AI$102,2)/VLOOKUP($CU42-FA$103,Frauen!$G$9:$J$102,4),Rundäx)))</f>
        <v>8.9459999999999997</v>
      </c>
      <c r="FB42" s="43">
        <f>IF($CU42&gt;=RAM,"",IF($CU42-FB$103&lt;BeginnAlter,"",ROUND((SUM(DS42:DS$56)+SUM(GK$9:GK$56))/VLOOKUP($CU42,$AH$9:$AI$102,2)/VLOOKUP($CU42-FB$103,Frauen!$G$9:$J$102,4),Rundäx)))</f>
        <v>9.2520000000000007</v>
      </c>
      <c r="FC42" s="86"/>
      <c r="FD42" s="35">
        <f t="shared" si="62"/>
        <v>50</v>
      </c>
      <c r="FE42" s="43">
        <f>IF($CU42&gt;=RAM,"",IF($CU42-FE$103&lt;BeginnAlter,"",ROUND((SUM(DT42:DT$56)+SUM(GL$9:GL$56))/VLOOKUP($CU42,$AH$9:$AI$102,2)/VLOOKUP($CU42-FE$103,Frauen!$G$9:$J$102,4),Rundäx)))</f>
        <v>9.5579999999999998</v>
      </c>
      <c r="FF42" s="43">
        <f>IF($CU42&gt;=RAM,"",IF($CU42-FF$103&lt;BeginnAlter,"",ROUND((SUM(DU42:DU$56)+SUM(GM$9:GM$56))/VLOOKUP($CU42,$AH$9:$AI$102,2)/VLOOKUP($CU42-FF$103,Frauen!$G$9:$J$102,4),Rundäx)))</f>
        <v>9.8640000000000008</v>
      </c>
      <c r="FG42" s="43">
        <f>IF($CU42&gt;=RAM,"",IF($CU42-FG$103&lt;BeginnAlter,"",ROUND((SUM(DV42:DV$56)+SUM(GN$9:GN$56))/VLOOKUP($CU42,$AH$9:$AI$102,2)/VLOOKUP($CU42-FG$103,Frauen!$G$9:$J$102,4),Rundäx)))</f>
        <v>10.17</v>
      </c>
      <c r="FH42" s="43">
        <f>IF($CU42&gt;=RAM,"",IF($CU42-FH$103&lt;BeginnAlter,"",ROUND((SUM(DW42:DW$56)+SUM(GO$9:GO$56))/VLOOKUP($CU42,$AH$9:$AI$102,2)/VLOOKUP($CU42-FH$103,Frauen!$G$9:$J$102,4),Rundäx)))</f>
        <v>10.473000000000001</v>
      </c>
      <c r="FI42" s="43">
        <f>IF($CU42&gt;=RAM,"",IF($CU42-FI$103&lt;BeginnAlter,"",ROUND((SUM(DX42:DX$56)+SUM(GP$9:GP$56))/VLOOKUP($CU42,$AH$9:$AI$102,2)/VLOOKUP($CU42-FI$103,Frauen!$G$9:$J$102,4),Rundäx)))</f>
        <v>10.776</v>
      </c>
      <c r="FJ42" s="43">
        <f>IF($CU42&gt;=RAM,"",IF($CU42-FJ$103&lt;BeginnAlter,"",ROUND((SUM(DY42:DY$56)+SUM(GQ$9:GQ$56))/VLOOKUP($CU42,$AH$9:$AI$102,2)/VLOOKUP($CU42-FJ$103,Frauen!$G$9:$J$102,4),Rundäx)))</f>
        <v>11.076000000000001</v>
      </c>
      <c r="FK42" s="43">
        <f>IF($CU42&gt;=RAM,"",IF($CU42-FK$103&lt;BeginnAlter,"",ROUND((SUM(DZ42:DZ$56)+SUM(GR$9:GR$56))/VLOOKUP($CU42,$AH$9:$AI$102,2)/VLOOKUP($CU42-FK$103,Frauen!$G$9:$J$102,4),Rundäx)))</f>
        <v>11.372999999999999</v>
      </c>
      <c r="FL42" s="86"/>
      <c r="FM42" s="35">
        <f t="shared" si="68"/>
        <v>98</v>
      </c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>
        <f>ROUND(v^($FM42+FaktorAlter)*VLOOKUP($FM42,$G$9:$J$102,4)*VLOOKUP($FM42,$A$9:$E$102,5)*0.5*(VLOOKUP($FM42-FX$103,Frauen!$G$9:$J$102,4)+VLOOKUP($FM42-FX$103+1,Frauen!$G$9:$J$102,4))*0.5*(VLOOKUP($FM42-FX$103,Frauen!$AZ$9:$BD$102,5)+VLOOKUP($FM42-FX$103+1,Frauen!$AZ$9:$BD$102,5)),RundDx)</f>
        <v>4193</v>
      </c>
      <c r="FY42" s="25">
        <f>ROUND(v^($FM42+FaktorAlter)*VLOOKUP($FM42,$G$9:$J$102,4)*VLOOKUP($FM42,$A$9:$E$102,5)*0.5*(VLOOKUP($FM42-FY$103,Frauen!$G$9:$J$102,4)+VLOOKUP($FM42-FY$103+1,Frauen!$G$9:$J$102,4))*0.5*(VLOOKUP($FM42-FY$103,Frauen!$AZ$9:$BD$102,5)+VLOOKUP($FM42-FY$103+1,Frauen!$AZ$9:$BD$102,5)),RundDx)</f>
        <v>15794</v>
      </c>
      <c r="FZ42" s="25">
        <f>ROUND(v^($FM42+FaktorAlter)*VLOOKUP($FM42,$G$9:$J$102,4)*VLOOKUP($FM42,$A$9:$E$102,5)*0.5*(VLOOKUP($FM42-FZ$103,Frauen!$G$9:$J$102,4)+VLOOKUP($FM42-FZ$103+1,Frauen!$G$9:$J$102,4))*0.5*(VLOOKUP($FM42-FZ$103,Frauen!$AZ$9:$BD$102,5)+VLOOKUP($FM42-FZ$103+1,Frauen!$AZ$9:$BD$102,5)),RundDx)</f>
        <v>41336</v>
      </c>
      <c r="GA42" s="25">
        <f>ROUND(v^($FM42+FaktorAlter)*VLOOKUP($FM42,$G$9:$J$102,4)*VLOOKUP($FM42,$A$9:$E$102,5)*0.5*(VLOOKUP($FM42-GA$103,Frauen!$G$9:$J$102,4)+VLOOKUP($FM42-GA$103+1,Frauen!$G$9:$J$102,4))*0.5*(VLOOKUP($FM42-GA$103,Frauen!$AZ$9:$BD$102,5)+VLOOKUP($FM42-GA$103+1,Frauen!$AZ$9:$BD$102,5)),RundDx)</f>
        <v>90824</v>
      </c>
      <c r="GB42" s="25">
        <f>ROUND(v^($FM42+FaktorAlter)*VLOOKUP($FM42,$G$9:$J$102,4)*VLOOKUP($FM42,$A$9:$E$102,5)*0.5*(VLOOKUP($FM42-GB$103,Frauen!$G$9:$J$102,4)+VLOOKUP($FM42-GB$103+1,Frauen!$G$9:$J$102,4))*0.5*(VLOOKUP($FM42-GB$103,Frauen!$AZ$9:$BD$102,5)+VLOOKUP($FM42-GB$103+1,Frauen!$AZ$9:$BD$102,5)),RundDx)</f>
        <v>176064</v>
      </c>
      <c r="GC42" s="25">
        <f>ROUND(v^($FM42+FaktorAlter)*VLOOKUP($FM42,$G$9:$J$102,4)*VLOOKUP($FM42,$A$9:$E$102,5)*0.5*(VLOOKUP($FM42-GC$103,Frauen!$G$9:$J$102,4)+VLOOKUP($FM42-GC$103+1,Frauen!$G$9:$J$102,4))*0.5*(VLOOKUP($FM42-GC$103,Frauen!$AZ$9:$BD$102,5)+VLOOKUP($FM42-GC$103+1,Frauen!$AZ$9:$BD$102,5)),RundDx)</f>
        <v>313931</v>
      </c>
      <c r="GD42" s="25">
        <f>ROUND(v^($FM42+FaktorAlter)*VLOOKUP($FM42,$G$9:$J$102,4)*VLOOKUP($FM42,$A$9:$E$102,5)*0.5*(VLOOKUP($FM42-GD$103,Frauen!$G$9:$J$102,4)+VLOOKUP($FM42-GD$103+1,Frauen!$G$9:$J$102,4))*0.5*(VLOOKUP($FM42-GD$103,Frauen!$AZ$9:$BD$102,5)+VLOOKUP($FM42-GD$103+1,Frauen!$AZ$9:$BD$102,5)),RundDx)</f>
        <v>522924</v>
      </c>
      <c r="GE42" s="25">
        <f>ROUND(v^($FM42+FaktorAlter)*VLOOKUP($FM42,$G$9:$J$102,4)*VLOOKUP($FM42,$A$9:$E$102,5)*0.5*(VLOOKUP($FM42-GE$103,Frauen!$G$9:$J$102,4)+VLOOKUP($FM42-GE$103+1,Frauen!$G$9:$J$102,4))*0.5*(VLOOKUP($FM42-GE$103,Frauen!$AZ$9:$BD$102,5)+VLOOKUP($FM42-GE$103+1,Frauen!$AZ$9:$BD$102,5)),RundDx)</f>
        <v>826509</v>
      </c>
      <c r="GF42" s="25">
        <f>ROUND(v^($FM42+FaktorAlter)*VLOOKUP($FM42,$G$9:$J$102,4)*VLOOKUP($FM42,$A$9:$E$102,5)*0.5*(VLOOKUP($FM42-GF$103,Frauen!$G$9:$J$102,4)+VLOOKUP($FM42-GF$103+1,Frauen!$G$9:$J$102,4))*0.5*(VLOOKUP($FM42-GF$103,Frauen!$AZ$9:$BD$102,5)+VLOOKUP($FM42-GF$103+1,Frauen!$AZ$9:$BD$102,5)),RundDx)</f>
        <v>1251410</v>
      </c>
      <c r="GG42" s="25">
        <f>ROUND(v^($FM42+FaktorAlter)*VLOOKUP($FM42,$G$9:$J$102,4)*VLOOKUP($FM42,$A$9:$E$102,5)*0.5*(VLOOKUP($FM42-GG$103,Frauen!$G$9:$J$102,4)+VLOOKUP($FM42-GG$103+1,Frauen!$G$9:$J$102,4))*0.5*(VLOOKUP($FM42-GG$103,Frauen!$AZ$9:$BD$102,5)+VLOOKUP($FM42-GG$103+1,Frauen!$AZ$9:$BD$102,5)),RundDx)</f>
        <v>1826411</v>
      </c>
      <c r="GH42" s="25">
        <f>ROUND(v^($FM42+FaktorAlter)*VLOOKUP($FM42,$G$9:$J$102,4)*VLOOKUP($FM42,$A$9:$E$102,5)*0.5*(VLOOKUP($FM42-GH$103,Frauen!$G$9:$J$102,4)+VLOOKUP($FM42-GH$103+1,Frauen!$G$9:$J$102,4))*0.5*(VLOOKUP($FM42-GH$103,Frauen!$AZ$9:$BD$102,5)+VLOOKUP($FM42-GH$103+1,Frauen!$AZ$9:$BD$102,5)),RundDx)</f>
        <v>2580711</v>
      </c>
      <c r="GI42" s="25">
        <f>ROUND(v^($FM42+FaktorAlter)*VLOOKUP($FM42,$G$9:$J$102,4)*VLOOKUP($FM42,$A$9:$E$102,5)*0.5*(VLOOKUP($FM42-GI$103,Frauen!$G$9:$J$102,4)+VLOOKUP($FM42-GI$103+1,Frauen!$G$9:$J$102,4))*0.5*(VLOOKUP($FM42-GI$103,Frauen!$AZ$9:$BD$102,5)+VLOOKUP($FM42-GI$103+1,Frauen!$AZ$9:$BD$102,5)),RundDx)</f>
        <v>3547116</v>
      </c>
      <c r="GJ42" s="25">
        <f>ROUND(v^($FM42+FaktorAlter)*VLOOKUP($FM42,$G$9:$J$102,4)*VLOOKUP($FM42,$A$9:$E$102,5)*0.5*(VLOOKUP($FM42-GJ$103,Frauen!$G$9:$J$102,4)+VLOOKUP($FM42-GJ$103+1,Frauen!$G$9:$J$102,4))*0.5*(VLOOKUP($FM42-GJ$103,Frauen!$AZ$9:$BD$102,5)+VLOOKUP($FM42-GJ$103+1,Frauen!$AZ$9:$BD$102,5)),RundDx)</f>
        <v>4745350</v>
      </c>
      <c r="GK42" s="25">
        <f>ROUND(v^($FM42+FaktorAlter)*VLOOKUP($FM42,$G$9:$J$102,4)*VLOOKUP($FM42,$A$9:$E$102,5)*0.5*(VLOOKUP($FM42-GK$103,Frauen!$G$9:$J$102,4)+VLOOKUP($FM42-GK$103+1,Frauen!$G$9:$J$102,4))*0.5*(VLOOKUP($FM42-GK$103,Frauen!$AZ$9:$BD$102,5)+VLOOKUP($FM42-GK$103+1,Frauen!$AZ$9:$BD$102,5)),RundDx)</f>
        <v>6177751</v>
      </c>
      <c r="GL42" s="25">
        <f>ROUND(v^($FM42+FaktorAlter)*VLOOKUP($FM42,$G$9:$J$102,4)*VLOOKUP($FM42,$A$9:$E$102,5)*0.5*(VLOOKUP($FM42-GL$103,Frauen!$G$9:$J$102,4)+VLOOKUP($FM42-GL$103+1,Frauen!$G$9:$J$102,4))*0.5*(VLOOKUP($FM42-GL$103,Frauen!$AZ$9:$BD$102,5)+VLOOKUP($FM42-GL$103+1,Frauen!$AZ$9:$BD$102,5)),RundDx)</f>
        <v>7856606</v>
      </c>
      <c r="GM42" s="25">
        <f>ROUND(v^($FM42+FaktorAlter)*VLOOKUP($FM42,$G$9:$J$102,4)*VLOOKUP($FM42,$A$9:$E$102,5)*0.5*(VLOOKUP($FM42-GM$103,Frauen!$G$9:$J$102,4)+VLOOKUP($FM42-GM$103+1,Frauen!$G$9:$J$102,4))*0.5*(VLOOKUP($FM42-GM$103,Frauen!$AZ$9:$BD$102,5)+VLOOKUP($FM42-GM$103+1,Frauen!$AZ$9:$BD$102,5)),RundDx)</f>
        <v>9784069</v>
      </c>
      <c r="GN42" s="25">
        <f>ROUND(v^($FM42+FaktorAlter)*VLOOKUP($FM42,$G$9:$J$102,4)*VLOOKUP($FM42,$A$9:$E$102,5)*0.5*(VLOOKUP($FM42-GN$103,Frauen!$G$9:$J$102,4)+VLOOKUP($FM42-GN$103+1,Frauen!$G$9:$J$102,4))*0.5*(VLOOKUP($FM42-GN$103,Frauen!$AZ$9:$BD$102,5)+VLOOKUP($FM42-GN$103+1,Frauen!$AZ$9:$BD$102,5)),RundDx)</f>
        <v>11954190</v>
      </c>
      <c r="GO42" s="25">
        <f>ROUND(v^($FM42+FaktorAlter)*VLOOKUP($FM42,$G$9:$J$102,4)*VLOOKUP($FM42,$A$9:$E$102,5)*0.5*(VLOOKUP($FM42-GO$103,Frauen!$G$9:$J$102,4)+VLOOKUP($FM42-GO$103+1,Frauen!$G$9:$J$102,4))*0.5*(VLOOKUP($FM42-GO$103,Frauen!$AZ$9:$BD$102,5)+VLOOKUP($FM42-GO$103+1,Frauen!$AZ$9:$BD$102,5)),RundDx)</f>
        <v>14355923</v>
      </c>
      <c r="GP42" s="25">
        <f>ROUND(v^($FM42+FaktorAlter)*VLOOKUP($FM42,$G$9:$J$102,4)*VLOOKUP($FM42,$A$9:$E$102,5)*0.5*(VLOOKUP($FM42-GP$103,Frauen!$G$9:$J$102,4)+VLOOKUP($FM42-GP$103+1,Frauen!$G$9:$J$102,4))*0.5*(VLOOKUP($FM42-GP$103,Frauen!$AZ$9:$BD$102,5)+VLOOKUP($FM42-GP$103+1,Frauen!$AZ$9:$BD$102,5)),RundDx)</f>
        <v>16966221</v>
      </c>
      <c r="GQ42" s="25">
        <f>ROUND(v^($FM42+FaktorAlter)*VLOOKUP($FM42,$G$9:$J$102,4)*VLOOKUP($FM42,$A$9:$E$102,5)*0.5*(VLOOKUP($FM42-GQ$103,Frauen!$G$9:$J$102,4)+VLOOKUP($FM42-GQ$103+1,Frauen!$G$9:$J$102,4))*0.5*(VLOOKUP($FM42-GQ$103,Frauen!$AZ$9:$BD$102,5)+VLOOKUP($FM42-GQ$103+1,Frauen!$AZ$9:$BD$102,5)),RundDx)</f>
        <v>19757423</v>
      </c>
      <c r="GR42" s="25">
        <f>ROUND(v^($FM42+FaktorAlter)*VLOOKUP($FM42,$G$9:$J$102,4)*VLOOKUP($FM42,$A$9:$E$102,5)*0.5*(VLOOKUP($FM42-GR$103,Frauen!$G$9:$J$102,4)+VLOOKUP($FM42-GR$103+1,Frauen!$G$9:$J$102,4))*0.5*(VLOOKUP($FM42-GR$103,Frauen!$AZ$9:$BD$102,5)+VLOOKUP($FM42-GR$103+1,Frauen!$AZ$9:$BD$102,5)),RundDx)</f>
        <v>22702163</v>
      </c>
      <c r="GS42" s="24"/>
      <c r="GT42" s="24"/>
      <c r="GU42" s="24"/>
      <c r="GV42" s="24"/>
      <c r="GW42" s="24"/>
      <c r="GX42" s="24"/>
      <c r="GY42" s="24"/>
      <c r="GZ42" s="24"/>
      <c r="HA42" s="86"/>
      <c r="HB42" s="35">
        <f t="shared" si="63"/>
        <v>98</v>
      </c>
      <c r="HC42" s="24"/>
      <c r="HD42" s="24"/>
      <c r="HE42" s="24">
        <f>ROUND(SUM(FX42:FX$56)/VLOOKUP($FM42,$AQ$9:$AR$102,2)/VLOOKUP($FM42-HE$103,Frauen!$G$9:$J$102,4),Rundäx)</f>
        <v>0.22500000000000001</v>
      </c>
      <c r="HF42" s="24">
        <f>ROUND(SUM(FY42:FY$56)/VLOOKUP($FM42,$AQ$9:$AR$102,2)/VLOOKUP($FM42-HF$103,Frauen!$G$9:$J$102,4),Rundäx)</f>
        <v>0.38600000000000001</v>
      </c>
      <c r="HG42" s="24">
        <f>ROUND(SUM(FZ42:FZ$56)/VLOOKUP($FM42,$AQ$9:$AR$102,2)/VLOOKUP($FM42-HG$103,Frauen!$G$9:$J$102,4),Rundäx)</f>
        <v>0.52400000000000002</v>
      </c>
      <c r="HH42" s="24">
        <f>ROUND(SUM(GA42:GA$56)/VLOOKUP($FM42,$AQ$9:$AR$102,2)/VLOOKUP($FM42-HH$103,Frauen!$G$9:$J$102,4),Rundäx)</f>
        <v>0.66200000000000003</v>
      </c>
      <c r="HI42" s="24">
        <f>ROUND(SUM(GB42:GB$56)/VLOOKUP($FM42,$AQ$9:$AR$102,2)/VLOOKUP($FM42-HI$103,Frauen!$G$9:$J$102,4),Rundäx)</f>
        <v>0.80600000000000005</v>
      </c>
      <c r="HJ42" s="24">
        <f>ROUND(SUM(GC42:GC$56)/VLOOKUP($FM42,$AQ$9:$AR$102,2)/VLOOKUP($FM42-HJ$103,Frauen!$G$9:$J$102,4),Rundäx)</f>
        <v>0.96399999999999997</v>
      </c>
      <c r="HK42" s="86"/>
      <c r="HL42" s="35">
        <f t="shared" si="64"/>
        <v>98</v>
      </c>
      <c r="HM42" s="24">
        <f>ROUND(SUM(GD42:GD$56)/VLOOKUP($FM42,$AQ$9:$AR$102,2)/VLOOKUP($FM42-HM$103,Frauen!$G$9:$J$102,4),Rundäx)</f>
        <v>1.1339999999999999</v>
      </c>
      <c r="HN42" s="24">
        <f>ROUND(SUM(GE42:GE$56)/VLOOKUP($FM42,$AQ$9:$AR$102,2)/VLOOKUP($FM42-HN$103,Frauen!$G$9:$J$102,4),Rundäx)</f>
        <v>1.321</v>
      </c>
      <c r="HO42" s="24">
        <f>ROUND(SUM(GF42:GF$56)/VLOOKUP($FM42,$AQ$9:$AR$102,2)/VLOOKUP($FM42-HO$103,Frauen!$G$9:$J$102,4),Rundäx)</f>
        <v>1.5249999999999999</v>
      </c>
      <c r="HP42" s="24">
        <f>ROUND(SUM(GG42:GG$56)/VLOOKUP($FM42,$AQ$9:$AR$102,2)/VLOOKUP($FM42-HP$103,Frauen!$G$9:$J$102,4),Rundäx)</f>
        <v>1.7490000000000001</v>
      </c>
      <c r="HQ42" s="24">
        <f>ROUND(SUM(GH42:GH$56)/VLOOKUP($FM42,$AQ$9:$AR$102,2)/VLOOKUP($FM42-HQ$103,Frauen!$G$9:$J$102,4),Rundäx)</f>
        <v>1.9930000000000001</v>
      </c>
      <c r="HR42" s="24">
        <f>ROUND(SUM(GI42:GI$56)/VLOOKUP($FM42,$AQ$9:$AR$102,2)/VLOOKUP($FM42-HR$103,Frauen!$G$9:$J$102,4),Rundäx)</f>
        <v>2.2610000000000001</v>
      </c>
      <c r="HS42" s="24">
        <f>ROUND(SUM(GJ42:GJ$56)/VLOOKUP($FM42,$AQ$9:$AR$102,2)/VLOOKUP($FM42-HS$103,Frauen!$G$9:$J$102,4),Rundäx)</f>
        <v>2.5499999999999998</v>
      </c>
      <c r="HT42" s="24">
        <f>ROUND(SUM(GK42:GK$56)/VLOOKUP($FM42,$AQ$9:$AR$102,2)/VLOOKUP($FM42-HT$103,Frauen!$G$9:$J$102,4),Rundäx)</f>
        <v>2.8580000000000001</v>
      </c>
      <c r="HU42" s="86"/>
      <c r="HV42" s="35">
        <f t="shared" si="65"/>
        <v>98</v>
      </c>
      <c r="HW42" s="24">
        <f>ROUND(SUM(GL42:GL$56)/VLOOKUP($FM42,$AQ$9:$AR$102,2)/VLOOKUP($FM42-HW$103,Frauen!$G$9:$J$102,4),Rundäx)</f>
        <v>3.1840000000000002</v>
      </c>
      <c r="HX42" s="24">
        <f>ROUND(SUM(GM42:GM$56)/VLOOKUP($FM42,$AQ$9:$AR$102,2)/VLOOKUP($FM42-HX$103,Frauen!$G$9:$J$102,4),Rundäx)</f>
        <v>3.53</v>
      </c>
      <c r="HY42" s="24">
        <f>ROUND(SUM(GN42:GN$56)/VLOOKUP($FM42,$AQ$9:$AR$102,2)/VLOOKUP($FM42-HY$103,Frauen!$G$9:$J$102,4),Rundäx)</f>
        <v>3.8969999999999998</v>
      </c>
      <c r="HZ42" s="24">
        <f>ROUND(SUM(GO42:GO$56)/VLOOKUP($FM42,$AQ$9:$AR$102,2)/VLOOKUP($FM42-HZ$103,Frauen!$G$9:$J$102,4),Rundäx)</f>
        <v>4.2889999999999997</v>
      </c>
      <c r="IA42" s="24">
        <f>ROUND(SUM(GP42:GP$56)/VLOOKUP($FM42,$AQ$9:$AR$102,2)/VLOOKUP($FM42-IA$103,Frauen!$G$9:$J$102,4),Rundäx)</f>
        <v>4.7039999999999997</v>
      </c>
      <c r="IB42" s="24">
        <f>ROUND(SUM(GQ42:GQ$56)/VLOOKUP($FM42,$AQ$9:$AR$102,2)/VLOOKUP($FM42-IB$103,Frauen!$G$9:$J$102,4),Rundäx)</f>
        <v>5.1429999999999998</v>
      </c>
      <c r="IC42" s="24">
        <f>ROUND(SUM(GR42:GR$56)/VLOOKUP($FM42,$AQ$9:$AR$102,2)/VLOOKUP($FM42-IC$103,Frauen!$G$9:$J$102,4),Rundäx)</f>
        <v>5.6059999999999999</v>
      </c>
      <c r="ID42" s="89"/>
      <c r="IE42" s="35">
        <f t="shared" si="66"/>
        <v>50</v>
      </c>
      <c r="IF42" s="25">
        <f t="shared" si="31"/>
        <v>363</v>
      </c>
      <c r="IG42" s="25">
        <f>IF($IE42&lt;RAM,IF(S43&lt;=RAK,ROUND(SUM(IF42:INDEX(Dakx,RAM-BeginnAlter))+INDEX(Dax,RAM-BeginnAlter+1)*INDEX(äkx,1),RundDx),0),"")</f>
        <v>2176</v>
      </c>
      <c r="IH42" s="25">
        <f>IF($IE42&lt;RAM,IF(S43&lt;=RAK,ROUND(SUM(IG42:INDEX(Nakx,RAM-BeginnAlter))+INDEX(Dax,RAM-BeginnAlter+1)*INDEX(äkx,1),RundDx),0),"")</f>
        <v>11328</v>
      </c>
      <c r="II42" s="24">
        <f t="shared" si="32"/>
        <v>7.0999999999999994E-2</v>
      </c>
      <c r="IJ42" s="25">
        <f t="shared" si="33"/>
        <v>4002</v>
      </c>
      <c r="IK42" s="25">
        <f>IF($IE42&lt;RAM,IF(S43&lt;=RAK,SUM(IJ42:INDEX(Dikx,RAM-BeginnAlter))+INDEX(Dix,RAM-BeginnAlter+1)*INDEX(äkx,1),0),"")</f>
        <v>16363.832</v>
      </c>
      <c r="IL42" s="24">
        <f t="shared" si="34"/>
        <v>0.41099999999999998</v>
      </c>
      <c r="IM42" s="86"/>
      <c r="IN42" s="35">
        <f t="shared" si="67"/>
        <v>98</v>
      </c>
      <c r="IO42" s="25"/>
      <c r="IP42" s="25"/>
      <c r="IQ42" s="24"/>
      <c r="IR42" s="86"/>
    </row>
    <row r="43" spans="1:252" ht="15.75" customHeight="1" x14ac:dyDescent="0.25">
      <c r="A43" s="35">
        <f t="shared" si="41"/>
        <v>51</v>
      </c>
      <c r="B43" s="77">
        <v>2.259667166976021E-3</v>
      </c>
      <c r="C43" s="77">
        <v>5.4517660633100181E-3</v>
      </c>
      <c r="D43" s="77">
        <v>2.0612979401969593E-2</v>
      </c>
      <c r="E43" s="77">
        <v>3.0148977533813737E-3</v>
      </c>
      <c r="F43" s="86"/>
      <c r="G43" s="35">
        <f t="shared" si="42"/>
        <v>51</v>
      </c>
      <c r="H43" s="25">
        <f t="shared" si="37"/>
        <v>92488</v>
      </c>
      <c r="I43" s="25">
        <f t="shared" si="38"/>
        <v>3701</v>
      </c>
      <c r="J43" s="25">
        <f t="shared" si="39"/>
        <v>96189</v>
      </c>
      <c r="K43" s="30">
        <f>IF(J43&gt;0,ROUND(SUM(J43:J$102)/J43-0.5,Rundex),"")</f>
        <v>29.38</v>
      </c>
      <c r="L43" s="25">
        <f t="shared" si="0"/>
        <v>118718</v>
      </c>
      <c r="M43" s="30">
        <f>IF(L43&gt;0,ROUND(SUM(L43:L$102)/L43-0.5,Rundex),"")</f>
        <v>24.95</v>
      </c>
      <c r="N43" s="86"/>
      <c r="O43" s="35">
        <f t="shared" si="43"/>
        <v>51</v>
      </c>
      <c r="P43" s="43">
        <v>0.78287357352009024</v>
      </c>
      <c r="Q43" s="78">
        <v>48.724291228476389</v>
      </c>
      <c r="R43" s="43">
        <v>0.51220838756974185</v>
      </c>
      <c r="S43" s="78">
        <v>15.241071582587267</v>
      </c>
      <c r="T43" s="15">
        <v>3.0201018450095596E-3</v>
      </c>
      <c r="U43" s="11">
        <f t="shared" si="40"/>
        <v>96190</v>
      </c>
      <c r="V43" s="30">
        <f>IF(U43&gt;0,ROUND(SUM(U43:U$102)/U43-0.5,Rundex),"")</f>
        <v>26.93</v>
      </c>
      <c r="W43" s="86"/>
      <c r="X43" s="35">
        <f t="shared" si="44"/>
        <v>51</v>
      </c>
      <c r="Y43" s="25">
        <f t="shared" si="1"/>
        <v>29734</v>
      </c>
      <c r="Z43" s="25">
        <f>IF($X43&lt;RAM,SUM(Y43:INDEX(Dax,RAM-BeginnAlter))," ")</f>
        <v>326825</v>
      </c>
      <c r="AA43" s="25">
        <f t="shared" si="2"/>
        <v>66</v>
      </c>
      <c r="AB43" s="25">
        <f>IF($X43&lt;RAM,SUM(AA43:INDEX(Cax,RAM-BeginnAlter))," ")</f>
        <v>1528</v>
      </c>
      <c r="AC43" s="25">
        <f t="shared" si="3"/>
        <v>160</v>
      </c>
      <c r="AD43" s="25">
        <f>IF($X43&lt;RAM,SUM(AC43:INDEX(Caix,RAM-BeginnAlter))," ")</f>
        <v>6321</v>
      </c>
      <c r="AE43" s="24">
        <f t="shared" si="4"/>
        <v>10.992000000000001</v>
      </c>
      <c r="AF43" s="24">
        <f t="shared" si="5"/>
        <v>10.760999999999999</v>
      </c>
      <c r="AG43" s="86"/>
      <c r="AH43" s="35">
        <f t="shared" si="45"/>
        <v>51</v>
      </c>
      <c r="AI43" s="25">
        <f t="shared" si="6"/>
        <v>38167</v>
      </c>
      <c r="AJ43" s="25">
        <f>IF($AH43&gt;RAM," ",IF($AH43&lt;RAM,SUM(AI43:INDEX(Dix,RAM-BeginnAlter))+INDEX(Nx,RAM-BeginnAlter+1),INDEX(Nx,RAM-BeginnAlter+1)))</f>
        <v>705697</v>
      </c>
      <c r="AK43" s="25">
        <f>IF($AH43&lt;RAM,SUM(AI43:INDEX(Dix,RAM-BeginnAlter))," ")</f>
        <v>408450</v>
      </c>
      <c r="AL43" s="24">
        <f t="shared" si="7"/>
        <v>18.489999999999998</v>
      </c>
      <c r="AM43" s="24">
        <f t="shared" si="8"/>
        <v>18.030999999999999</v>
      </c>
      <c r="AN43" s="24">
        <f t="shared" si="9"/>
        <v>10.702</v>
      </c>
      <c r="AO43" s="24">
        <f t="shared" si="10"/>
        <v>10.489000000000001</v>
      </c>
      <c r="AP43" s="86"/>
      <c r="AQ43" s="35">
        <f t="shared" si="46"/>
        <v>51</v>
      </c>
      <c r="AR43" s="25">
        <f t="shared" si="11"/>
        <v>30924</v>
      </c>
      <c r="AS43" s="25">
        <f>SUM(AR43:AR$94)</f>
        <v>662029</v>
      </c>
      <c r="AT43" s="25">
        <f>IF($AQ43&lt;RAM,SUM(AR43:INDEX(Dx,RAM-BeginnAlter))," ")</f>
        <v>364782</v>
      </c>
      <c r="AU43" s="24">
        <f t="shared" si="12"/>
        <v>21.408000000000001</v>
      </c>
      <c r="AV43" s="24">
        <f t="shared" si="13"/>
        <v>20.95</v>
      </c>
      <c r="AW43" s="24">
        <f t="shared" si="14"/>
        <v>11.795999999999999</v>
      </c>
      <c r="AX43" s="24">
        <f t="shared" si="15"/>
        <v>11.641</v>
      </c>
      <c r="AY43" s="86"/>
      <c r="AZ43" s="35">
        <f t="shared" si="47"/>
        <v>51</v>
      </c>
      <c r="BA43" s="25">
        <f t="shared" si="16"/>
        <v>30924</v>
      </c>
      <c r="BB43" s="25">
        <f>SUM(BA43:BA$94)</f>
        <v>619978</v>
      </c>
      <c r="BC43" s="24">
        <f t="shared" si="17"/>
        <v>20.047999999999998</v>
      </c>
      <c r="BD43" s="24">
        <f t="shared" si="18"/>
        <v>19.59</v>
      </c>
      <c r="BE43" s="86"/>
      <c r="BF43" s="35">
        <f t="shared" si="48"/>
        <v>34</v>
      </c>
      <c r="BG43" s="24" t="str">
        <f t="shared" si="19"/>
        <v/>
      </c>
      <c r="BH43" s="24" t="str">
        <f t="shared" si="20"/>
        <v/>
      </c>
      <c r="BI43" s="86"/>
      <c r="BJ43" s="35">
        <f t="shared" si="49"/>
        <v>51</v>
      </c>
      <c r="BK43" s="25">
        <f t="shared" si="21"/>
        <v>2872</v>
      </c>
      <c r="BL43" s="25">
        <f>IF(BJ43&lt;RAM,SUM(BK43:INDEX(Daix,RAM-BeginnAlter))," ")</f>
        <v>98974</v>
      </c>
      <c r="BM43" s="25">
        <f>IF(BJ43&lt;RAM,SUM(BL43:INDEX(Naix,RAM-BeginnAlter))," ")</f>
        <v>898540</v>
      </c>
      <c r="BN43" s="24">
        <f t="shared" si="22"/>
        <v>6.9870000000000001</v>
      </c>
      <c r="BO43" s="24">
        <f t="shared" si="23"/>
        <v>3.3290000000000002</v>
      </c>
      <c r="BP43" s="86"/>
      <c r="BQ43" s="35">
        <f t="shared" si="50"/>
        <v>51</v>
      </c>
      <c r="BR43" s="25">
        <f t="shared" si="51"/>
        <v>1637</v>
      </c>
      <c r="BS43" s="25">
        <f>IF(BQ43&lt;RAM,SUM(BR43:INDEX(Daixs,RAM-BeginnAlter))," ")</f>
        <v>27840</v>
      </c>
      <c r="BT43" s="25">
        <f>IF(BQ43&lt;RAM,SUM(BS43:INDEX(Naixs,RAM-BeginnAlter))," ")</f>
        <v>195557</v>
      </c>
      <c r="BU43" s="24">
        <f t="shared" si="52"/>
        <v>9.3789999999999996</v>
      </c>
      <c r="BV43" s="24">
        <f t="shared" si="53"/>
        <v>0.93600000000000005</v>
      </c>
      <c r="BW43" s="86"/>
      <c r="BX43" s="35">
        <f t="shared" si="54"/>
        <v>51</v>
      </c>
      <c r="BY43" s="10">
        <f t="shared" si="24"/>
        <v>7.7954984382602852</v>
      </c>
      <c r="BZ43" s="11">
        <f t="shared" si="25"/>
        <v>592</v>
      </c>
      <c r="CA43" s="25">
        <f>IF(S44&lt;=RAK,IF($BX43&lt;RAM,SUM(BZ43:INDEX(Dazx,RAM-BeginnAlter)),""),"")</f>
        <v>4078</v>
      </c>
      <c r="CB43" s="24">
        <f t="shared" si="26"/>
        <v>0.13700000000000001</v>
      </c>
      <c r="CC43" s="25">
        <f t="shared" si="27"/>
        <v>23642</v>
      </c>
      <c r="CD43" s="24">
        <f t="shared" si="28"/>
        <v>16.138999999999999</v>
      </c>
      <c r="CE43" s="24">
        <f t="shared" si="29"/>
        <v>3.4000000000000002E-2</v>
      </c>
      <c r="CF43" s="86"/>
      <c r="CG43" s="35">
        <f t="shared" si="55"/>
        <v>51</v>
      </c>
      <c r="CH43" s="25">
        <f>IF(CG43&lt;RAM,ROUND(v^($CG43+FaktorAlter)*$H43*($B43*0.5*($P43+$P44)*(VLOOKUP(TRUNC(0.5*($Q43+$Q44),0),Frauen!$AZ$9:$BD$95,5)+(0.5*($Q43+$Q44)-TRUNC(0.5*($Q43+$Q44),0))*(VLOOKUP(TRUNC(0.5*($Q43+$Q44)+1,0),Frauen!$AZ$9:$BD$95,5)-VLOOKUP(TRUNC(0.5*($Q43+$Q44),0),Frauen!$AZ$9:$BD$95,5)))+$C43*0.5*($CN43+$CN44)),RundDx),"")</f>
        <v>2306</v>
      </c>
      <c r="CI43" s="25">
        <f>IF(CG43&lt;RAM,ROUND(SUM(CH43:INDEX(Dawx,RAM-BeginnAlter))+INDEX(Dax,RAM-BeginnAlter+1)*INDEX(äwx,1),RundDx),"")</f>
        <v>139292</v>
      </c>
      <c r="CJ43" s="25">
        <f>IF(CG43&lt;RAM,ROUND(SUM(CI43:INDEX(Nawx,RAM-BeginnAlter))+INDEX(Dax,RAM-BeginnAlter+1)*INDEX(äwx,1),RundDx),"")</f>
        <v>1705528</v>
      </c>
      <c r="CK43" s="24">
        <f t="shared" si="56"/>
        <v>4.6849999999999996</v>
      </c>
      <c r="CL43" s="25">
        <f>IF(CG43&lt;RAM,ROUND(v^($CG43+FaktorAlter)*$L43*$D43*0.5*($P43+$P44)*(VLOOKUP(TRUNC(0.5*($Q43+$Q44),0),Frauen!$AZ$9:$BD$95,5)+(0.5*($Q43+$Q44)-TRUNC(0.5*($Q43+$Q44),0))*(VLOOKUP(TRUNC(0.5*($Q43+$Q44)+1,0),Frauen!$AZ$9:$BD$95,5)-VLOOKUP(TRUNC(0.5*($Q43+$Q44),0),Frauen!$AZ$9:$BD$95,5))),RundDx),"")</f>
        <v>14539</v>
      </c>
      <c r="CM43" s="25">
        <f>IF(CG43&lt;RAM,SUM(CL43:INDEX(Diwx,RAM-BeginnAlter))+INDEX(Dix,RAM-BeginnAlter+1)*INDEX(äwx,1),"")</f>
        <v>255460.41399999999</v>
      </c>
      <c r="CN43" s="24">
        <f t="shared" si="57"/>
        <v>6.6929999999999996</v>
      </c>
      <c r="CO43" s="86"/>
      <c r="CP43" s="35">
        <f t="shared" si="58"/>
        <v>99</v>
      </c>
      <c r="CQ43" s="11">
        <f>ROUND(v^($CP43+FaktorAlter)*VLOOKUP(CP43,G$9:J$102,4)*VLOOKUP(CP43,A$9:E$102,5)*0.5*(VLOOKUP(CP43,O$9:P$102,2)+VLOOKUP(CP43+1,O$9:P$102,2))*(VLOOKUP(TRUNC(0.5*(VLOOKUP(CP43,O$9:Q$102,3)+VLOOKUP(CP43+1,O$9:Q$102,3)),0),Frauen!$AZ$9:$BD$95,5)+(0.5*(VLOOKUP(CP43,O$9:Q$102,3)+VLOOKUP(CP43+1,O$9:Q$102,3))-TRUNC(0.5*(VLOOKUP(CP43,O$9:Q$102,3)+VLOOKUP(CP43+1,O$9:Q$102,3)),0))*(VLOOKUP(TRUNC(0.5*(VLOOKUP(CP43,O$9:Q$102,3)+VLOOKUP(CP43+1,O$9:Q$102,3))+1,0),Frauen!$AZ$9:$BD$95,5)-VLOOKUP(TRUNC(0.5*(VLOOKUP(CP43,O$9:Q$102,3)+VLOOKUP(CP43+1,O$9:Q$102,3)),0),Frauen!$AZ$9:$BD$95,5))),RundDx)</f>
        <v>14</v>
      </c>
      <c r="CR43" s="25">
        <f>SUM(CQ43:CQ$56)</f>
        <v>20</v>
      </c>
      <c r="CS43" s="24">
        <f t="shared" si="30"/>
        <v>0.308</v>
      </c>
      <c r="CT43" s="86"/>
      <c r="CU43" s="35">
        <f t="shared" si="59"/>
        <v>51</v>
      </c>
      <c r="CV43" s="25">
        <f>IF($CU43&gt;=RAM,"",IF($CU43-CV$103&lt;BeginnAlter,"",ROUND(v^($CU43+FaktorAlter)*$L43*$D43*0.5*(VLOOKUP($CU43-CV$103,Frauen!$G$9:$J$102,4)+VLOOKUP($CU43-CV$103+1,Frauen!$G$9:$J$102,4))*0.5*(VLOOKUP($CU43-CV$103,Frauen!$AZ$9:$BD$102,5)+VLOOKUP($CU43-CV$103+1,Frauen!$AZ$9:$BD$102,5)),RundDx)))</f>
        <v>1077958464</v>
      </c>
      <c r="CW43" s="25">
        <f>IF($CU43&gt;=RAM,"",IF($CU43-CW$103&lt;BeginnAlter,"",ROUND(v^($CU43+FaktorAlter)*$L43*$D43*0.5*(VLOOKUP($CU43-CW$103,Frauen!$G$9:$J$102,4)+VLOOKUP($CU43-CW$103+1,Frauen!$G$9:$J$102,4))*0.5*(VLOOKUP($CU43-CW$103,Frauen!$AZ$9:$BD$102,5)+VLOOKUP($CU43-CW$103+1,Frauen!$AZ$9:$BD$102,5)),RundDx)))</f>
        <v>1125602999</v>
      </c>
      <c r="CX43" s="25">
        <f>IF($CU43&gt;=RAM,"",IF($CU43-CX$103&lt;BeginnAlter,"",ROUND(v^($CU43+FaktorAlter)*$L43*$D43*0.5*(VLOOKUP($CU43-CX$103,Frauen!$G$9:$J$102,4)+VLOOKUP($CU43-CX$103+1,Frauen!$G$9:$J$102,4))*0.5*(VLOOKUP($CU43-CX$103,Frauen!$AZ$9:$BD$102,5)+VLOOKUP($CU43-CX$103+1,Frauen!$AZ$9:$BD$102,5)),RundDx)))</f>
        <v>1172675907</v>
      </c>
      <c r="CY43" s="25">
        <f>IF($CU43&gt;=RAM,"",IF($CU43-CY$103&lt;BeginnAlter,"",ROUND(v^($CU43+FaktorAlter)*$L43*$D43*0.5*(VLOOKUP($CU43-CY$103,Frauen!$G$9:$J$102,4)+VLOOKUP($CU43-CY$103+1,Frauen!$G$9:$J$102,4))*0.5*(VLOOKUP($CU43-CY$103,Frauen!$AZ$9:$BD$102,5)+VLOOKUP($CU43-CY$103+1,Frauen!$AZ$9:$BD$102,5)),RundDx)))</f>
        <v>1218899155</v>
      </c>
      <c r="CZ43" s="25">
        <f>IF($CU43&gt;=RAM,"",IF($CU43-CZ$103&lt;BeginnAlter,"",ROUND(v^($CU43+FaktorAlter)*$L43*$D43*0.5*(VLOOKUP($CU43-CZ$103,Frauen!$G$9:$J$102,4)+VLOOKUP($CU43-CZ$103+1,Frauen!$G$9:$J$102,4))*0.5*(VLOOKUP($CU43-CZ$103,Frauen!$AZ$9:$BD$102,5)+VLOOKUP($CU43-CZ$103+1,Frauen!$AZ$9:$BD$102,5)),RundDx)))</f>
        <v>1264247694</v>
      </c>
      <c r="DA43" s="25">
        <f>IF($CU43&gt;=RAM,"",IF($CU43-DA$103&lt;BeginnAlter,"",ROUND(v^($CU43+FaktorAlter)*$L43*$D43*0.5*(VLOOKUP($CU43-DA$103,Frauen!$G$9:$J$102,4)+VLOOKUP($CU43-DA$103+1,Frauen!$G$9:$J$102,4))*0.5*(VLOOKUP($CU43-DA$103,Frauen!$AZ$9:$BD$102,5)+VLOOKUP($CU43-DA$103+1,Frauen!$AZ$9:$BD$102,5)),RundDx)))</f>
        <v>1308838677</v>
      </c>
      <c r="DB43" s="25">
        <f>IF($CU43&gt;=RAM,"",IF($CU43-DB$103&lt;BeginnAlter,"",ROUND(v^($CU43+FaktorAlter)*$L43*$D43*0.5*(VLOOKUP($CU43-DB$103,Frauen!$G$9:$J$102,4)+VLOOKUP($CU43-DB$103+1,Frauen!$G$9:$J$102,4))*0.5*(VLOOKUP($CU43-DB$103,Frauen!$AZ$9:$BD$102,5)+VLOOKUP($CU43-DB$103+1,Frauen!$AZ$9:$BD$102,5)),RundDx)))</f>
        <v>1352612614</v>
      </c>
      <c r="DC43" s="25">
        <f>IF($CU43&gt;=RAM,"",IF($CU43-DC$103&lt;BeginnAlter,"",ROUND(v^($CU43+FaktorAlter)*$L43*$D43*0.5*(VLOOKUP($CU43-DC$103,Frauen!$G$9:$J$102,4)+VLOOKUP($CU43-DC$103+1,Frauen!$G$9:$J$102,4))*0.5*(VLOOKUP($CU43-DC$103,Frauen!$AZ$9:$BD$102,5)+VLOOKUP($CU43-DC$103+1,Frauen!$AZ$9:$BD$102,5)),RundDx)))</f>
        <v>1395557669</v>
      </c>
      <c r="DD43" s="25">
        <f>IF($CU43&gt;=RAM,"",IF($CU43-DD$103&lt;BeginnAlter,"",ROUND(v^($CU43+FaktorAlter)*$L43*$D43*0.5*(VLOOKUP($CU43-DD$103,Frauen!$G$9:$J$102,4)+VLOOKUP($CU43-DD$103+1,Frauen!$G$9:$J$102,4))*0.5*(VLOOKUP($CU43-DD$103,Frauen!$AZ$9:$BD$102,5)+VLOOKUP($CU43-DD$103+1,Frauen!$AZ$9:$BD$102,5)),RundDx)))</f>
        <v>1437763047</v>
      </c>
      <c r="DE43" s="25">
        <f>IF($CU43&gt;=RAM,"",IF($CU43-DE$103&lt;BeginnAlter,"",ROUND(v^($CU43+FaktorAlter)*$L43*$D43*0.5*(VLOOKUP($CU43-DE$103,Frauen!$G$9:$J$102,4)+VLOOKUP($CU43-DE$103+1,Frauen!$G$9:$J$102,4))*0.5*(VLOOKUP($CU43-DE$103,Frauen!$AZ$9:$BD$102,5)+VLOOKUP($CU43-DE$103+1,Frauen!$AZ$9:$BD$102,5)),RundDx)))</f>
        <v>1479360690</v>
      </c>
      <c r="DF43" s="25">
        <f>IF($CU43&gt;=RAM,"",IF($CU43-DF$103&lt;BeginnAlter,"",ROUND(v^($CU43+FaktorAlter)*$L43*$D43*0.5*(VLOOKUP($CU43-DF$103,Frauen!$G$9:$J$102,4)+VLOOKUP($CU43-DF$103+1,Frauen!$G$9:$J$102,4))*0.5*(VLOOKUP($CU43-DF$103,Frauen!$AZ$9:$BD$102,5)+VLOOKUP($CU43-DF$103+1,Frauen!$AZ$9:$BD$102,5)),RundDx)))</f>
        <v>1520459785</v>
      </c>
      <c r="DG43" s="25">
        <f>IF($CU43&gt;=RAM,"",IF($CU43-DG$103&lt;BeginnAlter,"",ROUND(v^($CU43+FaktorAlter)*$L43*$D43*0.5*(VLOOKUP($CU43-DG$103,Frauen!$G$9:$J$102,4)+VLOOKUP($CU43-DG$103+1,Frauen!$G$9:$J$102,4))*0.5*(VLOOKUP($CU43-DG$103,Frauen!$AZ$9:$BD$102,5)+VLOOKUP($CU43-DG$103+1,Frauen!$AZ$9:$BD$102,5)),RundDx)))</f>
        <v>1561158181</v>
      </c>
      <c r="DH43" s="25">
        <f>IF($CU43&gt;=RAM,"",IF($CU43-DH$103&lt;BeginnAlter,"",ROUND(v^($CU43+FaktorAlter)*$L43*$D43*0.5*(VLOOKUP($CU43-DH$103,Frauen!$G$9:$J$102,4)+VLOOKUP($CU43-DH$103+1,Frauen!$G$9:$J$102,4))*0.5*(VLOOKUP($CU43-DH$103,Frauen!$AZ$9:$BD$102,5)+VLOOKUP($CU43-DH$103+1,Frauen!$AZ$9:$BD$102,5)),RundDx)))</f>
        <v>1601502147</v>
      </c>
      <c r="DI43" s="25">
        <f>IF($CU43&gt;=RAM,"",IF($CU43-DI$103&lt;BeginnAlter,"",ROUND(v^($CU43+FaktorAlter)*$L43*$D43*0.5*(VLOOKUP($CU43-DI$103,Frauen!$G$9:$J$102,4)+VLOOKUP($CU43-DI$103+1,Frauen!$G$9:$J$102,4))*0.5*(VLOOKUP($CU43-DI$103,Frauen!$AZ$9:$BD$102,5)+VLOOKUP($CU43-DI$103+1,Frauen!$AZ$9:$BD$102,5)),RundDx)))</f>
        <v>1641416469</v>
      </c>
      <c r="DJ43" s="25">
        <f>IF($CU43&gt;=RAM,"",IF($CU43-DJ$103&lt;BeginnAlter,"",ROUND(v^($CU43+FaktorAlter)*$L43*$D43*0.5*(VLOOKUP($CU43-DJ$103,Frauen!$G$9:$J$102,4)+VLOOKUP($CU43-DJ$103+1,Frauen!$G$9:$J$102,4))*0.5*(VLOOKUP($CU43-DJ$103,Frauen!$AZ$9:$BD$102,5)+VLOOKUP($CU43-DJ$103+1,Frauen!$AZ$9:$BD$102,5)),RundDx)))</f>
        <v>1680935021</v>
      </c>
      <c r="DK43" s="25">
        <f>IF($CU43&gt;=RAM,"",IF($CU43-DK$103&lt;BeginnAlter,"",ROUND(v^($CU43+FaktorAlter)*$L43*$D43*0.5*(VLOOKUP($CU43-DK$103,Frauen!$G$9:$J$102,4)+VLOOKUP($CU43-DK$103+1,Frauen!$G$9:$J$102,4))*0.5*(VLOOKUP($CU43-DK$103,Frauen!$AZ$9:$BD$102,5)+VLOOKUP($CU43-DK$103+1,Frauen!$AZ$9:$BD$102,5)),RundDx)))</f>
        <v>1719975657</v>
      </c>
      <c r="DL43" s="25">
        <f>IF($CU43&gt;=RAM,"",IF($CU43-DL$103&lt;BeginnAlter,"",ROUND(v^($CU43+FaktorAlter)*$L43*$D43*0.5*(VLOOKUP($CU43-DL$103,Frauen!$G$9:$J$102,4)+VLOOKUP($CU43-DL$103+1,Frauen!$G$9:$J$102,4))*0.5*(VLOOKUP($CU43-DL$103,Frauen!$AZ$9:$BD$102,5)+VLOOKUP($CU43-DL$103+1,Frauen!$AZ$9:$BD$102,5)),RundDx)))</f>
        <v>1758357418</v>
      </c>
      <c r="DM43" s="25">
        <f>IF($CU43&gt;=RAM,"",IF($CU43-DM$103&lt;BeginnAlter,"",ROUND(v^($CU43+FaktorAlter)*$L43*$D43*0.5*(VLOOKUP($CU43-DM$103,Frauen!$G$9:$J$102,4)+VLOOKUP($CU43-DM$103+1,Frauen!$G$9:$J$102,4))*0.5*(VLOOKUP($CU43-DM$103,Frauen!$AZ$9:$BD$102,5)+VLOOKUP($CU43-DM$103+1,Frauen!$AZ$9:$BD$102,5)),RundDx)))</f>
        <v>1795967176</v>
      </c>
      <c r="DN43" s="25">
        <f>IF($CU43&gt;=RAM,"",IF($CU43-DN$103&lt;BeginnAlter,"",ROUND(v^($CU43+FaktorAlter)*$L43*$D43*0.5*(VLOOKUP($CU43-DN$103,Frauen!$G$9:$J$102,4)+VLOOKUP($CU43-DN$103+1,Frauen!$G$9:$J$102,4))*0.5*(VLOOKUP($CU43-DN$103,Frauen!$AZ$9:$BD$102,5)+VLOOKUP($CU43-DN$103+1,Frauen!$AZ$9:$BD$102,5)),RundDx)))</f>
        <v>1832769369</v>
      </c>
      <c r="DO43" s="25">
        <f>IF($CU43&gt;=RAM,"",IF($CU43-DO$103&lt;BeginnAlter,"",ROUND(v^($CU43+FaktorAlter)*$L43*$D43*0.5*(VLOOKUP($CU43-DO$103,Frauen!$G$9:$J$102,4)+VLOOKUP($CU43-DO$103+1,Frauen!$G$9:$J$102,4))*0.5*(VLOOKUP($CU43-DO$103,Frauen!$AZ$9:$BD$102,5)+VLOOKUP($CU43-DO$103+1,Frauen!$AZ$9:$BD$102,5)),RundDx)))</f>
        <v>1868768886</v>
      </c>
      <c r="DP43" s="25">
        <f>IF($CU43&gt;=RAM,"",IF($CU43-DP$103&lt;BeginnAlter,"",ROUND(v^($CU43+FaktorAlter)*$L43*$D43*0.5*(VLOOKUP($CU43-DP$103,Frauen!$G$9:$J$102,4)+VLOOKUP($CU43-DP$103+1,Frauen!$G$9:$J$102,4))*0.5*(VLOOKUP($CU43-DP$103,Frauen!$AZ$9:$BD$102,5)+VLOOKUP($CU43-DP$103+1,Frauen!$AZ$9:$BD$102,5)),RundDx)))</f>
        <v>1904001697</v>
      </c>
      <c r="DQ43" s="25">
        <f>IF($CU43&gt;=RAM,"",IF($CU43-DQ$103&lt;BeginnAlter,"",ROUND(v^($CU43+FaktorAlter)*$L43*$D43*0.5*(VLOOKUP($CU43-DQ$103,Frauen!$G$9:$J$102,4)+VLOOKUP($CU43-DQ$103+1,Frauen!$G$9:$J$102,4))*0.5*(VLOOKUP($CU43-DQ$103,Frauen!$AZ$9:$BD$102,5)+VLOOKUP($CU43-DQ$103+1,Frauen!$AZ$9:$BD$102,5)),RundDx)))</f>
        <v>1938419706</v>
      </c>
      <c r="DR43" s="25">
        <f>IF($CU43&gt;=RAM,"",IF($CU43-DR$103&lt;BeginnAlter,"",ROUND(v^($CU43+FaktorAlter)*$L43*$D43*0.5*(VLOOKUP($CU43-DR$103,Frauen!$G$9:$J$102,4)+VLOOKUP($CU43-DR$103+1,Frauen!$G$9:$J$102,4))*0.5*(VLOOKUP($CU43-DR$103,Frauen!$AZ$9:$BD$102,5)+VLOOKUP($CU43-DR$103+1,Frauen!$AZ$9:$BD$102,5)),RundDx)))</f>
        <v>1972034103</v>
      </c>
      <c r="DS43" s="25">
        <f>IF($CU43&gt;=RAM,"",IF($CU43-DS$103&lt;BeginnAlter,"",ROUND(v^($CU43+FaktorAlter)*$L43*$D43*0.5*(VLOOKUP($CU43-DS$103,Frauen!$G$9:$J$102,4)+VLOOKUP($CU43-DS$103+1,Frauen!$G$9:$J$102,4))*0.5*(VLOOKUP($CU43-DS$103,Frauen!$AZ$9:$BD$102,5)+VLOOKUP($CU43-DS$103+1,Frauen!$AZ$9:$BD$102,5)),RundDx)))</f>
        <v>2004924975</v>
      </c>
      <c r="DT43" s="25">
        <f>IF($CU43&gt;=RAM,"",IF($CU43-DT$103&lt;BeginnAlter,"",ROUND(v^($CU43+FaktorAlter)*$L43*$D43*0.5*(VLOOKUP($CU43-DT$103,Frauen!$G$9:$J$102,4)+VLOOKUP($CU43-DT$103+1,Frauen!$G$9:$J$102,4))*0.5*(VLOOKUP($CU43-DT$103,Frauen!$AZ$9:$BD$102,5)+VLOOKUP($CU43-DT$103+1,Frauen!$AZ$9:$BD$102,5)),RundDx)))</f>
        <v>2037108156</v>
      </c>
      <c r="DU43" s="25">
        <f>IF($CU43&gt;=RAM,"",IF($CU43-DU$103&lt;BeginnAlter,"",ROUND(v^($CU43+FaktorAlter)*$L43*$D43*0.5*(VLOOKUP($CU43-DU$103,Frauen!$G$9:$J$102,4)+VLOOKUP($CU43-DU$103+1,Frauen!$G$9:$J$102,4))*0.5*(VLOOKUP($CU43-DU$103,Frauen!$AZ$9:$BD$102,5)+VLOOKUP($CU43-DU$103+1,Frauen!$AZ$9:$BD$102,5)),RundDx)))</f>
        <v>2068591228</v>
      </c>
      <c r="DV43" s="25">
        <f>IF($CU43&gt;=RAM,"",IF($CU43-DV$103&lt;BeginnAlter,"",ROUND(v^($CU43+FaktorAlter)*$L43*$D43*0.5*(VLOOKUP($CU43-DV$103,Frauen!$G$9:$J$102,4)+VLOOKUP($CU43-DV$103+1,Frauen!$G$9:$J$102,4))*0.5*(VLOOKUP($CU43-DV$103,Frauen!$AZ$9:$BD$102,5)+VLOOKUP($CU43-DV$103+1,Frauen!$AZ$9:$BD$102,5)),RundDx)))</f>
        <v>2099372713</v>
      </c>
      <c r="DW43" s="25">
        <f>IF($CU43&gt;=RAM,"",IF($CU43-DW$103&lt;BeginnAlter,"",ROUND(v^($CU43+FaktorAlter)*$L43*$D43*0.5*(VLOOKUP($CU43-DW$103,Frauen!$G$9:$J$102,4)+VLOOKUP($CU43-DW$103+1,Frauen!$G$9:$J$102,4))*0.5*(VLOOKUP($CU43-DW$103,Frauen!$AZ$9:$BD$102,5)+VLOOKUP($CU43-DW$103+1,Frauen!$AZ$9:$BD$102,5)),RundDx)))</f>
        <v>2129473596</v>
      </c>
      <c r="DX43" s="25">
        <f>IF($CU43&gt;=RAM,"",IF($CU43-DX$103&lt;BeginnAlter,"",ROUND(v^($CU43+FaktorAlter)*$L43*$D43*0.5*(VLOOKUP($CU43-DX$103,Frauen!$G$9:$J$102,4)+VLOOKUP($CU43-DX$103+1,Frauen!$G$9:$J$102,4))*0.5*(VLOOKUP($CU43-DX$103,Frauen!$AZ$9:$BD$102,5)+VLOOKUP($CU43-DX$103+1,Frauen!$AZ$9:$BD$102,5)),RundDx)))</f>
        <v>2158905986</v>
      </c>
      <c r="DY43" s="25">
        <f>IF($CU43&gt;=RAM,"",IF($CU43-DY$103&lt;BeginnAlter,"",ROUND(v^($CU43+FaktorAlter)*$L43*$D43*0.5*(VLOOKUP($CU43-DY$103,Frauen!$G$9:$J$102,4)+VLOOKUP($CU43-DY$103+1,Frauen!$G$9:$J$102,4))*0.5*(VLOOKUP($CU43-DY$103,Frauen!$AZ$9:$BD$102,5)+VLOOKUP($CU43-DY$103+1,Frauen!$AZ$9:$BD$102,5)),RundDx)))</f>
        <v>2187721955</v>
      </c>
      <c r="DZ43" s="25">
        <f>IF($CU43&gt;=RAM,"",IF($CU43-DZ$103&lt;BeginnAlter,"",ROUND(v^($CU43+FaktorAlter)*$L43*$D43*0.5*(VLOOKUP($CU43-DZ$103,Frauen!$G$9:$J$102,4)+VLOOKUP($CU43-DZ$103+1,Frauen!$G$9:$J$102,4))*0.5*(VLOOKUP($CU43-DZ$103,Frauen!$AZ$9:$BD$102,5)+VLOOKUP($CU43-DZ$103+1,Frauen!$AZ$9:$BD$102,5)),RundDx)))</f>
        <v>2215975042</v>
      </c>
      <c r="EA43" s="43">
        <f>IF($CU43&gt;=RAM,"",IF($CU43-EA$103&lt;BeginnAlter,"",ROUND((SUM(CV43:CV$56)+SUM(FN$9:FN$56))/VLOOKUP($CU43,$AH$9:$AI$102,2)/VLOOKUP($CU43-EA$103,Frauen!$G$9:$J$102,4),Rundäx)))</f>
        <v>3.048</v>
      </c>
      <c r="EB43" s="43">
        <f>IF($CU43&gt;=RAM,"",IF($CU43-EB$103&lt;BeginnAlter,"",ROUND((SUM(CW43:CW$56)+SUM(FO$9:FO$56))/VLOOKUP($CU43,$AH$9:$AI$102,2)/VLOOKUP($CU43-EB$103,Frauen!$G$9:$J$102,4),Rundäx)))</f>
        <v>3.2410000000000001</v>
      </c>
      <c r="EC43" s="43">
        <f>IF($CU43&gt;=RAM,"",IF($CU43-EC$103&lt;BeginnAlter,"",ROUND((SUM(CX43:CX$56)+SUM(FP$9:FP$56))/VLOOKUP($CU43,$AH$9:$AI$102,2)/VLOOKUP($CU43-EC$103,Frauen!$G$9:$J$102,4),Rundäx)))</f>
        <v>3.4409999999999998</v>
      </c>
      <c r="ED43" s="43">
        <f>IF($CU43&gt;=RAM,"",IF($CU43-ED$103&lt;BeginnAlter,"",ROUND((SUM(CY43:CY$56)+SUM(FQ$9:FQ$56))/VLOOKUP($CU43,$AH$9:$AI$102,2)/VLOOKUP($CU43-ED$103,Frauen!$G$9:$J$102,4),Rundäx)))</f>
        <v>3.6480000000000001</v>
      </c>
      <c r="EE43" s="43">
        <f>IF($CU43&gt;=RAM,"",IF($CU43-EE$103&lt;BeginnAlter,"",ROUND((SUM(CZ43:CZ$56)+SUM(FR$9:FR$56))/VLOOKUP($CU43,$AH$9:$AI$102,2)/VLOOKUP($CU43-EE$103,Frauen!$G$9:$J$102,4),Rundäx)))</f>
        <v>3.8620000000000001</v>
      </c>
      <c r="EF43" s="43">
        <f>IF($CU43&gt;=RAM,"",IF($CU43-EF$103&lt;BeginnAlter,"",ROUND((SUM(DA43:DA$56)+SUM(FS$9:FS$56))/VLOOKUP($CU43,$AH$9:$AI$102,2)/VLOOKUP($CU43-EF$103,Frauen!$G$9:$J$102,4),Rundäx)))</f>
        <v>4.0830000000000002</v>
      </c>
      <c r="EG43" s="43">
        <f>IF($CU43&gt;=RAM,"",IF($CU43-EG$103&lt;BeginnAlter,"",ROUND((SUM(DB43:DB$56)+SUM(FT$9:FT$56))/VLOOKUP($CU43,$AH$9:$AI$102,2)/VLOOKUP($CU43-EG$103,Frauen!$G$9:$J$102,4),Rundäx)))</f>
        <v>4.3120000000000003</v>
      </c>
      <c r="EH43" s="43">
        <f>IF($CU43&gt;=RAM,"",IF($CU43-EH$103&lt;BeginnAlter,"",ROUND((SUM(DC43:DC$56)+SUM(FU$9:FU$56))/VLOOKUP($CU43,$AH$9:$AI$102,2)/VLOOKUP($CU43-EH$103,Frauen!$G$9:$J$102,4),Rundäx)))</f>
        <v>4.548</v>
      </c>
      <c r="EI43" s="86"/>
      <c r="EJ43" s="35">
        <f t="shared" si="60"/>
        <v>51</v>
      </c>
      <c r="EK43" s="43">
        <f>IF($CU43&gt;=RAM,"",IF($CU43-EK$103&lt;BeginnAlter,"",ROUND((SUM(DD43:DD$56)+SUM(FV$9:FV$56))/VLOOKUP($CU43,$AH$9:$AI$102,2)/VLOOKUP($CU43-EK$103,Frauen!$G$9:$J$102,4),Rundäx)))</f>
        <v>4.7910000000000004</v>
      </c>
      <c r="EL43" s="43">
        <f>IF($CU43&gt;=RAM,"",IF($CU43-EL$103&lt;BeginnAlter,"",ROUND((SUM(DE43:DE$56)+SUM(FW$9:FW$56))/VLOOKUP($CU43,$AH$9:$AI$102,2)/VLOOKUP($CU43-EL$103,Frauen!$G$9:$J$102,4),Rundäx)))</f>
        <v>5.0419999999999998</v>
      </c>
      <c r="EM43" s="43">
        <f>IF($CU43&gt;=RAM,"",IF($CU43-EM$103&lt;BeginnAlter,"",ROUND((SUM(DF43:DF$56)+SUM(FX$9:FX$56))/VLOOKUP($CU43,$AH$9:$AI$102,2)/VLOOKUP($CU43-EM$103,Frauen!$G$9:$J$102,4),Rundäx)))</f>
        <v>5.3</v>
      </c>
      <c r="EN43" s="43">
        <f>IF($CU43&gt;=RAM,"",IF($CU43-EN$103&lt;BeginnAlter,"",ROUND((SUM(DG43:DG$56)+SUM(FY$9:FY$56))/VLOOKUP($CU43,$AH$9:$AI$102,2)/VLOOKUP($CU43-EN$103,Frauen!$G$9:$J$102,4),Rundäx)))</f>
        <v>5.5640000000000001</v>
      </c>
      <c r="EO43" s="43">
        <f>IF($CU43&gt;=RAM,"",IF($CU43-EO$103&lt;BeginnAlter,"",ROUND((SUM(DH43:DH$56)+SUM(FZ$9:FZ$56))/VLOOKUP($CU43,$AH$9:$AI$102,2)/VLOOKUP($CU43-EO$103,Frauen!$G$9:$J$102,4),Rundäx)))</f>
        <v>5.8339999999999996</v>
      </c>
      <c r="EP43" s="43">
        <f>IF($CU43&gt;=RAM,"",IF($CU43-EP$103&lt;BeginnAlter,"",ROUND((SUM(DI43:DI$56)+SUM(GA$9:GA$56))/VLOOKUP($CU43,$AH$9:$AI$102,2)/VLOOKUP($CU43-EP$103,Frauen!$G$9:$J$102,4),Rundäx)))</f>
        <v>6.11</v>
      </c>
      <c r="EQ43" s="43">
        <f>IF($CU43&gt;=RAM,"",IF($CU43-EQ$103&lt;BeginnAlter,"",ROUND((SUM(DJ43:DJ$56)+SUM(GB$9:GB$56))/VLOOKUP($CU43,$AH$9:$AI$102,2)/VLOOKUP($CU43-EQ$103,Frauen!$G$9:$J$102,4),Rundäx)))</f>
        <v>6.3929999999999998</v>
      </c>
      <c r="ER43" s="43">
        <f>IF($CU43&gt;=RAM,"",IF($CU43-ER$103&lt;BeginnAlter,"",ROUND((SUM(DK43:DK$56)+SUM(GC$9:GC$56))/VLOOKUP($CU43,$AH$9:$AI$102,2)/VLOOKUP($CU43-ER$103,Frauen!$G$9:$J$102,4),Rundäx)))</f>
        <v>6.68</v>
      </c>
      <c r="ES43" s="86"/>
      <c r="ET43" s="35">
        <f t="shared" si="61"/>
        <v>51</v>
      </c>
      <c r="EU43" s="43">
        <f>IF($CU43&gt;=RAM,"",IF($CU43-EU$103&lt;BeginnAlter,"",ROUND((SUM(DL43:DL$56)+SUM(GD$9:GD$56))/VLOOKUP($CU43,$AH$9:$AI$102,2)/VLOOKUP($CU43-EU$103,Frauen!$G$9:$J$102,4),Rundäx)))</f>
        <v>6.9720000000000004</v>
      </c>
      <c r="EV43" s="43">
        <f>IF($CU43&gt;=RAM,"",IF($CU43-EV$103&lt;BeginnAlter,"",ROUND((SUM(DM43:DM$56)+SUM(GE$9:GE$56))/VLOOKUP($CU43,$AH$9:$AI$102,2)/VLOOKUP($CU43-EV$103,Frauen!$G$9:$J$102,4),Rundäx)))</f>
        <v>7.2690000000000001</v>
      </c>
      <c r="EW43" s="43">
        <f>IF($CU43&gt;=RAM,"",IF($CU43-EW$103&lt;BeginnAlter,"",ROUND((SUM(DN43:DN$56)+SUM(GF$9:GF$56))/VLOOKUP($CU43,$AH$9:$AI$102,2)/VLOOKUP($CU43-EW$103,Frauen!$G$9:$J$102,4),Rundäx)))</f>
        <v>7.569</v>
      </c>
      <c r="EX43" s="43">
        <f>IF($CU43&gt;=RAM,"",IF($CU43-EX$103&lt;BeginnAlter,"",ROUND((SUM(DO43:DO$56)+SUM(GG$9:GG$56))/VLOOKUP($CU43,$AH$9:$AI$102,2)/VLOOKUP($CU43-EX$103,Frauen!$G$9:$J$102,4),Rundäx)))</f>
        <v>7.8719999999999999</v>
      </c>
      <c r="EY43" s="43">
        <f>IF($CU43&gt;=RAM,"",IF($CU43-EY$103&lt;BeginnAlter,"",ROUND((SUM(DP43:DP$56)+SUM(GH$9:GH$56))/VLOOKUP($CU43,$AH$9:$AI$102,2)/VLOOKUP($CU43-EY$103,Frauen!$G$9:$J$102,4),Rundäx)))</f>
        <v>8.1790000000000003</v>
      </c>
      <c r="EZ43" s="43">
        <f>IF($CU43&gt;=RAM,"",IF($CU43-EZ$103&lt;BeginnAlter,"",ROUND((SUM(DQ43:DQ$56)+SUM(GI$9:GI$56))/VLOOKUP($CU43,$AH$9:$AI$102,2)/VLOOKUP($CU43-EZ$103,Frauen!$G$9:$J$102,4),Rundäx)))</f>
        <v>8.4870000000000001</v>
      </c>
      <c r="FA43" s="43">
        <f>IF($CU43&gt;=RAM,"",IF($CU43-FA$103&lt;BeginnAlter,"",ROUND((SUM(DR43:DR$56)+SUM(GJ$9:GJ$56))/VLOOKUP($CU43,$AH$9:$AI$102,2)/VLOOKUP($CU43-FA$103,Frauen!$G$9:$J$102,4),Rundäx)))</f>
        <v>8.7970000000000006</v>
      </c>
      <c r="FB43" s="43">
        <f>IF($CU43&gt;=RAM,"",IF($CU43-FB$103&lt;BeginnAlter,"",ROUND((SUM(DS43:DS$56)+SUM(GK$9:GK$56))/VLOOKUP($CU43,$AH$9:$AI$102,2)/VLOOKUP($CU43-FB$103,Frauen!$G$9:$J$102,4),Rundäx)))</f>
        <v>9.1080000000000005</v>
      </c>
      <c r="FC43" s="86"/>
      <c r="FD43" s="35">
        <f t="shared" si="62"/>
        <v>51</v>
      </c>
      <c r="FE43" s="43">
        <f>IF($CU43&gt;=RAM,"",IF($CU43-FE$103&lt;BeginnAlter,"",ROUND((SUM(DT43:DT$56)+SUM(GL$9:GL$56))/VLOOKUP($CU43,$AH$9:$AI$102,2)/VLOOKUP($CU43-FE$103,Frauen!$G$9:$J$102,4),Rundäx)))</f>
        <v>9.4190000000000005</v>
      </c>
      <c r="FF43" s="43">
        <f>IF($CU43&gt;=RAM,"",IF($CU43-FF$103&lt;BeginnAlter,"",ROUND((SUM(DU43:DU$56)+SUM(GM$9:GM$56))/VLOOKUP($CU43,$AH$9:$AI$102,2)/VLOOKUP($CU43-FF$103,Frauen!$G$9:$J$102,4),Rundäx)))</f>
        <v>9.73</v>
      </c>
      <c r="FG43" s="43">
        <f>IF($CU43&gt;=RAM,"",IF($CU43-FG$103&lt;BeginnAlter,"",ROUND((SUM(DV43:DV$56)+SUM(GN$9:GN$56))/VLOOKUP($CU43,$AH$9:$AI$102,2)/VLOOKUP($CU43-FG$103,Frauen!$G$9:$J$102,4),Rundäx)))</f>
        <v>10.039999999999999</v>
      </c>
      <c r="FH43" s="43">
        <f>IF($CU43&gt;=RAM,"",IF($CU43-FH$103&lt;BeginnAlter,"",ROUND((SUM(DW43:DW$56)+SUM(GO$9:GO$56))/VLOOKUP($CU43,$AH$9:$AI$102,2)/VLOOKUP($CU43-FH$103,Frauen!$G$9:$J$102,4),Rundäx)))</f>
        <v>10.349</v>
      </c>
      <c r="FI43" s="43">
        <f>IF($CU43&gt;=RAM,"",IF($CU43-FI$103&lt;BeginnAlter,"",ROUND((SUM(DX43:DX$56)+SUM(GP$9:GP$56))/VLOOKUP($CU43,$AH$9:$AI$102,2)/VLOOKUP($CU43-FI$103,Frauen!$G$9:$J$102,4),Rundäx)))</f>
        <v>10.657</v>
      </c>
      <c r="FJ43" s="43">
        <f>IF($CU43&gt;=RAM,"",IF($CU43-FJ$103&lt;BeginnAlter,"",ROUND((SUM(DY43:DY$56)+SUM(GQ$9:GQ$56))/VLOOKUP($CU43,$AH$9:$AI$102,2)/VLOOKUP($CU43-FJ$103,Frauen!$G$9:$J$102,4),Rundäx)))</f>
        <v>10.962999999999999</v>
      </c>
      <c r="FK43" s="43">
        <f>IF($CU43&gt;=RAM,"",IF($CU43-FK$103&lt;BeginnAlter,"",ROUND((SUM(DZ43:DZ$56)+SUM(GR$9:GR$56))/VLOOKUP($CU43,$AH$9:$AI$102,2)/VLOOKUP($CU43-FK$103,Frauen!$G$9:$J$102,4),Rundäx)))</f>
        <v>11.266</v>
      </c>
      <c r="FL43" s="86"/>
      <c r="FM43" s="35">
        <f t="shared" si="68"/>
        <v>99</v>
      </c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>
        <f>ROUND(v^($FM43+FaktorAlter)*VLOOKUP($FM43,$G$9:$J$102,4)*VLOOKUP($FM43,$A$9:$E$102,5)*0.5*(VLOOKUP($FM43-FY$103,Frauen!$G$9:$J$102,4)+VLOOKUP($FM43-FY$103+1,Frauen!$G$9:$J$102,4))*0.5*(VLOOKUP($FM43-FY$103,Frauen!$AZ$9:$BD$102,5)+VLOOKUP($FM43-FY$103+1,Frauen!$AZ$9:$BD$102,5)),RundDx)</f>
        <v>2411</v>
      </c>
      <c r="FZ43" s="25">
        <f>ROUND(v^($FM43+FaktorAlter)*VLOOKUP($FM43,$G$9:$J$102,4)*VLOOKUP($FM43,$A$9:$E$102,5)*0.5*(VLOOKUP($FM43-FZ$103,Frauen!$G$9:$J$102,4)+VLOOKUP($FM43-FZ$103+1,Frauen!$G$9:$J$102,4))*0.5*(VLOOKUP($FM43-FZ$103,Frauen!$AZ$9:$BD$102,5)+VLOOKUP($FM43-FZ$103+1,Frauen!$AZ$9:$BD$102,5)),RundDx)</f>
        <v>9082</v>
      </c>
      <c r="GA43" s="25">
        <f>ROUND(v^($FM43+FaktorAlter)*VLOOKUP($FM43,$G$9:$J$102,4)*VLOOKUP($FM43,$A$9:$E$102,5)*0.5*(VLOOKUP($FM43-GA$103,Frauen!$G$9:$J$102,4)+VLOOKUP($FM43-GA$103+1,Frauen!$G$9:$J$102,4))*0.5*(VLOOKUP($FM43-GA$103,Frauen!$AZ$9:$BD$102,5)+VLOOKUP($FM43-GA$103+1,Frauen!$AZ$9:$BD$102,5)),RundDx)</f>
        <v>23769</v>
      </c>
      <c r="GB43" s="25">
        <f>ROUND(v^($FM43+FaktorAlter)*VLOOKUP($FM43,$G$9:$J$102,4)*VLOOKUP($FM43,$A$9:$E$102,5)*0.5*(VLOOKUP($FM43-GB$103,Frauen!$G$9:$J$102,4)+VLOOKUP($FM43-GB$103+1,Frauen!$G$9:$J$102,4))*0.5*(VLOOKUP($FM43-GB$103,Frauen!$AZ$9:$BD$102,5)+VLOOKUP($FM43-GB$103+1,Frauen!$AZ$9:$BD$102,5)),RundDx)</f>
        <v>52225</v>
      </c>
      <c r="GC43" s="25">
        <f>ROUND(v^($FM43+FaktorAlter)*VLOOKUP($FM43,$G$9:$J$102,4)*VLOOKUP($FM43,$A$9:$E$102,5)*0.5*(VLOOKUP($FM43-GC$103,Frauen!$G$9:$J$102,4)+VLOOKUP($FM43-GC$103+1,Frauen!$G$9:$J$102,4))*0.5*(VLOOKUP($FM43-GC$103,Frauen!$AZ$9:$BD$102,5)+VLOOKUP($FM43-GC$103+1,Frauen!$AZ$9:$BD$102,5)),RundDx)</f>
        <v>101239</v>
      </c>
      <c r="GD43" s="25">
        <f>ROUND(v^($FM43+FaktorAlter)*VLOOKUP($FM43,$G$9:$J$102,4)*VLOOKUP($FM43,$A$9:$E$102,5)*0.5*(VLOOKUP($FM43-GD$103,Frauen!$G$9:$J$102,4)+VLOOKUP($FM43-GD$103+1,Frauen!$G$9:$J$102,4))*0.5*(VLOOKUP($FM43-GD$103,Frauen!$AZ$9:$BD$102,5)+VLOOKUP($FM43-GD$103+1,Frauen!$AZ$9:$BD$102,5)),RundDx)</f>
        <v>180514</v>
      </c>
      <c r="GE43" s="25">
        <f>ROUND(v^($FM43+FaktorAlter)*VLOOKUP($FM43,$G$9:$J$102,4)*VLOOKUP($FM43,$A$9:$E$102,5)*0.5*(VLOOKUP($FM43-GE$103,Frauen!$G$9:$J$102,4)+VLOOKUP($FM43-GE$103+1,Frauen!$G$9:$J$102,4))*0.5*(VLOOKUP($FM43-GE$103,Frauen!$AZ$9:$BD$102,5)+VLOOKUP($FM43-GE$103+1,Frauen!$AZ$9:$BD$102,5)),RundDx)</f>
        <v>300688</v>
      </c>
      <c r="GF43" s="25">
        <f>ROUND(v^($FM43+FaktorAlter)*VLOOKUP($FM43,$G$9:$J$102,4)*VLOOKUP($FM43,$A$9:$E$102,5)*0.5*(VLOOKUP($FM43-GF$103,Frauen!$G$9:$J$102,4)+VLOOKUP($FM43-GF$103+1,Frauen!$G$9:$J$102,4))*0.5*(VLOOKUP($FM43-GF$103,Frauen!$AZ$9:$BD$102,5)+VLOOKUP($FM43-GF$103+1,Frauen!$AZ$9:$BD$102,5)),RundDx)</f>
        <v>475254</v>
      </c>
      <c r="GG43" s="25">
        <f>ROUND(v^($FM43+FaktorAlter)*VLOOKUP($FM43,$G$9:$J$102,4)*VLOOKUP($FM43,$A$9:$E$102,5)*0.5*(VLOOKUP($FM43-GG$103,Frauen!$G$9:$J$102,4)+VLOOKUP($FM43-GG$103+1,Frauen!$G$9:$J$102,4))*0.5*(VLOOKUP($FM43-GG$103,Frauen!$AZ$9:$BD$102,5)+VLOOKUP($FM43-GG$103+1,Frauen!$AZ$9:$BD$102,5)),RundDx)</f>
        <v>719577</v>
      </c>
      <c r="GH43" s="25">
        <f>ROUND(v^($FM43+FaktorAlter)*VLOOKUP($FM43,$G$9:$J$102,4)*VLOOKUP($FM43,$A$9:$E$102,5)*0.5*(VLOOKUP($FM43-GH$103,Frauen!$G$9:$J$102,4)+VLOOKUP($FM43-GH$103+1,Frauen!$G$9:$J$102,4))*0.5*(VLOOKUP($FM43-GH$103,Frauen!$AZ$9:$BD$102,5)+VLOOKUP($FM43-GH$103+1,Frauen!$AZ$9:$BD$102,5)),RundDx)</f>
        <v>1050210</v>
      </c>
      <c r="GI43" s="25">
        <f>ROUND(v^($FM43+FaktorAlter)*VLOOKUP($FM43,$G$9:$J$102,4)*VLOOKUP($FM43,$A$9:$E$102,5)*0.5*(VLOOKUP($FM43-GI$103,Frauen!$G$9:$J$102,4)+VLOOKUP($FM43-GI$103+1,Frauen!$G$9:$J$102,4))*0.5*(VLOOKUP($FM43-GI$103,Frauen!$AZ$9:$BD$102,5)+VLOOKUP($FM43-GI$103+1,Frauen!$AZ$9:$BD$102,5)),RundDx)</f>
        <v>1483942</v>
      </c>
      <c r="GJ43" s="25">
        <f>ROUND(v^($FM43+FaktorAlter)*VLOOKUP($FM43,$G$9:$J$102,4)*VLOOKUP($FM43,$A$9:$E$102,5)*0.5*(VLOOKUP($FM43-GJ$103,Frauen!$G$9:$J$102,4)+VLOOKUP($FM43-GJ$103+1,Frauen!$G$9:$J$102,4))*0.5*(VLOOKUP($FM43-GJ$103,Frauen!$AZ$9:$BD$102,5)+VLOOKUP($FM43-GJ$103+1,Frauen!$AZ$9:$BD$102,5)),RundDx)</f>
        <v>2039637</v>
      </c>
      <c r="GK43" s="25">
        <f>ROUND(v^($FM43+FaktorAlter)*VLOOKUP($FM43,$G$9:$J$102,4)*VLOOKUP($FM43,$A$9:$E$102,5)*0.5*(VLOOKUP($FM43-GK$103,Frauen!$G$9:$J$102,4)+VLOOKUP($FM43-GK$103+1,Frauen!$G$9:$J$102,4))*0.5*(VLOOKUP($FM43-GK$103,Frauen!$AZ$9:$BD$102,5)+VLOOKUP($FM43-GK$103+1,Frauen!$AZ$9:$BD$102,5)),RundDx)</f>
        <v>2728637</v>
      </c>
      <c r="GL43" s="25">
        <f>ROUND(v^($FM43+FaktorAlter)*VLOOKUP($FM43,$G$9:$J$102,4)*VLOOKUP($FM43,$A$9:$E$102,5)*0.5*(VLOOKUP($FM43-GL$103,Frauen!$G$9:$J$102,4)+VLOOKUP($FM43-GL$103+1,Frauen!$G$9:$J$102,4))*0.5*(VLOOKUP($FM43-GL$103,Frauen!$AZ$9:$BD$102,5)+VLOOKUP($FM43-GL$103+1,Frauen!$AZ$9:$BD$102,5)),RundDx)</f>
        <v>3552286</v>
      </c>
      <c r="GM43" s="25">
        <f>ROUND(v^($FM43+FaktorAlter)*VLOOKUP($FM43,$G$9:$J$102,4)*VLOOKUP($FM43,$A$9:$E$102,5)*0.5*(VLOOKUP($FM43-GM$103,Frauen!$G$9:$J$102,4)+VLOOKUP($FM43-GM$103+1,Frauen!$G$9:$J$102,4))*0.5*(VLOOKUP($FM43-GM$103,Frauen!$AZ$9:$BD$102,5)+VLOOKUP($FM43-GM$103+1,Frauen!$AZ$9:$BD$102,5)),RundDx)</f>
        <v>4517650</v>
      </c>
      <c r="GN43" s="25">
        <f>ROUND(v^($FM43+FaktorAlter)*VLOOKUP($FM43,$G$9:$J$102,4)*VLOOKUP($FM43,$A$9:$E$102,5)*0.5*(VLOOKUP($FM43-GN$103,Frauen!$G$9:$J$102,4)+VLOOKUP($FM43-GN$103+1,Frauen!$G$9:$J$102,4))*0.5*(VLOOKUP($FM43-GN$103,Frauen!$AZ$9:$BD$102,5)+VLOOKUP($FM43-GN$103+1,Frauen!$AZ$9:$BD$102,5)),RundDx)</f>
        <v>5625966</v>
      </c>
      <c r="GO43" s="25">
        <f>ROUND(v^($FM43+FaktorAlter)*VLOOKUP($FM43,$G$9:$J$102,4)*VLOOKUP($FM43,$A$9:$E$102,5)*0.5*(VLOOKUP($FM43-GO$103,Frauen!$G$9:$J$102,4)+VLOOKUP($FM43-GO$103+1,Frauen!$G$9:$J$102,4))*0.5*(VLOOKUP($FM43-GO$103,Frauen!$AZ$9:$BD$102,5)+VLOOKUP($FM43-GO$103+1,Frauen!$AZ$9:$BD$102,5)),RundDx)</f>
        <v>6873813</v>
      </c>
      <c r="GP43" s="25">
        <f>ROUND(v^($FM43+FaktorAlter)*VLOOKUP($FM43,$G$9:$J$102,4)*VLOOKUP($FM43,$A$9:$E$102,5)*0.5*(VLOOKUP($FM43-GP$103,Frauen!$G$9:$J$102,4)+VLOOKUP($FM43-GP$103+1,Frauen!$G$9:$J$102,4))*0.5*(VLOOKUP($FM43-GP$103,Frauen!$AZ$9:$BD$102,5)+VLOOKUP($FM43-GP$103+1,Frauen!$AZ$9:$BD$102,5)),RundDx)</f>
        <v>8254840</v>
      </c>
      <c r="GQ43" s="25">
        <f>ROUND(v^($FM43+FaktorAlter)*VLOOKUP($FM43,$G$9:$J$102,4)*VLOOKUP($FM43,$A$9:$E$102,5)*0.5*(VLOOKUP($FM43-GQ$103,Frauen!$G$9:$J$102,4)+VLOOKUP($FM43-GQ$103+1,Frauen!$G$9:$J$102,4))*0.5*(VLOOKUP($FM43-GQ$103,Frauen!$AZ$9:$BD$102,5)+VLOOKUP($FM43-GQ$103+1,Frauen!$AZ$9:$BD$102,5)),RundDx)</f>
        <v>9755796</v>
      </c>
      <c r="GR43" s="25">
        <f>ROUND(v^($FM43+FaktorAlter)*VLOOKUP($FM43,$G$9:$J$102,4)*VLOOKUP($FM43,$A$9:$E$102,5)*0.5*(VLOOKUP($FM43-GR$103,Frauen!$G$9:$J$102,4)+VLOOKUP($FM43-GR$103+1,Frauen!$G$9:$J$102,4))*0.5*(VLOOKUP($FM43-GR$103,Frauen!$AZ$9:$BD$102,5)+VLOOKUP($FM43-GR$103+1,Frauen!$AZ$9:$BD$102,5)),RundDx)</f>
        <v>11360773</v>
      </c>
      <c r="GS43" s="24"/>
      <c r="GT43" s="24"/>
      <c r="GU43" s="24"/>
      <c r="GV43" s="24"/>
      <c r="GW43" s="24"/>
      <c r="GX43" s="24"/>
      <c r="GY43" s="24"/>
      <c r="GZ43" s="24"/>
      <c r="HA43" s="86"/>
      <c r="HB43" s="35">
        <f t="shared" si="63"/>
        <v>99</v>
      </c>
      <c r="HC43" s="24"/>
      <c r="HD43" s="24"/>
      <c r="HE43" s="24"/>
      <c r="HF43" s="24">
        <f>ROUND(SUM(FY43:FY$56)/VLOOKUP($FM43,$AQ$9:$AR$102,2)/VLOOKUP($FM43-HF$103,Frauen!$G$9:$J$102,4),Rundäx)</f>
        <v>0.251</v>
      </c>
      <c r="HG43" s="24">
        <f>ROUND(SUM(FZ43:FZ$56)/VLOOKUP($FM43,$AQ$9:$AR$102,2)/VLOOKUP($FM43-HG$103,Frauen!$G$9:$J$102,4),Rundäx)</f>
        <v>0.42399999999999999</v>
      </c>
      <c r="HH43" s="24">
        <f>ROUND(SUM(GA43:GA$56)/VLOOKUP($FM43,$AQ$9:$AR$102,2)/VLOOKUP($FM43-HH$103,Frauen!$G$9:$J$102,4),Rundäx)</f>
        <v>0.56899999999999995</v>
      </c>
      <c r="HI43" s="24">
        <f>ROUND(SUM(GB43:GB$56)/VLOOKUP($FM43,$AQ$9:$AR$102,2)/VLOOKUP($FM43-HI$103,Frauen!$G$9:$J$102,4),Rundäx)</f>
        <v>0.71399999999999997</v>
      </c>
      <c r="HJ43" s="24">
        <f>ROUND(SUM(GC43:GC$56)/VLOOKUP($FM43,$AQ$9:$AR$102,2)/VLOOKUP($FM43-HJ$103,Frauen!$G$9:$J$102,4),Rundäx)</f>
        <v>0.86399999999999999</v>
      </c>
      <c r="HK43" s="86"/>
      <c r="HL43" s="35">
        <f t="shared" si="64"/>
        <v>99</v>
      </c>
      <c r="HM43" s="24">
        <f>ROUND(SUM(GD43:GD$56)/VLOOKUP($FM43,$AQ$9:$AR$102,2)/VLOOKUP($FM43-HM$103,Frauen!$G$9:$J$102,4),Rundäx)</f>
        <v>1.0269999999999999</v>
      </c>
      <c r="HN43" s="24">
        <f>ROUND(SUM(GE43:GE$56)/VLOOKUP($FM43,$AQ$9:$AR$102,2)/VLOOKUP($FM43-HN$103,Frauen!$G$9:$J$102,4),Rundäx)</f>
        <v>1.204</v>
      </c>
      <c r="HO43" s="24">
        <f>ROUND(SUM(GF43:GF$56)/VLOOKUP($FM43,$AQ$9:$AR$102,2)/VLOOKUP($FM43-HO$103,Frauen!$G$9:$J$102,4),Rundäx)</f>
        <v>1.3959999999999999</v>
      </c>
      <c r="HP43" s="24">
        <f>ROUND(SUM(GG43:GG$56)/VLOOKUP($FM43,$AQ$9:$AR$102,2)/VLOOKUP($FM43-HP$103,Frauen!$G$9:$J$102,4),Rundäx)</f>
        <v>1.6060000000000001</v>
      </c>
      <c r="HQ43" s="24">
        <f>ROUND(SUM(GH43:GH$56)/VLOOKUP($FM43,$AQ$9:$AR$102,2)/VLOOKUP($FM43-HQ$103,Frauen!$G$9:$J$102,4),Rundäx)</f>
        <v>1.8360000000000001</v>
      </c>
      <c r="HR43" s="24">
        <f>ROUND(SUM(GI43:GI$56)/VLOOKUP($FM43,$AQ$9:$AR$102,2)/VLOOKUP($FM43-HR$103,Frauen!$G$9:$J$102,4),Rundäx)</f>
        <v>2.0859999999999999</v>
      </c>
      <c r="HS43" s="24">
        <f>ROUND(SUM(GJ43:GJ$56)/VLOOKUP($FM43,$AQ$9:$AR$102,2)/VLOOKUP($FM43-HS$103,Frauen!$G$9:$J$102,4),Rundäx)</f>
        <v>2.359</v>
      </c>
      <c r="HT43" s="24">
        <f>ROUND(SUM(GK43:GK$56)/VLOOKUP($FM43,$AQ$9:$AR$102,2)/VLOOKUP($FM43-HT$103,Frauen!$G$9:$J$102,4),Rundäx)</f>
        <v>2.6539999999999999</v>
      </c>
      <c r="HU43" s="86"/>
      <c r="HV43" s="35">
        <f t="shared" si="65"/>
        <v>99</v>
      </c>
      <c r="HW43" s="24">
        <f>ROUND(SUM(GL43:GL$56)/VLOOKUP($FM43,$AQ$9:$AR$102,2)/VLOOKUP($FM43-HW$103,Frauen!$G$9:$J$102,4),Rundäx)</f>
        <v>2.9670000000000001</v>
      </c>
      <c r="HX43" s="24">
        <f>ROUND(SUM(GM43:GM$56)/VLOOKUP($FM43,$AQ$9:$AR$102,2)/VLOOKUP($FM43-HX$103,Frauen!$G$9:$J$102,4),Rundäx)</f>
        <v>3.2970000000000002</v>
      </c>
      <c r="HY43" s="24">
        <f>ROUND(SUM(GN43:GN$56)/VLOOKUP($FM43,$AQ$9:$AR$102,2)/VLOOKUP($FM43-HY$103,Frauen!$G$9:$J$102,4),Rundäx)</f>
        <v>3.6459999999999999</v>
      </c>
      <c r="HZ43" s="24">
        <f>ROUND(SUM(GO43:GO$56)/VLOOKUP($FM43,$AQ$9:$AR$102,2)/VLOOKUP($FM43-HZ$103,Frauen!$G$9:$J$102,4),Rundäx)</f>
        <v>4.0170000000000003</v>
      </c>
      <c r="IA43" s="24">
        <f>ROUND(SUM(GP43:GP$56)/VLOOKUP($FM43,$AQ$9:$AR$102,2)/VLOOKUP($FM43-IA$103,Frauen!$G$9:$J$102,4),Rundäx)</f>
        <v>4.41</v>
      </c>
      <c r="IB43" s="24">
        <f>ROUND(SUM(GQ43:GQ$56)/VLOOKUP($FM43,$AQ$9:$AR$102,2)/VLOOKUP($FM43-IB$103,Frauen!$G$9:$J$102,4),Rundäx)</f>
        <v>4.8280000000000003</v>
      </c>
      <c r="IC43" s="24">
        <f>ROUND(SUM(GR43:GR$56)/VLOOKUP($FM43,$AQ$9:$AR$102,2)/VLOOKUP($FM43-IC$103,Frauen!$G$9:$J$102,4),Rundäx)</f>
        <v>5.2679999999999998</v>
      </c>
      <c r="ID43" s="89"/>
      <c r="IE43" s="35">
        <f t="shared" si="66"/>
        <v>51</v>
      </c>
      <c r="IF43" s="25">
        <f t="shared" si="31"/>
        <v>317</v>
      </c>
      <c r="IG43" s="25">
        <f>IF($IE43&lt;RAM,IF(S44&lt;=RAK,ROUND(SUM(IF43:INDEX(Dakx,RAM-BeginnAlter))+INDEX(Dax,RAM-BeginnAlter+1)*INDEX(äkx,1),RundDx),0),"")</f>
        <v>1813</v>
      </c>
      <c r="IH43" s="25">
        <f>IF($IE43&lt;RAM,IF(S44&lt;=RAK,ROUND(SUM(IG43:INDEX(Nakx,RAM-BeginnAlter))+INDEX(Dax,RAM-BeginnAlter+1)*INDEX(äkx,1),RundDx),0),"")</f>
        <v>9152</v>
      </c>
      <c r="II43" s="24">
        <f t="shared" si="32"/>
        <v>6.0999999999999999E-2</v>
      </c>
      <c r="IJ43" s="25">
        <f t="shared" si="33"/>
        <v>3174</v>
      </c>
      <c r="IK43" s="25">
        <f>IF($IE43&lt;RAM,IF(S44&lt;=RAK,SUM(IJ43:INDEX(Dikx,RAM-BeginnAlter))+INDEX(Dix,RAM-BeginnAlter+1)*INDEX(äkx,1),0),"")</f>
        <v>12361.832</v>
      </c>
      <c r="IL43" s="24">
        <f t="shared" si="34"/>
        <v>0.32400000000000001</v>
      </c>
      <c r="IM43" s="86"/>
      <c r="IN43" s="35">
        <f t="shared" si="67"/>
        <v>99</v>
      </c>
      <c r="IO43" s="25"/>
      <c r="IP43" s="25"/>
      <c r="IQ43" s="24"/>
      <c r="IR43" s="86"/>
    </row>
    <row r="44" spans="1:252" ht="15.75" customHeight="1" x14ac:dyDescent="0.25">
      <c r="A44" s="35">
        <f t="shared" si="41"/>
        <v>52</v>
      </c>
      <c r="B44" s="77">
        <v>2.4707006060251512E-3</v>
      </c>
      <c r="C44" s="77">
        <v>6.5506332051306054E-3</v>
      </c>
      <c r="D44" s="77">
        <v>2.0713874257027767E-2</v>
      </c>
      <c r="E44" s="77">
        <v>3.3264163338512232E-3</v>
      </c>
      <c r="F44" s="86"/>
      <c r="G44" s="35">
        <f t="shared" si="42"/>
        <v>52</v>
      </c>
      <c r="H44" s="25">
        <f t="shared" si="37"/>
        <v>91775</v>
      </c>
      <c r="I44" s="25">
        <f t="shared" si="38"/>
        <v>4124</v>
      </c>
      <c r="J44" s="25">
        <f t="shared" si="39"/>
        <v>95899</v>
      </c>
      <c r="K44" s="30">
        <f>IF(J44&gt;0,ROUND(SUM(J44:J$102)/J44-0.5,Rundex),"")</f>
        <v>28.47</v>
      </c>
      <c r="L44" s="25">
        <f t="shared" si="0"/>
        <v>116271</v>
      </c>
      <c r="M44" s="30">
        <f>IF(L44&gt;0,ROUND(SUM(L44:L$102)/L44-0.5,Rundex),"")</f>
        <v>24.47</v>
      </c>
      <c r="N44" s="86"/>
      <c r="O44" s="35">
        <f t="shared" si="43"/>
        <v>52</v>
      </c>
      <c r="P44" s="43">
        <v>0.78482826067125955</v>
      </c>
      <c r="Q44" s="78">
        <v>49.621010660223192</v>
      </c>
      <c r="R44" s="43">
        <v>0.43542637022300834</v>
      </c>
      <c r="S44" s="78">
        <v>15.659699540792985</v>
      </c>
      <c r="T44" s="15">
        <v>3.3204596279372556E-3</v>
      </c>
      <c r="U44" s="11">
        <f t="shared" si="40"/>
        <v>95899</v>
      </c>
      <c r="V44" s="30">
        <f>IF(U44&gt;0,ROUND(SUM(U44:U$102)/U44-0.5,Rundex),"")</f>
        <v>26.01</v>
      </c>
      <c r="W44" s="86"/>
      <c r="X44" s="35">
        <f t="shared" si="44"/>
        <v>52</v>
      </c>
      <c r="Y44" s="25">
        <f t="shared" si="1"/>
        <v>28856</v>
      </c>
      <c r="Z44" s="25">
        <f>IF($X44&lt;RAM,SUM(Y44:INDEX(Dax,RAM-BeginnAlter))," ")</f>
        <v>297091</v>
      </c>
      <c r="AA44" s="25">
        <f t="shared" si="2"/>
        <v>71</v>
      </c>
      <c r="AB44" s="25">
        <f>IF($X44&lt;RAM,SUM(AA44:INDEX(Cax,RAM-BeginnAlter))," ")</f>
        <v>1462</v>
      </c>
      <c r="AC44" s="25">
        <f t="shared" si="3"/>
        <v>187</v>
      </c>
      <c r="AD44" s="25">
        <f>IF($X44&lt;RAM,SUM(AC44:INDEX(Caix,RAM-BeginnAlter))," ")</f>
        <v>6161</v>
      </c>
      <c r="AE44" s="24">
        <f t="shared" si="4"/>
        <v>10.295999999999999</v>
      </c>
      <c r="AF44" s="24">
        <f t="shared" si="5"/>
        <v>10.071999999999999</v>
      </c>
      <c r="AG44" s="86"/>
      <c r="AH44" s="35">
        <f t="shared" si="45"/>
        <v>52</v>
      </c>
      <c r="AI44" s="25">
        <f t="shared" si="6"/>
        <v>36558</v>
      </c>
      <c r="AJ44" s="25">
        <f>IF($AH44&gt;RAM," ",IF($AH44&lt;RAM,SUM(AI44:INDEX(Dix,RAM-BeginnAlter))+INDEX(Nx,RAM-BeginnAlter+1),INDEX(Nx,RAM-BeginnAlter+1)))</f>
        <v>667530</v>
      </c>
      <c r="AK44" s="25">
        <f>IF($AH44&lt;RAM,SUM(AI44:INDEX(Dix,RAM-BeginnAlter))," ")</f>
        <v>370283</v>
      </c>
      <c r="AL44" s="24">
        <f t="shared" si="7"/>
        <v>18.259</v>
      </c>
      <c r="AM44" s="24">
        <f t="shared" si="8"/>
        <v>17.800999999999998</v>
      </c>
      <c r="AN44" s="24">
        <f t="shared" si="9"/>
        <v>10.129</v>
      </c>
      <c r="AO44" s="24">
        <f t="shared" si="10"/>
        <v>9.9269999999999996</v>
      </c>
      <c r="AP44" s="86"/>
      <c r="AQ44" s="35">
        <f t="shared" si="46"/>
        <v>52</v>
      </c>
      <c r="AR44" s="25">
        <f t="shared" si="11"/>
        <v>30152</v>
      </c>
      <c r="AS44" s="25">
        <f>SUM(AR44:AR$94)</f>
        <v>631105</v>
      </c>
      <c r="AT44" s="25">
        <f>IF($AQ44&lt;RAM,SUM(AR44:INDEX(Dx,RAM-BeginnAlter))," ")</f>
        <v>333858</v>
      </c>
      <c r="AU44" s="24">
        <f t="shared" si="12"/>
        <v>20.931000000000001</v>
      </c>
      <c r="AV44" s="24">
        <f t="shared" si="13"/>
        <v>20.472000000000001</v>
      </c>
      <c r="AW44" s="24">
        <f t="shared" si="14"/>
        <v>11.071999999999999</v>
      </c>
      <c r="AX44" s="24">
        <f t="shared" si="15"/>
        <v>10.925000000000001</v>
      </c>
      <c r="AY44" s="86"/>
      <c r="AZ44" s="35">
        <f t="shared" si="47"/>
        <v>52</v>
      </c>
      <c r="BA44" s="25">
        <f t="shared" si="16"/>
        <v>30152</v>
      </c>
      <c r="BB44" s="25">
        <f>SUM(BA44:BA$94)</f>
        <v>589054</v>
      </c>
      <c r="BC44" s="24">
        <f t="shared" si="17"/>
        <v>19.536000000000001</v>
      </c>
      <c r="BD44" s="24">
        <f t="shared" si="18"/>
        <v>19.077999999999999</v>
      </c>
      <c r="BE44" s="86"/>
      <c r="BF44" s="35">
        <f t="shared" si="48"/>
        <v>35</v>
      </c>
      <c r="BG44" s="24" t="str">
        <f t="shared" si="19"/>
        <v/>
      </c>
      <c r="BH44" s="24" t="str">
        <f t="shared" si="20"/>
        <v/>
      </c>
      <c r="BI44" s="86"/>
      <c r="BJ44" s="35">
        <f t="shared" si="49"/>
        <v>52</v>
      </c>
      <c r="BK44" s="25">
        <f t="shared" si="21"/>
        <v>3305</v>
      </c>
      <c r="BL44" s="25">
        <f>IF(BJ44&lt;RAM,SUM(BK44:INDEX(Daix,RAM-BeginnAlter))," ")</f>
        <v>96102</v>
      </c>
      <c r="BM44" s="25">
        <f>IF(BJ44&lt;RAM,SUM(BL44:INDEX(Naix,RAM-BeginnAlter))," ")</f>
        <v>799566</v>
      </c>
      <c r="BN44" s="24">
        <f t="shared" si="22"/>
        <v>7.1989999999999998</v>
      </c>
      <c r="BO44" s="24">
        <f t="shared" si="23"/>
        <v>3.33</v>
      </c>
      <c r="BP44" s="86"/>
      <c r="BQ44" s="35">
        <f t="shared" si="50"/>
        <v>52</v>
      </c>
      <c r="BR44" s="25">
        <f t="shared" si="51"/>
        <v>1801</v>
      </c>
      <c r="BS44" s="25">
        <f>IF(BQ44&lt;RAM,SUM(BR44:INDEX(Daixs,RAM-BeginnAlter))," ")</f>
        <v>26203</v>
      </c>
      <c r="BT44" s="25">
        <f>IF(BQ44&lt;RAM,SUM(BS44:INDEX(Naixs,RAM-BeginnAlter))," ")</f>
        <v>167717</v>
      </c>
      <c r="BU44" s="24">
        <f t="shared" si="52"/>
        <v>9.6219999999999999</v>
      </c>
      <c r="BV44" s="24">
        <f t="shared" si="53"/>
        <v>0.90800000000000003</v>
      </c>
      <c r="BW44" s="86"/>
      <c r="BX44" s="35">
        <f t="shared" si="54"/>
        <v>52</v>
      </c>
      <c r="BY44" s="10">
        <f t="shared" si="24"/>
        <v>7.7899311637063402</v>
      </c>
      <c r="BZ44" s="11">
        <f t="shared" si="25"/>
        <v>582</v>
      </c>
      <c r="CA44" s="25">
        <f>IF(S45&lt;=RAK,IF($BX44&lt;RAM,SUM(BZ44:INDEX(Dazx,RAM-BeginnAlter)),""),"")</f>
        <v>3486</v>
      </c>
      <c r="CB44" s="24">
        <f t="shared" si="26"/>
        <v>0.121</v>
      </c>
      <c r="CC44" s="25">
        <f t="shared" si="27"/>
        <v>23211</v>
      </c>
      <c r="CD44" s="24">
        <f t="shared" si="28"/>
        <v>15.851000000000001</v>
      </c>
      <c r="CE44" s="24">
        <f t="shared" si="29"/>
        <v>3.5000000000000003E-2</v>
      </c>
      <c r="CF44" s="86"/>
      <c r="CG44" s="35">
        <f t="shared" si="55"/>
        <v>52</v>
      </c>
      <c r="CH44" s="25">
        <f>IF(CG44&lt;RAM,ROUND(v^($CG44+FaktorAlter)*$H44*($B44*0.5*($P44+$P45)*(VLOOKUP(TRUNC(0.5*($Q44+$Q45),0),Frauen!$AZ$9:$BD$95,5)+(0.5*($Q44+$Q45)-TRUNC(0.5*($Q44+$Q45),0))*(VLOOKUP(TRUNC(0.5*($Q44+$Q45)+1,0),Frauen!$AZ$9:$BD$95,5)-VLOOKUP(TRUNC(0.5*($Q44+$Q45),0),Frauen!$AZ$9:$BD$95,5)))+$C44*0.5*($CN44+$CN45)),RundDx),"")</f>
        <v>2521</v>
      </c>
      <c r="CI44" s="25">
        <f>IF(CG44&lt;RAM,ROUND(SUM(CH44:INDEX(Dawx,RAM-BeginnAlter))+INDEX(Dax,RAM-BeginnAlter+1)*INDEX(äwx,1),RundDx),"")</f>
        <v>136986</v>
      </c>
      <c r="CJ44" s="25">
        <f>IF(CG44&lt;RAM,ROUND(SUM(CI44:INDEX(Nawx,RAM-BeginnAlter))+INDEX(Dax,RAM-BeginnAlter+1)*INDEX(äwx,1),RundDx),"")</f>
        <v>1566236</v>
      </c>
      <c r="CK44" s="24">
        <f t="shared" si="56"/>
        <v>4.7469999999999999</v>
      </c>
      <c r="CL44" s="25">
        <f>IF(CG44&lt;RAM,ROUND(v^($CG44+FaktorAlter)*$L44*$D44*0.5*($P44+$P45)*(VLOOKUP(TRUNC(0.5*($Q44+$Q45),0),Frauen!$AZ$9:$BD$95,5)+(0.5*($Q44+$Q45)-TRUNC(0.5*($Q44+$Q45),0))*(VLOOKUP(TRUNC(0.5*($Q44+$Q45)+1,0),Frauen!$AZ$9:$BD$95,5)-VLOOKUP(TRUNC(0.5*($Q44+$Q45),0),Frauen!$AZ$9:$BD$95,5))),RundDx),"")</f>
        <v>13792</v>
      </c>
      <c r="CM44" s="25">
        <f>IF(CG44&lt;RAM,SUM(CL44:INDEX(Diwx,RAM-BeginnAlter))+INDEX(Dix,RAM-BeginnAlter+1)*INDEX(äwx,1),"")</f>
        <v>240921.41399999999</v>
      </c>
      <c r="CN44" s="24">
        <f t="shared" si="57"/>
        <v>6.59</v>
      </c>
      <c r="CO44" s="86"/>
      <c r="CP44" s="35">
        <f t="shared" si="58"/>
        <v>100</v>
      </c>
      <c r="CQ44" s="11">
        <f>ROUND(v^($CP44+FaktorAlter)*VLOOKUP(CP44,G$9:J$102,4)*VLOOKUP(CP44,A$9:E$102,5)*0.5*(VLOOKUP(CP44,O$9:P$102,2)+VLOOKUP(CP44+1,O$9:P$102,2))*(VLOOKUP(TRUNC(0.5*(VLOOKUP(CP44,O$9:Q$102,3)+VLOOKUP(CP44+1,O$9:Q$102,3)),0),Frauen!$AZ$9:$BD$95,5)+(0.5*(VLOOKUP(CP44,O$9:Q$102,3)+VLOOKUP(CP44+1,O$9:Q$102,3))-TRUNC(0.5*(VLOOKUP(CP44,O$9:Q$102,3)+VLOOKUP(CP44+1,O$9:Q$102,3)),0))*(VLOOKUP(TRUNC(0.5*(VLOOKUP(CP44,O$9:Q$102,3)+VLOOKUP(CP44+1,O$9:Q$102,3))+1,0),Frauen!$AZ$9:$BD$95,5)-VLOOKUP(TRUNC(0.5*(VLOOKUP(CP44,O$9:Q$102,3)+VLOOKUP(CP44+1,O$9:Q$102,3)),0),Frauen!$AZ$9:$BD$95,5))),RundDx)</f>
        <v>5</v>
      </c>
      <c r="CR44" s="25">
        <f>SUM(CQ44:CQ$56)</f>
        <v>6</v>
      </c>
      <c r="CS44" s="24">
        <f t="shared" si="30"/>
        <v>0.2</v>
      </c>
      <c r="CT44" s="86"/>
      <c r="CU44" s="35">
        <f t="shared" si="59"/>
        <v>52</v>
      </c>
      <c r="CV44" s="25">
        <f>IF($CU44&gt;=RAM,"",IF($CU44-CV$103&lt;BeginnAlter,"",ROUND(v^($CU44+FaktorAlter)*$L44*$D44*0.5*(VLOOKUP($CU44-CV$103,Frauen!$G$9:$J$102,4)+VLOOKUP($CU44-CV$103+1,Frauen!$G$9:$J$102,4))*0.5*(VLOOKUP($CU44-CV$103,Frauen!$AZ$9:$BD$102,5)+VLOOKUP($CU44-CV$103+1,Frauen!$AZ$9:$BD$102,5)),RundDx)))</f>
        <v>991260803</v>
      </c>
      <c r="CW44" s="25">
        <f>IF($CU44&gt;=RAM,"",IF($CU44-CW$103&lt;BeginnAlter,"",ROUND(v^($CU44+FaktorAlter)*$L44*$D44*0.5*(VLOOKUP($CU44-CW$103,Frauen!$G$9:$J$102,4)+VLOOKUP($CU44-CW$103+1,Frauen!$G$9:$J$102,4))*0.5*(VLOOKUP($CU44-CW$103,Frauen!$AZ$9:$BD$102,5)+VLOOKUP($CU44-CW$103+1,Frauen!$AZ$9:$BD$102,5)),RundDx)))</f>
        <v>1037562131</v>
      </c>
      <c r="CX44" s="25">
        <f>IF($CU44&gt;=RAM,"",IF($CU44-CX$103&lt;BeginnAlter,"",ROUND(v^($CU44+FaktorAlter)*$L44*$D44*0.5*(VLOOKUP($CU44-CX$103,Frauen!$G$9:$J$102,4)+VLOOKUP($CU44-CX$103+1,Frauen!$G$9:$J$102,4))*0.5*(VLOOKUP($CU44-CX$103,Frauen!$AZ$9:$BD$102,5)+VLOOKUP($CU44-CX$103+1,Frauen!$AZ$9:$BD$102,5)),RundDx)))</f>
        <v>1083421194</v>
      </c>
      <c r="CY44" s="25">
        <f>IF($CU44&gt;=RAM,"",IF($CU44-CY$103&lt;BeginnAlter,"",ROUND(v^($CU44+FaktorAlter)*$L44*$D44*0.5*(VLOOKUP($CU44-CY$103,Frauen!$G$9:$J$102,4)+VLOOKUP($CU44-CY$103+1,Frauen!$G$9:$J$102,4))*0.5*(VLOOKUP($CU44-CY$103,Frauen!$AZ$9:$BD$102,5)+VLOOKUP($CU44-CY$103+1,Frauen!$AZ$9:$BD$102,5)),RundDx)))</f>
        <v>1128730052</v>
      </c>
      <c r="CZ44" s="25">
        <f>IF($CU44&gt;=RAM,"",IF($CU44-CZ$103&lt;BeginnAlter,"",ROUND(v^($CU44+FaktorAlter)*$L44*$D44*0.5*(VLOOKUP($CU44-CZ$103,Frauen!$G$9:$J$102,4)+VLOOKUP($CU44-CZ$103+1,Frauen!$G$9:$J$102,4))*0.5*(VLOOKUP($CU44-CZ$103,Frauen!$AZ$9:$BD$102,5)+VLOOKUP($CU44-CZ$103+1,Frauen!$AZ$9:$BD$102,5)),RundDx)))</f>
        <v>1173221091</v>
      </c>
      <c r="DA44" s="25">
        <f>IF($CU44&gt;=RAM,"",IF($CU44-DA$103&lt;BeginnAlter,"",ROUND(v^($CU44+FaktorAlter)*$L44*$D44*0.5*(VLOOKUP($CU44-DA$103,Frauen!$G$9:$J$102,4)+VLOOKUP($CU44-DA$103+1,Frauen!$G$9:$J$102,4))*0.5*(VLOOKUP($CU44-DA$103,Frauen!$AZ$9:$BD$102,5)+VLOOKUP($CU44-DA$103+1,Frauen!$AZ$9:$BD$102,5)),RundDx)))</f>
        <v>1216870200</v>
      </c>
      <c r="DB44" s="25">
        <f>IF($CU44&gt;=RAM,"",IF($CU44-DB$103&lt;BeginnAlter,"",ROUND(v^($CU44+FaktorAlter)*$L44*$D44*0.5*(VLOOKUP($CU44-DB$103,Frauen!$G$9:$J$102,4)+VLOOKUP($CU44-DB$103+1,Frauen!$G$9:$J$102,4))*0.5*(VLOOKUP($CU44-DB$103,Frauen!$AZ$9:$BD$102,5)+VLOOKUP($CU44-DB$103+1,Frauen!$AZ$9:$BD$102,5)),RundDx)))</f>
        <v>1259790142</v>
      </c>
      <c r="DC44" s="25">
        <f>IF($CU44&gt;=RAM,"",IF($CU44-DC$103&lt;BeginnAlter,"",ROUND(v^($CU44+FaktorAlter)*$L44*$D44*0.5*(VLOOKUP($CU44-DC$103,Frauen!$G$9:$J$102,4)+VLOOKUP($CU44-DC$103+1,Frauen!$G$9:$J$102,4))*0.5*(VLOOKUP($CU44-DC$103,Frauen!$AZ$9:$BD$102,5)+VLOOKUP($CU44-DC$103+1,Frauen!$AZ$9:$BD$102,5)),RundDx)))</f>
        <v>1301923658</v>
      </c>
      <c r="DD44" s="25">
        <f>IF($CU44&gt;=RAM,"",IF($CU44-DD$103&lt;BeginnAlter,"",ROUND(v^($CU44+FaktorAlter)*$L44*$D44*0.5*(VLOOKUP($CU44-DD$103,Frauen!$G$9:$J$102,4)+VLOOKUP($CU44-DD$103+1,Frauen!$G$9:$J$102,4))*0.5*(VLOOKUP($CU44-DD$103,Frauen!$AZ$9:$BD$102,5)+VLOOKUP($CU44-DD$103+1,Frauen!$AZ$9:$BD$102,5)),RundDx)))</f>
        <v>1343259353</v>
      </c>
      <c r="DE44" s="25">
        <f>IF($CU44&gt;=RAM,"",IF($CU44-DE$103&lt;BeginnAlter,"",ROUND(v^($CU44+FaktorAlter)*$L44*$D44*0.5*(VLOOKUP($CU44-DE$103,Frauen!$G$9:$J$102,4)+VLOOKUP($CU44-DE$103+1,Frauen!$G$9:$J$102,4))*0.5*(VLOOKUP($CU44-DE$103,Frauen!$AZ$9:$BD$102,5)+VLOOKUP($CU44-DE$103+1,Frauen!$AZ$9:$BD$102,5)),RundDx)))</f>
        <v>1383883092</v>
      </c>
      <c r="DF44" s="25">
        <f>IF($CU44&gt;=RAM,"",IF($CU44-DF$103&lt;BeginnAlter,"",ROUND(v^($CU44+FaktorAlter)*$L44*$D44*0.5*(VLOOKUP($CU44-DF$103,Frauen!$G$9:$J$102,4)+VLOOKUP($CU44-DF$103+1,Frauen!$G$9:$J$102,4))*0.5*(VLOOKUP($CU44-DF$103,Frauen!$AZ$9:$BD$102,5)+VLOOKUP($CU44-DF$103+1,Frauen!$AZ$9:$BD$102,5)),RundDx)))</f>
        <v>1423921868</v>
      </c>
      <c r="DG44" s="25">
        <f>IF($CU44&gt;=RAM,"",IF($CU44-DG$103&lt;BeginnAlter,"",ROUND(v^($CU44+FaktorAlter)*$L44*$D44*0.5*(VLOOKUP($CU44-DG$103,Frauen!$G$9:$J$102,4)+VLOOKUP($CU44-DG$103+1,Frauen!$G$9:$J$102,4))*0.5*(VLOOKUP($CU44-DG$103,Frauen!$AZ$9:$BD$102,5)+VLOOKUP($CU44-DG$103+1,Frauen!$AZ$9:$BD$102,5)),RundDx)))</f>
        <v>1463480782</v>
      </c>
      <c r="DH44" s="25">
        <f>IF($CU44&gt;=RAM,"",IF($CU44-DH$103&lt;BeginnAlter,"",ROUND(v^($CU44+FaktorAlter)*$L44*$D44*0.5*(VLOOKUP($CU44-DH$103,Frauen!$G$9:$J$102,4)+VLOOKUP($CU44-DH$103+1,Frauen!$G$9:$J$102,4))*0.5*(VLOOKUP($CU44-DH$103,Frauen!$AZ$9:$BD$102,5)+VLOOKUP($CU44-DH$103+1,Frauen!$AZ$9:$BD$102,5)),RundDx)))</f>
        <v>1502654011</v>
      </c>
      <c r="DI44" s="25">
        <f>IF($CU44&gt;=RAM,"",IF($CU44-DI$103&lt;BeginnAlter,"",ROUND(v^($CU44+FaktorAlter)*$L44*$D44*0.5*(VLOOKUP($CU44-DI$103,Frauen!$G$9:$J$102,4)+VLOOKUP($CU44-DI$103+1,Frauen!$G$9:$J$102,4))*0.5*(VLOOKUP($CU44-DI$103,Frauen!$AZ$9:$BD$102,5)+VLOOKUP($CU44-DI$103+1,Frauen!$AZ$9:$BD$102,5)),RundDx)))</f>
        <v>1541486093</v>
      </c>
      <c r="DJ44" s="25">
        <f>IF($CU44&gt;=RAM,"",IF($CU44-DJ$103&lt;BeginnAlter,"",ROUND(v^($CU44+FaktorAlter)*$L44*$D44*0.5*(VLOOKUP($CU44-DJ$103,Frauen!$G$9:$J$102,4)+VLOOKUP($CU44-DJ$103+1,Frauen!$G$9:$J$102,4))*0.5*(VLOOKUP($CU44-DJ$103,Frauen!$AZ$9:$BD$102,5)+VLOOKUP($CU44-DJ$103+1,Frauen!$AZ$9:$BD$102,5)),RundDx)))</f>
        <v>1579904631</v>
      </c>
      <c r="DK44" s="25">
        <f>IF($CU44&gt;=RAM,"",IF($CU44-DK$103&lt;BeginnAlter,"",ROUND(v^($CU44+FaktorAlter)*$L44*$D44*0.5*(VLOOKUP($CU44-DK$103,Frauen!$G$9:$J$102,4)+VLOOKUP($CU44-DK$103+1,Frauen!$G$9:$J$102,4))*0.5*(VLOOKUP($CU44-DK$103,Frauen!$AZ$9:$BD$102,5)+VLOOKUP($CU44-DK$103+1,Frauen!$AZ$9:$BD$102,5)),RundDx)))</f>
        <v>1617942232</v>
      </c>
      <c r="DL44" s="25">
        <f>IF($CU44&gt;=RAM,"",IF($CU44-DL$103&lt;BeginnAlter,"",ROUND(v^($CU44+FaktorAlter)*$L44*$D44*0.5*(VLOOKUP($CU44-DL$103,Frauen!$G$9:$J$102,4)+VLOOKUP($CU44-DL$103+1,Frauen!$G$9:$J$102,4))*0.5*(VLOOKUP($CU44-DL$103,Frauen!$AZ$9:$BD$102,5)+VLOOKUP($CU44-DL$103+1,Frauen!$AZ$9:$BD$102,5)),RundDx)))</f>
        <v>1655519826</v>
      </c>
      <c r="DM44" s="25">
        <f>IF($CU44&gt;=RAM,"",IF($CU44-DM$103&lt;BeginnAlter,"",ROUND(v^($CU44+FaktorAlter)*$L44*$D44*0.5*(VLOOKUP($CU44-DM$103,Frauen!$G$9:$J$102,4)+VLOOKUP($CU44-DM$103+1,Frauen!$G$9:$J$102,4))*0.5*(VLOOKUP($CU44-DM$103,Frauen!$AZ$9:$BD$102,5)+VLOOKUP($CU44-DM$103+1,Frauen!$AZ$9:$BD$102,5)),RundDx)))</f>
        <v>1692463236</v>
      </c>
      <c r="DN44" s="25">
        <f>IF($CU44&gt;=RAM,"",IF($CU44-DN$103&lt;BeginnAlter,"",ROUND(v^($CU44+FaktorAlter)*$L44*$D44*0.5*(VLOOKUP($CU44-DN$103,Frauen!$G$9:$J$102,4)+VLOOKUP($CU44-DN$103+1,Frauen!$G$9:$J$102,4))*0.5*(VLOOKUP($CU44-DN$103,Frauen!$AZ$9:$BD$102,5)+VLOOKUP($CU44-DN$103+1,Frauen!$AZ$9:$BD$102,5)),RundDx)))</f>
        <v>1728663573</v>
      </c>
      <c r="DO44" s="25">
        <f>IF($CU44&gt;=RAM,"",IF($CU44-DO$103&lt;BeginnAlter,"",ROUND(v^($CU44+FaktorAlter)*$L44*$D44*0.5*(VLOOKUP($CU44-DO$103,Frauen!$G$9:$J$102,4)+VLOOKUP($CU44-DO$103+1,Frauen!$G$9:$J$102,4))*0.5*(VLOOKUP($CU44-DO$103,Frauen!$AZ$9:$BD$102,5)+VLOOKUP($CU44-DO$103+1,Frauen!$AZ$9:$BD$102,5)),RundDx)))</f>
        <v>1764086610</v>
      </c>
      <c r="DP44" s="25">
        <f>IF($CU44&gt;=RAM,"",IF($CU44-DP$103&lt;BeginnAlter,"",ROUND(v^($CU44+FaktorAlter)*$L44*$D44*0.5*(VLOOKUP($CU44-DP$103,Frauen!$G$9:$J$102,4)+VLOOKUP($CU44-DP$103+1,Frauen!$G$9:$J$102,4))*0.5*(VLOOKUP($CU44-DP$103,Frauen!$AZ$9:$BD$102,5)+VLOOKUP($CU44-DP$103+1,Frauen!$AZ$9:$BD$102,5)),RundDx)))</f>
        <v>1798737050</v>
      </c>
      <c r="DQ44" s="25">
        <f>IF($CU44&gt;=RAM,"",IF($CU44-DQ$103&lt;BeginnAlter,"",ROUND(v^($CU44+FaktorAlter)*$L44*$D44*0.5*(VLOOKUP($CU44-DQ$103,Frauen!$G$9:$J$102,4)+VLOOKUP($CU44-DQ$103+1,Frauen!$G$9:$J$102,4))*0.5*(VLOOKUP($CU44-DQ$103,Frauen!$AZ$9:$BD$102,5)+VLOOKUP($CU44-DQ$103+1,Frauen!$AZ$9:$BD$102,5)),RundDx)))</f>
        <v>1832649517</v>
      </c>
      <c r="DR44" s="25">
        <f>IF($CU44&gt;=RAM,"",IF($CU44-DR$103&lt;BeginnAlter,"",ROUND(v^($CU44+FaktorAlter)*$L44*$D44*0.5*(VLOOKUP($CU44-DR$103,Frauen!$G$9:$J$102,4)+VLOOKUP($CU44-DR$103+1,Frauen!$G$9:$J$102,4))*0.5*(VLOOKUP($CU44-DR$103,Frauen!$AZ$9:$BD$102,5)+VLOOKUP($CU44-DR$103+1,Frauen!$AZ$9:$BD$102,5)),RundDx)))</f>
        <v>1865777717</v>
      </c>
      <c r="DS44" s="25">
        <f>IF($CU44&gt;=RAM,"",IF($CU44-DS$103&lt;BeginnAlter,"",ROUND(v^($CU44+FaktorAlter)*$L44*$D44*0.5*(VLOOKUP($CU44-DS$103,Frauen!$G$9:$J$102,4)+VLOOKUP($CU44-DS$103+1,Frauen!$G$9:$J$102,4))*0.5*(VLOOKUP($CU44-DS$103,Frauen!$AZ$9:$BD$102,5)+VLOOKUP($CU44-DS$103+1,Frauen!$AZ$9:$BD$102,5)),RundDx)))</f>
        <v>1898132419</v>
      </c>
      <c r="DT44" s="25">
        <f>IF($CU44&gt;=RAM,"",IF($CU44-DT$103&lt;BeginnAlter,"",ROUND(v^($CU44+FaktorAlter)*$L44*$D44*0.5*(VLOOKUP($CU44-DT$103,Frauen!$G$9:$J$102,4)+VLOOKUP($CU44-DT$103+1,Frauen!$G$9:$J$102,4))*0.5*(VLOOKUP($CU44-DT$103,Frauen!$AZ$9:$BD$102,5)+VLOOKUP($CU44-DT$103+1,Frauen!$AZ$9:$BD$102,5)),RundDx)))</f>
        <v>1929790710</v>
      </c>
      <c r="DU44" s="25">
        <f>IF($CU44&gt;=RAM,"",IF($CU44-DU$103&lt;BeginnAlter,"",ROUND(v^($CU44+FaktorAlter)*$L44*$D44*0.5*(VLOOKUP($CU44-DU$103,Frauen!$G$9:$J$102,4)+VLOOKUP($CU44-DU$103+1,Frauen!$G$9:$J$102,4))*0.5*(VLOOKUP($CU44-DU$103,Frauen!$AZ$9:$BD$102,5)+VLOOKUP($CU44-DU$103+1,Frauen!$AZ$9:$BD$102,5)),RundDx)))</f>
        <v>1960767832</v>
      </c>
      <c r="DV44" s="25">
        <f>IF($CU44&gt;=RAM,"",IF($CU44-DV$103&lt;BeginnAlter,"",ROUND(v^($CU44+FaktorAlter)*$L44*$D44*0.5*(VLOOKUP($CU44-DV$103,Frauen!$G$9:$J$102,4)+VLOOKUP($CU44-DV$103+1,Frauen!$G$9:$J$102,4))*0.5*(VLOOKUP($CU44-DV$103,Frauen!$AZ$9:$BD$102,5)+VLOOKUP($CU44-DV$103+1,Frauen!$AZ$9:$BD$102,5)),RundDx)))</f>
        <v>1991071080</v>
      </c>
      <c r="DW44" s="25">
        <f>IF($CU44&gt;=RAM,"",IF($CU44-DW$103&lt;BeginnAlter,"",ROUND(v^($CU44+FaktorAlter)*$L44*$D44*0.5*(VLOOKUP($CU44-DW$103,Frauen!$G$9:$J$102,4)+VLOOKUP($CU44-DW$103+1,Frauen!$G$9:$J$102,4))*0.5*(VLOOKUP($CU44-DW$103,Frauen!$AZ$9:$BD$102,5)+VLOOKUP($CU44-DW$103+1,Frauen!$AZ$9:$BD$102,5)),RundDx)))</f>
        <v>2020699034</v>
      </c>
      <c r="DX44" s="25">
        <f>IF($CU44&gt;=RAM,"",IF($CU44-DX$103&lt;BeginnAlter,"",ROUND(v^($CU44+FaktorAlter)*$L44*$D44*0.5*(VLOOKUP($CU44-DX$103,Frauen!$G$9:$J$102,4)+VLOOKUP($CU44-DX$103+1,Frauen!$G$9:$J$102,4))*0.5*(VLOOKUP($CU44-DX$103,Frauen!$AZ$9:$BD$102,5)+VLOOKUP($CU44-DX$103+1,Frauen!$AZ$9:$BD$102,5)),RundDx)))</f>
        <v>2049671891</v>
      </c>
      <c r="DY44" s="25">
        <f>IF($CU44&gt;=RAM,"",IF($CU44-DY$103&lt;BeginnAlter,"",ROUND(v^($CU44+FaktorAlter)*$L44*$D44*0.5*(VLOOKUP($CU44-DY$103,Frauen!$G$9:$J$102,4)+VLOOKUP($CU44-DY$103+1,Frauen!$G$9:$J$102,4))*0.5*(VLOOKUP($CU44-DY$103,Frauen!$AZ$9:$BD$102,5)+VLOOKUP($CU44-DY$103+1,Frauen!$AZ$9:$BD$102,5)),RundDx)))</f>
        <v>2078001306</v>
      </c>
      <c r="DZ44" s="25">
        <f>IF($CU44&gt;=RAM,"",IF($CU44-DZ$103&lt;BeginnAlter,"",ROUND(v^($CU44+FaktorAlter)*$L44*$D44*0.5*(VLOOKUP($CU44-DZ$103,Frauen!$G$9:$J$102,4)+VLOOKUP($CU44-DZ$103+1,Frauen!$G$9:$J$102,4))*0.5*(VLOOKUP($CU44-DZ$103,Frauen!$AZ$9:$BD$102,5)+VLOOKUP($CU44-DZ$103+1,Frauen!$AZ$9:$BD$102,5)),RundDx)))</f>
        <v>2105737401</v>
      </c>
      <c r="EA44" s="43">
        <f>IF($CU44&gt;=RAM,"",IF($CU44-EA$103&lt;BeginnAlter,"",ROUND((SUM(CV44:CV$56)+SUM(FN$9:FN$56))/VLOOKUP($CU44,$AH$9:$AI$102,2)/VLOOKUP($CU44-EA$103,Frauen!$G$9:$J$102,4),Rundäx)))</f>
        <v>2.883</v>
      </c>
      <c r="EB44" s="43">
        <f>IF($CU44&gt;=RAM,"",IF($CU44-EB$103&lt;BeginnAlter,"",ROUND((SUM(CW44:CW$56)+SUM(FO$9:FO$56))/VLOOKUP($CU44,$AH$9:$AI$102,2)/VLOOKUP($CU44-EB$103,Frauen!$G$9:$J$102,4),Rundäx)))</f>
        <v>3.0739999999999998</v>
      </c>
      <c r="EC44" s="43">
        <f>IF($CU44&gt;=RAM,"",IF($CU44-EC$103&lt;BeginnAlter,"",ROUND((SUM(CX44:CX$56)+SUM(FP$9:FP$56))/VLOOKUP($CU44,$AH$9:$AI$102,2)/VLOOKUP($CU44-EC$103,Frauen!$G$9:$J$102,4),Rundäx)))</f>
        <v>3.2719999999999998</v>
      </c>
      <c r="ED44" s="43">
        <f>IF($CU44&gt;=RAM,"",IF($CU44-ED$103&lt;BeginnAlter,"",ROUND((SUM(CY44:CY$56)+SUM(FQ$9:FQ$56))/VLOOKUP($CU44,$AH$9:$AI$102,2)/VLOOKUP($CU44-ED$103,Frauen!$G$9:$J$102,4),Rundäx)))</f>
        <v>3.476</v>
      </c>
      <c r="EE44" s="43">
        <f>IF($CU44&gt;=RAM,"",IF($CU44-EE$103&lt;BeginnAlter,"",ROUND((SUM(CZ44:CZ$56)+SUM(FR$9:FR$56))/VLOOKUP($CU44,$AH$9:$AI$102,2)/VLOOKUP($CU44-EE$103,Frauen!$G$9:$J$102,4),Rundäx)))</f>
        <v>3.6880000000000002</v>
      </c>
      <c r="EF44" s="43">
        <f>IF($CU44&gt;=RAM,"",IF($CU44-EF$103&lt;BeginnAlter,"",ROUND((SUM(DA44:DA$56)+SUM(FS$9:FS$56))/VLOOKUP($CU44,$AH$9:$AI$102,2)/VLOOKUP($CU44-EF$103,Frauen!$G$9:$J$102,4),Rundäx)))</f>
        <v>3.907</v>
      </c>
      <c r="EG44" s="43">
        <f>IF($CU44&gt;=RAM,"",IF($CU44-EG$103&lt;BeginnAlter,"",ROUND((SUM(DB44:DB$56)+SUM(FT$9:FT$56))/VLOOKUP($CU44,$AH$9:$AI$102,2)/VLOOKUP($CU44-EG$103,Frauen!$G$9:$J$102,4),Rundäx)))</f>
        <v>4.1340000000000003</v>
      </c>
      <c r="EH44" s="43">
        <f>IF($CU44&gt;=RAM,"",IF($CU44-EH$103&lt;BeginnAlter,"",ROUND((SUM(DC44:DC$56)+SUM(FU$9:FU$56))/VLOOKUP($CU44,$AH$9:$AI$102,2)/VLOOKUP($CU44-EH$103,Frauen!$G$9:$J$102,4),Rundäx)))</f>
        <v>4.3689999999999998</v>
      </c>
      <c r="EI44" s="86"/>
      <c r="EJ44" s="35">
        <f t="shared" si="60"/>
        <v>52</v>
      </c>
      <c r="EK44" s="43">
        <f>IF($CU44&gt;=RAM,"",IF($CU44-EK$103&lt;BeginnAlter,"",ROUND((SUM(DD44:DD$56)+SUM(FV$9:FV$56))/VLOOKUP($CU44,$AH$9:$AI$102,2)/VLOOKUP($CU44-EK$103,Frauen!$G$9:$J$102,4),Rundäx)))</f>
        <v>4.6120000000000001</v>
      </c>
      <c r="EL44" s="43">
        <f>IF($CU44&gt;=RAM,"",IF($CU44-EL$103&lt;BeginnAlter,"",ROUND((SUM(DE44:DE$56)+SUM(FW$9:FW$56))/VLOOKUP($CU44,$AH$9:$AI$102,2)/VLOOKUP($CU44-EL$103,Frauen!$G$9:$J$102,4),Rundäx)))</f>
        <v>4.8620000000000001</v>
      </c>
      <c r="EM44" s="43">
        <f>IF($CU44&gt;=RAM,"",IF($CU44-EM$103&lt;BeginnAlter,"",ROUND((SUM(DF44:DF$56)+SUM(FX$9:FX$56))/VLOOKUP($CU44,$AH$9:$AI$102,2)/VLOOKUP($CU44-EM$103,Frauen!$G$9:$J$102,4),Rundäx)))</f>
        <v>5.12</v>
      </c>
      <c r="EN44" s="43">
        <f>IF($CU44&gt;=RAM,"",IF($CU44-EN$103&lt;BeginnAlter,"",ROUND((SUM(DG44:DG$56)+SUM(FY$9:FY$56))/VLOOKUP($CU44,$AH$9:$AI$102,2)/VLOOKUP($CU44-EN$103,Frauen!$G$9:$J$102,4),Rundäx)))</f>
        <v>5.3849999999999998</v>
      </c>
      <c r="EO44" s="43">
        <f>IF($CU44&gt;=RAM,"",IF($CU44-EO$103&lt;BeginnAlter,"",ROUND((SUM(DH44:DH$56)+SUM(FZ$9:FZ$56))/VLOOKUP($CU44,$AH$9:$AI$102,2)/VLOOKUP($CU44-EO$103,Frauen!$G$9:$J$102,4),Rundäx)))</f>
        <v>5.6559999999999997</v>
      </c>
      <c r="EP44" s="43">
        <f>IF($CU44&gt;=RAM,"",IF($CU44-EP$103&lt;BeginnAlter,"",ROUND((SUM(DI44:DI$56)+SUM(GA$9:GA$56))/VLOOKUP($CU44,$AH$9:$AI$102,2)/VLOOKUP($CU44-EP$103,Frauen!$G$9:$J$102,4),Rundäx)))</f>
        <v>5.9340000000000002</v>
      </c>
      <c r="EQ44" s="43">
        <f>IF($CU44&gt;=RAM,"",IF($CU44-EQ$103&lt;BeginnAlter,"",ROUND((SUM(DJ44:DJ$56)+SUM(GB$9:GB$56))/VLOOKUP($CU44,$AH$9:$AI$102,2)/VLOOKUP($CU44-EQ$103,Frauen!$G$9:$J$102,4),Rundäx)))</f>
        <v>6.218</v>
      </c>
      <c r="ER44" s="43">
        <f>IF($CU44&gt;=RAM,"",IF($CU44-ER$103&lt;BeginnAlter,"",ROUND((SUM(DK44:DK$56)+SUM(GC$9:GC$56))/VLOOKUP($CU44,$AH$9:$AI$102,2)/VLOOKUP($CU44-ER$103,Frauen!$G$9:$J$102,4),Rundäx)))</f>
        <v>6.508</v>
      </c>
      <c r="ES44" s="86"/>
      <c r="ET44" s="35">
        <f t="shared" si="61"/>
        <v>52</v>
      </c>
      <c r="EU44" s="43">
        <f>IF($CU44&gt;=RAM,"",IF($CU44-EU$103&lt;BeginnAlter,"",ROUND((SUM(DL44:DL$56)+SUM(GD$9:GD$56))/VLOOKUP($CU44,$AH$9:$AI$102,2)/VLOOKUP($CU44-EU$103,Frauen!$G$9:$J$102,4),Rundäx)))</f>
        <v>6.8019999999999996</v>
      </c>
      <c r="EV44" s="43">
        <f>IF($CU44&gt;=RAM,"",IF($CU44-EV$103&lt;BeginnAlter,"",ROUND((SUM(DM44:DM$56)+SUM(GE$9:GE$56))/VLOOKUP($CU44,$AH$9:$AI$102,2)/VLOOKUP($CU44-EV$103,Frauen!$G$9:$J$102,4),Rundäx)))</f>
        <v>7.1020000000000003</v>
      </c>
      <c r="EW44" s="43">
        <f>IF($CU44&gt;=RAM,"",IF($CU44-EW$103&lt;BeginnAlter,"",ROUND((SUM(DN44:DN$56)+SUM(GF$9:GF$56))/VLOOKUP($CU44,$AH$9:$AI$102,2)/VLOOKUP($CU44-EW$103,Frauen!$G$9:$J$102,4),Rundäx)))</f>
        <v>7.4050000000000002</v>
      </c>
      <c r="EX44" s="43">
        <f>IF($CU44&gt;=RAM,"",IF($CU44-EX$103&lt;BeginnAlter,"",ROUND((SUM(DO44:DO$56)+SUM(GG$9:GG$56))/VLOOKUP($CU44,$AH$9:$AI$102,2)/VLOOKUP($CU44-EX$103,Frauen!$G$9:$J$102,4),Rundäx)))</f>
        <v>7.7130000000000001</v>
      </c>
      <c r="EY44" s="43">
        <f>IF($CU44&gt;=RAM,"",IF($CU44-EY$103&lt;BeginnAlter,"",ROUND((SUM(DP44:DP$56)+SUM(GH$9:GH$56))/VLOOKUP($CU44,$AH$9:$AI$102,2)/VLOOKUP($CU44-EY$103,Frauen!$G$9:$J$102,4),Rundäx)))</f>
        <v>8.0229999999999997</v>
      </c>
      <c r="EZ44" s="43">
        <f>IF($CU44&gt;=RAM,"",IF($CU44-EZ$103&lt;BeginnAlter,"",ROUND((SUM(DQ44:DQ$56)+SUM(GI$9:GI$56))/VLOOKUP($CU44,$AH$9:$AI$102,2)/VLOOKUP($CU44-EZ$103,Frauen!$G$9:$J$102,4),Rundäx)))</f>
        <v>8.3350000000000009</v>
      </c>
      <c r="FA44" s="43">
        <f>IF($CU44&gt;=RAM,"",IF($CU44-FA$103&lt;BeginnAlter,"",ROUND((SUM(DR44:DR$56)+SUM(GJ$9:GJ$56))/VLOOKUP($CU44,$AH$9:$AI$102,2)/VLOOKUP($CU44-FA$103,Frauen!$G$9:$J$102,4),Rundäx)))</f>
        <v>8.6489999999999991</v>
      </c>
      <c r="FB44" s="43">
        <f>IF($CU44&gt;=RAM,"",IF($CU44-FB$103&lt;BeginnAlter,"",ROUND((SUM(DS44:DS$56)+SUM(GK$9:GK$56))/VLOOKUP($CU44,$AH$9:$AI$102,2)/VLOOKUP($CU44-FB$103,Frauen!$G$9:$J$102,4),Rundäx)))</f>
        <v>8.9649999999999999</v>
      </c>
      <c r="FC44" s="86"/>
      <c r="FD44" s="35">
        <f t="shared" si="62"/>
        <v>52</v>
      </c>
      <c r="FE44" s="43">
        <f>IF($CU44&gt;=RAM,"",IF($CU44-FE$103&lt;BeginnAlter,"",ROUND((SUM(DT44:DT$56)+SUM(GL$9:GL$56))/VLOOKUP($CU44,$AH$9:$AI$102,2)/VLOOKUP($CU44-FE$103,Frauen!$G$9:$J$102,4),Rundäx)))</f>
        <v>9.2810000000000006</v>
      </c>
      <c r="FF44" s="43">
        <f>IF($CU44&gt;=RAM,"",IF($CU44-FF$103&lt;BeginnAlter,"",ROUND((SUM(DU44:DU$56)+SUM(GM$9:GM$56))/VLOOKUP($CU44,$AH$9:$AI$102,2)/VLOOKUP($CU44-FF$103,Frauen!$G$9:$J$102,4),Rundäx)))</f>
        <v>9.5969999999999995</v>
      </c>
      <c r="FG44" s="43">
        <f>IF($CU44&gt;=RAM,"",IF($CU44-FG$103&lt;BeginnAlter,"",ROUND((SUM(DV44:DV$56)+SUM(GN$9:GN$56))/VLOOKUP($CU44,$AH$9:$AI$102,2)/VLOOKUP($CU44-FG$103,Frauen!$G$9:$J$102,4),Rundäx)))</f>
        <v>9.9120000000000008</v>
      </c>
      <c r="FH44" s="43">
        <f>IF($CU44&gt;=RAM,"",IF($CU44-FH$103&lt;BeginnAlter,"",ROUND((SUM(DW44:DW$56)+SUM(GO$9:GO$56))/VLOOKUP($CU44,$AH$9:$AI$102,2)/VLOOKUP($CU44-FH$103,Frauen!$G$9:$J$102,4),Rundäx)))</f>
        <v>10.226000000000001</v>
      </c>
      <c r="FI44" s="43">
        <f>IF($CU44&gt;=RAM,"",IF($CU44-FI$103&lt;BeginnAlter,"",ROUND((SUM(DX44:DX$56)+SUM(GP$9:GP$56))/VLOOKUP($CU44,$AH$9:$AI$102,2)/VLOOKUP($CU44-FI$103,Frauen!$G$9:$J$102,4),Rundäx)))</f>
        <v>10.539</v>
      </c>
      <c r="FJ44" s="43">
        <f>IF($CU44&gt;=RAM,"",IF($CU44-FJ$103&lt;BeginnAlter,"",ROUND((SUM(DY44:DY$56)+SUM(GQ$9:GQ$56))/VLOOKUP($CU44,$AH$9:$AI$102,2)/VLOOKUP($CU44-FJ$103,Frauen!$G$9:$J$102,4),Rundäx)))</f>
        <v>10.85</v>
      </c>
      <c r="FK44" s="43">
        <f>IF($CU44&gt;=RAM,"",IF($CU44-FK$103&lt;BeginnAlter,"",ROUND((SUM(DZ44:DZ$56)+SUM(GR$9:GR$56))/VLOOKUP($CU44,$AH$9:$AI$102,2)/VLOOKUP($CU44-FK$103,Frauen!$G$9:$J$102,4),Rundäx)))</f>
        <v>11.159000000000001</v>
      </c>
      <c r="FL44" s="86"/>
      <c r="FM44" s="35">
        <f t="shared" si="68"/>
        <v>100</v>
      </c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>
        <f>ROUND(v^($FM44+FaktorAlter)*VLOOKUP($FM44,$G$9:$J$102,4)*VLOOKUP($FM44,$A$9:$E$102,5)*0.5*(VLOOKUP($FM44-FZ$103,Frauen!$G$9:$J$102,4)+VLOOKUP($FM44-FZ$103+1,Frauen!$G$9:$J$102,4))*0.5*(VLOOKUP($FM44-FZ$103,Frauen!$AZ$9:$BD$102,5)+VLOOKUP($FM44-FZ$103+1,Frauen!$AZ$9:$BD$102,5)),RundDx)</f>
        <v>1235</v>
      </c>
      <c r="GA44" s="25">
        <f>ROUND(v^($FM44+FaktorAlter)*VLOOKUP($FM44,$G$9:$J$102,4)*VLOOKUP($FM44,$A$9:$E$102,5)*0.5*(VLOOKUP($FM44-GA$103,Frauen!$G$9:$J$102,4)+VLOOKUP($FM44-GA$103+1,Frauen!$G$9:$J$102,4))*0.5*(VLOOKUP($FM44-GA$103,Frauen!$AZ$9:$BD$102,5)+VLOOKUP($FM44-GA$103+1,Frauen!$AZ$9:$BD$102,5)),RundDx)</f>
        <v>4652</v>
      </c>
      <c r="GB44" s="25">
        <f>ROUND(v^($FM44+FaktorAlter)*VLOOKUP($FM44,$G$9:$J$102,4)*VLOOKUP($FM44,$A$9:$E$102,5)*0.5*(VLOOKUP($FM44-GB$103,Frauen!$G$9:$J$102,4)+VLOOKUP($FM44-GB$103+1,Frauen!$G$9:$J$102,4))*0.5*(VLOOKUP($FM44-GB$103,Frauen!$AZ$9:$BD$102,5)+VLOOKUP($FM44-GB$103+1,Frauen!$AZ$9:$BD$102,5)),RundDx)</f>
        <v>12174</v>
      </c>
      <c r="GC44" s="25">
        <f>ROUND(v^($FM44+FaktorAlter)*VLOOKUP($FM44,$G$9:$J$102,4)*VLOOKUP($FM44,$A$9:$E$102,5)*0.5*(VLOOKUP($FM44-GC$103,Frauen!$G$9:$J$102,4)+VLOOKUP($FM44-GC$103+1,Frauen!$G$9:$J$102,4))*0.5*(VLOOKUP($FM44-GC$103,Frauen!$AZ$9:$BD$102,5)+VLOOKUP($FM44-GC$103+1,Frauen!$AZ$9:$BD$102,5)),RundDx)</f>
        <v>26749</v>
      </c>
      <c r="GD44" s="25">
        <f>ROUND(v^($FM44+FaktorAlter)*VLOOKUP($FM44,$G$9:$J$102,4)*VLOOKUP($FM44,$A$9:$E$102,5)*0.5*(VLOOKUP($FM44-GD$103,Frauen!$G$9:$J$102,4)+VLOOKUP($FM44-GD$103+1,Frauen!$G$9:$J$102,4))*0.5*(VLOOKUP($FM44-GD$103,Frauen!$AZ$9:$BD$102,5)+VLOOKUP($FM44-GD$103+1,Frauen!$AZ$9:$BD$102,5)),RundDx)</f>
        <v>51853</v>
      </c>
      <c r="GE44" s="25">
        <f>ROUND(v^($FM44+FaktorAlter)*VLOOKUP($FM44,$G$9:$J$102,4)*VLOOKUP($FM44,$A$9:$E$102,5)*0.5*(VLOOKUP($FM44-GE$103,Frauen!$G$9:$J$102,4)+VLOOKUP($FM44-GE$103+1,Frauen!$G$9:$J$102,4))*0.5*(VLOOKUP($FM44-GE$103,Frauen!$AZ$9:$BD$102,5)+VLOOKUP($FM44-GE$103+1,Frauen!$AZ$9:$BD$102,5)),RundDx)</f>
        <v>92457</v>
      </c>
      <c r="GF44" s="25">
        <f>ROUND(v^($FM44+FaktorAlter)*VLOOKUP($FM44,$G$9:$J$102,4)*VLOOKUP($FM44,$A$9:$E$102,5)*0.5*(VLOOKUP($FM44-GF$103,Frauen!$G$9:$J$102,4)+VLOOKUP($FM44-GF$103+1,Frauen!$G$9:$J$102,4))*0.5*(VLOOKUP($FM44-GF$103,Frauen!$AZ$9:$BD$102,5)+VLOOKUP($FM44-GF$103+1,Frauen!$AZ$9:$BD$102,5)),RundDx)</f>
        <v>154009</v>
      </c>
      <c r="GG44" s="25">
        <f>ROUND(v^($FM44+FaktorAlter)*VLOOKUP($FM44,$G$9:$J$102,4)*VLOOKUP($FM44,$A$9:$E$102,5)*0.5*(VLOOKUP($FM44-GG$103,Frauen!$G$9:$J$102,4)+VLOOKUP($FM44-GG$103+1,Frauen!$G$9:$J$102,4))*0.5*(VLOOKUP($FM44-GG$103,Frauen!$AZ$9:$BD$102,5)+VLOOKUP($FM44-GG$103+1,Frauen!$AZ$9:$BD$102,5)),RundDx)</f>
        <v>243419</v>
      </c>
      <c r="GH44" s="25">
        <f>ROUND(v^($FM44+FaktorAlter)*VLOOKUP($FM44,$G$9:$J$102,4)*VLOOKUP($FM44,$A$9:$E$102,5)*0.5*(VLOOKUP($FM44-GH$103,Frauen!$G$9:$J$102,4)+VLOOKUP($FM44-GH$103+1,Frauen!$G$9:$J$102,4))*0.5*(VLOOKUP($FM44-GH$103,Frauen!$AZ$9:$BD$102,5)+VLOOKUP($FM44-GH$103+1,Frauen!$AZ$9:$BD$102,5)),RundDx)</f>
        <v>368558</v>
      </c>
      <c r="GI44" s="25">
        <f>ROUND(v^($FM44+FaktorAlter)*VLOOKUP($FM44,$G$9:$J$102,4)*VLOOKUP($FM44,$A$9:$E$102,5)*0.5*(VLOOKUP($FM44-GI$103,Frauen!$G$9:$J$102,4)+VLOOKUP($FM44-GI$103+1,Frauen!$G$9:$J$102,4))*0.5*(VLOOKUP($FM44-GI$103,Frauen!$AZ$9:$BD$102,5)+VLOOKUP($FM44-GI$103+1,Frauen!$AZ$9:$BD$102,5)),RundDx)</f>
        <v>537904</v>
      </c>
      <c r="GJ44" s="25">
        <f>ROUND(v^($FM44+FaktorAlter)*VLOOKUP($FM44,$G$9:$J$102,4)*VLOOKUP($FM44,$A$9:$E$102,5)*0.5*(VLOOKUP($FM44-GJ$103,Frauen!$G$9:$J$102,4)+VLOOKUP($FM44-GJ$103+1,Frauen!$G$9:$J$102,4))*0.5*(VLOOKUP($FM44-GJ$103,Frauen!$AZ$9:$BD$102,5)+VLOOKUP($FM44-GJ$103+1,Frauen!$AZ$9:$BD$102,5)),RundDx)</f>
        <v>760056</v>
      </c>
      <c r="GK44" s="25">
        <f>ROUND(v^($FM44+FaktorAlter)*VLOOKUP($FM44,$G$9:$J$102,4)*VLOOKUP($FM44,$A$9:$E$102,5)*0.5*(VLOOKUP($FM44-GK$103,Frauen!$G$9:$J$102,4)+VLOOKUP($FM44-GK$103+1,Frauen!$G$9:$J$102,4))*0.5*(VLOOKUP($FM44-GK$103,Frauen!$AZ$9:$BD$102,5)+VLOOKUP($FM44-GK$103+1,Frauen!$AZ$9:$BD$102,5)),RundDx)</f>
        <v>1044676</v>
      </c>
      <c r="GL44" s="25">
        <f>ROUND(v^($FM44+FaktorAlter)*VLOOKUP($FM44,$G$9:$J$102,4)*VLOOKUP($FM44,$A$9:$E$102,5)*0.5*(VLOOKUP($FM44-GL$103,Frauen!$G$9:$J$102,4)+VLOOKUP($FM44-GL$103+1,Frauen!$G$9:$J$102,4))*0.5*(VLOOKUP($FM44-GL$103,Frauen!$AZ$9:$BD$102,5)+VLOOKUP($FM44-GL$103+1,Frauen!$AZ$9:$BD$102,5)),RundDx)</f>
        <v>1397573</v>
      </c>
      <c r="GM44" s="25">
        <f>ROUND(v^($FM44+FaktorAlter)*VLOOKUP($FM44,$G$9:$J$102,4)*VLOOKUP($FM44,$A$9:$E$102,5)*0.5*(VLOOKUP($FM44-GM$103,Frauen!$G$9:$J$102,4)+VLOOKUP($FM44-GM$103+1,Frauen!$G$9:$J$102,4))*0.5*(VLOOKUP($FM44-GM$103,Frauen!$AZ$9:$BD$102,5)+VLOOKUP($FM44-GM$103+1,Frauen!$AZ$9:$BD$102,5)),RundDx)</f>
        <v>1819436</v>
      </c>
      <c r="GN44" s="25">
        <f>ROUND(v^($FM44+FaktorAlter)*VLOOKUP($FM44,$G$9:$J$102,4)*VLOOKUP($FM44,$A$9:$E$102,5)*0.5*(VLOOKUP($FM44-GN$103,Frauen!$G$9:$J$102,4)+VLOOKUP($FM44-GN$103+1,Frauen!$G$9:$J$102,4))*0.5*(VLOOKUP($FM44-GN$103,Frauen!$AZ$9:$BD$102,5)+VLOOKUP($FM44-GN$103+1,Frauen!$AZ$9:$BD$102,5)),RundDx)</f>
        <v>2313883</v>
      </c>
      <c r="GO44" s="25">
        <f>ROUND(v^($FM44+FaktorAlter)*VLOOKUP($FM44,$G$9:$J$102,4)*VLOOKUP($FM44,$A$9:$E$102,5)*0.5*(VLOOKUP($FM44-GO$103,Frauen!$G$9:$J$102,4)+VLOOKUP($FM44-GO$103+1,Frauen!$G$9:$J$102,4))*0.5*(VLOOKUP($FM44-GO$103,Frauen!$AZ$9:$BD$102,5)+VLOOKUP($FM44-GO$103+1,Frauen!$AZ$9:$BD$102,5)),RundDx)</f>
        <v>2881548</v>
      </c>
      <c r="GP44" s="25">
        <f>ROUND(v^($FM44+FaktorAlter)*VLOOKUP($FM44,$G$9:$J$102,4)*VLOOKUP($FM44,$A$9:$E$102,5)*0.5*(VLOOKUP($FM44-GP$103,Frauen!$G$9:$J$102,4)+VLOOKUP($FM44-GP$103+1,Frauen!$G$9:$J$102,4))*0.5*(VLOOKUP($FM44-GP$103,Frauen!$AZ$9:$BD$102,5)+VLOOKUP($FM44-GP$103+1,Frauen!$AZ$9:$BD$102,5)),RundDx)</f>
        <v>3520680</v>
      </c>
      <c r="GQ44" s="25">
        <f>ROUND(v^($FM44+FaktorAlter)*VLOOKUP($FM44,$G$9:$J$102,4)*VLOOKUP($FM44,$A$9:$E$102,5)*0.5*(VLOOKUP($FM44-GQ$103,Frauen!$G$9:$J$102,4)+VLOOKUP($FM44-GQ$103+1,Frauen!$G$9:$J$102,4))*0.5*(VLOOKUP($FM44-GQ$103,Frauen!$AZ$9:$BD$102,5)+VLOOKUP($FM44-GQ$103+1,Frauen!$AZ$9:$BD$102,5)),RundDx)</f>
        <v>4228025</v>
      </c>
      <c r="GR44" s="25">
        <f>ROUND(v^($FM44+FaktorAlter)*VLOOKUP($FM44,$G$9:$J$102,4)*VLOOKUP($FM44,$A$9:$E$102,5)*0.5*(VLOOKUP($FM44-GR$103,Frauen!$G$9:$J$102,4)+VLOOKUP($FM44-GR$103+1,Frauen!$G$9:$J$102,4))*0.5*(VLOOKUP($FM44-GR$103,Frauen!$AZ$9:$BD$102,5)+VLOOKUP($FM44-GR$103+1,Frauen!$AZ$9:$BD$102,5)),RundDx)</f>
        <v>4996795</v>
      </c>
      <c r="GS44" s="24"/>
      <c r="GT44" s="24"/>
      <c r="GU44" s="24"/>
      <c r="GV44" s="24"/>
      <c r="GW44" s="24"/>
      <c r="GX44" s="24"/>
      <c r="GY44" s="24"/>
      <c r="GZ44" s="24"/>
      <c r="HA44" s="86"/>
      <c r="HB44" s="35">
        <f t="shared" si="63"/>
        <v>100</v>
      </c>
      <c r="HC44" s="24"/>
      <c r="HD44" s="24"/>
      <c r="HE44" s="24"/>
      <c r="HF44" s="24"/>
      <c r="HG44" s="24">
        <f>ROUND(SUM(FZ44:FZ$56)/VLOOKUP($FM44,$AQ$9:$AR$102,2)/VLOOKUP($FM44-HG$103,Frauen!$G$9:$J$102,4),Rundäx)</f>
        <v>0.27800000000000002</v>
      </c>
      <c r="HH44" s="24">
        <f>ROUND(SUM(GA44:GA$56)/VLOOKUP($FM44,$AQ$9:$AR$102,2)/VLOOKUP($FM44-HH$103,Frauen!$G$9:$J$102,4),Rundäx)</f>
        <v>0.46400000000000002</v>
      </c>
      <c r="HI44" s="24">
        <f>ROUND(SUM(GB44:GB$56)/VLOOKUP($FM44,$AQ$9:$AR$102,2)/VLOOKUP($FM44-HI$103,Frauen!$G$9:$J$102,4),Rundäx)</f>
        <v>0.61499999999999999</v>
      </c>
      <c r="HJ44" s="24">
        <f>ROUND(SUM(GC44:GC$56)/VLOOKUP($FM44,$AQ$9:$AR$102,2)/VLOOKUP($FM44-HJ$103,Frauen!$G$9:$J$102,4),Rundäx)</f>
        <v>0.76600000000000001</v>
      </c>
      <c r="HK44" s="86"/>
      <c r="HL44" s="35">
        <f t="shared" si="64"/>
        <v>100</v>
      </c>
      <c r="HM44" s="24">
        <f>ROUND(SUM(GD44:GD$56)/VLOOKUP($FM44,$AQ$9:$AR$102,2)/VLOOKUP($FM44-HM$103,Frauen!$G$9:$J$102,4),Rundäx)</f>
        <v>0.92100000000000004</v>
      </c>
      <c r="HN44" s="24">
        <f>ROUND(SUM(GE44:GE$56)/VLOOKUP($FM44,$AQ$9:$AR$102,2)/VLOOKUP($FM44-HN$103,Frauen!$G$9:$J$102,4),Rundäx)</f>
        <v>1.0880000000000001</v>
      </c>
      <c r="HO44" s="24">
        <f>ROUND(SUM(GF44:GF$56)/VLOOKUP($FM44,$AQ$9:$AR$102,2)/VLOOKUP($FM44-HO$103,Frauen!$G$9:$J$102,4),Rundäx)</f>
        <v>1.2689999999999999</v>
      </c>
      <c r="HP44" s="24">
        <f>ROUND(SUM(GG44:GG$56)/VLOOKUP($FM44,$AQ$9:$AR$102,2)/VLOOKUP($FM44-HP$103,Frauen!$G$9:$J$102,4),Rundäx)</f>
        <v>1.466</v>
      </c>
      <c r="HQ44" s="24">
        <f>ROUND(SUM(GH44:GH$56)/VLOOKUP($FM44,$AQ$9:$AR$102,2)/VLOOKUP($FM44-HQ$103,Frauen!$G$9:$J$102,4),Rundäx)</f>
        <v>1.681</v>
      </c>
      <c r="HR44" s="24">
        <f>ROUND(SUM(GI44:GI$56)/VLOOKUP($FM44,$AQ$9:$AR$102,2)/VLOOKUP($FM44-HR$103,Frauen!$G$9:$J$102,4),Rundäx)</f>
        <v>1.915</v>
      </c>
      <c r="HS44" s="24">
        <f>ROUND(SUM(GJ44:GJ$56)/VLOOKUP($FM44,$AQ$9:$AR$102,2)/VLOOKUP($FM44-HS$103,Frauen!$G$9:$J$102,4),Rundäx)</f>
        <v>2.17</v>
      </c>
      <c r="HT44" s="24">
        <f>ROUND(SUM(GK44:GK$56)/VLOOKUP($FM44,$AQ$9:$AR$102,2)/VLOOKUP($FM44-HT$103,Frauen!$G$9:$J$102,4),Rundäx)</f>
        <v>2.448</v>
      </c>
      <c r="HU44" s="86"/>
      <c r="HV44" s="35">
        <f t="shared" si="65"/>
        <v>100</v>
      </c>
      <c r="HW44" s="24">
        <f>ROUND(SUM(GL44:GL$56)/VLOOKUP($FM44,$AQ$9:$AR$102,2)/VLOOKUP($FM44-HW$103,Frauen!$G$9:$J$102,4),Rundäx)</f>
        <v>2.7480000000000002</v>
      </c>
      <c r="HX44" s="24">
        <f>ROUND(SUM(GM44:GM$56)/VLOOKUP($FM44,$AQ$9:$AR$102,2)/VLOOKUP($FM44-HX$103,Frauen!$G$9:$J$102,4),Rundäx)</f>
        <v>3.0630000000000002</v>
      </c>
      <c r="HY44" s="24">
        <f>ROUND(SUM(GN44:GN$56)/VLOOKUP($FM44,$AQ$9:$AR$102,2)/VLOOKUP($FM44-HY$103,Frauen!$G$9:$J$102,4),Rundäx)</f>
        <v>3.395</v>
      </c>
      <c r="HZ44" s="24">
        <f>ROUND(SUM(GO44:GO$56)/VLOOKUP($FM44,$AQ$9:$AR$102,2)/VLOOKUP($FM44-HZ$103,Frauen!$G$9:$J$102,4),Rundäx)</f>
        <v>3.7469999999999999</v>
      </c>
      <c r="IA44" s="24">
        <f>ROUND(SUM(GP44:GP$56)/VLOOKUP($FM44,$AQ$9:$AR$102,2)/VLOOKUP($FM44-IA$103,Frauen!$G$9:$J$102,4),Rundäx)</f>
        <v>4.1189999999999998</v>
      </c>
      <c r="IB44" s="24">
        <f>ROUND(SUM(GQ44:GQ$56)/VLOOKUP($FM44,$AQ$9:$AR$102,2)/VLOOKUP($FM44-IB$103,Frauen!$G$9:$J$102,4),Rundäx)</f>
        <v>4.5140000000000002</v>
      </c>
      <c r="IC44" s="24">
        <f>ROUND(SUM(GR44:GR$56)/VLOOKUP($FM44,$AQ$9:$AR$102,2)/VLOOKUP($FM44-IC$103,Frauen!$G$9:$J$102,4),Rundäx)</f>
        <v>4.931</v>
      </c>
      <c r="ID44" s="89"/>
      <c r="IE44" s="35">
        <f t="shared" si="66"/>
        <v>52</v>
      </c>
      <c r="IF44" s="25">
        <f t="shared" si="31"/>
        <v>275</v>
      </c>
      <c r="IG44" s="25">
        <f>IF($IE44&lt;RAM,IF(S45&lt;=RAK,ROUND(SUM(IF44:INDEX(Dakx,RAM-BeginnAlter))+INDEX(Dax,RAM-BeginnAlter+1)*INDEX(äkx,1),RundDx),0),"")</f>
        <v>1496</v>
      </c>
      <c r="IH44" s="25">
        <f>IF($IE44&lt;RAM,IF(S45&lt;=RAK,ROUND(SUM(IG44:INDEX(Nakx,RAM-BeginnAlter))+INDEX(Dax,RAM-BeginnAlter+1)*INDEX(äkx,1),RundDx),0),"")</f>
        <v>7339</v>
      </c>
      <c r="II44" s="24">
        <f t="shared" si="32"/>
        <v>5.1999999999999998E-2</v>
      </c>
      <c r="IJ44" s="25">
        <f t="shared" si="33"/>
        <v>2477</v>
      </c>
      <c r="IK44" s="25">
        <f>IF($IE44&lt;RAM,IF(S45&lt;=RAK,SUM(IJ44:INDEX(Dikx,RAM-BeginnAlter))+INDEX(Dix,RAM-BeginnAlter+1)*INDEX(äkx,1),0),"")</f>
        <v>9187.8320000000003</v>
      </c>
      <c r="IL44" s="24">
        <f t="shared" si="34"/>
        <v>0.251</v>
      </c>
      <c r="IM44" s="86"/>
      <c r="IN44" s="35">
        <f t="shared" si="67"/>
        <v>100</v>
      </c>
      <c r="IO44" s="25"/>
      <c r="IP44" s="25"/>
      <c r="IQ44" s="24"/>
      <c r="IR44" s="86"/>
    </row>
    <row r="45" spans="1:252" ht="15.75" customHeight="1" x14ac:dyDescent="0.25">
      <c r="A45" s="35">
        <f t="shared" ref="A45:A76" si="69">1+A44</f>
        <v>53</v>
      </c>
      <c r="B45" s="77">
        <v>2.7242899636893496E-3</v>
      </c>
      <c r="C45" s="77">
        <v>7.908270522525929E-3</v>
      </c>
      <c r="D45" s="77">
        <v>2.0831454235890404E-2</v>
      </c>
      <c r="E45" s="77">
        <v>3.6827788240217929E-3</v>
      </c>
      <c r="F45" s="86"/>
      <c r="G45" s="35">
        <f t="shared" ref="G45:G76" si="70">1+G44</f>
        <v>53</v>
      </c>
      <c r="H45" s="25">
        <f t="shared" si="37"/>
        <v>90947</v>
      </c>
      <c r="I45" s="25">
        <f t="shared" si="38"/>
        <v>4633</v>
      </c>
      <c r="J45" s="25">
        <f t="shared" si="39"/>
        <v>95580</v>
      </c>
      <c r="K45" s="30">
        <f>IF(J45&gt;0,ROUND(SUM(J45:J$102)/J45-0.5,Rundex),"")</f>
        <v>27.56</v>
      </c>
      <c r="L45" s="25">
        <f t="shared" si="0"/>
        <v>113863</v>
      </c>
      <c r="M45" s="30">
        <f>IF(L45&gt;0,ROUND(SUM(L45:L$102)/L45-0.5,Rundex),"")</f>
        <v>23.98</v>
      </c>
      <c r="N45" s="86"/>
      <c r="O45" s="35">
        <f t="shared" ref="O45:O76" si="71">1+O44</f>
        <v>53</v>
      </c>
      <c r="P45" s="43">
        <v>0.7859171401704983</v>
      </c>
      <c r="Q45" s="78">
        <v>50.51773009196998</v>
      </c>
      <c r="R45" s="43">
        <v>0.36385743866482922</v>
      </c>
      <c r="S45" s="78">
        <v>16.065689569148013</v>
      </c>
      <c r="T45" s="15">
        <v>3.6809177193098952E-3</v>
      </c>
      <c r="U45" s="11">
        <f t="shared" si="40"/>
        <v>95581</v>
      </c>
      <c r="V45" s="30">
        <f>IF(U45&gt;0,ROUND(SUM(U45:U$102)/U45-0.5,Rundex),"")</f>
        <v>25.1</v>
      </c>
      <c r="W45" s="86"/>
      <c r="X45" s="35">
        <f t="shared" ref="X45:X76" si="72">1+X44</f>
        <v>53</v>
      </c>
      <c r="Y45" s="25">
        <f t="shared" si="1"/>
        <v>27966</v>
      </c>
      <c r="Z45" s="25">
        <f>IF($X45&lt;RAM,SUM(Y45:INDEX(Dax,RAM-BeginnAlter))," ")</f>
        <v>268235</v>
      </c>
      <c r="AA45" s="25">
        <f t="shared" si="2"/>
        <v>75</v>
      </c>
      <c r="AB45" s="25">
        <f>IF($X45&lt;RAM,SUM(AA45:INDEX(Cax,RAM-BeginnAlter))," ")</f>
        <v>1391</v>
      </c>
      <c r="AC45" s="25">
        <f t="shared" si="3"/>
        <v>219</v>
      </c>
      <c r="AD45" s="25">
        <f>IF($X45&lt;RAM,SUM(AC45:INDEX(Caix,RAM-BeginnAlter))," ")</f>
        <v>5974</v>
      </c>
      <c r="AE45" s="24">
        <f t="shared" si="4"/>
        <v>9.5909999999999993</v>
      </c>
      <c r="AF45" s="24">
        <f t="shared" si="5"/>
        <v>9.375</v>
      </c>
      <c r="AG45" s="86"/>
      <c r="AH45" s="35">
        <f t="shared" ref="AH45:AH76" si="73">1+AH44</f>
        <v>53</v>
      </c>
      <c r="AI45" s="25">
        <f t="shared" si="6"/>
        <v>35013</v>
      </c>
      <c r="AJ45" s="25">
        <f>IF($AH45&gt;RAM," ",IF($AH45&lt;RAM,SUM(AI45:INDEX(Dix,RAM-BeginnAlter))+INDEX(Nx,RAM-BeginnAlter+1),INDEX(Nx,RAM-BeginnAlter+1)))</f>
        <v>630972</v>
      </c>
      <c r="AK45" s="25">
        <f>IF($AH45&lt;RAM,SUM(AI45:INDEX(Dix,RAM-BeginnAlter))," ")</f>
        <v>333725</v>
      </c>
      <c r="AL45" s="24">
        <f t="shared" si="7"/>
        <v>18.021000000000001</v>
      </c>
      <c r="AM45" s="24">
        <f t="shared" si="8"/>
        <v>17.562999999999999</v>
      </c>
      <c r="AN45" s="24">
        <f t="shared" si="9"/>
        <v>9.5310000000000006</v>
      </c>
      <c r="AO45" s="24">
        <f t="shared" si="10"/>
        <v>9.3409999999999993</v>
      </c>
      <c r="AP45" s="86"/>
      <c r="AQ45" s="35">
        <f t="shared" ref="AQ45:AQ76" si="74">1+AQ44</f>
        <v>53</v>
      </c>
      <c r="AR45" s="25">
        <f t="shared" si="11"/>
        <v>29391</v>
      </c>
      <c r="AS45" s="25">
        <f>SUM(AR45:AR$94)</f>
        <v>600953</v>
      </c>
      <c r="AT45" s="25">
        <f>IF($AQ45&lt;RAM,SUM(AR45:INDEX(Dx,RAM-BeginnAlter))," ")</f>
        <v>303706</v>
      </c>
      <c r="AU45" s="24">
        <f t="shared" si="12"/>
        <v>20.446999999999999</v>
      </c>
      <c r="AV45" s="24">
        <f t="shared" si="13"/>
        <v>19.989000000000001</v>
      </c>
      <c r="AW45" s="24">
        <f t="shared" si="14"/>
        <v>10.333</v>
      </c>
      <c r="AX45" s="24">
        <f t="shared" si="15"/>
        <v>10.194000000000001</v>
      </c>
      <c r="AY45" s="86"/>
      <c r="AZ45" s="35">
        <f t="shared" ref="AZ45:AZ76" si="75">1+AZ44</f>
        <v>53</v>
      </c>
      <c r="BA45" s="25">
        <f t="shared" si="16"/>
        <v>29391</v>
      </c>
      <c r="BB45" s="25">
        <f>SUM(BA45:BA$94)</f>
        <v>558902</v>
      </c>
      <c r="BC45" s="24">
        <f t="shared" si="17"/>
        <v>19.015999999999998</v>
      </c>
      <c r="BD45" s="24">
        <f t="shared" si="18"/>
        <v>18.558</v>
      </c>
      <c r="BE45" s="86"/>
      <c r="BF45" s="35">
        <f t="shared" si="48"/>
        <v>36</v>
      </c>
      <c r="BG45" s="24" t="str">
        <f t="shared" si="19"/>
        <v/>
      </c>
      <c r="BH45" s="24" t="str">
        <f t="shared" si="20"/>
        <v/>
      </c>
      <c r="BI45" s="86"/>
      <c r="BJ45" s="35">
        <f t="shared" ref="BJ45:BJ76" si="76">1+BJ44</f>
        <v>53</v>
      </c>
      <c r="BK45" s="25">
        <f t="shared" si="21"/>
        <v>3814</v>
      </c>
      <c r="BL45" s="25">
        <f>IF(BJ45&lt;RAM,SUM(BK45:INDEX(Daix,RAM-BeginnAlter))," ")</f>
        <v>92797</v>
      </c>
      <c r="BM45" s="25">
        <f>IF(BJ45&lt;RAM,SUM(BL45:INDEX(Naix,RAM-BeginnAlter))," ")</f>
        <v>703464</v>
      </c>
      <c r="BN45" s="24">
        <f t="shared" si="22"/>
        <v>7.4290000000000003</v>
      </c>
      <c r="BO45" s="24">
        <f t="shared" si="23"/>
        <v>3.3180000000000001</v>
      </c>
      <c r="BP45" s="86"/>
      <c r="BQ45" s="35">
        <f t="shared" ref="BQ45:BQ76" si="77">1+BQ44</f>
        <v>53</v>
      </c>
      <c r="BR45" s="25">
        <f t="shared" si="51"/>
        <v>1977</v>
      </c>
      <c r="BS45" s="25">
        <f>IF(BQ45&lt;RAM,SUM(BR45:INDEX(Daixs,RAM-BeginnAlter))," ")</f>
        <v>24402</v>
      </c>
      <c r="BT45" s="25">
        <f>IF(BQ45&lt;RAM,SUM(BS45:INDEX(Naixs,RAM-BeginnAlter))," ")</f>
        <v>141514</v>
      </c>
      <c r="BU45" s="24">
        <f t="shared" si="52"/>
        <v>9.8740000000000006</v>
      </c>
      <c r="BV45" s="24">
        <f t="shared" si="53"/>
        <v>0.873</v>
      </c>
      <c r="BW45" s="86"/>
      <c r="BX45" s="35">
        <f t="shared" ref="BX45:BX76" si="78">1+BX44</f>
        <v>53</v>
      </c>
      <c r="BY45" s="10">
        <f t="shared" si="24"/>
        <v>7.1102329581501138</v>
      </c>
      <c r="BZ45" s="11">
        <f t="shared" si="25"/>
        <v>515</v>
      </c>
      <c r="CA45" s="25">
        <f>IF(S46&lt;=RAK,IF($BX45&lt;RAM,SUM(BZ45:INDEX(Dazx,RAM-BeginnAlter)),""),"")</f>
        <v>2904</v>
      </c>
      <c r="CB45" s="24">
        <f t="shared" si="26"/>
        <v>0.104</v>
      </c>
      <c r="CC45" s="25">
        <f t="shared" si="27"/>
        <v>22769</v>
      </c>
      <c r="CD45" s="24">
        <f t="shared" si="28"/>
        <v>15.558</v>
      </c>
      <c r="CE45" s="24">
        <f t="shared" si="29"/>
        <v>3.5999999999999997E-2</v>
      </c>
      <c r="CF45" s="86"/>
      <c r="CG45" s="35">
        <f t="shared" ref="CG45:CG76" si="79">1+CG44</f>
        <v>53</v>
      </c>
      <c r="CH45" s="25">
        <f>IF(CG45&lt;RAM,ROUND(v^($CG45+FaktorAlter)*$H45*($B45*0.5*($P45+$P46)*(VLOOKUP(TRUNC(0.5*($Q45+$Q46),0),Frauen!$AZ$9:$BD$95,5)+(0.5*($Q45+$Q46)-TRUNC(0.5*($Q45+$Q46),0))*(VLOOKUP(TRUNC(0.5*($Q45+$Q46)+1,0),Frauen!$AZ$9:$BD$95,5)-VLOOKUP(TRUNC(0.5*($Q45+$Q46),0),Frauen!$AZ$9:$BD$95,5)))+$C45*0.5*($CN45+$CN46)),RundDx),"")</f>
        <v>2773</v>
      </c>
      <c r="CI45" s="25">
        <f>IF(CG45&lt;RAM,ROUND(SUM(CH45:INDEX(Dawx,RAM-BeginnAlter))+INDEX(Dax,RAM-BeginnAlter+1)*INDEX(äwx,1),RundDx),"")</f>
        <v>134465</v>
      </c>
      <c r="CJ45" s="25">
        <f>IF(CG45&lt;RAM,ROUND(SUM(CI45:INDEX(Nawx,RAM-BeginnAlter))+INDEX(Dax,RAM-BeginnAlter+1)*INDEX(äwx,1),RundDx),"")</f>
        <v>1429250</v>
      </c>
      <c r="CK45" s="24">
        <f t="shared" si="56"/>
        <v>4.8079999999999998</v>
      </c>
      <c r="CL45" s="25">
        <f>IF(CG45&lt;RAM,ROUND(v^($CG45+FaktorAlter)*$L45*$D45*0.5*($P45+$P46)*(VLOOKUP(TRUNC(0.5*($Q45+$Q46),0),Frauen!$AZ$9:$BD$95,5)+(0.5*($Q45+$Q46)-TRUNC(0.5*($Q45+$Q46),0))*(VLOOKUP(TRUNC(0.5*($Q45+$Q46)+1,0),Frauen!$AZ$9:$BD$95,5)-VLOOKUP(TRUNC(0.5*($Q45+$Q46),0),Frauen!$AZ$9:$BD$95,5))),RundDx),"")</f>
        <v>13072</v>
      </c>
      <c r="CM45" s="25">
        <f>IF(CG45&lt;RAM,SUM(CL45:INDEX(Diwx,RAM-BeginnAlter))+INDEX(Dix,RAM-BeginnAlter+1)*INDEX(äwx,1),"")</f>
        <v>227129.41399999999</v>
      </c>
      <c r="CN45" s="24">
        <f t="shared" si="57"/>
        <v>6.4870000000000001</v>
      </c>
      <c r="CO45" s="86"/>
      <c r="CP45" s="35">
        <f t="shared" si="58"/>
        <v>101</v>
      </c>
      <c r="CQ45" s="11">
        <f>ROUND(v^($CP45+FaktorAlter)*VLOOKUP(CP45,G$9:J$102,4)*VLOOKUP(CP45,A$9:E$102,5)*0.5*(VLOOKUP(CP45,O$9:P$102,2)+VLOOKUP(CP45+1,O$9:P$102,2))*(VLOOKUP(TRUNC(0.5*(VLOOKUP(CP45,O$9:Q$102,3)+VLOOKUP(CP45+1,O$9:Q$102,3)),0),Frauen!$AZ$9:$BD$95,5)+(0.5*(VLOOKUP(CP45,O$9:Q$102,3)+VLOOKUP(CP45+1,O$9:Q$102,3))-TRUNC(0.5*(VLOOKUP(CP45,O$9:Q$102,3)+VLOOKUP(CP45+1,O$9:Q$102,3)),0))*(VLOOKUP(TRUNC(0.5*(VLOOKUP(CP45,O$9:Q$102,3)+VLOOKUP(CP45+1,O$9:Q$102,3))+1,0),Frauen!$AZ$9:$BD$95,5)-VLOOKUP(TRUNC(0.5*(VLOOKUP(CP45,O$9:Q$102,3)+VLOOKUP(CP45+1,O$9:Q$102,3)),0),Frauen!$AZ$9:$BD$95,5))),RundDx)</f>
        <v>1</v>
      </c>
      <c r="CR45" s="25">
        <f>SUM(CQ45:CQ$56)</f>
        <v>1</v>
      </c>
      <c r="CS45" s="24">
        <f t="shared" si="30"/>
        <v>8.3000000000000004E-2</v>
      </c>
      <c r="CT45" s="86"/>
      <c r="CU45" s="35">
        <f t="shared" ref="CU45:CU76" si="80">1+CU44</f>
        <v>53</v>
      </c>
      <c r="CV45" s="25">
        <f>IF($CU45&gt;=RAM,"",IF($CU45-CV$103&lt;BeginnAlter,"",ROUND(v^($CU45+FaktorAlter)*$L45*$D45*0.5*(VLOOKUP($CU45-CV$103,Frauen!$G$9:$J$102,4)+VLOOKUP($CU45-CV$103+1,Frauen!$G$9:$J$102,4))*0.5*(VLOOKUP($CU45-CV$103,Frauen!$AZ$9:$BD$102,5)+VLOOKUP($CU45-CV$103+1,Frauen!$AZ$9:$BD$102,5)),RundDx)))</f>
        <v>909663011</v>
      </c>
      <c r="CW45" s="25">
        <f>IF($CU45&gt;=RAM,"",IF($CU45-CW$103&lt;BeginnAlter,"",ROUND(v^($CU45+FaktorAlter)*$L45*$D45*0.5*(VLOOKUP($CU45-CW$103,Frauen!$G$9:$J$102,4)+VLOOKUP($CU45-CW$103+1,Frauen!$G$9:$J$102,4))*0.5*(VLOOKUP($CU45-CW$103,Frauen!$AZ$9:$BD$102,5)+VLOOKUP($CU45-CW$103+1,Frauen!$AZ$9:$BD$102,5)),RundDx)))</f>
        <v>954759712</v>
      </c>
      <c r="CX45" s="25">
        <f>IF($CU45&gt;=RAM,"",IF($CU45-CX$103&lt;BeginnAlter,"",ROUND(v^($CU45+FaktorAlter)*$L45*$D45*0.5*(VLOOKUP($CU45-CX$103,Frauen!$G$9:$J$102,4)+VLOOKUP($CU45-CX$103+1,Frauen!$G$9:$J$102,4))*0.5*(VLOOKUP($CU45-CX$103,Frauen!$AZ$9:$BD$102,5)+VLOOKUP($CU45-CX$103+1,Frauen!$AZ$9:$BD$102,5)),RundDx)))</f>
        <v>999356091</v>
      </c>
      <c r="CY45" s="25">
        <f>IF($CU45&gt;=RAM,"",IF($CU45-CY$103&lt;BeginnAlter,"",ROUND(v^($CU45+FaktorAlter)*$L45*$D45*0.5*(VLOOKUP($CU45-CY$103,Frauen!$G$9:$J$102,4)+VLOOKUP($CU45-CY$103+1,Frauen!$G$9:$J$102,4))*0.5*(VLOOKUP($CU45-CY$103,Frauen!$AZ$9:$BD$102,5)+VLOOKUP($CU45-CY$103+1,Frauen!$AZ$9:$BD$102,5)),RundDx)))</f>
        <v>1043526490</v>
      </c>
      <c r="CZ45" s="25">
        <f>IF($CU45&gt;=RAM,"",IF($CU45-CZ$103&lt;BeginnAlter,"",ROUND(v^($CU45+FaktorAlter)*$L45*$D45*0.5*(VLOOKUP($CU45-CZ$103,Frauen!$G$9:$J$102,4)+VLOOKUP($CU45-CZ$103+1,Frauen!$G$9:$J$102,4))*0.5*(VLOOKUP($CU45-CZ$103,Frauen!$AZ$9:$BD$102,5)+VLOOKUP($CU45-CZ$103+1,Frauen!$AZ$9:$BD$102,5)),RundDx)))</f>
        <v>1087166945</v>
      </c>
      <c r="DA45" s="25">
        <f>IF($CU45&gt;=RAM,"",IF($CU45-DA$103&lt;BeginnAlter,"",ROUND(v^($CU45+FaktorAlter)*$L45*$D45*0.5*(VLOOKUP($CU45-DA$103,Frauen!$G$9:$J$102,4)+VLOOKUP($CU45-DA$103+1,Frauen!$G$9:$J$102,4))*0.5*(VLOOKUP($CU45-DA$103,Frauen!$AZ$9:$BD$102,5)+VLOOKUP($CU45-DA$103+1,Frauen!$AZ$9:$BD$102,5)),RundDx)))</f>
        <v>1130019695</v>
      </c>
      <c r="DB45" s="25">
        <f>IF($CU45&gt;=RAM,"",IF($CU45-DB$103&lt;BeginnAlter,"",ROUND(v^($CU45+FaktorAlter)*$L45*$D45*0.5*(VLOOKUP($CU45-DB$103,Frauen!$G$9:$J$102,4)+VLOOKUP($CU45-DB$103+1,Frauen!$G$9:$J$102,4))*0.5*(VLOOKUP($CU45-DB$103,Frauen!$AZ$9:$BD$102,5)+VLOOKUP($CU45-DB$103+1,Frauen!$AZ$9:$BD$102,5)),RundDx)))</f>
        <v>1172061518</v>
      </c>
      <c r="DC45" s="25">
        <f>IF($CU45&gt;=RAM,"",IF($CU45-DC$103&lt;BeginnAlter,"",ROUND(v^($CU45+FaktorAlter)*$L45*$D45*0.5*(VLOOKUP($CU45-DC$103,Frauen!$G$9:$J$102,4)+VLOOKUP($CU45-DC$103+1,Frauen!$G$9:$J$102,4))*0.5*(VLOOKUP($CU45-DC$103,Frauen!$AZ$9:$BD$102,5)+VLOOKUP($CU45-DC$103+1,Frauen!$AZ$9:$BD$102,5)),RundDx)))</f>
        <v>1213401024</v>
      </c>
      <c r="DD45" s="25">
        <f>IF($CU45&gt;=RAM,"",IF($CU45-DD$103&lt;BeginnAlter,"",ROUND(v^($CU45+FaktorAlter)*$L45*$D45*0.5*(VLOOKUP($CU45-DD$103,Frauen!$G$9:$J$102,4)+VLOOKUP($CU45-DD$103+1,Frauen!$G$9:$J$102,4))*0.5*(VLOOKUP($CU45-DD$103,Frauen!$AZ$9:$BD$102,5)+VLOOKUP($CU45-DD$103+1,Frauen!$AZ$9:$BD$102,5)),RundDx)))</f>
        <v>1253983061</v>
      </c>
      <c r="DE45" s="25">
        <f>IF($CU45&gt;=RAM,"",IF($CU45-DE$103&lt;BeginnAlter,"",ROUND(v^($CU45+FaktorAlter)*$L45*$D45*0.5*(VLOOKUP($CU45-DE$103,Frauen!$G$9:$J$102,4)+VLOOKUP($CU45-DE$103+1,Frauen!$G$9:$J$102,4))*0.5*(VLOOKUP($CU45-DE$103,Frauen!$AZ$9:$BD$102,5)+VLOOKUP($CU45-DE$103+1,Frauen!$AZ$9:$BD$102,5)),RundDx)))</f>
        <v>1293796657</v>
      </c>
      <c r="DF45" s="25">
        <f>IF($CU45&gt;=RAM,"",IF($CU45-DF$103&lt;BeginnAlter,"",ROUND(v^($CU45+FaktorAlter)*$L45*$D45*0.5*(VLOOKUP($CU45-DF$103,Frauen!$G$9:$J$102,4)+VLOOKUP($CU45-DF$103+1,Frauen!$G$9:$J$102,4))*0.5*(VLOOKUP($CU45-DF$103,Frauen!$AZ$9:$BD$102,5)+VLOOKUP($CU45-DF$103+1,Frauen!$AZ$9:$BD$102,5)),RundDx)))</f>
        <v>1332924511</v>
      </c>
      <c r="DG45" s="25">
        <f>IF($CU45&gt;=RAM,"",IF($CU45-DG$103&lt;BeginnAlter,"",ROUND(v^($CU45+FaktorAlter)*$L45*$D45*0.5*(VLOOKUP($CU45-DG$103,Frauen!$G$9:$J$102,4)+VLOOKUP($CU45-DG$103+1,Frauen!$G$9:$J$102,4))*0.5*(VLOOKUP($CU45-DG$103,Frauen!$AZ$9:$BD$102,5)+VLOOKUP($CU45-DG$103+1,Frauen!$AZ$9:$BD$102,5)),RundDx)))</f>
        <v>1371488945</v>
      </c>
      <c r="DH45" s="25">
        <f>IF($CU45&gt;=RAM,"",IF($CU45-DH$103&lt;BeginnAlter,"",ROUND(v^($CU45+FaktorAlter)*$L45*$D45*0.5*(VLOOKUP($CU45-DH$103,Frauen!$G$9:$J$102,4)+VLOOKUP($CU45-DH$103+1,Frauen!$G$9:$J$102,4))*0.5*(VLOOKUP($CU45-DH$103,Frauen!$AZ$9:$BD$102,5)+VLOOKUP($CU45-DH$103+1,Frauen!$AZ$9:$BD$102,5)),RundDx)))</f>
        <v>1409591184</v>
      </c>
      <c r="DI45" s="25">
        <f>IF($CU45&gt;=RAM,"",IF($CU45-DI$103&lt;BeginnAlter,"",ROUND(v^($CU45+FaktorAlter)*$L45*$D45*0.5*(VLOOKUP($CU45-DI$103,Frauen!$G$9:$J$102,4)+VLOOKUP($CU45-DI$103+1,Frauen!$G$9:$J$102,4))*0.5*(VLOOKUP($CU45-DI$103,Frauen!$AZ$9:$BD$102,5)+VLOOKUP($CU45-DI$103+1,Frauen!$AZ$9:$BD$102,5)),RundDx)))</f>
        <v>1447321942</v>
      </c>
      <c r="DJ45" s="25">
        <f>IF($CU45&gt;=RAM,"",IF($CU45-DJ$103&lt;BeginnAlter,"",ROUND(v^($CU45+FaktorAlter)*$L45*$D45*0.5*(VLOOKUP($CU45-DJ$103,Frauen!$G$9:$J$102,4)+VLOOKUP($CU45-DJ$103+1,Frauen!$G$9:$J$102,4))*0.5*(VLOOKUP($CU45-DJ$103,Frauen!$AZ$9:$BD$102,5)+VLOOKUP($CU45-DJ$103+1,Frauen!$AZ$9:$BD$102,5)),RundDx)))</f>
        <v>1484724114</v>
      </c>
      <c r="DK45" s="25">
        <f>IF($CU45&gt;=RAM,"",IF($CU45-DK$103&lt;BeginnAlter,"",ROUND(v^($CU45+FaktorAlter)*$L45*$D45*0.5*(VLOOKUP($CU45-DK$103,Frauen!$G$9:$J$102,4)+VLOOKUP($CU45-DK$103+1,Frauen!$G$9:$J$102,4))*0.5*(VLOOKUP($CU45-DK$103,Frauen!$AZ$9:$BD$102,5)+VLOOKUP($CU45-DK$103+1,Frauen!$AZ$9:$BD$102,5)),RundDx)))</f>
        <v>1521727971</v>
      </c>
      <c r="DL45" s="25">
        <f>IF($CU45&gt;=RAM,"",IF($CU45-DL$103&lt;BeginnAlter,"",ROUND(v^($CU45+FaktorAlter)*$L45*$D45*0.5*(VLOOKUP($CU45-DL$103,Frauen!$G$9:$J$102,4)+VLOOKUP($CU45-DL$103+1,Frauen!$G$9:$J$102,4))*0.5*(VLOOKUP($CU45-DL$103,Frauen!$AZ$9:$BD$102,5)+VLOOKUP($CU45-DL$103+1,Frauen!$AZ$9:$BD$102,5)),RundDx)))</f>
        <v>1558364916</v>
      </c>
      <c r="DM45" s="25">
        <f>IF($CU45&gt;=RAM,"",IF($CU45-DM$103&lt;BeginnAlter,"",ROUND(v^($CU45+FaktorAlter)*$L45*$D45*0.5*(VLOOKUP($CU45-DM$103,Frauen!$G$9:$J$102,4)+VLOOKUP($CU45-DM$103+1,Frauen!$G$9:$J$102,4))*0.5*(VLOOKUP($CU45-DM$103,Frauen!$AZ$9:$BD$102,5)+VLOOKUP($CU45-DM$103+1,Frauen!$AZ$9:$BD$102,5)),RundDx)))</f>
        <v>1594558795</v>
      </c>
      <c r="DN45" s="25">
        <f>IF($CU45&gt;=RAM,"",IF($CU45-DN$103&lt;BeginnAlter,"",ROUND(v^($CU45+FaktorAlter)*$L45*$D45*0.5*(VLOOKUP($CU45-DN$103,Frauen!$G$9:$J$102,4)+VLOOKUP($CU45-DN$103+1,Frauen!$G$9:$J$102,4))*0.5*(VLOOKUP($CU45-DN$103,Frauen!$AZ$9:$BD$102,5)+VLOOKUP($CU45-DN$103+1,Frauen!$AZ$9:$BD$102,5)),RundDx)))</f>
        <v>1630141841</v>
      </c>
      <c r="DO45" s="25">
        <f>IF($CU45&gt;=RAM,"",IF($CU45-DO$103&lt;BeginnAlter,"",ROUND(v^($CU45+FaktorAlter)*$L45*$D45*0.5*(VLOOKUP($CU45-DO$103,Frauen!$G$9:$J$102,4)+VLOOKUP($CU45-DO$103+1,Frauen!$G$9:$J$102,4))*0.5*(VLOOKUP($CU45-DO$103,Frauen!$AZ$9:$BD$102,5)+VLOOKUP($CU45-DO$103+1,Frauen!$AZ$9:$BD$102,5)),RundDx)))</f>
        <v>1665009178</v>
      </c>
      <c r="DP45" s="25">
        <f>IF($CU45&gt;=RAM,"",IF($CU45-DP$103&lt;BeginnAlter,"",ROUND(v^($CU45+FaktorAlter)*$L45*$D45*0.5*(VLOOKUP($CU45-DP$103,Frauen!$G$9:$J$102,4)+VLOOKUP($CU45-DP$103+1,Frauen!$G$9:$J$102,4))*0.5*(VLOOKUP($CU45-DP$103,Frauen!$AZ$9:$BD$102,5)+VLOOKUP($CU45-DP$103+1,Frauen!$AZ$9:$BD$102,5)),RundDx)))</f>
        <v>1699127836</v>
      </c>
      <c r="DQ45" s="25">
        <f>IF($CU45&gt;=RAM,"",IF($CU45-DQ$103&lt;BeginnAlter,"",ROUND(v^($CU45+FaktorAlter)*$L45*$D45*0.5*(VLOOKUP($CU45-DQ$103,Frauen!$G$9:$J$102,4)+VLOOKUP($CU45-DQ$103+1,Frauen!$G$9:$J$102,4))*0.5*(VLOOKUP($CU45-DQ$103,Frauen!$AZ$9:$BD$102,5)+VLOOKUP($CU45-DQ$103+1,Frauen!$AZ$9:$BD$102,5)),RundDx)))</f>
        <v>1732502347</v>
      </c>
      <c r="DR45" s="25">
        <f>IF($CU45&gt;=RAM,"",IF($CU45-DR$103&lt;BeginnAlter,"",ROUND(v^($CU45+FaktorAlter)*$L45*$D45*0.5*(VLOOKUP($CU45-DR$103,Frauen!$G$9:$J$102,4)+VLOOKUP($CU45-DR$103+1,Frauen!$G$9:$J$102,4))*0.5*(VLOOKUP($CU45-DR$103,Frauen!$AZ$9:$BD$102,5)+VLOOKUP($CU45-DR$103+1,Frauen!$AZ$9:$BD$102,5)),RundDx)))</f>
        <v>1765166058</v>
      </c>
      <c r="DS45" s="25">
        <f>IF($CU45&gt;=RAM,"",IF($CU45-DS$103&lt;BeginnAlter,"",ROUND(v^($CU45+FaktorAlter)*$L45*$D45*0.5*(VLOOKUP($CU45-DS$103,Frauen!$G$9:$J$102,4)+VLOOKUP($CU45-DS$103+1,Frauen!$G$9:$J$102,4))*0.5*(VLOOKUP($CU45-DS$103,Frauen!$AZ$9:$BD$102,5)+VLOOKUP($CU45-DS$103+1,Frauen!$AZ$9:$BD$102,5)),RundDx)))</f>
        <v>1797074382</v>
      </c>
      <c r="DT45" s="25">
        <f>IF($CU45&gt;=RAM,"",IF($CU45-DT$103&lt;BeginnAlter,"",ROUND(v^($CU45+FaktorAlter)*$L45*$D45*0.5*(VLOOKUP($CU45-DT$103,Frauen!$G$9:$J$102,4)+VLOOKUP($CU45-DT$103+1,Frauen!$G$9:$J$102,4))*0.5*(VLOOKUP($CU45-DT$103,Frauen!$AZ$9:$BD$102,5)+VLOOKUP($CU45-DT$103+1,Frauen!$AZ$9:$BD$102,5)),RundDx)))</f>
        <v>1828237690</v>
      </c>
      <c r="DU45" s="25">
        <f>IF($CU45&gt;=RAM,"",IF($CU45-DU$103&lt;BeginnAlter,"",ROUND(v^($CU45+FaktorAlter)*$L45*$D45*0.5*(VLOOKUP($CU45-DU$103,Frauen!$G$9:$J$102,4)+VLOOKUP($CU45-DU$103+1,Frauen!$G$9:$J$102,4))*0.5*(VLOOKUP($CU45-DU$103,Frauen!$AZ$9:$BD$102,5)+VLOOKUP($CU45-DU$103+1,Frauen!$AZ$9:$BD$102,5)),RundDx)))</f>
        <v>1858730232</v>
      </c>
      <c r="DV45" s="25">
        <f>IF($CU45&gt;=RAM,"",IF($CU45-DV$103&lt;BeginnAlter,"",ROUND(v^($CU45+FaktorAlter)*$L45*$D45*0.5*(VLOOKUP($CU45-DV$103,Frauen!$G$9:$J$102,4)+VLOOKUP($CU45-DV$103+1,Frauen!$G$9:$J$102,4))*0.5*(VLOOKUP($CU45-DV$103,Frauen!$AZ$9:$BD$102,5)+VLOOKUP($CU45-DV$103+1,Frauen!$AZ$9:$BD$102,5)),RundDx)))</f>
        <v>1888566686</v>
      </c>
      <c r="DW45" s="25">
        <f>IF($CU45&gt;=RAM,"",IF($CU45-DW$103&lt;BeginnAlter,"",ROUND(v^($CU45+FaktorAlter)*$L45*$D45*0.5*(VLOOKUP($CU45-DW$103,Frauen!$G$9:$J$102,4)+VLOOKUP($CU45-DW$103+1,Frauen!$G$9:$J$102,4))*0.5*(VLOOKUP($CU45-DW$103,Frauen!$AZ$9:$BD$102,5)+VLOOKUP($CU45-DW$103+1,Frauen!$AZ$9:$BD$102,5)),RundDx)))</f>
        <v>1917754081</v>
      </c>
      <c r="DX45" s="25">
        <f>IF($CU45&gt;=RAM,"",IF($CU45-DX$103&lt;BeginnAlter,"",ROUND(v^($CU45+FaktorAlter)*$L45*$D45*0.5*(VLOOKUP($CU45-DX$103,Frauen!$G$9:$J$102,4)+VLOOKUP($CU45-DX$103+1,Frauen!$G$9:$J$102,4))*0.5*(VLOOKUP($CU45-DX$103,Frauen!$AZ$9:$BD$102,5)+VLOOKUP($CU45-DX$103+1,Frauen!$AZ$9:$BD$102,5)),RundDx)))</f>
        <v>1946291048</v>
      </c>
      <c r="DY45" s="25">
        <f>IF($CU45&gt;=RAM,"",IF($CU45-DY$103&lt;BeginnAlter,"",ROUND(v^($CU45+FaktorAlter)*$L45*$D45*0.5*(VLOOKUP($CU45-DY$103,Frauen!$G$9:$J$102,4)+VLOOKUP($CU45-DY$103+1,Frauen!$G$9:$J$102,4))*0.5*(VLOOKUP($CU45-DY$103,Frauen!$AZ$9:$BD$102,5)+VLOOKUP($CU45-DY$103+1,Frauen!$AZ$9:$BD$102,5)),RundDx)))</f>
        <v>1974197040</v>
      </c>
      <c r="DZ45" s="25">
        <f>IF($CU45&gt;=RAM,"",IF($CU45-DZ$103&lt;BeginnAlter,"",ROUND(v^($CU45+FaktorAlter)*$L45*$D45*0.5*(VLOOKUP($CU45-DZ$103,Frauen!$G$9:$J$102,4)+VLOOKUP($CU45-DZ$103+1,Frauen!$G$9:$J$102,4))*0.5*(VLOOKUP($CU45-DZ$103,Frauen!$AZ$9:$BD$102,5)+VLOOKUP($CU45-DZ$103+1,Frauen!$AZ$9:$BD$102,5)),RundDx)))</f>
        <v>2001483284</v>
      </c>
      <c r="EA45" s="43">
        <f>IF($CU45&gt;=RAM,"",IF($CU45-EA$103&lt;BeginnAlter,"",ROUND((SUM(CV45:CV$56)+SUM(FN$9:FN$56))/VLOOKUP($CU45,$AH$9:$AI$102,2)/VLOOKUP($CU45-EA$103,Frauen!$G$9:$J$102,4),Rundäx)))</f>
        <v>2.722</v>
      </c>
      <c r="EB45" s="43">
        <f>IF($CU45&gt;=RAM,"",IF($CU45-EB$103&lt;BeginnAlter,"",ROUND((SUM(CW45:CW$56)+SUM(FO$9:FO$56))/VLOOKUP($CU45,$AH$9:$AI$102,2)/VLOOKUP($CU45-EB$103,Frauen!$G$9:$J$102,4),Rundäx)))</f>
        <v>2.91</v>
      </c>
      <c r="EC45" s="43">
        <f>IF($CU45&gt;=RAM,"",IF($CU45-EC$103&lt;BeginnAlter,"",ROUND((SUM(CX45:CX$56)+SUM(FP$9:FP$56))/VLOOKUP($CU45,$AH$9:$AI$102,2)/VLOOKUP($CU45-EC$103,Frauen!$G$9:$J$102,4),Rundäx)))</f>
        <v>3.105</v>
      </c>
      <c r="ED45" s="43">
        <f>IF($CU45&gt;=RAM,"",IF($CU45-ED$103&lt;BeginnAlter,"",ROUND((SUM(CY45:CY$56)+SUM(FQ$9:FQ$56))/VLOOKUP($CU45,$AH$9:$AI$102,2)/VLOOKUP($CU45-ED$103,Frauen!$G$9:$J$102,4),Rundäx)))</f>
        <v>3.3069999999999999</v>
      </c>
      <c r="EE45" s="43">
        <f>IF($CU45&gt;=RAM,"",IF($CU45-EE$103&lt;BeginnAlter,"",ROUND((SUM(CZ45:CZ$56)+SUM(FR$9:FR$56))/VLOOKUP($CU45,$AH$9:$AI$102,2)/VLOOKUP($CU45-EE$103,Frauen!$G$9:$J$102,4),Rundäx)))</f>
        <v>3.5169999999999999</v>
      </c>
      <c r="EF45" s="43">
        <f>IF($CU45&gt;=RAM,"",IF($CU45-EF$103&lt;BeginnAlter,"",ROUND((SUM(DA45:DA$56)+SUM(FS$9:FS$56))/VLOOKUP($CU45,$AH$9:$AI$102,2)/VLOOKUP($CU45-EF$103,Frauen!$G$9:$J$102,4),Rundäx)))</f>
        <v>3.734</v>
      </c>
      <c r="EG45" s="43">
        <f>IF($CU45&gt;=RAM,"",IF($CU45-EG$103&lt;BeginnAlter,"",ROUND((SUM(DB45:DB$56)+SUM(FT$9:FT$56))/VLOOKUP($CU45,$AH$9:$AI$102,2)/VLOOKUP($CU45-EG$103,Frauen!$G$9:$J$102,4),Rundäx)))</f>
        <v>3.96</v>
      </c>
      <c r="EH45" s="43">
        <f>IF($CU45&gt;=RAM,"",IF($CU45-EH$103&lt;BeginnAlter,"",ROUND((SUM(DC45:DC$56)+SUM(FU$9:FU$56))/VLOOKUP($CU45,$AH$9:$AI$102,2)/VLOOKUP($CU45-EH$103,Frauen!$G$9:$J$102,4),Rundäx)))</f>
        <v>4.1929999999999996</v>
      </c>
      <c r="EI45" s="86"/>
      <c r="EJ45" s="35">
        <f t="shared" si="60"/>
        <v>53</v>
      </c>
      <c r="EK45" s="43">
        <f>IF($CU45&gt;=RAM,"",IF($CU45-EK$103&lt;BeginnAlter,"",ROUND((SUM(DD45:DD$56)+SUM(FV$9:FV$56))/VLOOKUP($CU45,$AH$9:$AI$102,2)/VLOOKUP($CU45-EK$103,Frauen!$G$9:$J$102,4),Rundäx)))</f>
        <v>4.4349999999999996</v>
      </c>
      <c r="EL45" s="43">
        <f>IF($CU45&gt;=RAM,"",IF($CU45-EL$103&lt;BeginnAlter,"",ROUND((SUM(DE45:DE$56)+SUM(FW$9:FW$56))/VLOOKUP($CU45,$AH$9:$AI$102,2)/VLOOKUP($CU45-EL$103,Frauen!$G$9:$J$102,4),Rundäx)))</f>
        <v>4.6840000000000002</v>
      </c>
      <c r="EM45" s="43">
        <f>IF($CU45&gt;=RAM,"",IF($CU45-EM$103&lt;BeginnAlter,"",ROUND((SUM(DF45:DF$56)+SUM(FX$9:FX$56))/VLOOKUP($CU45,$AH$9:$AI$102,2)/VLOOKUP($CU45-EM$103,Frauen!$G$9:$J$102,4),Rundäx)))</f>
        <v>4.9420000000000002</v>
      </c>
      <c r="EN45" s="43">
        <f>IF($CU45&gt;=RAM,"",IF($CU45-EN$103&lt;BeginnAlter,"",ROUND((SUM(DG45:DG$56)+SUM(FY$9:FY$56))/VLOOKUP($CU45,$AH$9:$AI$102,2)/VLOOKUP($CU45-EN$103,Frauen!$G$9:$J$102,4),Rundäx)))</f>
        <v>5.2069999999999999</v>
      </c>
      <c r="EO45" s="43">
        <f>IF($CU45&gt;=RAM,"",IF($CU45-EO$103&lt;BeginnAlter,"",ROUND((SUM(DH45:DH$56)+SUM(FZ$9:FZ$56))/VLOOKUP($CU45,$AH$9:$AI$102,2)/VLOOKUP($CU45-EO$103,Frauen!$G$9:$J$102,4),Rundäx)))</f>
        <v>5.48</v>
      </c>
      <c r="EP45" s="43">
        <f>IF($CU45&gt;=RAM,"",IF($CU45-EP$103&lt;BeginnAlter,"",ROUND((SUM(DI45:DI$56)+SUM(GA$9:GA$56))/VLOOKUP($CU45,$AH$9:$AI$102,2)/VLOOKUP($CU45-EP$103,Frauen!$G$9:$J$102,4),Rundäx)))</f>
        <v>5.7590000000000003</v>
      </c>
      <c r="EQ45" s="43">
        <f>IF($CU45&gt;=RAM,"",IF($CU45-EQ$103&lt;BeginnAlter,"",ROUND((SUM(DJ45:DJ$56)+SUM(GB$9:GB$56))/VLOOKUP($CU45,$AH$9:$AI$102,2)/VLOOKUP($CU45-EQ$103,Frauen!$G$9:$J$102,4),Rundäx)))</f>
        <v>6.0449999999999999</v>
      </c>
      <c r="ER45" s="43">
        <f>IF($CU45&gt;=RAM,"",IF($CU45-ER$103&lt;BeginnAlter,"",ROUND((SUM(DK45:DK$56)+SUM(GC$9:GC$56))/VLOOKUP($CU45,$AH$9:$AI$102,2)/VLOOKUP($CU45-ER$103,Frauen!$G$9:$J$102,4),Rundäx)))</f>
        <v>6.3369999999999997</v>
      </c>
      <c r="ES45" s="86"/>
      <c r="ET45" s="35">
        <f t="shared" si="61"/>
        <v>53</v>
      </c>
      <c r="EU45" s="43">
        <f>IF($CU45&gt;=RAM,"",IF($CU45-EU$103&lt;BeginnAlter,"",ROUND((SUM(DL45:DL$56)+SUM(GD$9:GD$56))/VLOOKUP($CU45,$AH$9:$AI$102,2)/VLOOKUP($CU45-EU$103,Frauen!$G$9:$J$102,4),Rundäx)))</f>
        <v>6.6340000000000003</v>
      </c>
      <c r="EV45" s="43">
        <f>IF($CU45&gt;=RAM,"",IF($CU45-EV$103&lt;BeginnAlter,"",ROUND((SUM(DM45:DM$56)+SUM(GE$9:GE$56))/VLOOKUP($CU45,$AH$9:$AI$102,2)/VLOOKUP($CU45-EV$103,Frauen!$G$9:$J$102,4),Rundäx)))</f>
        <v>6.9359999999999999</v>
      </c>
      <c r="EW45" s="43">
        <f>IF($CU45&gt;=RAM,"",IF($CU45-EW$103&lt;BeginnAlter,"",ROUND((SUM(DN45:DN$56)+SUM(GF$9:GF$56))/VLOOKUP($CU45,$AH$9:$AI$102,2)/VLOOKUP($CU45-EW$103,Frauen!$G$9:$J$102,4),Rundäx)))</f>
        <v>7.2430000000000003</v>
      </c>
      <c r="EX45" s="43">
        <f>IF($CU45&gt;=RAM,"",IF($CU45-EX$103&lt;BeginnAlter,"",ROUND((SUM(DO45:DO$56)+SUM(GG$9:GG$56))/VLOOKUP($CU45,$AH$9:$AI$102,2)/VLOOKUP($CU45-EX$103,Frauen!$G$9:$J$102,4),Rundäx)))</f>
        <v>7.5540000000000003</v>
      </c>
      <c r="EY45" s="43">
        <f>IF($CU45&gt;=RAM,"",IF($CU45-EY$103&lt;BeginnAlter,"",ROUND((SUM(DP45:DP$56)+SUM(GH$9:GH$56))/VLOOKUP($CU45,$AH$9:$AI$102,2)/VLOOKUP($CU45-EY$103,Frauen!$G$9:$J$102,4),Rundäx)))</f>
        <v>7.8680000000000003</v>
      </c>
      <c r="EZ45" s="43">
        <f>IF($CU45&gt;=RAM,"",IF($CU45-EZ$103&lt;BeginnAlter,"",ROUND((SUM(DQ45:DQ$56)+SUM(GI$9:GI$56))/VLOOKUP($CU45,$AH$9:$AI$102,2)/VLOOKUP($CU45-EZ$103,Frauen!$G$9:$J$102,4),Rundäx)))</f>
        <v>8.1850000000000005</v>
      </c>
      <c r="FA45" s="43">
        <f>IF($CU45&gt;=RAM,"",IF($CU45-FA$103&lt;BeginnAlter,"",ROUND((SUM(DR45:DR$56)+SUM(GJ$9:GJ$56))/VLOOKUP($CU45,$AH$9:$AI$102,2)/VLOOKUP($CU45-FA$103,Frauen!$G$9:$J$102,4),Rundäx)))</f>
        <v>8.5030000000000001</v>
      </c>
      <c r="FB45" s="43">
        <f>IF($CU45&gt;=RAM,"",IF($CU45-FB$103&lt;BeginnAlter,"",ROUND((SUM(DS45:DS$56)+SUM(GK$9:GK$56))/VLOOKUP($CU45,$AH$9:$AI$102,2)/VLOOKUP($CU45-FB$103,Frauen!$G$9:$J$102,4),Rundäx)))</f>
        <v>8.8230000000000004</v>
      </c>
      <c r="FC45" s="86"/>
      <c r="FD45" s="35">
        <f t="shared" si="62"/>
        <v>53</v>
      </c>
      <c r="FE45" s="43">
        <f>IF($CU45&gt;=RAM,"",IF($CU45-FE$103&lt;BeginnAlter,"",ROUND((SUM(DT45:DT$56)+SUM(GL$9:GL$56))/VLOOKUP($CU45,$AH$9:$AI$102,2)/VLOOKUP($CU45-FE$103,Frauen!$G$9:$J$102,4),Rundäx)))</f>
        <v>9.1440000000000001</v>
      </c>
      <c r="FF45" s="43">
        <f>IF($CU45&gt;=RAM,"",IF($CU45-FF$103&lt;BeginnAlter,"",ROUND((SUM(DU45:DU$56)+SUM(GM$9:GM$56))/VLOOKUP($CU45,$AH$9:$AI$102,2)/VLOOKUP($CU45-FF$103,Frauen!$G$9:$J$102,4),Rundäx)))</f>
        <v>9.4649999999999999</v>
      </c>
      <c r="FG45" s="43">
        <f>IF($CU45&gt;=RAM,"",IF($CU45-FG$103&lt;BeginnAlter,"",ROUND((SUM(DV45:DV$56)+SUM(GN$9:GN$56))/VLOOKUP($CU45,$AH$9:$AI$102,2)/VLOOKUP($CU45-FG$103,Frauen!$G$9:$J$102,4),Rundäx)))</f>
        <v>9.7850000000000001</v>
      </c>
      <c r="FH45" s="43">
        <f>IF($CU45&gt;=RAM,"",IF($CU45-FH$103&lt;BeginnAlter,"",ROUND((SUM(DW45:DW$56)+SUM(GO$9:GO$56))/VLOOKUP($CU45,$AH$9:$AI$102,2)/VLOOKUP($CU45-FH$103,Frauen!$G$9:$J$102,4),Rundäx)))</f>
        <v>10.105</v>
      </c>
      <c r="FI45" s="43">
        <f>IF($CU45&gt;=RAM,"",IF($CU45-FI$103&lt;BeginnAlter,"",ROUND((SUM(DX45:DX$56)+SUM(GP$9:GP$56))/VLOOKUP($CU45,$AH$9:$AI$102,2)/VLOOKUP($CU45-FI$103,Frauen!$G$9:$J$102,4),Rundäx)))</f>
        <v>10.423</v>
      </c>
      <c r="FJ45" s="43">
        <f>IF($CU45&gt;=RAM,"",IF($CU45-FJ$103&lt;BeginnAlter,"",ROUND((SUM(DY45:DY$56)+SUM(GQ$9:GQ$56))/VLOOKUP($CU45,$AH$9:$AI$102,2)/VLOOKUP($CU45-FJ$103,Frauen!$G$9:$J$102,4),Rundäx)))</f>
        <v>10.74</v>
      </c>
      <c r="FK45" s="43">
        <f>IF($CU45&gt;=RAM,"",IF($CU45-FK$103&lt;BeginnAlter,"",ROUND((SUM(DZ45:DZ$56)+SUM(GR$9:GR$56))/VLOOKUP($CU45,$AH$9:$AI$102,2)/VLOOKUP($CU45-FK$103,Frauen!$G$9:$J$102,4),Rundäx)))</f>
        <v>11.054</v>
      </c>
      <c r="FL45" s="86"/>
      <c r="FM45" s="35">
        <f t="shared" si="68"/>
        <v>101</v>
      </c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>
        <f>ROUND(v^($FM45+FaktorAlter)*VLOOKUP($FM45,$G$9:$J$102,4)*VLOOKUP($FM45,$A$9:$E$102,5)*0.5*(VLOOKUP($FM45-GA$103,Frauen!$G$9:$J$102,4)+VLOOKUP($FM45-GA$103+1,Frauen!$G$9:$J$102,4))*0.5*(VLOOKUP($FM45-GA$103,Frauen!$AZ$9:$BD$102,5)+VLOOKUP($FM45-GA$103+1,Frauen!$AZ$9:$BD$102,5)),RundDx)</f>
        <v>549</v>
      </c>
      <c r="GB45" s="25">
        <f>ROUND(v^($FM45+FaktorAlter)*VLOOKUP($FM45,$G$9:$J$102,4)*VLOOKUP($FM45,$A$9:$E$102,5)*0.5*(VLOOKUP($FM45-GB$103,Frauen!$G$9:$J$102,4)+VLOOKUP($FM45-GB$103+1,Frauen!$G$9:$J$102,4))*0.5*(VLOOKUP($FM45-GB$103,Frauen!$AZ$9:$BD$102,5)+VLOOKUP($FM45-GB$103+1,Frauen!$AZ$9:$BD$102,5)),RundDx)</f>
        <v>2067</v>
      </c>
      <c r="GC45" s="25">
        <f>ROUND(v^($FM45+FaktorAlter)*VLOOKUP($FM45,$G$9:$J$102,4)*VLOOKUP($FM45,$A$9:$E$102,5)*0.5*(VLOOKUP($FM45-GC$103,Frauen!$G$9:$J$102,4)+VLOOKUP($FM45-GC$103+1,Frauen!$G$9:$J$102,4))*0.5*(VLOOKUP($FM45-GC$103,Frauen!$AZ$9:$BD$102,5)+VLOOKUP($FM45-GC$103+1,Frauen!$AZ$9:$BD$102,5)),RundDx)</f>
        <v>5411</v>
      </c>
      <c r="GD45" s="25">
        <f>ROUND(v^($FM45+FaktorAlter)*VLOOKUP($FM45,$G$9:$J$102,4)*VLOOKUP($FM45,$A$9:$E$102,5)*0.5*(VLOOKUP($FM45-GD$103,Frauen!$G$9:$J$102,4)+VLOOKUP($FM45-GD$103+1,Frauen!$G$9:$J$102,4))*0.5*(VLOOKUP($FM45-GD$103,Frauen!$AZ$9:$BD$102,5)+VLOOKUP($FM45-GD$103+1,Frauen!$AZ$9:$BD$102,5)),RundDx)</f>
        <v>11889</v>
      </c>
      <c r="GE45" s="25">
        <f>ROUND(v^($FM45+FaktorAlter)*VLOOKUP($FM45,$G$9:$J$102,4)*VLOOKUP($FM45,$A$9:$E$102,5)*0.5*(VLOOKUP($FM45-GE$103,Frauen!$G$9:$J$102,4)+VLOOKUP($FM45-GE$103+1,Frauen!$G$9:$J$102,4))*0.5*(VLOOKUP($FM45-GE$103,Frauen!$AZ$9:$BD$102,5)+VLOOKUP($FM45-GE$103+1,Frauen!$AZ$9:$BD$102,5)),RundDx)</f>
        <v>23047</v>
      </c>
      <c r="GF45" s="25">
        <f>ROUND(v^($FM45+FaktorAlter)*VLOOKUP($FM45,$G$9:$J$102,4)*VLOOKUP($FM45,$A$9:$E$102,5)*0.5*(VLOOKUP($FM45-GF$103,Frauen!$G$9:$J$102,4)+VLOOKUP($FM45-GF$103+1,Frauen!$G$9:$J$102,4))*0.5*(VLOOKUP($FM45-GF$103,Frauen!$AZ$9:$BD$102,5)+VLOOKUP($FM45-GF$103+1,Frauen!$AZ$9:$BD$102,5)),RundDx)</f>
        <v>41094</v>
      </c>
      <c r="GG45" s="25">
        <f>ROUND(v^($FM45+FaktorAlter)*VLOOKUP($FM45,$G$9:$J$102,4)*VLOOKUP($FM45,$A$9:$E$102,5)*0.5*(VLOOKUP($FM45-GG$103,Frauen!$G$9:$J$102,4)+VLOOKUP($FM45-GG$103+1,Frauen!$G$9:$J$102,4))*0.5*(VLOOKUP($FM45-GG$103,Frauen!$AZ$9:$BD$102,5)+VLOOKUP($FM45-GG$103+1,Frauen!$AZ$9:$BD$102,5)),RundDx)</f>
        <v>68452</v>
      </c>
      <c r="GH45" s="25">
        <f>ROUND(v^($FM45+FaktorAlter)*VLOOKUP($FM45,$G$9:$J$102,4)*VLOOKUP($FM45,$A$9:$E$102,5)*0.5*(VLOOKUP($FM45-GH$103,Frauen!$G$9:$J$102,4)+VLOOKUP($FM45-GH$103+1,Frauen!$G$9:$J$102,4))*0.5*(VLOOKUP($FM45-GH$103,Frauen!$AZ$9:$BD$102,5)+VLOOKUP($FM45-GH$103+1,Frauen!$AZ$9:$BD$102,5)),RundDx)</f>
        <v>108192</v>
      </c>
      <c r="GI45" s="25">
        <f>ROUND(v^($FM45+FaktorAlter)*VLOOKUP($FM45,$G$9:$J$102,4)*VLOOKUP($FM45,$A$9:$E$102,5)*0.5*(VLOOKUP($FM45-GI$103,Frauen!$G$9:$J$102,4)+VLOOKUP($FM45-GI$103+1,Frauen!$G$9:$J$102,4))*0.5*(VLOOKUP($FM45-GI$103,Frauen!$AZ$9:$BD$102,5)+VLOOKUP($FM45-GI$103+1,Frauen!$AZ$9:$BD$102,5)),RundDx)</f>
        <v>163813</v>
      </c>
      <c r="GJ45" s="25">
        <f>ROUND(v^($FM45+FaktorAlter)*VLOOKUP($FM45,$G$9:$J$102,4)*VLOOKUP($FM45,$A$9:$E$102,5)*0.5*(VLOOKUP($FM45-GJ$103,Frauen!$G$9:$J$102,4)+VLOOKUP($FM45-GJ$103+1,Frauen!$G$9:$J$102,4))*0.5*(VLOOKUP($FM45-GJ$103,Frauen!$AZ$9:$BD$102,5)+VLOOKUP($FM45-GJ$103+1,Frauen!$AZ$9:$BD$102,5)),RundDx)</f>
        <v>239082</v>
      </c>
      <c r="GK45" s="25">
        <f>ROUND(v^($FM45+FaktorAlter)*VLOOKUP($FM45,$G$9:$J$102,4)*VLOOKUP($FM45,$A$9:$E$102,5)*0.5*(VLOOKUP($FM45-GK$103,Frauen!$G$9:$J$102,4)+VLOOKUP($FM45-GK$103+1,Frauen!$G$9:$J$102,4))*0.5*(VLOOKUP($FM45-GK$103,Frauen!$AZ$9:$BD$102,5)+VLOOKUP($FM45-GK$103+1,Frauen!$AZ$9:$BD$102,5)),RundDx)</f>
        <v>337822</v>
      </c>
      <c r="GL45" s="25">
        <f>ROUND(v^($FM45+FaktorAlter)*VLOOKUP($FM45,$G$9:$J$102,4)*VLOOKUP($FM45,$A$9:$E$102,5)*0.5*(VLOOKUP($FM45-GL$103,Frauen!$G$9:$J$102,4)+VLOOKUP($FM45-GL$103+1,Frauen!$G$9:$J$102,4))*0.5*(VLOOKUP($FM45-GL$103,Frauen!$AZ$9:$BD$102,5)+VLOOKUP($FM45-GL$103+1,Frauen!$AZ$9:$BD$102,5)),RundDx)</f>
        <v>464328</v>
      </c>
      <c r="GM45" s="25">
        <f>ROUND(v^($FM45+FaktorAlter)*VLOOKUP($FM45,$G$9:$J$102,4)*VLOOKUP($FM45,$A$9:$E$102,5)*0.5*(VLOOKUP($FM45-GM$103,Frauen!$G$9:$J$102,4)+VLOOKUP($FM45-GM$103+1,Frauen!$G$9:$J$102,4))*0.5*(VLOOKUP($FM45-GM$103,Frauen!$AZ$9:$BD$102,5)+VLOOKUP($FM45-GM$103+1,Frauen!$AZ$9:$BD$102,5)),RundDx)</f>
        <v>621180</v>
      </c>
      <c r="GN45" s="25">
        <f>ROUND(v^($FM45+FaktorAlter)*VLOOKUP($FM45,$G$9:$J$102,4)*VLOOKUP($FM45,$A$9:$E$102,5)*0.5*(VLOOKUP($FM45-GN$103,Frauen!$G$9:$J$102,4)+VLOOKUP($FM45-GN$103+1,Frauen!$G$9:$J$102,4))*0.5*(VLOOKUP($FM45-GN$103,Frauen!$AZ$9:$BD$102,5)+VLOOKUP($FM45-GN$103+1,Frauen!$AZ$9:$BD$102,5)),RundDx)</f>
        <v>808685</v>
      </c>
      <c r="GO45" s="25">
        <f>ROUND(v^($FM45+FaktorAlter)*VLOOKUP($FM45,$G$9:$J$102,4)*VLOOKUP($FM45,$A$9:$E$102,5)*0.5*(VLOOKUP($FM45-GO$103,Frauen!$G$9:$J$102,4)+VLOOKUP($FM45-GO$103+1,Frauen!$G$9:$J$102,4))*0.5*(VLOOKUP($FM45-GO$103,Frauen!$AZ$9:$BD$102,5)+VLOOKUP($FM45-GO$103+1,Frauen!$AZ$9:$BD$102,5)),RundDx)</f>
        <v>1028452</v>
      </c>
      <c r="GP45" s="25">
        <f>ROUND(v^($FM45+FaktorAlter)*VLOOKUP($FM45,$G$9:$J$102,4)*VLOOKUP($FM45,$A$9:$E$102,5)*0.5*(VLOOKUP($FM45-GP$103,Frauen!$G$9:$J$102,4)+VLOOKUP($FM45-GP$103+1,Frauen!$G$9:$J$102,4))*0.5*(VLOOKUP($FM45-GP$103,Frauen!$AZ$9:$BD$102,5)+VLOOKUP($FM45-GP$103+1,Frauen!$AZ$9:$BD$102,5)),RundDx)</f>
        <v>1280762</v>
      </c>
      <c r="GQ45" s="25">
        <f>ROUND(v^($FM45+FaktorAlter)*VLOOKUP($FM45,$G$9:$J$102,4)*VLOOKUP($FM45,$A$9:$E$102,5)*0.5*(VLOOKUP($FM45-GQ$103,Frauen!$G$9:$J$102,4)+VLOOKUP($FM45-GQ$103+1,Frauen!$G$9:$J$102,4))*0.5*(VLOOKUP($FM45-GQ$103,Frauen!$AZ$9:$BD$102,5)+VLOOKUP($FM45-GQ$103+1,Frauen!$AZ$9:$BD$102,5)),RundDx)</f>
        <v>1564837</v>
      </c>
      <c r="GR45" s="25">
        <f>ROUND(v^($FM45+FaktorAlter)*VLOOKUP($FM45,$G$9:$J$102,4)*VLOOKUP($FM45,$A$9:$E$102,5)*0.5*(VLOOKUP($FM45-GR$103,Frauen!$G$9:$J$102,4)+VLOOKUP($FM45-GR$103+1,Frauen!$G$9:$J$102,4))*0.5*(VLOOKUP($FM45-GR$103,Frauen!$AZ$9:$BD$102,5)+VLOOKUP($FM45-GR$103+1,Frauen!$AZ$9:$BD$102,5)),RundDx)</f>
        <v>1879231</v>
      </c>
      <c r="GS45" s="24"/>
      <c r="GT45" s="24"/>
      <c r="GU45" s="24"/>
      <c r="GV45" s="24"/>
      <c r="GW45" s="24"/>
      <c r="GX45" s="24"/>
      <c r="GY45" s="24"/>
      <c r="GZ45" s="24"/>
      <c r="HA45" s="86"/>
      <c r="HB45" s="35">
        <f t="shared" si="63"/>
        <v>101</v>
      </c>
      <c r="HC45" s="24"/>
      <c r="HD45" s="24"/>
      <c r="HE45" s="24"/>
      <c r="HF45" s="24"/>
      <c r="HG45" s="24"/>
      <c r="HH45" s="24">
        <f>ROUND(SUM(GA45:GA$56)/VLOOKUP($FM45,$AQ$9:$AR$102,2)/VLOOKUP($FM45-HH$103,Frauen!$G$9:$J$102,4),Rundäx)</f>
        <v>0.309</v>
      </c>
      <c r="HI45" s="24">
        <f>ROUND(SUM(GB45:GB$56)/VLOOKUP($FM45,$AQ$9:$AR$102,2)/VLOOKUP($FM45-HI$103,Frauen!$G$9:$J$102,4),Rundäx)</f>
        <v>0.50600000000000001</v>
      </c>
      <c r="HJ45" s="24">
        <f>ROUND(SUM(GC45:GC$56)/VLOOKUP($FM45,$AQ$9:$AR$102,2)/VLOOKUP($FM45-HJ$103,Frauen!$G$9:$J$102,4),Rundäx)</f>
        <v>0.66300000000000003</v>
      </c>
      <c r="HK45" s="86"/>
      <c r="HL45" s="35">
        <f t="shared" si="64"/>
        <v>101</v>
      </c>
      <c r="HM45" s="24">
        <f>ROUND(SUM(GD45:GD$56)/VLOOKUP($FM45,$AQ$9:$AR$102,2)/VLOOKUP($FM45-HM$103,Frauen!$G$9:$J$102,4),Rundäx)</f>
        <v>0.81899999999999995</v>
      </c>
      <c r="HN45" s="24">
        <f>ROUND(SUM(GE45:GE$56)/VLOOKUP($FM45,$AQ$9:$AR$102,2)/VLOOKUP($FM45-HN$103,Frauen!$G$9:$J$102,4),Rundäx)</f>
        <v>0.97899999999999998</v>
      </c>
      <c r="HO45" s="24">
        <f>ROUND(SUM(GF45:GF$56)/VLOOKUP($FM45,$AQ$9:$AR$102,2)/VLOOKUP($FM45-HO$103,Frauen!$G$9:$J$102,4),Rundäx)</f>
        <v>1.151</v>
      </c>
      <c r="HP45" s="24">
        <f>ROUND(SUM(GG45:GG$56)/VLOOKUP($FM45,$AQ$9:$AR$102,2)/VLOOKUP($FM45-HP$103,Frauen!$G$9:$J$102,4),Rundäx)</f>
        <v>1.337</v>
      </c>
      <c r="HQ45" s="24">
        <f>ROUND(SUM(GH45:GH$56)/VLOOKUP($FM45,$AQ$9:$AR$102,2)/VLOOKUP($FM45-HQ$103,Frauen!$G$9:$J$102,4),Rundäx)</f>
        <v>1.538</v>
      </c>
      <c r="HR45" s="24">
        <f>ROUND(SUM(GI45:GI$56)/VLOOKUP($FM45,$AQ$9:$AR$102,2)/VLOOKUP($FM45-HR$103,Frauen!$G$9:$J$102,4),Rundäx)</f>
        <v>1.7569999999999999</v>
      </c>
      <c r="HS45" s="24">
        <f>ROUND(SUM(GJ45:GJ$56)/VLOOKUP($FM45,$AQ$9:$AR$102,2)/VLOOKUP($FM45-HS$103,Frauen!$G$9:$J$102,4),Rundäx)</f>
        <v>1.996</v>
      </c>
      <c r="HT45" s="24">
        <f>ROUND(SUM(GK45:GK$56)/VLOOKUP($FM45,$AQ$9:$AR$102,2)/VLOOKUP($FM45-HT$103,Frauen!$G$9:$J$102,4),Rundäx)</f>
        <v>2.2559999999999998</v>
      </c>
      <c r="HU45" s="86"/>
      <c r="HV45" s="35">
        <f t="shared" si="65"/>
        <v>101</v>
      </c>
      <c r="HW45" s="24">
        <f>ROUND(SUM(GL45:GL$56)/VLOOKUP($FM45,$AQ$9:$AR$102,2)/VLOOKUP($FM45-HW$103,Frauen!$G$9:$J$102,4),Rundäx)</f>
        <v>2.5379999999999998</v>
      </c>
      <c r="HX45" s="24">
        <f>ROUND(SUM(GM45:GM$56)/VLOOKUP($FM45,$AQ$9:$AR$102,2)/VLOOKUP($FM45-HX$103,Frauen!$G$9:$J$102,4),Rundäx)</f>
        <v>2.8420000000000001</v>
      </c>
      <c r="HY45" s="24">
        <f>ROUND(SUM(GN45:GN$56)/VLOOKUP($FM45,$AQ$9:$AR$102,2)/VLOOKUP($FM45-HY$103,Frauen!$G$9:$J$102,4),Rundäx)</f>
        <v>3.16</v>
      </c>
      <c r="HZ45" s="24">
        <f>ROUND(SUM(GO45:GO$56)/VLOOKUP($FM45,$AQ$9:$AR$102,2)/VLOOKUP($FM45-HZ$103,Frauen!$G$9:$J$102,4),Rundäx)</f>
        <v>3.4950000000000001</v>
      </c>
      <c r="IA45" s="24">
        <f>ROUND(SUM(GP45:GP$56)/VLOOKUP($FM45,$AQ$9:$AR$102,2)/VLOOKUP($FM45-IA$103,Frauen!$G$9:$J$102,4),Rundäx)</f>
        <v>3.8490000000000002</v>
      </c>
      <c r="IB45" s="24">
        <f>ROUND(SUM(GQ45:GQ$56)/VLOOKUP($FM45,$AQ$9:$AR$102,2)/VLOOKUP($FM45-IB$103,Frauen!$G$9:$J$102,4),Rundäx)</f>
        <v>4.2220000000000004</v>
      </c>
      <c r="IC45" s="24">
        <f>ROUND(SUM(GR45:GR$56)/VLOOKUP($FM45,$AQ$9:$AR$102,2)/VLOOKUP($FM45-IC$103,Frauen!$G$9:$J$102,4),Rundäx)</f>
        <v>4.6180000000000003</v>
      </c>
      <c r="ID45" s="89"/>
      <c r="IE45" s="35">
        <f t="shared" ref="IE45:IE76" si="81">1+IE44</f>
        <v>53</v>
      </c>
      <c r="IF45" s="25">
        <f t="shared" si="31"/>
        <v>235</v>
      </c>
      <c r="IG45" s="25">
        <f>IF($IE45&lt;RAM,IF(S46&lt;=RAK,ROUND(SUM(IF45:INDEX(Dakx,RAM-BeginnAlter))+INDEX(Dax,RAM-BeginnAlter+1)*INDEX(äkx,1),RundDx),0),"")</f>
        <v>1221</v>
      </c>
      <c r="IH45" s="25">
        <f>IF($IE45&lt;RAM,IF(S46&lt;=RAK,ROUND(SUM(IG45:INDEX(Nakx,RAM-BeginnAlter))+INDEX(Dax,RAM-BeginnAlter+1)*INDEX(äkx,1),RundDx),0),"")</f>
        <v>5843</v>
      </c>
      <c r="II45" s="24">
        <f t="shared" si="32"/>
        <v>4.3999999999999997E-2</v>
      </c>
      <c r="IJ45" s="25">
        <f t="shared" si="33"/>
        <v>1898</v>
      </c>
      <c r="IK45" s="25">
        <f>IF($IE45&lt;RAM,IF(S46&lt;=RAK,SUM(IJ45:INDEX(Dikx,RAM-BeginnAlter))+INDEX(Dix,RAM-BeginnAlter+1)*INDEX(äkx,1),0),"")</f>
        <v>6710.8320000000003</v>
      </c>
      <c r="IL45" s="24">
        <f t="shared" si="34"/>
        <v>0.192</v>
      </c>
      <c r="IM45" s="86"/>
      <c r="IN45" s="35">
        <f t="shared" si="67"/>
        <v>101</v>
      </c>
      <c r="IO45" s="25"/>
      <c r="IP45" s="25"/>
      <c r="IQ45" s="24"/>
      <c r="IR45" s="86"/>
    </row>
    <row r="46" spans="1:252" ht="15.75" customHeight="1" x14ac:dyDescent="0.25">
      <c r="A46" s="35">
        <f t="shared" si="69"/>
        <v>54</v>
      </c>
      <c r="B46" s="77">
        <v>3.0290698160154142E-3</v>
      </c>
      <c r="C46" s="77">
        <v>9.5694721815366562E-3</v>
      </c>
      <c r="D46" s="77">
        <v>2.0969462836235013E-2</v>
      </c>
      <c r="E46" s="77">
        <v>4.1164363422522277E-3</v>
      </c>
      <c r="F46" s="86"/>
      <c r="G46" s="35">
        <f t="shared" si="70"/>
        <v>54</v>
      </c>
      <c r="H46" s="25">
        <f t="shared" si="37"/>
        <v>89980</v>
      </c>
      <c r="I46" s="25">
        <f t="shared" si="38"/>
        <v>5248</v>
      </c>
      <c r="J46" s="25">
        <f t="shared" si="39"/>
        <v>95228</v>
      </c>
      <c r="K46" s="30">
        <f>IF(J46&gt;0,ROUND(SUM(J46:J$102)/J46-0.5,Rundex),"")</f>
        <v>26.66</v>
      </c>
      <c r="L46" s="25">
        <f t="shared" si="0"/>
        <v>111491</v>
      </c>
      <c r="M46" s="30">
        <f>IF(L46&gt;0,ROUND(SUM(L46:L$102)/L46-0.5,Rundex),"")</f>
        <v>23.47</v>
      </c>
      <c r="N46" s="86"/>
      <c r="O46" s="35">
        <f t="shared" si="71"/>
        <v>54</v>
      </c>
      <c r="P46" s="43">
        <v>0.7863035765462949</v>
      </c>
      <c r="Q46" s="78">
        <v>51.414449523716776</v>
      </c>
      <c r="R46" s="43">
        <v>0.29825830351295846</v>
      </c>
      <c r="S46" s="78">
        <v>16.459041667652354</v>
      </c>
      <c r="T46" s="15">
        <v>4.1133325315426683E-3</v>
      </c>
      <c r="U46" s="11">
        <f t="shared" si="40"/>
        <v>95229</v>
      </c>
      <c r="V46" s="30">
        <f>IF(U46&gt;0,ROUND(SUM(U46:U$102)/U46-0.5,Rundex),"")</f>
        <v>24.19</v>
      </c>
      <c r="W46" s="86"/>
      <c r="X46" s="35">
        <f t="shared" si="72"/>
        <v>54</v>
      </c>
      <c r="Y46" s="25">
        <f t="shared" si="1"/>
        <v>27060</v>
      </c>
      <c r="Z46" s="25">
        <f>IF($X46&lt;RAM,SUM(Y46:INDEX(Dax,RAM-BeginnAlter))," ")</f>
        <v>240269</v>
      </c>
      <c r="AA46" s="25">
        <f t="shared" si="2"/>
        <v>81</v>
      </c>
      <c r="AB46" s="25">
        <f>IF($X46&lt;RAM,SUM(AA46:INDEX(Cax,RAM-BeginnAlter))," ")</f>
        <v>1316</v>
      </c>
      <c r="AC46" s="25">
        <f t="shared" si="3"/>
        <v>256</v>
      </c>
      <c r="AD46" s="25">
        <f>IF($X46&lt;RAM,SUM(AC46:INDEX(Caix,RAM-BeginnAlter))," ")</f>
        <v>5755</v>
      </c>
      <c r="AE46" s="24">
        <f t="shared" si="4"/>
        <v>8.8789999999999996</v>
      </c>
      <c r="AF46" s="24">
        <f t="shared" si="5"/>
        <v>8.6709999999999994</v>
      </c>
      <c r="AG46" s="86"/>
      <c r="AH46" s="35">
        <f t="shared" si="73"/>
        <v>54</v>
      </c>
      <c r="AI46" s="25">
        <f t="shared" si="6"/>
        <v>33529</v>
      </c>
      <c r="AJ46" s="25">
        <f>IF($AH46&gt;RAM," ",IF($AH46&lt;RAM,SUM(AI46:INDEX(Dix,RAM-BeginnAlter))+INDEX(Nx,RAM-BeginnAlter+1),INDEX(Nx,RAM-BeginnAlter+1)))</f>
        <v>595959</v>
      </c>
      <c r="AK46" s="25">
        <f>IF($AH46&lt;RAM,SUM(AI46:INDEX(Dix,RAM-BeginnAlter))," ")</f>
        <v>298712</v>
      </c>
      <c r="AL46" s="24">
        <f t="shared" si="7"/>
        <v>17.774000000000001</v>
      </c>
      <c r="AM46" s="24">
        <f t="shared" si="8"/>
        <v>17.315999999999999</v>
      </c>
      <c r="AN46" s="24">
        <f t="shared" si="9"/>
        <v>8.9090000000000007</v>
      </c>
      <c r="AO46" s="24">
        <f t="shared" si="10"/>
        <v>8.7309999999999999</v>
      </c>
      <c r="AP46" s="86"/>
      <c r="AQ46" s="35">
        <f t="shared" si="74"/>
        <v>54</v>
      </c>
      <c r="AR46" s="25">
        <f t="shared" si="11"/>
        <v>28638</v>
      </c>
      <c r="AS46" s="25">
        <f>SUM(AR46:AR$94)</f>
        <v>571562</v>
      </c>
      <c r="AT46" s="25">
        <f>IF($AQ46&lt;RAM,SUM(AR46:INDEX(Dx,RAM-BeginnAlter))," ")</f>
        <v>274315</v>
      </c>
      <c r="AU46" s="24">
        <f t="shared" si="12"/>
        <v>19.957999999999998</v>
      </c>
      <c r="AV46" s="24">
        <f t="shared" si="13"/>
        <v>19.5</v>
      </c>
      <c r="AW46" s="24">
        <f t="shared" si="14"/>
        <v>9.5790000000000006</v>
      </c>
      <c r="AX46" s="24">
        <f t="shared" si="15"/>
        <v>9.4480000000000004</v>
      </c>
      <c r="AY46" s="86"/>
      <c r="AZ46" s="35">
        <f t="shared" si="75"/>
        <v>54</v>
      </c>
      <c r="BA46" s="25">
        <f t="shared" si="16"/>
        <v>28638</v>
      </c>
      <c r="BB46" s="25">
        <f>SUM(BA46:BA$94)</f>
        <v>529511</v>
      </c>
      <c r="BC46" s="24">
        <f t="shared" si="17"/>
        <v>18.489999999999998</v>
      </c>
      <c r="BD46" s="24">
        <f t="shared" si="18"/>
        <v>18.030999999999999</v>
      </c>
      <c r="BE46" s="86"/>
      <c r="BF46" s="35">
        <f t="shared" si="48"/>
        <v>37</v>
      </c>
      <c r="BG46" s="24" t="str">
        <f t="shared" si="19"/>
        <v/>
      </c>
      <c r="BH46" s="24" t="str">
        <f t="shared" si="20"/>
        <v/>
      </c>
      <c r="BI46" s="86"/>
      <c r="BJ46" s="35">
        <f t="shared" si="76"/>
        <v>54</v>
      </c>
      <c r="BK46" s="25">
        <f t="shared" si="21"/>
        <v>4402</v>
      </c>
      <c r="BL46" s="25">
        <f>IF(BJ46&lt;RAM,SUM(BK46:INDEX(Daix,RAM-BeginnAlter))," ")</f>
        <v>88983</v>
      </c>
      <c r="BM46" s="25">
        <f>IF(BJ46&lt;RAM,SUM(BL46:INDEX(Naix,RAM-BeginnAlter))," ")</f>
        <v>610667</v>
      </c>
      <c r="BN46" s="24">
        <f t="shared" si="22"/>
        <v>7.6769999999999996</v>
      </c>
      <c r="BO46" s="24">
        <f t="shared" si="23"/>
        <v>3.2879999999999998</v>
      </c>
      <c r="BP46" s="86"/>
      <c r="BQ46" s="35">
        <f t="shared" si="77"/>
        <v>54</v>
      </c>
      <c r="BR46" s="25">
        <f t="shared" si="51"/>
        <v>2155</v>
      </c>
      <c r="BS46" s="25">
        <f>IF(BQ46&lt;RAM,SUM(BR46:INDEX(Daixs,RAM-BeginnAlter))," ")</f>
        <v>22425</v>
      </c>
      <c r="BT46" s="25">
        <f>IF(BQ46&lt;RAM,SUM(BS46:INDEX(Naixs,RAM-BeginnAlter))," ")</f>
        <v>117112</v>
      </c>
      <c r="BU46" s="24">
        <f t="shared" si="52"/>
        <v>10.137</v>
      </c>
      <c r="BV46" s="24">
        <f t="shared" si="53"/>
        <v>0.82899999999999996</v>
      </c>
      <c r="BW46" s="86"/>
      <c r="BX46" s="35">
        <f t="shared" si="78"/>
        <v>54</v>
      </c>
      <c r="BY46" s="10">
        <f t="shared" si="24"/>
        <v>7.1036897653397055</v>
      </c>
      <c r="BZ46" s="11">
        <f t="shared" si="25"/>
        <v>489</v>
      </c>
      <c r="CA46" s="25">
        <f>IF(S47&lt;=RAK,IF($BX46&lt;RAM,SUM(BZ46:INDEX(Dazx,RAM-BeginnAlter)),""),"")</f>
        <v>2389</v>
      </c>
      <c r="CB46" s="24">
        <f t="shared" si="26"/>
        <v>8.7999999999999995E-2</v>
      </c>
      <c r="CC46" s="25">
        <f t="shared" si="27"/>
        <v>22317</v>
      </c>
      <c r="CD46" s="24">
        <f t="shared" si="28"/>
        <v>15.26</v>
      </c>
      <c r="CE46" s="24">
        <f t="shared" si="29"/>
        <v>3.7999999999999999E-2</v>
      </c>
      <c r="CF46" s="86"/>
      <c r="CG46" s="35">
        <f t="shared" si="79"/>
        <v>54</v>
      </c>
      <c r="CH46" s="25">
        <f>IF(CG46&lt;RAM,ROUND(v^($CG46+FaktorAlter)*$H46*($B46*0.5*($P46+$P47)*(VLOOKUP(TRUNC(0.5*($Q46+$Q47),0),Frauen!$AZ$9:$BD$95,5)+(0.5*($Q46+$Q47)-TRUNC(0.5*($Q46+$Q47),0))*(VLOOKUP(TRUNC(0.5*($Q46+$Q47)+1,0),Frauen!$AZ$9:$BD$95,5)-VLOOKUP(TRUNC(0.5*($Q46+$Q47),0),Frauen!$AZ$9:$BD$95,5)))+$C46*0.5*($CN46+$CN47)),RundDx),"")</f>
        <v>3065</v>
      </c>
      <c r="CI46" s="25">
        <f>IF(CG46&lt;RAM,ROUND(SUM(CH46:INDEX(Dawx,RAM-BeginnAlter))+INDEX(Dax,RAM-BeginnAlter+1)*INDEX(äwx,1),RundDx),"")</f>
        <v>131692</v>
      </c>
      <c r="CJ46" s="25">
        <f>IF(CG46&lt;RAM,ROUND(SUM(CI46:INDEX(Nawx,RAM-BeginnAlter))+INDEX(Dax,RAM-BeginnAlter+1)*INDEX(äwx,1),RundDx),"")</f>
        <v>1294785</v>
      </c>
      <c r="CK46" s="24">
        <f t="shared" si="56"/>
        <v>4.867</v>
      </c>
      <c r="CL46" s="25">
        <f>IF(CG46&lt;RAM,ROUND(v^($CG46+FaktorAlter)*$L46*$D46*0.5*($P46+$P47)*(VLOOKUP(TRUNC(0.5*($Q46+$Q47),0),Frauen!$AZ$9:$BD$95,5)+(0.5*($Q46+$Q47)-TRUNC(0.5*($Q46+$Q47),0))*(VLOOKUP(TRUNC(0.5*($Q46+$Q47)+1,0),Frauen!$AZ$9:$BD$95,5)-VLOOKUP(TRUNC(0.5*($Q46+$Q47),0),Frauen!$AZ$9:$BD$95,5))),RundDx),"")</f>
        <v>12383</v>
      </c>
      <c r="CM46" s="25">
        <f>IF(CG46&lt;RAM,SUM(CL46:INDEX(Diwx,RAM-BeginnAlter))+INDEX(Dix,RAM-BeginnAlter+1)*INDEX(äwx,1),"")</f>
        <v>214057.41399999999</v>
      </c>
      <c r="CN46" s="24">
        <f t="shared" si="57"/>
        <v>6.3840000000000003</v>
      </c>
      <c r="CO46" s="86"/>
      <c r="CP46" s="35">
        <f t="shared" si="58"/>
        <v>102</v>
      </c>
      <c r="CQ46" s="11">
        <f>ROUND(v^($CP46+FaktorAlter)*VLOOKUP(CP46,G$9:J$102,4)*VLOOKUP(CP46,A$9:E$102,5)*0.5*(VLOOKUP(CP46,O$9:P$102,2)+VLOOKUP(CP46+1,O$9:P$102,2))*(VLOOKUP(TRUNC(0.5*(VLOOKUP(CP46,O$9:Q$102,3)+VLOOKUP(CP46+1,O$9:Q$102,3)),0),Frauen!$AZ$9:$BD$95,5)+(0.5*(VLOOKUP(CP46,O$9:Q$102,3)+VLOOKUP(CP46+1,O$9:Q$102,3))-TRUNC(0.5*(VLOOKUP(CP46,O$9:Q$102,3)+VLOOKUP(CP46+1,O$9:Q$102,3)),0))*(VLOOKUP(TRUNC(0.5*(VLOOKUP(CP46,O$9:Q$102,3)+VLOOKUP(CP46+1,O$9:Q$102,3))+1,0),Frauen!$AZ$9:$BD$95,5)-VLOOKUP(TRUNC(0.5*(VLOOKUP(CP46,O$9:Q$102,3)+VLOOKUP(CP46+1,O$9:Q$102,3)),0),Frauen!$AZ$9:$BD$95,5))),RundDx)</f>
        <v>0</v>
      </c>
      <c r="CR46" s="25">
        <f>SUM(CQ46:CQ$56)</f>
        <v>0</v>
      </c>
      <c r="CS46" s="24">
        <f t="shared" si="30"/>
        <v>0</v>
      </c>
      <c r="CT46" s="86"/>
      <c r="CU46" s="35">
        <f t="shared" si="80"/>
        <v>54</v>
      </c>
      <c r="CV46" s="25">
        <f>IF($CU46&gt;=RAM,"",IF($CU46-CV$103&lt;BeginnAlter,"",ROUND(v^($CU46+FaktorAlter)*$L46*$D46*0.5*(VLOOKUP($CU46-CV$103,Frauen!$G$9:$J$102,4)+VLOOKUP($CU46-CV$103+1,Frauen!$G$9:$J$102,4))*0.5*(VLOOKUP($CU46-CV$103,Frauen!$AZ$9:$BD$102,5)+VLOOKUP($CU46-CV$103+1,Frauen!$AZ$9:$BD$102,5)),RundDx)))</f>
        <v>833101880</v>
      </c>
      <c r="CW46" s="25">
        <f>IF($CU46&gt;=RAM,"",IF($CU46-CW$103&lt;BeginnAlter,"",ROUND(v^($CU46+FaktorAlter)*$L46*$D46*0.5*(VLOOKUP($CU46-CW$103,Frauen!$G$9:$J$102,4)+VLOOKUP($CU46-CW$103+1,Frauen!$G$9:$J$102,4))*0.5*(VLOOKUP($CU46-CW$103,Frauen!$AZ$9:$BD$102,5)+VLOOKUP($CU46-CW$103+1,Frauen!$AZ$9:$BD$102,5)),RundDx)))</f>
        <v>876883957</v>
      </c>
      <c r="CX46" s="25">
        <f>IF($CU46&gt;=RAM,"",IF($CU46-CX$103&lt;BeginnAlter,"",ROUND(v^($CU46+FaktorAlter)*$L46*$D46*0.5*(VLOOKUP($CU46-CX$103,Frauen!$G$9:$J$102,4)+VLOOKUP($CU46-CX$103+1,Frauen!$G$9:$J$102,4))*0.5*(VLOOKUP($CU46-CX$103,Frauen!$AZ$9:$BD$102,5)+VLOOKUP($CU46-CX$103+1,Frauen!$AZ$9:$BD$102,5)),RundDx)))</f>
        <v>920355630</v>
      </c>
      <c r="CY46" s="25">
        <f>IF($CU46&gt;=RAM,"",IF($CU46-CY$103&lt;BeginnAlter,"",ROUND(v^($CU46+FaktorAlter)*$L46*$D46*0.5*(VLOOKUP($CU46-CY$103,Frauen!$G$9:$J$102,4)+VLOOKUP($CU46-CY$103+1,Frauen!$G$9:$J$102,4))*0.5*(VLOOKUP($CU46-CY$103,Frauen!$AZ$9:$BD$102,5)+VLOOKUP($CU46-CY$103+1,Frauen!$AZ$9:$BD$102,5)),RundDx)))</f>
        <v>963345010</v>
      </c>
      <c r="CZ46" s="25">
        <f>IF($CU46&gt;=RAM,"",IF($CU46-CZ$103&lt;BeginnAlter,"",ROUND(v^($CU46+FaktorAlter)*$L46*$D46*0.5*(VLOOKUP($CU46-CZ$103,Frauen!$G$9:$J$102,4)+VLOOKUP($CU46-CZ$103+1,Frauen!$G$9:$J$102,4))*0.5*(VLOOKUP($CU46-CZ$103,Frauen!$AZ$9:$BD$102,5)+VLOOKUP($CU46-CZ$103+1,Frauen!$AZ$9:$BD$102,5)),RundDx)))</f>
        <v>1005923761</v>
      </c>
      <c r="DA46" s="25">
        <f>IF($CU46&gt;=RAM,"",IF($CU46-DA$103&lt;BeginnAlter,"",ROUND(v^($CU46+FaktorAlter)*$L46*$D46*0.5*(VLOOKUP($CU46-DA$103,Frauen!$G$9:$J$102,4)+VLOOKUP($CU46-DA$103+1,Frauen!$G$9:$J$102,4))*0.5*(VLOOKUP($CU46-DA$103,Frauen!$AZ$9:$BD$102,5)+VLOOKUP($CU46-DA$103+1,Frauen!$AZ$9:$BD$102,5)),RundDx)))</f>
        <v>1047991664</v>
      </c>
      <c r="DB46" s="25">
        <f>IF($CU46&gt;=RAM,"",IF($CU46-DB$103&lt;BeginnAlter,"",ROUND(v^($CU46+FaktorAlter)*$L46*$D46*0.5*(VLOOKUP($CU46-DB$103,Frauen!$G$9:$J$102,4)+VLOOKUP($CU46-DB$103+1,Frauen!$G$9:$J$102,4))*0.5*(VLOOKUP($CU46-DB$103,Frauen!$AZ$9:$BD$102,5)+VLOOKUP($CU46-DB$103+1,Frauen!$AZ$9:$BD$102,5)),RundDx)))</f>
        <v>1089300245</v>
      </c>
      <c r="DC46" s="25">
        <f>IF($CU46&gt;=RAM,"",IF($CU46-DC$103&lt;BeginnAlter,"",ROUND(v^($CU46+FaktorAlter)*$L46*$D46*0.5*(VLOOKUP($CU46-DC$103,Frauen!$G$9:$J$102,4)+VLOOKUP($CU46-DC$103+1,Frauen!$G$9:$J$102,4))*0.5*(VLOOKUP($CU46-DC$103,Frauen!$AZ$9:$BD$102,5)+VLOOKUP($CU46-DC$103+1,Frauen!$AZ$9:$BD$102,5)),RundDx)))</f>
        <v>1129827121</v>
      </c>
      <c r="DD46" s="25">
        <f>IF($CU46&gt;=RAM,"",IF($CU46-DD$103&lt;BeginnAlter,"",ROUND(v^($CU46+FaktorAlter)*$L46*$D46*0.5*(VLOOKUP($CU46-DD$103,Frauen!$G$9:$J$102,4)+VLOOKUP($CU46-DD$103+1,Frauen!$G$9:$J$102,4))*0.5*(VLOOKUP($CU46-DD$103,Frauen!$AZ$9:$BD$102,5)+VLOOKUP($CU46-DD$103+1,Frauen!$AZ$9:$BD$102,5)),RundDx)))</f>
        <v>1169676987</v>
      </c>
      <c r="DE46" s="25">
        <f>IF($CU46&gt;=RAM,"",IF($CU46-DE$103&lt;BeginnAlter,"",ROUND(v^($CU46+FaktorAlter)*$L46*$D46*0.5*(VLOOKUP($CU46-DE$103,Frauen!$G$9:$J$102,4)+VLOOKUP($CU46-DE$103+1,Frauen!$G$9:$J$102,4))*0.5*(VLOOKUP($CU46-DE$103,Frauen!$AZ$9:$BD$102,5)+VLOOKUP($CU46-DE$103+1,Frauen!$AZ$9:$BD$102,5)),RundDx)))</f>
        <v>1208796680</v>
      </c>
      <c r="DF46" s="25">
        <f>IF($CU46&gt;=RAM,"",IF($CU46-DF$103&lt;BeginnAlter,"",ROUND(v^($CU46+FaktorAlter)*$L46*$D46*0.5*(VLOOKUP($CU46-DF$103,Frauen!$G$9:$J$102,4)+VLOOKUP($CU46-DF$103+1,Frauen!$G$9:$J$102,4))*0.5*(VLOOKUP($CU46-DF$103,Frauen!$AZ$9:$BD$102,5)+VLOOKUP($CU46-DF$103+1,Frauen!$AZ$9:$BD$102,5)),RundDx)))</f>
        <v>1247175621</v>
      </c>
      <c r="DG46" s="25">
        <f>IF($CU46&gt;=RAM,"",IF($CU46-DG$103&lt;BeginnAlter,"",ROUND(v^($CU46+FaktorAlter)*$L46*$D46*0.5*(VLOOKUP($CU46-DG$103,Frauen!$G$9:$J$102,4)+VLOOKUP($CU46-DG$103+1,Frauen!$G$9:$J$102,4))*0.5*(VLOOKUP($CU46-DG$103,Frauen!$AZ$9:$BD$102,5)+VLOOKUP($CU46-DG$103+1,Frauen!$AZ$9:$BD$102,5)),RundDx)))</f>
        <v>1284893532</v>
      </c>
      <c r="DH46" s="25">
        <f>IF($CU46&gt;=RAM,"",IF($CU46-DH$103&lt;BeginnAlter,"",ROUND(v^($CU46+FaktorAlter)*$L46*$D46*0.5*(VLOOKUP($CU46-DH$103,Frauen!$G$9:$J$102,4)+VLOOKUP($CU46-DH$103+1,Frauen!$G$9:$J$102,4))*0.5*(VLOOKUP($CU46-DH$103,Frauen!$AZ$9:$BD$102,5)+VLOOKUP($CU46-DH$103+1,Frauen!$AZ$9:$BD$102,5)),RundDx)))</f>
        <v>1322068323</v>
      </c>
      <c r="DI46" s="25">
        <f>IF($CU46&gt;=RAM,"",IF($CU46-DI$103&lt;BeginnAlter,"",ROUND(v^($CU46+FaktorAlter)*$L46*$D46*0.5*(VLOOKUP($CU46-DI$103,Frauen!$G$9:$J$102,4)+VLOOKUP($CU46-DI$103+1,Frauen!$G$9:$J$102,4))*0.5*(VLOOKUP($CU46-DI$103,Frauen!$AZ$9:$BD$102,5)+VLOOKUP($CU46-DI$103+1,Frauen!$AZ$9:$BD$102,5)),RundDx)))</f>
        <v>1358797576</v>
      </c>
      <c r="DJ46" s="25">
        <f>IF($CU46&gt;=RAM,"",IF($CU46-DJ$103&lt;BeginnAlter,"",ROUND(v^($CU46+FaktorAlter)*$L46*$D46*0.5*(VLOOKUP($CU46-DJ$103,Frauen!$G$9:$J$102,4)+VLOOKUP($CU46-DJ$103+1,Frauen!$G$9:$J$102,4))*0.5*(VLOOKUP($CU46-DJ$103,Frauen!$AZ$9:$BD$102,5)+VLOOKUP($CU46-DJ$103+1,Frauen!$AZ$9:$BD$102,5)),RundDx)))</f>
        <v>1395168733</v>
      </c>
      <c r="DK46" s="25">
        <f>IF($CU46&gt;=RAM,"",IF($CU46-DK$103&lt;BeginnAlter,"",ROUND(v^($CU46+FaktorAlter)*$L46*$D46*0.5*(VLOOKUP($CU46-DK$103,Frauen!$G$9:$J$102,4)+VLOOKUP($CU46-DK$103+1,Frauen!$G$9:$J$102,4))*0.5*(VLOOKUP($CU46-DK$103,Frauen!$AZ$9:$BD$102,5)+VLOOKUP($CU46-DK$103+1,Frauen!$AZ$9:$BD$102,5)),RundDx)))</f>
        <v>1431223145</v>
      </c>
      <c r="DL46" s="25">
        <f>IF($CU46&gt;=RAM,"",IF($CU46-DL$103&lt;BeginnAlter,"",ROUND(v^($CU46+FaktorAlter)*$L46*$D46*0.5*(VLOOKUP($CU46-DL$103,Frauen!$G$9:$J$102,4)+VLOOKUP($CU46-DL$103+1,Frauen!$G$9:$J$102,4))*0.5*(VLOOKUP($CU46-DL$103,Frauen!$AZ$9:$BD$102,5)+VLOOKUP($CU46-DL$103+1,Frauen!$AZ$9:$BD$102,5)),RundDx)))</f>
        <v>1466893594</v>
      </c>
      <c r="DM46" s="25">
        <f>IF($CU46&gt;=RAM,"",IF($CU46-DM$103&lt;BeginnAlter,"",ROUND(v^($CU46+FaktorAlter)*$L46*$D46*0.5*(VLOOKUP($CU46-DM$103,Frauen!$G$9:$J$102,4)+VLOOKUP($CU46-DM$103+1,Frauen!$G$9:$J$102,4))*0.5*(VLOOKUP($CU46-DM$103,Frauen!$AZ$9:$BD$102,5)+VLOOKUP($CU46-DM$103+1,Frauen!$AZ$9:$BD$102,5)),RundDx)))</f>
        <v>1502210353</v>
      </c>
      <c r="DN46" s="25">
        <f>IF($CU46&gt;=RAM,"",IF($CU46-DN$103&lt;BeginnAlter,"",ROUND(v^($CU46+FaktorAlter)*$L46*$D46*0.5*(VLOOKUP($CU46-DN$103,Frauen!$G$9:$J$102,4)+VLOOKUP($CU46-DN$103+1,Frauen!$G$9:$J$102,4))*0.5*(VLOOKUP($CU46-DN$103,Frauen!$AZ$9:$BD$102,5)+VLOOKUP($CU46-DN$103+1,Frauen!$AZ$9:$BD$102,5)),RundDx)))</f>
        <v>1537100011</v>
      </c>
      <c r="DO46" s="25">
        <f>IF($CU46&gt;=RAM,"",IF($CU46-DO$103&lt;BeginnAlter,"",ROUND(v^($CU46+FaktorAlter)*$L46*$D46*0.5*(VLOOKUP($CU46-DO$103,Frauen!$G$9:$J$102,4)+VLOOKUP($CU46-DO$103+1,Frauen!$G$9:$J$102,4))*0.5*(VLOOKUP($CU46-DO$103,Frauen!$AZ$9:$BD$102,5)+VLOOKUP($CU46-DO$103+1,Frauen!$AZ$9:$BD$102,5)),RundDx)))</f>
        <v>1571400848</v>
      </c>
      <c r="DP46" s="25">
        <f>IF($CU46&gt;=RAM,"",IF($CU46-DP$103&lt;BeginnAlter,"",ROUND(v^($CU46+FaktorAlter)*$L46*$D46*0.5*(VLOOKUP($CU46-DP$103,Frauen!$G$9:$J$102,4)+VLOOKUP($CU46-DP$103+1,Frauen!$G$9:$J$102,4))*0.5*(VLOOKUP($CU46-DP$103,Frauen!$AZ$9:$BD$102,5)+VLOOKUP($CU46-DP$103+1,Frauen!$AZ$9:$BD$102,5)),RundDx)))</f>
        <v>1605011765</v>
      </c>
      <c r="DQ46" s="25">
        <f>IF($CU46&gt;=RAM,"",IF($CU46-DQ$103&lt;BeginnAlter,"",ROUND(v^($CU46+FaktorAlter)*$L46*$D46*0.5*(VLOOKUP($CU46-DQ$103,Frauen!$G$9:$J$102,4)+VLOOKUP($CU46-DQ$103+1,Frauen!$G$9:$J$102,4))*0.5*(VLOOKUP($CU46-DQ$103,Frauen!$AZ$9:$BD$102,5)+VLOOKUP($CU46-DQ$103+1,Frauen!$AZ$9:$BD$102,5)),RundDx)))</f>
        <v>1637900982</v>
      </c>
      <c r="DR46" s="25">
        <f>IF($CU46&gt;=RAM,"",IF($CU46-DR$103&lt;BeginnAlter,"",ROUND(v^($CU46+FaktorAlter)*$L46*$D46*0.5*(VLOOKUP($CU46-DR$103,Frauen!$G$9:$J$102,4)+VLOOKUP($CU46-DR$103+1,Frauen!$G$9:$J$102,4))*0.5*(VLOOKUP($CU46-DR$103,Frauen!$AZ$9:$BD$102,5)+VLOOKUP($CU46-DR$103+1,Frauen!$AZ$9:$BD$102,5)),RundDx)))</f>
        <v>1670072866</v>
      </c>
      <c r="DS46" s="25">
        <f>IF($CU46&gt;=RAM,"",IF($CU46-DS$103&lt;BeginnAlter,"",ROUND(v^($CU46+FaktorAlter)*$L46*$D46*0.5*(VLOOKUP($CU46-DS$103,Frauen!$G$9:$J$102,4)+VLOOKUP($CU46-DS$103+1,Frauen!$G$9:$J$102,4))*0.5*(VLOOKUP($CU46-DS$103,Frauen!$AZ$9:$BD$102,5)+VLOOKUP($CU46-DS$103+1,Frauen!$AZ$9:$BD$102,5)),RundDx)))</f>
        <v>1701559564</v>
      </c>
      <c r="DT46" s="25">
        <f>IF($CU46&gt;=RAM,"",IF($CU46-DT$103&lt;BeginnAlter,"",ROUND(v^($CU46+FaktorAlter)*$L46*$D46*0.5*(VLOOKUP($CU46-DT$103,Frauen!$G$9:$J$102,4)+VLOOKUP($CU46-DT$103+1,Frauen!$G$9:$J$102,4))*0.5*(VLOOKUP($CU46-DT$103,Frauen!$AZ$9:$BD$102,5)+VLOOKUP($CU46-DT$103+1,Frauen!$AZ$9:$BD$102,5)),RundDx)))</f>
        <v>1732318094</v>
      </c>
      <c r="DU46" s="25">
        <f>IF($CU46&gt;=RAM,"",IF($CU46-DU$103&lt;BeginnAlter,"",ROUND(v^($CU46+FaktorAlter)*$L46*$D46*0.5*(VLOOKUP($CU46-DU$103,Frauen!$G$9:$J$102,4)+VLOOKUP($CU46-DU$103+1,Frauen!$G$9:$J$102,4))*0.5*(VLOOKUP($CU46-DU$103,Frauen!$AZ$9:$BD$102,5)+VLOOKUP($CU46-DU$103+1,Frauen!$AZ$9:$BD$102,5)),RundDx)))</f>
        <v>1762358455</v>
      </c>
      <c r="DV46" s="25">
        <f>IF($CU46&gt;=RAM,"",IF($CU46-DV$103&lt;BeginnAlter,"",ROUND(v^($CU46+FaktorAlter)*$L46*$D46*0.5*(VLOOKUP($CU46-DV$103,Frauen!$G$9:$J$102,4)+VLOOKUP($CU46-DV$103+1,Frauen!$G$9:$J$102,4))*0.5*(VLOOKUP($CU46-DV$103,Frauen!$AZ$9:$BD$102,5)+VLOOKUP($CU46-DV$103+1,Frauen!$AZ$9:$BD$102,5)),RundDx)))</f>
        <v>1791752220</v>
      </c>
      <c r="DW46" s="25">
        <f>IF($CU46&gt;=RAM,"",IF($CU46-DW$103&lt;BeginnAlter,"",ROUND(v^($CU46+FaktorAlter)*$L46*$D46*0.5*(VLOOKUP($CU46-DW$103,Frauen!$G$9:$J$102,4)+VLOOKUP($CU46-DW$103+1,Frauen!$G$9:$J$102,4))*0.5*(VLOOKUP($CU46-DW$103,Frauen!$AZ$9:$BD$102,5)+VLOOKUP($CU46-DW$103+1,Frauen!$AZ$9:$BD$102,5)),RundDx)))</f>
        <v>1820513539</v>
      </c>
      <c r="DX46" s="25">
        <f>IF($CU46&gt;=RAM,"",IF($CU46-DX$103&lt;BeginnAlter,"",ROUND(v^($CU46+FaktorAlter)*$L46*$D46*0.5*(VLOOKUP($CU46-DX$103,Frauen!$G$9:$J$102,4)+VLOOKUP($CU46-DX$103+1,Frauen!$G$9:$J$102,4))*0.5*(VLOOKUP($CU46-DX$103,Frauen!$AZ$9:$BD$102,5)+VLOOKUP($CU46-DX$103+1,Frauen!$AZ$9:$BD$102,5)),RundDx)))</f>
        <v>1848649187</v>
      </c>
      <c r="DY46" s="25">
        <f>IF($CU46&gt;=RAM,"",IF($CU46-DY$103&lt;BeginnAlter,"",ROUND(v^($CU46+FaktorAlter)*$L46*$D46*0.5*(VLOOKUP($CU46-DY$103,Frauen!$G$9:$J$102,4)+VLOOKUP($CU46-DY$103+1,Frauen!$G$9:$J$102,4))*0.5*(VLOOKUP($CU46-DY$103,Frauen!$AZ$9:$BD$102,5)+VLOOKUP($CU46-DY$103+1,Frauen!$AZ$9:$BD$102,5)),RundDx)))</f>
        <v>1876157845</v>
      </c>
      <c r="DZ46" s="25">
        <f>IF($CU46&gt;=RAM,"",IF($CU46-DZ$103&lt;BeginnAlter,"",ROUND(v^($CU46+FaktorAlter)*$L46*$D46*0.5*(VLOOKUP($CU46-DZ$103,Frauen!$G$9:$J$102,4)+VLOOKUP($CU46-DZ$103+1,Frauen!$G$9:$J$102,4))*0.5*(VLOOKUP($CU46-DZ$103,Frauen!$AZ$9:$BD$102,5)+VLOOKUP($CU46-DZ$103+1,Frauen!$AZ$9:$BD$102,5)),RundDx)))</f>
        <v>1903058264</v>
      </c>
      <c r="EA46" s="43">
        <f>IF($CU46&gt;=RAM,"",IF($CU46-EA$103&lt;BeginnAlter,"",ROUND((SUM(CV46:CV$56)+SUM(FN$9:FN$56))/VLOOKUP($CU46,$AH$9:$AI$102,2)/VLOOKUP($CU46-EA$103,Frauen!$G$9:$J$102,4),Rundäx)))</f>
        <v>2.5630000000000002</v>
      </c>
      <c r="EB46" s="43">
        <f>IF($CU46&gt;=RAM,"",IF($CU46-EB$103&lt;BeginnAlter,"",ROUND((SUM(CW46:CW$56)+SUM(FO$9:FO$56))/VLOOKUP($CU46,$AH$9:$AI$102,2)/VLOOKUP($CU46-EB$103,Frauen!$G$9:$J$102,4),Rundäx)))</f>
        <v>2.7480000000000002</v>
      </c>
      <c r="EC46" s="43">
        <f>IF($CU46&gt;=RAM,"",IF($CU46-EC$103&lt;BeginnAlter,"",ROUND((SUM(CX46:CX$56)+SUM(FP$9:FP$56))/VLOOKUP($CU46,$AH$9:$AI$102,2)/VLOOKUP($CU46-EC$103,Frauen!$G$9:$J$102,4),Rundäx)))</f>
        <v>2.9409999999999998</v>
      </c>
      <c r="ED46" s="43">
        <f>IF($CU46&gt;=RAM,"",IF($CU46-ED$103&lt;BeginnAlter,"",ROUND((SUM(CY46:CY$56)+SUM(FQ$9:FQ$56))/VLOOKUP($CU46,$AH$9:$AI$102,2)/VLOOKUP($CU46-ED$103,Frauen!$G$9:$J$102,4),Rundäx)))</f>
        <v>3.141</v>
      </c>
      <c r="EE46" s="43">
        <f>IF($CU46&gt;=RAM,"",IF($CU46-EE$103&lt;BeginnAlter,"",ROUND((SUM(CZ46:CZ$56)+SUM(FR$9:FR$56))/VLOOKUP($CU46,$AH$9:$AI$102,2)/VLOOKUP($CU46-EE$103,Frauen!$G$9:$J$102,4),Rundäx)))</f>
        <v>3.3490000000000002</v>
      </c>
      <c r="EF46" s="43">
        <f>IF($CU46&gt;=RAM,"",IF($CU46-EF$103&lt;BeginnAlter,"",ROUND((SUM(DA46:DA$56)+SUM(FS$9:FS$56))/VLOOKUP($CU46,$AH$9:$AI$102,2)/VLOOKUP($CU46-EF$103,Frauen!$G$9:$J$102,4),Rundäx)))</f>
        <v>3.5640000000000001</v>
      </c>
      <c r="EG46" s="43">
        <f>IF($CU46&gt;=RAM,"",IF($CU46-EG$103&lt;BeginnAlter,"",ROUND((SUM(DB46:DB$56)+SUM(FT$9:FT$56))/VLOOKUP($CU46,$AH$9:$AI$102,2)/VLOOKUP($CU46-EG$103,Frauen!$G$9:$J$102,4),Rundäx)))</f>
        <v>3.7879999999999998</v>
      </c>
      <c r="EH46" s="43">
        <f>IF($CU46&gt;=RAM,"",IF($CU46-EH$103&lt;BeginnAlter,"",ROUND((SUM(DC46:DC$56)+SUM(FU$9:FU$56))/VLOOKUP($CU46,$AH$9:$AI$102,2)/VLOOKUP($CU46-EH$103,Frauen!$G$9:$J$102,4),Rundäx)))</f>
        <v>4.0199999999999996</v>
      </c>
      <c r="EI46" s="86"/>
      <c r="EJ46" s="35">
        <f t="shared" si="60"/>
        <v>54</v>
      </c>
      <c r="EK46" s="43">
        <f>IF($CU46&gt;=RAM,"",IF($CU46-EK$103&lt;BeginnAlter,"",ROUND((SUM(DD46:DD$56)+SUM(FV$9:FV$56))/VLOOKUP($CU46,$AH$9:$AI$102,2)/VLOOKUP($CU46-EK$103,Frauen!$G$9:$J$102,4),Rundäx)))</f>
        <v>4.2610000000000001</v>
      </c>
      <c r="EL46" s="43">
        <f>IF($CU46&gt;=RAM,"",IF($CU46-EL$103&lt;BeginnAlter,"",ROUND((SUM(DE46:DE$56)+SUM(FW$9:FW$56))/VLOOKUP($CU46,$AH$9:$AI$102,2)/VLOOKUP($CU46-EL$103,Frauen!$G$9:$J$102,4),Rundäx)))</f>
        <v>4.5090000000000003</v>
      </c>
      <c r="EM46" s="43">
        <f>IF($CU46&gt;=RAM,"",IF($CU46-EM$103&lt;BeginnAlter,"",ROUND((SUM(DF46:DF$56)+SUM(FX$9:FX$56))/VLOOKUP($CU46,$AH$9:$AI$102,2)/VLOOKUP($CU46-EM$103,Frauen!$G$9:$J$102,4),Rundäx)))</f>
        <v>4.7670000000000003</v>
      </c>
      <c r="EN46" s="43">
        <f>IF($CU46&gt;=RAM,"",IF($CU46-EN$103&lt;BeginnAlter,"",ROUND((SUM(DG46:DG$56)+SUM(FY$9:FY$56))/VLOOKUP($CU46,$AH$9:$AI$102,2)/VLOOKUP($CU46-EN$103,Frauen!$G$9:$J$102,4),Rundäx)))</f>
        <v>5.032</v>
      </c>
      <c r="EO46" s="43">
        <f>IF($CU46&gt;=RAM,"",IF($CU46-EO$103&lt;BeginnAlter,"",ROUND((SUM(DH46:DH$56)+SUM(FZ$9:FZ$56))/VLOOKUP($CU46,$AH$9:$AI$102,2)/VLOOKUP($CU46-EO$103,Frauen!$G$9:$J$102,4),Rundäx)))</f>
        <v>5.3049999999999997</v>
      </c>
      <c r="EP46" s="43">
        <f>IF($CU46&gt;=RAM,"",IF($CU46-EP$103&lt;BeginnAlter,"",ROUND((SUM(DI46:DI$56)+SUM(GA$9:GA$56))/VLOOKUP($CU46,$AH$9:$AI$102,2)/VLOOKUP($CU46-EP$103,Frauen!$G$9:$J$102,4),Rundäx)))</f>
        <v>5.5860000000000003</v>
      </c>
      <c r="EQ46" s="43">
        <f>IF($CU46&gt;=RAM,"",IF($CU46-EQ$103&lt;BeginnAlter,"",ROUND((SUM(DJ46:DJ$56)+SUM(GB$9:GB$56))/VLOOKUP($CU46,$AH$9:$AI$102,2)/VLOOKUP($CU46-EQ$103,Frauen!$G$9:$J$102,4),Rundäx)))</f>
        <v>5.8730000000000002</v>
      </c>
      <c r="ER46" s="43">
        <f>IF($CU46&gt;=RAM,"",IF($CU46-ER$103&lt;BeginnAlter,"",ROUND((SUM(DK46:DK$56)+SUM(GC$9:GC$56))/VLOOKUP($CU46,$AH$9:$AI$102,2)/VLOOKUP($CU46-ER$103,Frauen!$G$9:$J$102,4),Rundäx)))</f>
        <v>6.1669999999999998</v>
      </c>
      <c r="ES46" s="86"/>
      <c r="ET46" s="35">
        <f t="shared" si="61"/>
        <v>54</v>
      </c>
      <c r="EU46" s="43">
        <f>IF($CU46&gt;=RAM,"",IF($CU46-EU$103&lt;BeginnAlter,"",ROUND((SUM(DL46:DL$56)+SUM(GD$9:GD$56))/VLOOKUP($CU46,$AH$9:$AI$102,2)/VLOOKUP($CU46-EU$103,Frauen!$G$9:$J$102,4),Rundäx)))</f>
        <v>6.4669999999999996</v>
      </c>
      <c r="EV46" s="43">
        <f>IF($CU46&gt;=RAM,"",IF($CU46-EV$103&lt;BeginnAlter,"",ROUND((SUM(DM46:DM$56)+SUM(GE$9:GE$56))/VLOOKUP($CU46,$AH$9:$AI$102,2)/VLOOKUP($CU46-EV$103,Frauen!$G$9:$J$102,4),Rundäx)))</f>
        <v>6.7729999999999997</v>
      </c>
      <c r="EW46" s="43">
        <f>IF($CU46&gt;=RAM,"",IF($CU46-EW$103&lt;BeginnAlter,"",ROUND((SUM(DN46:DN$56)+SUM(GF$9:GF$56))/VLOOKUP($CU46,$AH$9:$AI$102,2)/VLOOKUP($CU46-EW$103,Frauen!$G$9:$J$102,4),Rundäx)))</f>
        <v>7.0830000000000002</v>
      </c>
      <c r="EX46" s="43">
        <f>IF($CU46&gt;=RAM,"",IF($CU46-EX$103&lt;BeginnAlter,"",ROUND((SUM(DO46:DO$56)+SUM(GG$9:GG$56))/VLOOKUP($CU46,$AH$9:$AI$102,2)/VLOOKUP($CU46-EX$103,Frauen!$G$9:$J$102,4),Rundäx)))</f>
        <v>7.3970000000000002</v>
      </c>
      <c r="EY46" s="43">
        <f>IF($CU46&gt;=RAM,"",IF($CU46-EY$103&lt;BeginnAlter,"",ROUND((SUM(DP46:DP$56)+SUM(GH$9:GH$56))/VLOOKUP($CU46,$AH$9:$AI$102,2)/VLOOKUP($CU46-EY$103,Frauen!$G$9:$J$102,4),Rundäx)))</f>
        <v>7.7149999999999999</v>
      </c>
      <c r="EZ46" s="43">
        <f>IF($CU46&gt;=RAM,"",IF($CU46-EZ$103&lt;BeginnAlter,"",ROUND((SUM(DQ46:DQ$56)+SUM(GI$9:GI$56))/VLOOKUP($CU46,$AH$9:$AI$102,2)/VLOOKUP($CU46-EZ$103,Frauen!$G$9:$J$102,4),Rundäx)))</f>
        <v>8.0350000000000001</v>
      </c>
      <c r="FA46" s="43">
        <f>IF($CU46&gt;=RAM,"",IF($CU46-FA$103&lt;BeginnAlter,"",ROUND((SUM(DR46:DR$56)+SUM(GJ$9:GJ$56))/VLOOKUP($CU46,$AH$9:$AI$102,2)/VLOOKUP($CU46-FA$103,Frauen!$G$9:$J$102,4),Rundäx)))</f>
        <v>8.3580000000000005</v>
      </c>
      <c r="FB46" s="43">
        <f>IF($CU46&gt;=RAM,"",IF($CU46-FB$103&lt;BeginnAlter,"",ROUND((SUM(DS46:DS$56)+SUM(GK$9:GK$56))/VLOOKUP($CU46,$AH$9:$AI$102,2)/VLOOKUP($CU46-FB$103,Frauen!$G$9:$J$102,4),Rundäx)))</f>
        <v>8.6829999999999998</v>
      </c>
      <c r="FC46" s="86"/>
      <c r="FD46" s="35">
        <f t="shared" si="62"/>
        <v>54</v>
      </c>
      <c r="FE46" s="43">
        <f>IF($CU46&gt;=RAM,"",IF($CU46-FE$103&lt;BeginnAlter,"",ROUND((SUM(DT46:DT$56)+SUM(GL$9:GL$56))/VLOOKUP($CU46,$AH$9:$AI$102,2)/VLOOKUP($CU46-FE$103,Frauen!$G$9:$J$102,4),Rundäx)))</f>
        <v>9.0079999999999991</v>
      </c>
      <c r="FF46" s="43">
        <f>IF($CU46&gt;=RAM,"",IF($CU46-FF$103&lt;BeginnAlter,"",ROUND((SUM(DU46:DU$56)+SUM(GM$9:GM$56))/VLOOKUP($CU46,$AH$9:$AI$102,2)/VLOOKUP($CU46-FF$103,Frauen!$G$9:$J$102,4),Rundäx)))</f>
        <v>9.3339999999999996</v>
      </c>
      <c r="FG46" s="43">
        <f>IF($CU46&gt;=RAM,"",IF($CU46-FG$103&lt;BeginnAlter,"",ROUND((SUM(DV46:DV$56)+SUM(GN$9:GN$56))/VLOOKUP($CU46,$AH$9:$AI$102,2)/VLOOKUP($CU46-FG$103,Frauen!$G$9:$J$102,4),Rundäx)))</f>
        <v>9.66</v>
      </c>
      <c r="FH46" s="43">
        <f>IF($CU46&gt;=RAM,"",IF($CU46-FH$103&lt;BeginnAlter,"",ROUND((SUM(DW46:DW$56)+SUM(GO$9:GO$56))/VLOOKUP($CU46,$AH$9:$AI$102,2)/VLOOKUP($CU46-FH$103,Frauen!$G$9:$J$102,4),Rundäx)))</f>
        <v>9.9849999999999994</v>
      </c>
      <c r="FI46" s="43">
        <f>IF($CU46&gt;=RAM,"",IF($CU46-FI$103&lt;BeginnAlter,"",ROUND((SUM(DX46:DX$56)+SUM(GP$9:GP$56))/VLOOKUP($CU46,$AH$9:$AI$102,2)/VLOOKUP($CU46-FI$103,Frauen!$G$9:$J$102,4),Rundäx)))</f>
        <v>10.308</v>
      </c>
      <c r="FJ46" s="43">
        <f>IF($CU46&gt;=RAM,"",IF($CU46-FJ$103&lt;BeginnAlter,"",ROUND((SUM(DY46:DY$56)+SUM(GQ$9:GQ$56))/VLOOKUP($CU46,$AH$9:$AI$102,2)/VLOOKUP($CU46-FJ$103,Frauen!$G$9:$J$102,4),Rundäx)))</f>
        <v>10.631</v>
      </c>
      <c r="FK46" s="43">
        <f>IF($CU46&gt;=RAM,"",IF($CU46-FK$103&lt;BeginnAlter,"",ROUND((SUM(DZ46:DZ$56)+SUM(GR$9:GR$56))/VLOOKUP($CU46,$AH$9:$AI$102,2)/VLOOKUP($CU46-FK$103,Frauen!$G$9:$J$102,4),Rundäx)))</f>
        <v>10.951000000000001</v>
      </c>
      <c r="FL46" s="86"/>
      <c r="FM46" s="35">
        <f t="shared" si="68"/>
        <v>102</v>
      </c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>
        <f>ROUND(v^($FM46+FaktorAlter)*VLOOKUP($FM46,$G$9:$J$102,4)*VLOOKUP($FM46,$A$9:$E$102,5)*0.5*(VLOOKUP($FM46-GB$103,Frauen!$G$9:$J$102,4)+VLOOKUP($FM46-GB$103+1,Frauen!$G$9:$J$102,4))*0.5*(VLOOKUP($FM46-GB$103,Frauen!$AZ$9:$BD$102,5)+VLOOKUP($FM46-GB$103+1,Frauen!$AZ$9:$BD$102,5)),RundDx)</f>
        <v>203</v>
      </c>
      <c r="GC46" s="25">
        <f>ROUND(v^($FM46+FaktorAlter)*VLOOKUP($FM46,$G$9:$J$102,4)*VLOOKUP($FM46,$A$9:$E$102,5)*0.5*(VLOOKUP($FM46-GC$103,Frauen!$G$9:$J$102,4)+VLOOKUP($FM46-GC$103+1,Frauen!$G$9:$J$102,4))*0.5*(VLOOKUP($FM46-GC$103,Frauen!$AZ$9:$BD$102,5)+VLOOKUP($FM46-GC$103+1,Frauen!$AZ$9:$BD$102,5)),RundDx)</f>
        <v>764</v>
      </c>
      <c r="GD46" s="25">
        <f>ROUND(v^($FM46+FaktorAlter)*VLOOKUP($FM46,$G$9:$J$102,4)*VLOOKUP($FM46,$A$9:$E$102,5)*0.5*(VLOOKUP($FM46-GD$103,Frauen!$G$9:$J$102,4)+VLOOKUP($FM46-GD$103+1,Frauen!$G$9:$J$102,4))*0.5*(VLOOKUP($FM46-GD$103,Frauen!$AZ$9:$BD$102,5)+VLOOKUP($FM46-GD$103+1,Frauen!$AZ$9:$BD$102,5)),RundDx)</f>
        <v>2000</v>
      </c>
      <c r="GE46" s="25">
        <f>ROUND(v^($FM46+FaktorAlter)*VLOOKUP($FM46,$G$9:$J$102,4)*VLOOKUP($FM46,$A$9:$E$102,5)*0.5*(VLOOKUP($FM46-GE$103,Frauen!$G$9:$J$102,4)+VLOOKUP($FM46-GE$103+1,Frauen!$G$9:$J$102,4))*0.5*(VLOOKUP($FM46-GE$103,Frauen!$AZ$9:$BD$102,5)+VLOOKUP($FM46-GE$103+1,Frauen!$AZ$9:$BD$102,5)),RundDx)</f>
        <v>4394</v>
      </c>
      <c r="GF46" s="25">
        <f>ROUND(v^($FM46+FaktorAlter)*VLOOKUP($FM46,$G$9:$J$102,4)*VLOOKUP($FM46,$A$9:$E$102,5)*0.5*(VLOOKUP($FM46-GF$103,Frauen!$G$9:$J$102,4)+VLOOKUP($FM46-GF$103+1,Frauen!$G$9:$J$102,4))*0.5*(VLOOKUP($FM46-GF$103,Frauen!$AZ$9:$BD$102,5)+VLOOKUP($FM46-GF$103+1,Frauen!$AZ$9:$BD$102,5)),RundDx)</f>
        <v>8518</v>
      </c>
      <c r="GG46" s="25">
        <f>ROUND(v^($FM46+FaktorAlter)*VLOOKUP($FM46,$G$9:$J$102,4)*VLOOKUP($FM46,$A$9:$E$102,5)*0.5*(VLOOKUP($FM46-GG$103,Frauen!$G$9:$J$102,4)+VLOOKUP($FM46-GG$103+1,Frauen!$G$9:$J$102,4))*0.5*(VLOOKUP($FM46-GG$103,Frauen!$AZ$9:$BD$102,5)+VLOOKUP($FM46-GG$103+1,Frauen!$AZ$9:$BD$102,5)),RundDx)</f>
        <v>15188</v>
      </c>
      <c r="GH46" s="25">
        <f>ROUND(v^($FM46+FaktorAlter)*VLOOKUP($FM46,$G$9:$J$102,4)*VLOOKUP($FM46,$A$9:$E$102,5)*0.5*(VLOOKUP($FM46-GH$103,Frauen!$G$9:$J$102,4)+VLOOKUP($FM46-GH$103+1,Frauen!$G$9:$J$102,4))*0.5*(VLOOKUP($FM46-GH$103,Frauen!$AZ$9:$BD$102,5)+VLOOKUP($FM46-GH$103+1,Frauen!$AZ$9:$BD$102,5)),RundDx)</f>
        <v>25300</v>
      </c>
      <c r="GI46" s="25">
        <f>ROUND(v^($FM46+FaktorAlter)*VLOOKUP($FM46,$G$9:$J$102,4)*VLOOKUP($FM46,$A$9:$E$102,5)*0.5*(VLOOKUP($FM46-GI$103,Frauen!$G$9:$J$102,4)+VLOOKUP($FM46-GI$103+1,Frauen!$G$9:$J$102,4))*0.5*(VLOOKUP($FM46-GI$103,Frauen!$AZ$9:$BD$102,5)+VLOOKUP($FM46-GI$103+1,Frauen!$AZ$9:$BD$102,5)),RundDx)</f>
        <v>39987</v>
      </c>
      <c r="GJ46" s="25">
        <f>ROUND(v^($FM46+FaktorAlter)*VLOOKUP($FM46,$G$9:$J$102,4)*VLOOKUP($FM46,$A$9:$E$102,5)*0.5*(VLOOKUP($FM46-GJ$103,Frauen!$G$9:$J$102,4)+VLOOKUP($FM46-GJ$103+1,Frauen!$G$9:$J$102,4))*0.5*(VLOOKUP($FM46-GJ$103,Frauen!$AZ$9:$BD$102,5)+VLOOKUP($FM46-GJ$103+1,Frauen!$AZ$9:$BD$102,5)),RundDx)</f>
        <v>60544</v>
      </c>
      <c r="GK46" s="25">
        <f>ROUND(v^($FM46+FaktorAlter)*VLOOKUP($FM46,$G$9:$J$102,4)*VLOOKUP($FM46,$A$9:$E$102,5)*0.5*(VLOOKUP($FM46-GK$103,Frauen!$G$9:$J$102,4)+VLOOKUP($FM46-GK$103+1,Frauen!$G$9:$J$102,4))*0.5*(VLOOKUP($FM46-GK$103,Frauen!$AZ$9:$BD$102,5)+VLOOKUP($FM46-GK$103+1,Frauen!$AZ$9:$BD$102,5)),RundDx)</f>
        <v>88364</v>
      </c>
      <c r="GL46" s="25">
        <f>ROUND(v^($FM46+FaktorAlter)*VLOOKUP($FM46,$G$9:$J$102,4)*VLOOKUP($FM46,$A$9:$E$102,5)*0.5*(VLOOKUP($FM46-GL$103,Frauen!$G$9:$J$102,4)+VLOOKUP($FM46-GL$103+1,Frauen!$G$9:$J$102,4))*0.5*(VLOOKUP($FM46-GL$103,Frauen!$AZ$9:$BD$102,5)+VLOOKUP($FM46-GL$103+1,Frauen!$AZ$9:$BD$102,5)),RundDx)</f>
        <v>124857</v>
      </c>
      <c r="GM46" s="25">
        <f>ROUND(v^($FM46+FaktorAlter)*VLOOKUP($FM46,$G$9:$J$102,4)*VLOOKUP($FM46,$A$9:$E$102,5)*0.5*(VLOOKUP($FM46-GM$103,Frauen!$G$9:$J$102,4)+VLOOKUP($FM46-GM$103+1,Frauen!$G$9:$J$102,4))*0.5*(VLOOKUP($FM46-GM$103,Frauen!$AZ$9:$BD$102,5)+VLOOKUP($FM46-GM$103+1,Frauen!$AZ$9:$BD$102,5)),RundDx)</f>
        <v>171613</v>
      </c>
      <c r="GN46" s="25">
        <f>ROUND(v^($FM46+FaktorAlter)*VLOOKUP($FM46,$G$9:$J$102,4)*VLOOKUP($FM46,$A$9:$E$102,5)*0.5*(VLOOKUP($FM46-GN$103,Frauen!$G$9:$J$102,4)+VLOOKUP($FM46-GN$103+1,Frauen!$G$9:$J$102,4))*0.5*(VLOOKUP($FM46-GN$103,Frauen!$AZ$9:$BD$102,5)+VLOOKUP($FM46-GN$103+1,Frauen!$AZ$9:$BD$102,5)),RundDx)</f>
        <v>229585</v>
      </c>
      <c r="GO46" s="25">
        <f>ROUND(v^($FM46+FaktorAlter)*VLOOKUP($FM46,$G$9:$J$102,4)*VLOOKUP($FM46,$A$9:$E$102,5)*0.5*(VLOOKUP($FM46-GO$103,Frauen!$G$9:$J$102,4)+VLOOKUP($FM46-GO$103+1,Frauen!$G$9:$J$102,4))*0.5*(VLOOKUP($FM46-GO$103,Frauen!$AZ$9:$BD$102,5)+VLOOKUP($FM46-GO$103+1,Frauen!$AZ$9:$BD$102,5)),RundDx)</f>
        <v>298886</v>
      </c>
      <c r="GP46" s="25">
        <f>ROUND(v^($FM46+FaktorAlter)*VLOOKUP($FM46,$G$9:$J$102,4)*VLOOKUP($FM46,$A$9:$E$102,5)*0.5*(VLOOKUP($FM46-GP$103,Frauen!$G$9:$J$102,4)+VLOOKUP($FM46-GP$103+1,Frauen!$G$9:$J$102,4))*0.5*(VLOOKUP($FM46-GP$103,Frauen!$AZ$9:$BD$102,5)+VLOOKUP($FM46-GP$103+1,Frauen!$AZ$9:$BD$102,5)),RundDx)</f>
        <v>380110</v>
      </c>
      <c r="GQ46" s="25">
        <f>ROUND(v^($FM46+FaktorAlter)*VLOOKUP($FM46,$G$9:$J$102,4)*VLOOKUP($FM46,$A$9:$E$102,5)*0.5*(VLOOKUP($FM46-GQ$103,Frauen!$G$9:$J$102,4)+VLOOKUP($FM46-GQ$103+1,Frauen!$G$9:$J$102,4))*0.5*(VLOOKUP($FM46-GQ$103,Frauen!$AZ$9:$BD$102,5)+VLOOKUP($FM46-GQ$103+1,Frauen!$AZ$9:$BD$102,5)),RundDx)</f>
        <v>473363</v>
      </c>
      <c r="GR46" s="25">
        <f>ROUND(v^($FM46+FaktorAlter)*VLOOKUP($FM46,$G$9:$J$102,4)*VLOOKUP($FM46,$A$9:$E$102,5)*0.5*(VLOOKUP($FM46-GR$103,Frauen!$G$9:$J$102,4)+VLOOKUP($FM46-GR$103+1,Frauen!$G$9:$J$102,4))*0.5*(VLOOKUP($FM46-GR$103,Frauen!$AZ$9:$BD$102,5)+VLOOKUP($FM46-GR$103+1,Frauen!$AZ$9:$BD$102,5)),RundDx)</f>
        <v>578355</v>
      </c>
      <c r="GS46" s="24"/>
      <c r="GT46" s="24"/>
      <c r="GU46" s="24"/>
      <c r="GV46" s="24"/>
      <c r="GW46" s="24"/>
      <c r="GX46" s="24"/>
      <c r="GY46" s="24"/>
      <c r="GZ46" s="24"/>
      <c r="HA46" s="86"/>
      <c r="HB46" s="35">
        <f t="shared" si="63"/>
        <v>102</v>
      </c>
      <c r="HC46" s="24"/>
      <c r="HD46" s="24"/>
      <c r="HE46" s="24"/>
      <c r="HF46" s="24"/>
      <c r="HG46" s="24"/>
      <c r="HH46" s="24"/>
      <c r="HI46" s="24">
        <f>ROUND(SUM(GB46:GB$56)/VLOOKUP($FM46,$AQ$9:$AR$102,2)/VLOOKUP($FM46-HI$103,Frauen!$G$9:$J$102,4),Rundäx)</f>
        <v>0.34300000000000003</v>
      </c>
      <c r="HJ46" s="24">
        <f>ROUND(SUM(GC46:GC$56)/VLOOKUP($FM46,$AQ$9:$AR$102,2)/VLOOKUP($FM46-HJ$103,Frauen!$G$9:$J$102,4),Rundäx)</f>
        <v>0.54900000000000004</v>
      </c>
      <c r="HK46" s="86"/>
      <c r="HL46" s="35">
        <f t="shared" si="64"/>
        <v>102</v>
      </c>
      <c r="HM46" s="24">
        <f>ROUND(SUM(GD46:GD$56)/VLOOKUP($FM46,$AQ$9:$AR$102,2)/VLOOKUP($FM46-HM$103,Frauen!$G$9:$J$102,4),Rundäx)</f>
        <v>0.71299999999999997</v>
      </c>
      <c r="HN46" s="24">
        <f>ROUND(SUM(GE46:GE$56)/VLOOKUP($FM46,$AQ$9:$AR$102,2)/VLOOKUP($FM46-HN$103,Frauen!$G$9:$J$102,4),Rundäx)</f>
        <v>0.873</v>
      </c>
      <c r="HO46" s="24">
        <f>ROUND(SUM(GF46:GF$56)/VLOOKUP($FM46,$AQ$9:$AR$102,2)/VLOOKUP($FM46-HO$103,Frauen!$G$9:$J$102,4),Rundäx)</f>
        <v>1.036</v>
      </c>
      <c r="HP46" s="24">
        <f>ROUND(SUM(GG46:GG$56)/VLOOKUP($FM46,$AQ$9:$AR$102,2)/VLOOKUP($FM46-HP$103,Frauen!$G$9:$J$102,4),Rundäx)</f>
        <v>1.212</v>
      </c>
      <c r="HQ46" s="24">
        <f>ROUND(SUM(GH46:GH$56)/VLOOKUP($FM46,$AQ$9:$AR$102,2)/VLOOKUP($FM46-HQ$103,Frauen!$G$9:$J$102,4),Rundäx)</f>
        <v>1.401</v>
      </c>
      <c r="HR46" s="24">
        <f>ROUND(SUM(GI46:GI$56)/VLOOKUP($FM46,$AQ$9:$AR$102,2)/VLOOKUP($FM46-HR$103,Frauen!$G$9:$J$102,4),Rundäx)</f>
        <v>1.6060000000000001</v>
      </c>
      <c r="HS46" s="24">
        <f>ROUND(SUM(GJ46:GJ$56)/VLOOKUP($FM46,$AQ$9:$AR$102,2)/VLOOKUP($FM46-HS$103,Frauen!$G$9:$J$102,4),Rundäx)</f>
        <v>1.829</v>
      </c>
      <c r="HT46" s="24">
        <f>ROUND(SUM(GK46:GK$56)/VLOOKUP($FM46,$AQ$9:$AR$102,2)/VLOOKUP($FM46-HT$103,Frauen!$G$9:$J$102,4),Rundäx)</f>
        <v>2.0720000000000001</v>
      </c>
      <c r="HU46" s="86"/>
      <c r="HV46" s="35">
        <f t="shared" si="65"/>
        <v>102</v>
      </c>
      <c r="HW46" s="24">
        <f>ROUND(SUM(GL46:GL$56)/VLOOKUP($FM46,$AQ$9:$AR$102,2)/VLOOKUP($FM46-HW$103,Frauen!$G$9:$J$102,4),Rundäx)</f>
        <v>2.335</v>
      </c>
      <c r="HX46" s="24">
        <f>ROUND(SUM(GM46:GM$56)/VLOOKUP($FM46,$AQ$9:$AR$102,2)/VLOOKUP($FM46-HX$103,Frauen!$G$9:$J$102,4),Rundäx)</f>
        <v>2.6219999999999999</v>
      </c>
      <c r="HY46" s="24">
        <f>ROUND(SUM(GN46:GN$56)/VLOOKUP($FM46,$AQ$9:$AR$102,2)/VLOOKUP($FM46-HY$103,Frauen!$G$9:$J$102,4),Rundäx)</f>
        <v>2.9279999999999999</v>
      </c>
      <c r="HZ46" s="24">
        <f>ROUND(SUM(GO46:GO$56)/VLOOKUP($FM46,$AQ$9:$AR$102,2)/VLOOKUP($FM46-HZ$103,Frauen!$G$9:$J$102,4),Rundäx)</f>
        <v>3.2490000000000001</v>
      </c>
      <c r="IA46" s="24">
        <f>ROUND(SUM(GP46:GP$56)/VLOOKUP($FM46,$AQ$9:$AR$102,2)/VLOOKUP($FM46-IA$103,Frauen!$G$9:$J$102,4),Rundäx)</f>
        <v>3.585</v>
      </c>
      <c r="IB46" s="24">
        <f>ROUND(SUM(GQ46:GQ$56)/VLOOKUP($FM46,$AQ$9:$AR$102,2)/VLOOKUP($FM46-IB$103,Frauen!$G$9:$J$102,4),Rundäx)</f>
        <v>3.9390000000000001</v>
      </c>
      <c r="IC46" s="24">
        <f>ROUND(SUM(GR46:GR$56)/VLOOKUP($FM46,$AQ$9:$AR$102,2)/VLOOKUP($FM46-IC$103,Frauen!$G$9:$J$102,4),Rundäx)</f>
        <v>4.3129999999999997</v>
      </c>
      <c r="ID46" s="89"/>
      <c r="IE46" s="35">
        <f t="shared" si="81"/>
        <v>54</v>
      </c>
      <c r="IF46" s="25">
        <f t="shared" si="31"/>
        <v>198</v>
      </c>
      <c r="IG46" s="25">
        <f>IF($IE46&lt;RAM,IF(S47&lt;=RAK,ROUND(SUM(IF46:INDEX(Dakx,RAM-BeginnAlter))+INDEX(Dax,RAM-BeginnAlter+1)*INDEX(äkx,1),RundDx),0),"")</f>
        <v>986</v>
      </c>
      <c r="IH46" s="25">
        <f>IF($IE46&lt;RAM,IF(S47&lt;=RAK,ROUND(SUM(IG46:INDEX(Nakx,RAM-BeginnAlter))+INDEX(Dax,RAM-BeginnAlter+1)*INDEX(äkx,1),RundDx),0),"")</f>
        <v>4622</v>
      </c>
      <c r="II46" s="24">
        <f t="shared" si="32"/>
        <v>3.5999999999999997E-2</v>
      </c>
      <c r="IJ46" s="25">
        <f t="shared" si="33"/>
        <v>1425</v>
      </c>
      <c r="IK46" s="25">
        <f>IF($IE46&lt;RAM,IF(S47&lt;=RAK,SUM(IJ46:INDEX(Dikx,RAM-BeginnAlter))+INDEX(Dix,RAM-BeginnAlter+1)*INDEX(äkx,1),0),"")</f>
        <v>4812.8320000000003</v>
      </c>
      <c r="IL46" s="24">
        <f t="shared" si="34"/>
        <v>0.14399999999999999</v>
      </c>
      <c r="IM46" s="86"/>
      <c r="IN46" s="35">
        <f t="shared" si="67"/>
        <v>102</v>
      </c>
      <c r="IO46" s="25"/>
      <c r="IP46" s="25"/>
      <c r="IQ46" s="24"/>
      <c r="IR46" s="86"/>
    </row>
    <row r="47" spans="1:252" ht="15.75" customHeight="1" x14ac:dyDescent="0.25">
      <c r="A47" s="35">
        <f t="shared" si="69"/>
        <v>55</v>
      </c>
      <c r="B47" s="77">
        <v>3.3944639744681992E-3</v>
      </c>
      <c r="C47" s="77">
        <v>1.1583645615822676E-2</v>
      </c>
      <c r="D47" s="77">
        <v>2.1131643555739085E-2</v>
      </c>
      <c r="E47" s="77">
        <v>4.629043823020762E-3</v>
      </c>
      <c r="F47" s="86"/>
      <c r="G47" s="35">
        <f t="shared" si="70"/>
        <v>55</v>
      </c>
      <c r="H47" s="25">
        <f t="shared" si="37"/>
        <v>88846</v>
      </c>
      <c r="I47" s="25">
        <f t="shared" si="38"/>
        <v>5990</v>
      </c>
      <c r="J47" s="25">
        <f t="shared" si="39"/>
        <v>94836</v>
      </c>
      <c r="K47" s="30">
        <f>IF(J47&gt;0,ROUND(SUM(J47:J$102)/J47-0.5,Rundex),"")</f>
        <v>25.77</v>
      </c>
      <c r="L47" s="25">
        <f t="shared" si="0"/>
        <v>109153</v>
      </c>
      <c r="M47" s="30">
        <f>IF(L47&gt;0,ROUND(SUM(L47:L$102)/L47-0.5,Rundex),"")</f>
        <v>22.97</v>
      </c>
      <c r="N47" s="86"/>
      <c r="O47" s="35">
        <f t="shared" si="71"/>
        <v>55</v>
      </c>
      <c r="P47" s="43">
        <v>0.78614152198833365</v>
      </c>
      <c r="Q47" s="78">
        <v>52.311168955463572</v>
      </c>
      <c r="R47" s="43">
        <v>0.2392000825446905</v>
      </c>
      <c r="S47" s="78">
        <v>16.839755836306001</v>
      </c>
      <c r="T47" s="15">
        <v>4.6304058324766473E-3</v>
      </c>
      <c r="U47" s="11">
        <f t="shared" si="40"/>
        <v>94837</v>
      </c>
      <c r="V47" s="30">
        <f>IF(U47&gt;0,ROUND(SUM(U47:U$102)/U47-0.5,Rundex),"")</f>
        <v>23.29</v>
      </c>
      <c r="W47" s="86"/>
      <c r="X47" s="35">
        <f t="shared" si="72"/>
        <v>55</v>
      </c>
      <c r="Y47" s="25">
        <f t="shared" si="1"/>
        <v>26131</v>
      </c>
      <c r="Z47" s="25">
        <f>IF($X47&lt;RAM,SUM(Y47:INDEX(Dax,RAM-BeginnAlter))," ")</f>
        <v>213209</v>
      </c>
      <c r="AA47" s="25">
        <f t="shared" si="2"/>
        <v>88</v>
      </c>
      <c r="AB47" s="25">
        <f>IF($X47&lt;RAM,SUM(AA47:INDEX(Cax,RAM-BeginnAlter))," ")</f>
        <v>1235</v>
      </c>
      <c r="AC47" s="25">
        <f t="shared" si="3"/>
        <v>299</v>
      </c>
      <c r="AD47" s="25">
        <f>IF($X47&lt;RAM,SUM(AC47:INDEX(Caix,RAM-BeginnAlter))," ")</f>
        <v>5499</v>
      </c>
      <c r="AE47" s="24">
        <f t="shared" si="4"/>
        <v>8.1590000000000007</v>
      </c>
      <c r="AF47" s="24">
        <f t="shared" si="5"/>
        <v>7.96</v>
      </c>
      <c r="AG47" s="86"/>
      <c r="AH47" s="35">
        <f t="shared" si="73"/>
        <v>55</v>
      </c>
      <c r="AI47" s="25">
        <f t="shared" si="6"/>
        <v>32104</v>
      </c>
      <c r="AJ47" s="25">
        <f>IF($AH47&gt;RAM," ",IF($AH47&lt;RAM,SUM(AI47:INDEX(Dix,RAM-BeginnAlter))+INDEX(Nx,RAM-BeginnAlter+1),INDEX(Nx,RAM-BeginnAlter+1)))</f>
        <v>562430</v>
      </c>
      <c r="AK47" s="25">
        <f>IF($AH47&lt;RAM,SUM(AI47:INDEX(Dix,RAM-BeginnAlter))," ")</f>
        <v>265183</v>
      </c>
      <c r="AL47" s="24">
        <f t="shared" si="7"/>
        <v>17.518999999999998</v>
      </c>
      <c r="AM47" s="24">
        <f t="shared" si="8"/>
        <v>17.061</v>
      </c>
      <c r="AN47" s="24">
        <f t="shared" si="9"/>
        <v>8.26</v>
      </c>
      <c r="AO47" s="24">
        <f t="shared" si="10"/>
        <v>8.0939999999999994</v>
      </c>
      <c r="AP47" s="86"/>
      <c r="AQ47" s="35">
        <f t="shared" si="74"/>
        <v>55</v>
      </c>
      <c r="AR47" s="25">
        <f t="shared" si="11"/>
        <v>27893</v>
      </c>
      <c r="AS47" s="25">
        <f>SUM(AR47:AR$94)</f>
        <v>542924</v>
      </c>
      <c r="AT47" s="25">
        <f>IF($AQ47&lt;RAM,SUM(AR47:INDEX(Dx,RAM-BeginnAlter))," ")</f>
        <v>245677</v>
      </c>
      <c r="AU47" s="24">
        <f t="shared" si="12"/>
        <v>19.465</v>
      </c>
      <c r="AV47" s="24">
        <f t="shared" si="13"/>
        <v>19.006</v>
      </c>
      <c r="AW47" s="24">
        <f t="shared" si="14"/>
        <v>8.8079999999999998</v>
      </c>
      <c r="AX47" s="24">
        <f t="shared" si="15"/>
        <v>8.6859999999999999</v>
      </c>
      <c r="AY47" s="86"/>
      <c r="AZ47" s="35">
        <f t="shared" si="75"/>
        <v>55</v>
      </c>
      <c r="BA47" s="25">
        <f t="shared" si="16"/>
        <v>27893</v>
      </c>
      <c r="BB47" s="25">
        <f>SUM(BA47:BA$94)</f>
        <v>500873</v>
      </c>
      <c r="BC47" s="24">
        <f t="shared" si="17"/>
        <v>17.957000000000001</v>
      </c>
      <c r="BD47" s="24">
        <f t="shared" si="18"/>
        <v>17.498999999999999</v>
      </c>
      <c r="BE47" s="86"/>
      <c r="BF47" s="35">
        <f t="shared" si="48"/>
        <v>38</v>
      </c>
      <c r="BG47" s="24" t="str">
        <f t="shared" si="19"/>
        <v/>
      </c>
      <c r="BH47" s="24" t="str">
        <f t="shared" si="20"/>
        <v/>
      </c>
      <c r="BI47" s="86"/>
      <c r="BJ47" s="35">
        <f t="shared" si="76"/>
        <v>55</v>
      </c>
      <c r="BK47" s="25">
        <f t="shared" si="21"/>
        <v>5068</v>
      </c>
      <c r="BL47" s="25">
        <f>IF(BJ47&lt;RAM,SUM(BK47:INDEX(Daix,RAM-BeginnAlter))," ")</f>
        <v>84581</v>
      </c>
      <c r="BM47" s="25">
        <f>IF(BJ47&lt;RAM,SUM(BL47:INDEX(Naix,RAM-BeginnAlter))," ")</f>
        <v>521684</v>
      </c>
      <c r="BN47" s="24">
        <f t="shared" si="22"/>
        <v>7.95</v>
      </c>
      <c r="BO47" s="24">
        <f t="shared" si="23"/>
        <v>3.2370000000000001</v>
      </c>
      <c r="BP47" s="86"/>
      <c r="BQ47" s="35">
        <f t="shared" si="77"/>
        <v>55</v>
      </c>
      <c r="BR47" s="25">
        <f t="shared" si="51"/>
        <v>2325</v>
      </c>
      <c r="BS47" s="25">
        <f>IF(BQ47&lt;RAM,SUM(BR47:INDEX(Daixs,RAM-BeginnAlter))," ")</f>
        <v>20270</v>
      </c>
      <c r="BT47" s="25">
        <f>IF(BQ47&lt;RAM,SUM(BS47:INDEX(Naixs,RAM-BeginnAlter))," ")</f>
        <v>94687</v>
      </c>
      <c r="BU47" s="24">
        <f t="shared" si="52"/>
        <v>10.411</v>
      </c>
      <c r="BV47" s="24">
        <f t="shared" si="53"/>
        <v>0.77600000000000002</v>
      </c>
      <c r="BW47" s="86"/>
      <c r="BX47" s="35">
        <f t="shared" si="78"/>
        <v>55</v>
      </c>
      <c r="BY47" s="10">
        <f t="shared" si="24"/>
        <v>6.3955307135886592</v>
      </c>
      <c r="BZ47" s="11">
        <f t="shared" si="25"/>
        <v>408</v>
      </c>
      <c r="CA47" s="25">
        <f>IF(S48&lt;=RAK,IF($BX47&lt;RAM,SUM(BZ47:INDEX(Dazx,RAM-BeginnAlter)),""),"")</f>
        <v>1900</v>
      </c>
      <c r="CB47" s="24">
        <f t="shared" si="26"/>
        <v>7.2999999999999995E-2</v>
      </c>
      <c r="CC47" s="25">
        <f t="shared" si="27"/>
        <v>21855</v>
      </c>
      <c r="CD47" s="24">
        <f t="shared" si="28"/>
        <v>14.955</v>
      </c>
      <c r="CE47" s="24">
        <f t="shared" si="29"/>
        <v>3.9E-2</v>
      </c>
      <c r="CF47" s="86"/>
      <c r="CG47" s="35">
        <f t="shared" si="79"/>
        <v>55</v>
      </c>
      <c r="CH47" s="25">
        <f>IF(CG47&lt;RAM,ROUND(v^($CG47+FaktorAlter)*$H47*($B47*0.5*($P47+$P48)*(VLOOKUP(TRUNC(0.5*($Q47+$Q48),0),Frauen!$AZ$9:$BD$95,5)+(0.5*($Q47+$Q48)-TRUNC(0.5*($Q47+$Q48),0))*(VLOOKUP(TRUNC(0.5*($Q47+$Q48)+1,0),Frauen!$AZ$9:$BD$95,5)-VLOOKUP(TRUNC(0.5*($Q47+$Q48),0),Frauen!$AZ$9:$BD$95,5)))+$C47*0.5*($CN47+$CN48)),RundDx),"")</f>
        <v>3399</v>
      </c>
      <c r="CI47" s="25">
        <f>IF(CG47&lt;RAM,ROUND(SUM(CH47:INDEX(Dawx,RAM-BeginnAlter))+INDEX(Dax,RAM-BeginnAlter+1)*INDEX(äwx,1),RundDx),"")</f>
        <v>128627</v>
      </c>
      <c r="CJ47" s="25">
        <f>IF(CG47&lt;RAM,ROUND(SUM(CI47:INDEX(Nawx,RAM-BeginnAlter))+INDEX(Dax,RAM-BeginnAlter+1)*INDEX(äwx,1),RundDx),"")</f>
        <v>1163093</v>
      </c>
      <c r="CK47" s="24">
        <f t="shared" si="56"/>
        <v>4.9219999999999997</v>
      </c>
      <c r="CL47" s="25">
        <f>IF(CG47&lt;RAM,ROUND(v^($CG47+FaktorAlter)*$L47*$D47*0.5*($P47+$P48)*(VLOOKUP(TRUNC(0.5*($Q47+$Q48),0),Frauen!$AZ$9:$BD$95,5)+(0.5*($Q47+$Q48)-TRUNC(0.5*($Q47+$Q48),0))*(VLOOKUP(TRUNC(0.5*($Q47+$Q48)+1,0),Frauen!$AZ$9:$BD$95,5)-VLOOKUP(TRUNC(0.5*($Q47+$Q48),0),Frauen!$AZ$9:$BD$95,5))),RundDx),"")</f>
        <v>11728</v>
      </c>
      <c r="CM47" s="25">
        <f>IF(CG47&lt;RAM,SUM(CL47:INDEX(Diwx,RAM-BeginnAlter))+INDEX(Dix,RAM-BeginnAlter+1)*INDEX(äwx,1),"")</f>
        <v>201674.41399999999</v>
      </c>
      <c r="CN47" s="24">
        <f t="shared" si="57"/>
        <v>6.282</v>
      </c>
      <c r="CO47" s="86"/>
      <c r="CP47" s="35">
        <f t="shared" si="58"/>
        <v>103</v>
      </c>
      <c r="CQ47" s="11">
        <f>ROUND(v^($CP47+FaktorAlter)*VLOOKUP(CP47,G$9:J$102,4)*VLOOKUP(CP47,A$9:E$102,5)*0.5*(VLOOKUP(CP47,O$9:P$102,2)+VLOOKUP(CP47+1,O$9:P$102,2))*(VLOOKUP(TRUNC(0.5*(VLOOKUP(CP47,O$9:Q$102,3)+VLOOKUP(CP47+1,O$9:Q$102,3)),0),Frauen!$AZ$9:$BD$95,5)+(0.5*(VLOOKUP(CP47,O$9:Q$102,3)+VLOOKUP(CP47+1,O$9:Q$102,3))-TRUNC(0.5*(VLOOKUP(CP47,O$9:Q$102,3)+VLOOKUP(CP47+1,O$9:Q$102,3)),0))*(VLOOKUP(TRUNC(0.5*(VLOOKUP(CP47,O$9:Q$102,3)+VLOOKUP(CP47+1,O$9:Q$102,3))+1,0),Frauen!$AZ$9:$BD$95,5)-VLOOKUP(TRUNC(0.5*(VLOOKUP(CP47,O$9:Q$102,3)+VLOOKUP(CP47+1,O$9:Q$102,3)),0),Frauen!$AZ$9:$BD$95,5))),RundDx)</f>
        <v>0</v>
      </c>
      <c r="CR47" s="25">
        <f>SUM(CQ47:CQ$56)</f>
        <v>0</v>
      </c>
      <c r="CS47" s="24">
        <f t="shared" si="30"/>
        <v>0</v>
      </c>
      <c r="CT47" s="86"/>
      <c r="CU47" s="35">
        <f t="shared" si="80"/>
        <v>55</v>
      </c>
      <c r="CV47" s="25">
        <f>IF($CU47&gt;=RAM,"",IF($CU47-CV$103&lt;BeginnAlter,"",ROUND(v^($CU47+FaktorAlter)*$L47*$D47*0.5*(VLOOKUP($CU47-CV$103,Frauen!$G$9:$J$102,4)+VLOOKUP($CU47-CV$103+1,Frauen!$G$9:$J$102,4))*0.5*(VLOOKUP($CU47-CV$103,Frauen!$AZ$9:$BD$102,5)+VLOOKUP($CU47-CV$103+1,Frauen!$AZ$9:$BD$102,5)),RundDx)))</f>
        <v>761595196</v>
      </c>
      <c r="CW47" s="25">
        <f>IF($CU47&gt;=RAM,"",IF($CU47-CW$103&lt;BeginnAlter,"",ROUND(v^($CU47+FaktorAlter)*$L47*$D47*0.5*(VLOOKUP($CU47-CW$103,Frauen!$G$9:$J$102,4)+VLOOKUP($CU47-CW$103+1,Frauen!$G$9:$J$102,4))*0.5*(VLOOKUP($CU47-CW$103,Frauen!$AZ$9:$BD$102,5)+VLOOKUP($CU47-CW$103+1,Frauen!$AZ$9:$BD$102,5)),RundDx)))</f>
        <v>803852996</v>
      </c>
      <c r="CX47" s="25">
        <f>IF($CU47&gt;=RAM,"",IF($CU47-CX$103&lt;BeginnAlter,"",ROUND(v^($CU47+FaktorAlter)*$L47*$D47*0.5*(VLOOKUP($CU47-CX$103,Frauen!$G$9:$J$102,4)+VLOOKUP($CU47-CX$103+1,Frauen!$G$9:$J$102,4))*0.5*(VLOOKUP($CU47-CX$103,Frauen!$AZ$9:$BD$102,5)+VLOOKUP($CU47-CX$103+1,Frauen!$AZ$9:$BD$102,5)),RundDx)))</f>
        <v>846097953</v>
      </c>
      <c r="CY47" s="25">
        <f>IF($CU47&gt;=RAM,"",IF($CU47-CY$103&lt;BeginnAlter,"",ROUND(v^($CU47+FaktorAlter)*$L47*$D47*0.5*(VLOOKUP($CU47-CY$103,Frauen!$G$9:$J$102,4)+VLOOKUP($CU47-CY$103+1,Frauen!$G$9:$J$102,4))*0.5*(VLOOKUP($CU47-CY$103,Frauen!$AZ$9:$BD$102,5)+VLOOKUP($CU47-CY$103+1,Frauen!$AZ$9:$BD$102,5)),RundDx)))</f>
        <v>888043404</v>
      </c>
      <c r="CZ47" s="25">
        <f>IF($CU47&gt;=RAM,"",IF($CU47-CZ$103&lt;BeginnAlter,"",ROUND(v^($CU47+FaktorAlter)*$L47*$D47*0.5*(VLOOKUP($CU47-CZ$103,Frauen!$G$9:$J$102,4)+VLOOKUP($CU47-CZ$103+1,Frauen!$G$9:$J$102,4))*0.5*(VLOOKUP($CU47-CZ$103,Frauen!$AZ$9:$BD$102,5)+VLOOKUP($CU47-CZ$103+1,Frauen!$AZ$9:$BD$102,5)),RundDx)))</f>
        <v>929523496</v>
      </c>
      <c r="DA47" s="25">
        <f>IF($CU47&gt;=RAM,"",IF($CU47-DA$103&lt;BeginnAlter,"",ROUND(v^($CU47+FaktorAlter)*$L47*$D47*0.5*(VLOOKUP($CU47-DA$103,Frauen!$G$9:$J$102,4)+VLOOKUP($CU47-DA$103+1,Frauen!$G$9:$J$102,4))*0.5*(VLOOKUP($CU47-DA$103,Frauen!$AZ$9:$BD$102,5)+VLOOKUP($CU47-DA$103+1,Frauen!$AZ$9:$BD$102,5)),RundDx)))</f>
        <v>970607375</v>
      </c>
      <c r="DB47" s="25">
        <f>IF($CU47&gt;=RAM,"",IF($CU47-DB$103&lt;BeginnAlter,"",ROUND(v^($CU47+FaktorAlter)*$L47*$D47*0.5*(VLOOKUP($CU47-DB$103,Frauen!$G$9:$J$102,4)+VLOOKUP($CU47-DB$103+1,Frauen!$G$9:$J$102,4))*0.5*(VLOOKUP($CU47-DB$103,Frauen!$AZ$9:$BD$102,5)+VLOOKUP($CU47-DB$103+1,Frauen!$AZ$9:$BD$102,5)),RundDx)))</f>
        <v>1011198340</v>
      </c>
      <c r="DC47" s="25">
        <f>IF($CU47&gt;=RAM,"",IF($CU47-DC$103&lt;BeginnAlter,"",ROUND(v^($CU47+FaktorAlter)*$L47*$D47*0.5*(VLOOKUP($CU47-DC$103,Frauen!$G$9:$J$102,4)+VLOOKUP($CU47-DC$103+1,Frauen!$G$9:$J$102,4))*0.5*(VLOOKUP($CU47-DC$103,Frauen!$AZ$9:$BD$102,5)+VLOOKUP($CU47-DC$103+1,Frauen!$AZ$9:$BD$102,5)),RundDx)))</f>
        <v>1051056643</v>
      </c>
      <c r="DD47" s="25">
        <f>IF($CU47&gt;=RAM,"",IF($CU47-DD$103&lt;BeginnAlter,"",ROUND(v^($CU47+FaktorAlter)*$L47*$D47*0.5*(VLOOKUP($CU47-DD$103,Frauen!$G$9:$J$102,4)+VLOOKUP($CU47-DD$103+1,Frauen!$G$9:$J$102,4))*0.5*(VLOOKUP($CU47-DD$103,Frauen!$AZ$9:$BD$102,5)+VLOOKUP($CU47-DD$103+1,Frauen!$AZ$9:$BD$102,5)),RundDx)))</f>
        <v>1090160684</v>
      </c>
      <c r="DE47" s="25">
        <f>IF($CU47&gt;=RAM,"",IF($CU47-DE$103&lt;BeginnAlter,"",ROUND(v^($CU47+FaktorAlter)*$L47*$D47*0.5*(VLOOKUP($CU47-DE$103,Frauen!$G$9:$J$102,4)+VLOOKUP($CU47-DE$103+1,Frauen!$G$9:$J$102,4))*0.5*(VLOOKUP($CU47-DE$103,Frauen!$AZ$9:$BD$102,5)+VLOOKUP($CU47-DE$103+1,Frauen!$AZ$9:$BD$102,5)),RundDx)))</f>
        <v>1128611485</v>
      </c>
      <c r="DF47" s="25">
        <f>IF($CU47&gt;=RAM,"",IF($CU47-DF$103&lt;BeginnAlter,"",ROUND(v^($CU47+FaktorAlter)*$L47*$D47*0.5*(VLOOKUP($CU47-DF$103,Frauen!$G$9:$J$102,4)+VLOOKUP($CU47-DF$103+1,Frauen!$G$9:$J$102,4))*0.5*(VLOOKUP($CU47-DF$103,Frauen!$AZ$9:$BD$102,5)+VLOOKUP($CU47-DF$103+1,Frauen!$AZ$9:$BD$102,5)),RundDx)))</f>
        <v>1166357748</v>
      </c>
      <c r="DG47" s="25">
        <f>IF($CU47&gt;=RAM,"",IF($CU47-DG$103&lt;BeginnAlter,"",ROUND(v^($CU47+FaktorAlter)*$L47*$D47*0.5*(VLOOKUP($CU47-DG$103,Frauen!$G$9:$J$102,4)+VLOOKUP($CU47-DG$103+1,Frauen!$G$9:$J$102,4))*0.5*(VLOOKUP($CU47-DG$103,Frauen!$AZ$9:$BD$102,5)+VLOOKUP($CU47-DG$103+1,Frauen!$AZ$9:$BD$102,5)),RundDx)))</f>
        <v>1203389265</v>
      </c>
      <c r="DH47" s="25">
        <f>IF($CU47&gt;=RAM,"",IF($CU47-DH$103&lt;BeginnAlter,"",ROUND(v^($CU47+FaktorAlter)*$L47*$D47*0.5*(VLOOKUP($CU47-DH$103,Frauen!$G$9:$J$102,4)+VLOOKUP($CU47-DH$103+1,Frauen!$G$9:$J$102,4))*0.5*(VLOOKUP($CU47-DH$103,Frauen!$AZ$9:$BD$102,5)+VLOOKUP($CU47-DH$103+1,Frauen!$AZ$9:$BD$102,5)),RundDx)))</f>
        <v>1239782960</v>
      </c>
      <c r="DI47" s="25">
        <f>IF($CU47&gt;=RAM,"",IF($CU47-DI$103&lt;BeginnAlter,"",ROUND(v^($CU47+FaktorAlter)*$L47*$D47*0.5*(VLOOKUP($CU47-DI$103,Frauen!$G$9:$J$102,4)+VLOOKUP($CU47-DI$103+1,Frauen!$G$9:$J$102,4))*0.5*(VLOOKUP($CU47-DI$103,Frauen!$AZ$9:$BD$102,5)+VLOOKUP($CU47-DI$103+1,Frauen!$AZ$9:$BD$102,5)),RundDx)))</f>
        <v>1275652603</v>
      </c>
      <c r="DJ47" s="25">
        <f>IF($CU47&gt;=RAM,"",IF($CU47-DJ$103&lt;BeginnAlter,"",ROUND(v^($CU47+FaktorAlter)*$L47*$D47*0.5*(VLOOKUP($CU47-DJ$103,Frauen!$G$9:$J$102,4)+VLOOKUP($CU47-DJ$103+1,Frauen!$G$9:$J$102,4))*0.5*(VLOOKUP($CU47-DJ$103,Frauen!$AZ$9:$BD$102,5)+VLOOKUP($CU47-DJ$103+1,Frauen!$AZ$9:$BD$102,5)),RundDx)))</f>
        <v>1311092350</v>
      </c>
      <c r="DK47" s="25">
        <f>IF($CU47&gt;=RAM,"",IF($CU47-DK$103&lt;BeginnAlter,"",ROUND(v^($CU47+FaktorAlter)*$L47*$D47*0.5*(VLOOKUP($CU47-DK$103,Frauen!$G$9:$J$102,4)+VLOOKUP($CU47-DK$103+1,Frauen!$G$9:$J$102,4))*0.5*(VLOOKUP($CU47-DK$103,Frauen!$AZ$9:$BD$102,5)+VLOOKUP($CU47-DK$103+1,Frauen!$AZ$9:$BD$102,5)),RundDx)))</f>
        <v>1346186574</v>
      </c>
      <c r="DL47" s="25">
        <f>IF($CU47&gt;=RAM,"",IF($CU47-DL$103&lt;BeginnAlter,"",ROUND(v^($CU47+FaktorAlter)*$L47*$D47*0.5*(VLOOKUP($CU47-DL$103,Frauen!$G$9:$J$102,4)+VLOOKUP($CU47-DL$103+1,Frauen!$G$9:$J$102,4))*0.5*(VLOOKUP($CU47-DL$103,Frauen!$AZ$9:$BD$102,5)+VLOOKUP($CU47-DL$103+1,Frauen!$AZ$9:$BD$102,5)),RundDx)))</f>
        <v>1380975172</v>
      </c>
      <c r="DM47" s="25">
        <f>IF($CU47&gt;=RAM,"",IF($CU47-DM$103&lt;BeginnAlter,"",ROUND(v^($CU47+FaktorAlter)*$L47*$D47*0.5*(VLOOKUP($CU47-DM$103,Frauen!$G$9:$J$102,4)+VLOOKUP($CU47-DM$103+1,Frauen!$G$9:$J$102,4))*0.5*(VLOOKUP($CU47-DM$103,Frauen!$AZ$9:$BD$102,5)+VLOOKUP($CU47-DM$103+1,Frauen!$AZ$9:$BD$102,5)),RundDx)))</f>
        <v>1415393288</v>
      </c>
      <c r="DN47" s="25">
        <f>IF($CU47&gt;=RAM,"",IF($CU47-DN$103&lt;BeginnAlter,"",ROUND(v^($CU47+FaktorAlter)*$L47*$D47*0.5*(VLOOKUP($CU47-DN$103,Frauen!$G$9:$J$102,4)+VLOOKUP($CU47-DN$103+1,Frauen!$G$9:$J$102,4))*0.5*(VLOOKUP($CU47-DN$103,Frauen!$AZ$9:$BD$102,5)+VLOOKUP($CU47-DN$103+1,Frauen!$AZ$9:$BD$102,5)),RundDx)))</f>
        <v>1449470133</v>
      </c>
      <c r="DO47" s="25">
        <f>IF($CU47&gt;=RAM,"",IF($CU47-DO$103&lt;BeginnAlter,"",ROUND(v^($CU47+FaktorAlter)*$L47*$D47*0.5*(VLOOKUP($CU47-DO$103,Frauen!$G$9:$J$102,4)+VLOOKUP($CU47-DO$103+1,Frauen!$G$9:$J$102,4))*0.5*(VLOOKUP($CU47-DO$103,Frauen!$AZ$9:$BD$102,5)+VLOOKUP($CU47-DO$103+1,Frauen!$AZ$9:$BD$102,5)),RundDx)))</f>
        <v>1483134870</v>
      </c>
      <c r="DP47" s="25">
        <f>IF($CU47&gt;=RAM,"",IF($CU47-DP$103&lt;BeginnAlter,"",ROUND(v^($CU47+FaktorAlter)*$L47*$D47*0.5*(VLOOKUP($CU47-DP$103,Frauen!$G$9:$J$102,4)+VLOOKUP($CU47-DP$103+1,Frauen!$G$9:$J$102,4))*0.5*(VLOOKUP($CU47-DP$103,Frauen!$AZ$9:$BD$102,5)+VLOOKUP($CU47-DP$103+1,Frauen!$AZ$9:$BD$102,5)),RundDx)))</f>
        <v>1516231459</v>
      </c>
      <c r="DQ47" s="25">
        <f>IF($CU47&gt;=RAM,"",IF($CU47-DQ$103&lt;BeginnAlter,"",ROUND(v^($CU47+FaktorAlter)*$L47*$D47*0.5*(VLOOKUP($CU47-DQ$103,Frauen!$G$9:$J$102,4)+VLOOKUP($CU47-DQ$103+1,Frauen!$G$9:$J$102,4))*0.5*(VLOOKUP($CU47-DQ$103,Frauen!$AZ$9:$BD$102,5)+VLOOKUP($CU47-DQ$103+1,Frauen!$AZ$9:$BD$102,5)),RundDx)))</f>
        <v>1548662350</v>
      </c>
      <c r="DR47" s="25">
        <f>IF($CU47&gt;=RAM,"",IF($CU47-DR$103&lt;BeginnAlter,"",ROUND(v^($CU47+FaktorAlter)*$L47*$D47*0.5*(VLOOKUP($CU47-DR$103,Frauen!$G$9:$J$102,4)+VLOOKUP($CU47-DR$103+1,Frauen!$G$9:$J$102,4))*0.5*(VLOOKUP($CU47-DR$103,Frauen!$AZ$9:$BD$102,5)+VLOOKUP($CU47-DR$103+1,Frauen!$AZ$9:$BD$102,5)),RundDx)))</f>
        <v>1580396879</v>
      </c>
      <c r="DS47" s="25">
        <f>IF($CU47&gt;=RAM,"",IF($CU47-DS$103&lt;BeginnAlter,"",ROUND(v^($CU47+FaktorAlter)*$L47*$D47*0.5*(VLOOKUP($CU47-DS$103,Frauen!$G$9:$J$102,4)+VLOOKUP($CU47-DS$103+1,Frauen!$G$9:$J$102,4))*0.5*(VLOOKUP($CU47-DS$103,Frauen!$AZ$9:$BD$102,5)+VLOOKUP($CU47-DS$103+1,Frauen!$AZ$9:$BD$102,5)),RundDx)))</f>
        <v>1611439259</v>
      </c>
      <c r="DT47" s="25">
        <f>IF($CU47&gt;=RAM,"",IF($CU47-DT$103&lt;BeginnAlter,"",ROUND(v^($CU47+FaktorAlter)*$L47*$D47*0.5*(VLOOKUP($CU47-DT$103,Frauen!$G$9:$J$102,4)+VLOOKUP($CU47-DT$103+1,Frauen!$G$9:$J$102,4))*0.5*(VLOOKUP($CU47-DT$103,Frauen!$AZ$9:$BD$102,5)+VLOOKUP($CU47-DT$103+1,Frauen!$AZ$9:$BD$102,5)),RundDx)))</f>
        <v>1641820509</v>
      </c>
      <c r="DU47" s="25">
        <f>IF($CU47&gt;=RAM,"",IF($CU47-DU$103&lt;BeginnAlter,"",ROUND(v^($CU47+FaktorAlter)*$L47*$D47*0.5*(VLOOKUP($CU47-DU$103,Frauen!$G$9:$J$102,4)+VLOOKUP($CU47-DU$103+1,Frauen!$G$9:$J$102,4))*0.5*(VLOOKUP($CU47-DU$103,Frauen!$AZ$9:$BD$102,5)+VLOOKUP($CU47-DU$103+1,Frauen!$AZ$9:$BD$102,5)),RundDx)))</f>
        <v>1671499156</v>
      </c>
      <c r="DV47" s="25">
        <f>IF($CU47&gt;=RAM,"",IF($CU47-DV$103&lt;BeginnAlter,"",ROUND(v^($CU47+FaktorAlter)*$L47*$D47*0.5*(VLOOKUP($CU47-DV$103,Frauen!$G$9:$J$102,4)+VLOOKUP($CU47-DV$103+1,Frauen!$G$9:$J$102,4))*0.5*(VLOOKUP($CU47-DV$103,Frauen!$AZ$9:$BD$102,5)+VLOOKUP($CU47-DV$103+1,Frauen!$AZ$9:$BD$102,5)),RundDx)))</f>
        <v>1700484847</v>
      </c>
      <c r="DW47" s="25">
        <f>IF($CU47&gt;=RAM,"",IF($CU47-DW$103&lt;BeginnAlter,"",ROUND(v^($CU47+FaktorAlter)*$L47*$D47*0.5*(VLOOKUP($CU47-DW$103,Frauen!$G$9:$J$102,4)+VLOOKUP($CU47-DW$103+1,Frauen!$G$9:$J$102,4))*0.5*(VLOOKUP($CU47-DW$103,Frauen!$AZ$9:$BD$102,5)+VLOOKUP($CU47-DW$103+1,Frauen!$AZ$9:$BD$102,5)),RundDx)))</f>
        <v>1728846644</v>
      </c>
      <c r="DX47" s="25">
        <f>IF($CU47&gt;=RAM,"",IF($CU47-DX$103&lt;BeginnAlter,"",ROUND(v^($CU47+FaktorAlter)*$L47*$D47*0.5*(VLOOKUP($CU47-DX$103,Frauen!$G$9:$J$102,4)+VLOOKUP($CU47-DX$103+1,Frauen!$G$9:$J$102,4))*0.5*(VLOOKUP($CU47-DX$103,Frauen!$AZ$9:$BD$102,5)+VLOOKUP($CU47-DX$103+1,Frauen!$AZ$9:$BD$102,5)),RundDx)))</f>
        <v>1756598199</v>
      </c>
      <c r="DY47" s="25">
        <f>IF($CU47&gt;=RAM,"",IF($CU47-DY$103&lt;BeginnAlter,"",ROUND(v^($CU47+FaktorAlter)*$L47*$D47*0.5*(VLOOKUP($CU47-DY$103,Frauen!$G$9:$J$102,4)+VLOOKUP($CU47-DY$103+1,Frauen!$G$9:$J$102,4))*0.5*(VLOOKUP($CU47-DY$103,Frauen!$AZ$9:$BD$102,5)+VLOOKUP($CU47-DY$103+1,Frauen!$AZ$9:$BD$102,5)),RundDx)))</f>
        <v>1783746049</v>
      </c>
      <c r="DZ47" s="25">
        <f>IF($CU47&gt;=RAM,"",IF($CU47-DZ$103&lt;BeginnAlter,"",ROUND(v^($CU47+FaktorAlter)*$L47*$D47*0.5*(VLOOKUP($CU47-DZ$103,Frauen!$G$9:$J$102,4)+VLOOKUP($CU47-DZ$103+1,Frauen!$G$9:$J$102,4))*0.5*(VLOOKUP($CU47-DZ$103,Frauen!$AZ$9:$BD$102,5)+VLOOKUP($CU47-DZ$103+1,Frauen!$AZ$9:$BD$102,5)),RundDx)))</f>
        <v>1810288921</v>
      </c>
      <c r="EA47" s="43">
        <f>IF($CU47&gt;=RAM,"",IF($CU47-EA$103&lt;BeginnAlter,"",ROUND((SUM(CV47:CV$56)+SUM(FN$9:FN$56))/VLOOKUP($CU47,$AH$9:$AI$102,2)/VLOOKUP($CU47-EA$103,Frauen!$G$9:$J$102,4),Rundäx)))</f>
        <v>2.407</v>
      </c>
      <c r="EB47" s="43">
        <f>IF($CU47&gt;=RAM,"",IF($CU47-EB$103&lt;BeginnAlter,"",ROUND((SUM(CW47:CW$56)+SUM(FO$9:FO$56))/VLOOKUP($CU47,$AH$9:$AI$102,2)/VLOOKUP($CU47-EB$103,Frauen!$G$9:$J$102,4),Rundäx)))</f>
        <v>2.589</v>
      </c>
      <c r="EC47" s="43">
        <f>IF($CU47&gt;=RAM,"",IF($CU47-EC$103&lt;BeginnAlter,"",ROUND((SUM(CX47:CX$56)+SUM(FP$9:FP$56))/VLOOKUP($CU47,$AH$9:$AI$102,2)/VLOOKUP($CU47-EC$103,Frauen!$G$9:$J$102,4),Rundäx)))</f>
        <v>2.7789999999999999</v>
      </c>
      <c r="ED47" s="43">
        <f>IF($CU47&gt;=RAM,"",IF($CU47-ED$103&lt;BeginnAlter,"",ROUND((SUM(CY47:CY$56)+SUM(FQ$9:FQ$56))/VLOOKUP($CU47,$AH$9:$AI$102,2)/VLOOKUP($CU47-ED$103,Frauen!$G$9:$J$102,4),Rundäx)))</f>
        <v>2.9769999999999999</v>
      </c>
      <c r="EE47" s="43">
        <f>IF($CU47&gt;=RAM,"",IF($CU47-EE$103&lt;BeginnAlter,"",ROUND((SUM(CZ47:CZ$56)+SUM(FR$9:FR$56))/VLOOKUP($CU47,$AH$9:$AI$102,2)/VLOOKUP($CU47-EE$103,Frauen!$G$9:$J$102,4),Rundäx)))</f>
        <v>3.1829999999999998</v>
      </c>
      <c r="EF47" s="43">
        <f>IF($CU47&gt;=RAM,"",IF($CU47-EF$103&lt;BeginnAlter,"",ROUND((SUM(DA47:DA$56)+SUM(FS$9:FS$56))/VLOOKUP($CU47,$AH$9:$AI$102,2)/VLOOKUP($CU47-EF$103,Frauen!$G$9:$J$102,4),Rundäx)))</f>
        <v>3.3969999999999998</v>
      </c>
      <c r="EG47" s="43">
        <f>IF($CU47&gt;=RAM,"",IF($CU47-EG$103&lt;BeginnAlter,"",ROUND((SUM(DB47:DB$56)+SUM(FT$9:FT$56))/VLOOKUP($CU47,$AH$9:$AI$102,2)/VLOOKUP($CU47-EG$103,Frauen!$G$9:$J$102,4),Rundäx)))</f>
        <v>3.6190000000000002</v>
      </c>
      <c r="EH47" s="43">
        <f>IF($CU47&gt;=RAM,"",IF($CU47-EH$103&lt;BeginnAlter,"",ROUND((SUM(DC47:DC$56)+SUM(FU$9:FU$56))/VLOOKUP($CU47,$AH$9:$AI$102,2)/VLOOKUP($CU47-EH$103,Frauen!$G$9:$J$102,4),Rundäx)))</f>
        <v>3.8490000000000002</v>
      </c>
      <c r="EI47" s="86"/>
      <c r="EJ47" s="35">
        <f t="shared" si="60"/>
        <v>55</v>
      </c>
      <c r="EK47" s="43">
        <f>IF($CU47&gt;=RAM,"",IF($CU47-EK$103&lt;BeginnAlter,"",ROUND((SUM(DD47:DD$56)+SUM(FV$9:FV$56))/VLOOKUP($CU47,$AH$9:$AI$102,2)/VLOOKUP($CU47-EK$103,Frauen!$G$9:$J$102,4),Rundäx)))</f>
        <v>4.0890000000000004</v>
      </c>
      <c r="EL47" s="43">
        <f>IF($CU47&gt;=RAM,"",IF($CU47-EL$103&lt;BeginnAlter,"",ROUND((SUM(DE47:DE$56)+SUM(FW$9:FW$56))/VLOOKUP($CU47,$AH$9:$AI$102,2)/VLOOKUP($CU47-EL$103,Frauen!$G$9:$J$102,4),Rundäx)))</f>
        <v>4.3369999999999997</v>
      </c>
      <c r="EM47" s="43">
        <f>IF($CU47&gt;=RAM,"",IF($CU47-EM$103&lt;BeginnAlter,"",ROUND((SUM(DF47:DF$56)+SUM(FX$9:FX$56))/VLOOKUP($CU47,$AH$9:$AI$102,2)/VLOOKUP($CU47-EM$103,Frauen!$G$9:$J$102,4),Rundäx)))</f>
        <v>4.5940000000000003</v>
      </c>
      <c r="EN47" s="43">
        <f>IF($CU47&gt;=RAM,"",IF($CU47-EN$103&lt;BeginnAlter,"",ROUND((SUM(DG47:DG$56)+SUM(FY$9:FY$56))/VLOOKUP($CU47,$AH$9:$AI$102,2)/VLOOKUP($CU47-EN$103,Frauen!$G$9:$J$102,4),Rundäx)))</f>
        <v>4.859</v>
      </c>
      <c r="EO47" s="43">
        <f>IF($CU47&gt;=RAM,"",IF($CU47-EO$103&lt;BeginnAlter,"",ROUND((SUM(DH47:DH$56)+SUM(FZ$9:FZ$56))/VLOOKUP($CU47,$AH$9:$AI$102,2)/VLOOKUP($CU47-EO$103,Frauen!$G$9:$J$102,4),Rundäx)))</f>
        <v>5.133</v>
      </c>
      <c r="EP47" s="43">
        <f>IF($CU47&gt;=RAM,"",IF($CU47-EP$103&lt;BeginnAlter,"",ROUND((SUM(DI47:DI$56)+SUM(GA$9:GA$56))/VLOOKUP($CU47,$AH$9:$AI$102,2)/VLOOKUP($CU47-EP$103,Frauen!$G$9:$J$102,4),Rundäx)))</f>
        <v>5.415</v>
      </c>
      <c r="EQ47" s="43">
        <f>IF($CU47&gt;=RAM,"",IF($CU47-EQ$103&lt;BeginnAlter,"",ROUND((SUM(DJ47:DJ$56)+SUM(GB$9:GB$56))/VLOOKUP($CU47,$AH$9:$AI$102,2)/VLOOKUP($CU47-EQ$103,Frauen!$G$9:$J$102,4),Rundäx)))</f>
        <v>5.7039999999999997</v>
      </c>
      <c r="ER47" s="43">
        <f>IF($CU47&gt;=RAM,"",IF($CU47-ER$103&lt;BeginnAlter,"",ROUND((SUM(DK47:DK$56)+SUM(GC$9:GC$56))/VLOOKUP($CU47,$AH$9:$AI$102,2)/VLOOKUP($CU47-ER$103,Frauen!$G$9:$J$102,4),Rundäx)))</f>
        <v>6</v>
      </c>
      <c r="ES47" s="86"/>
      <c r="ET47" s="35">
        <f t="shared" si="61"/>
        <v>55</v>
      </c>
      <c r="EU47" s="43">
        <f>IF($CU47&gt;=RAM,"",IF($CU47-EU$103&lt;BeginnAlter,"",ROUND((SUM(DL47:DL$56)+SUM(GD$9:GD$56))/VLOOKUP($CU47,$AH$9:$AI$102,2)/VLOOKUP($CU47-EU$103,Frauen!$G$9:$J$102,4),Rundäx)))</f>
        <v>6.3019999999999996</v>
      </c>
      <c r="EV47" s="43">
        <f>IF($CU47&gt;=RAM,"",IF($CU47-EV$103&lt;BeginnAlter,"",ROUND((SUM(DM47:DM$56)+SUM(GE$9:GE$56))/VLOOKUP($CU47,$AH$9:$AI$102,2)/VLOOKUP($CU47-EV$103,Frauen!$G$9:$J$102,4),Rundäx)))</f>
        <v>6.61</v>
      </c>
      <c r="EW47" s="43">
        <f>IF($CU47&gt;=RAM,"",IF($CU47-EW$103&lt;BeginnAlter,"",ROUND((SUM(DN47:DN$56)+SUM(GF$9:GF$56))/VLOOKUP($CU47,$AH$9:$AI$102,2)/VLOOKUP($CU47-EW$103,Frauen!$G$9:$J$102,4),Rundäx)))</f>
        <v>6.923</v>
      </c>
      <c r="EX47" s="43">
        <f>IF($CU47&gt;=RAM,"",IF($CU47-EX$103&lt;BeginnAlter,"",ROUND((SUM(DO47:DO$56)+SUM(GG$9:GG$56))/VLOOKUP($CU47,$AH$9:$AI$102,2)/VLOOKUP($CU47-EX$103,Frauen!$G$9:$J$102,4),Rundäx)))</f>
        <v>7.2409999999999997</v>
      </c>
      <c r="EY47" s="43">
        <f>IF($CU47&gt;=RAM,"",IF($CU47-EY$103&lt;BeginnAlter,"",ROUND((SUM(DP47:DP$56)+SUM(GH$9:GH$56))/VLOOKUP($CU47,$AH$9:$AI$102,2)/VLOOKUP($CU47-EY$103,Frauen!$G$9:$J$102,4),Rundäx)))</f>
        <v>7.5629999999999997</v>
      </c>
      <c r="EZ47" s="43">
        <f>IF($CU47&gt;=RAM,"",IF($CU47-EZ$103&lt;BeginnAlter,"",ROUND((SUM(DQ47:DQ$56)+SUM(GI$9:GI$56))/VLOOKUP($CU47,$AH$9:$AI$102,2)/VLOOKUP($CU47-EZ$103,Frauen!$G$9:$J$102,4),Rundäx)))</f>
        <v>7.8869999999999996</v>
      </c>
      <c r="FA47" s="43">
        <f>IF($CU47&gt;=RAM,"",IF($CU47-FA$103&lt;BeginnAlter,"",ROUND((SUM(DR47:DR$56)+SUM(GJ$9:GJ$56))/VLOOKUP($CU47,$AH$9:$AI$102,2)/VLOOKUP($CU47-FA$103,Frauen!$G$9:$J$102,4),Rundäx)))</f>
        <v>8.2149999999999999</v>
      </c>
      <c r="FB47" s="43">
        <f>IF($CU47&gt;=RAM,"",IF($CU47-FB$103&lt;BeginnAlter,"",ROUND((SUM(DS47:DS$56)+SUM(GK$9:GK$56))/VLOOKUP($CU47,$AH$9:$AI$102,2)/VLOOKUP($CU47-FB$103,Frauen!$G$9:$J$102,4),Rundäx)))</f>
        <v>8.5440000000000005</v>
      </c>
      <c r="FC47" s="86"/>
      <c r="FD47" s="35">
        <f t="shared" si="62"/>
        <v>55</v>
      </c>
      <c r="FE47" s="43">
        <f>IF($CU47&gt;=RAM,"",IF($CU47-FE$103&lt;BeginnAlter,"",ROUND((SUM(DT47:DT$56)+SUM(GL$9:GL$56))/VLOOKUP($CU47,$AH$9:$AI$102,2)/VLOOKUP($CU47-FE$103,Frauen!$G$9:$J$102,4),Rundäx)))</f>
        <v>8.8740000000000006</v>
      </c>
      <c r="FF47" s="43">
        <f>IF($CU47&gt;=RAM,"",IF($CU47-FF$103&lt;BeginnAlter,"",ROUND((SUM(DU47:DU$56)+SUM(GM$9:GM$56))/VLOOKUP($CU47,$AH$9:$AI$102,2)/VLOOKUP($CU47-FF$103,Frauen!$G$9:$J$102,4),Rundäx)))</f>
        <v>9.2050000000000001</v>
      </c>
      <c r="FG47" s="43">
        <f>IF($CU47&gt;=RAM,"",IF($CU47-FG$103&lt;BeginnAlter,"",ROUND((SUM(DV47:DV$56)+SUM(GN$9:GN$56))/VLOOKUP($CU47,$AH$9:$AI$102,2)/VLOOKUP($CU47-FG$103,Frauen!$G$9:$J$102,4),Rundäx)))</f>
        <v>9.5359999999999996</v>
      </c>
      <c r="FH47" s="43">
        <f>IF($CU47&gt;=RAM,"",IF($CU47-FH$103&lt;BeginnAlter,"",ROUND((SUM(DW47:DW$56)+SUM(GO$9:GO$56))/VLOOKUP($CU47,$AH$9:$AI$102,2)/VLOOKUP($CU47-FH$103,Frauen!$G$9:$J$102,4),Rundäx)))</f>
        <v>9.8659999999999997</v>
      </c>
      <c r="FI47" s="43">
        <f>IF($CU47&gt;=RAM,"",IF($CU47-FI$103&lt;BeginnAlter,"",ROUND((SUM(DX47:DX$56)+SUM(GP$9:GP$56))/VLOOKUP($CU47,$AH$9:$AI$102,2)/VLOOKUP($CU47-FI$103,Frauen!$G$9:$J$102,4),Rundäx)))</f>
        <v>10.195</v>
      </c>
      <c r="FJ47" s="43">
        <f>IF($CU47&gt;=RAM,"",IF($CU47-FJ$103&lt;BeginnAlter,"",ROUND((SUM(DY47:DY$56)+SUM(GQ$9:GQ$56))/VLOOKUP($CU47,$AH$9:$AI$102,2)/VLOOKUP($CU47-FJ$103,Frauen!$G$9:$J$102,4),Rundäx)))</f>
        <v>10.523</v>
      </c>
      <c r="FK47" s="43">
        <f>IF($CU47&gt;=RAM,"",IF($CU47-FK$103&lt;BeginnAlter,"",ROUND((SUM(DZ47:DZ$56)+SUM(GR$9:GR$56))/VLOOKUP($CU47,$AH$9:$AI$102,2)/VLOOKUP($CU47-FK$103,Frauen!$G$9:$J$102,4),Rundäx)))</f>
        <v>10.848000000000001</v>
      </c>
      <c r="FL47" s="86"/>
      <c r="FM47" s="35">
        <f t="shared" si="68"/>
        <v>103</v>
      </c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>
        <f>ROUND(v^($FM47+FaktorAlter)*VLOOKUP($FM47,$G$9:$J$102,4)*VLOOKUP($FM47,$A$9:$E$102,5)*0.5*(VLOOKUP($FM47-GC$103,Frauen!$G$9:$J$102,4)+VLOOKUP($FM47-GC$103+1,Frauen!$G$9:$J$102,4))*0.5*(VLOOKUP($FM47-GC$103,Frauen!$AZ$9:$BD$102,5)+VLOOKUP($FM47-GC$103+1,Frauen!$AZ$9:$BD$102,5)),RundDx)</f>
        <v>58</v>
      </c>
      <c r="GD47" s="25">
        <f>ROUND(v^($FM47+FaktorAlter)*VLOOKUP($FM47,$G$9:$J$102,4)*VLOOKUP($FM47,$A$9:$E$102,5)*0.5*(VLOOKUP($FM47-GD$103,Frauen!$G$9:$J$102,4)+VLOOKUP($FM47-GD$103+1,Frauen!$G$9:$J$102,4))*0.5*(VLOOKUP($FM47-GD$103,Frauen!$AZ$9:$BD$102,5)+VLOOKUP($FM47-GD$103+1,Frauen!$AZ$9:$BD$102,5)),RundDx)</f>
        <v>219</v>
      </c>
      <c r="GE47" s="25">
        <f>ROUND(v^($FM47+FaktorAlter)*VLOOKUP($FM47,$G$9:$J$102,4)*VLOOKUP($FM47,$A$9:$E$102,5)*0.5*(VLOOKUP($FM47-GE$103,Frauen!$G$9:$J$102,4)+VLOOKUP($FM47-GE$103+1,Frauen!$G$9:$J$102,4))*0.5*(VLOOKUP($FM47-GE$103,Frauen!$AZ$9:$BD$102,5)+VLOOKUP($FM47-GE$103+1,Frauen!$AZ$9:$BD$102,5)),RundDx)</f>
        <v>572</v>
      </c>
      <c r="GF47" s="25">
        <f>ROUND(v^($FM47+FaktorAlter)*VLOOKUP($FM47,$G$9:$J$102,4)*VLOOKUP($FM47,$A$9:$E$102,5)*0.5*(VLOOKUP($FM47-GF$103,Frauen!$G$9:$J$102,4)+VLOOKUP($FM47-GF$103+1,Frauen!$G$9:$J$102,4))*0.5*(VLOOKUP($FM47-GF$103,Frauen!$AZ$9:$BD$102,5)+VLOOKUP($FM47-GF$103+1,Frauen!$AZ$9:$BD$102,5)),RundDx)</f>
        <v>1257</v>
      </c>
      <c r="GG47" s="25">
        <f>ROUND(v^($FM47+FaktorAlter)*VLOOKUP($FM47,$G$9:$J$102,4)*VLOOKUP($FM47,$A$9:$E$102,5)*0.5*(VLOOKUP($FM47-GG$103,Frauen!$G$9:$J$102,4)+VLOOKUP($FM47-GG$103+1,Frauen!$G$9:$J$102,4))*0.5*(VLOOKUP($FM47-GG$103,Frauen!$AZ$9:$BD$102,5)+VLOOKUP($FM47-GG$103+1,Frauen!$AZ$9:$BD$102,5)),RundDx)</f>
        <v>2437</v>
      </c>
      <c r="GH47" s="25">
        <f>ROUND(v^($FM47+FaktorAlter)*VLOOKUP($FM47,$G$9:$J$102,4)*VLOOKUP($FM47,$A$9:$E$102,5)*0.5*(VLOOKUP($FM47-GH$103,Frauen!$G$9:$J$102,4)+VLOOKUP($FM47-GH$103+1,Frauen!$G$9:$J$102,4))*0.5*(VLOOKUP($FM47-GH$103,Frauen!$AZ$9:$BD$102,5)+VLOOKUP($FM47-GH$103+1,Frauen!$AZ$9:$BD$102,5)),RundDx)</f>
        <v>4346</v>
      </c>
      <c r="GI47" s="25">
        <f>ROUND(v^($FM47+FaktorAlter)*VLOOKUP($FM47,$G$9:$J$102,4)*VLOOKUP($FM47,$A$9:$E$102,5)*0.5*(VLOOKUP($FM47-GI$103,Frauen!$G$9:$J$102,4)+VLOOKUP($FM47-GI$103+1,Frauen!$G$9:$J$102,4))*0.5*(VLOOKUP($FM47-GI$103,Frauen!$AZ$9:$BD$102,5)+VLOOKUP($FM47-GI$103+1,Frauen!$AZ$9:$BD$102,5)),RundDx)</f>
        <v>7239</v>
      </c>
      <c r="GJ47" s="25">
        <f>ROUND(v^($FM47+FaktorAlter)*VLOOKUP($FM47,$G$9:$J$102,4)*VLOOKUP($FM47,$A$9:$E$102,5)*0.5*(VLOOKUP($FM47-GJ$103,Frauen!$G$9:$J$102,4)+VLOOKUP($FM47-GJ$103+1,Frauen!$G$9:$J$102,4))*0.5*(VLOOKUP($FM47-GJ$103,Frauen!$AZ$9:$BD$102,5)+VLOOKUP($FM47-GJ$103+1,Frauen!$AZ$9:$BD$102,5)),RundDx)</f>
        <v>11442</v>
      </c>
      <c r="GK47" s="25">
        <f>ROUND(v^($FM47+FaktorAlter)*VLOOKUP($FM47,$G$9:$J$102,4)*VLOOKUP($FM47,$A$9:$E$102,5)*0.5*(VLOOKUP($FM47-GK$103,Frauen!$G$9:$J$102,4)+VLOOKUP($FM47-GK$103+1,Frauen!$G$9:$J$102,4))*0.5*(VLOOKUP($FM47-GK$103,Frauen!$AZ$9:$BD$102,5)+VLOOKUP($FM47-GK$103+1,Frauen!$AZ$9:$BD$102,5)),RundDx)</f>
        <v>17324</v>
      </c>
      <c r="GL47" s="25">
        <f>ROUND(v^($FM47+FaktorAlter)*VLOOKUP($FM47,$G$9:$J$102,4)*VLOOKUP($FM47,$A$9:$E$102,5)*0.5*(VLOOKUP($FM47-GL$103,Frauen!$G$9:$J$102,4)+VLOOKUP($FM47-GL$103+1,Frauen!$G$9:$J$102,4))*0.5*(VLOOKUP($FM47-GL$103,Frauen!$AZ$9:$BD$102,5)+VLOOKUP($FM47-GL$103+1,Frauen!$AZ$9:$BD$102,5)),RundDx)</f>
        <v>25284</v>
      </c>
      <c r="GM47" s="25">
        <f>ROUND(v^($FM47+FaktorAlter)*VLOOKUP($FM47,$G$9:$J$102,4)*VLOOKUP($FM47,$A$9:$E$102,5)*0.5*(VLOOKUP($FM47-GM$103,Frauen!$G$9:$J$102,4)+VLOOKUP($FM47-GM$103+1,Frauen!$G$9:$J$102,4))*0.5*(VLOOKUP($FM47-GM$103,Frauen!$AZ$9:$BD$102,5)+VLOOKUP($FM47-GM$103+1,Frauen!$AZ$9:$BD$102,5)),RundDx)</f>
        <v>35726</v>
      </c>
      <c r="GN47" s="25">
        <f>ROUND(v^($FM47+FaktorAlter)*VLOOKUP($FM47,$G$9:$J$102,4)*VLOOKUP($FM47,$A$9:$E$102,5)*0.5*(VLOOKUP($FM47-GN$103,Frauen!$G$9:$J$102,4)+VLOOKUP($FM47-GN$103+1,Frauen!$G$9:$J$102,4))*0.5*(VLOOKUP($FM47-GN$103,Frauen!$AZ$9:$BD$102,5)+VLOOKUP($FM47-GN$103+1,Frauen!$AZ$9:$BD$102,5)),RundDx)</f>
        <v>49104</v>
      </c>
      <c r="GO47" s="25">
        <f>ROUND(v^($FM47+FaktorAlter)*VLOOKUP($FM47,$G$9:$J$102,4)*VLOOKUP($FM47,$A$9:$E$102,5)*0.5*(VLOOKUP($FM47-GO$103,Frauen!$G$9:$J$102,4)+VLOOKUP($FM47-GO$103+1,Frauen!$G$9:$J$102,4))*0.5*(VLOOKUP($FM47-GO$103,Frauen!$AZ$9:$BD$102,5)+VLOOKUP($FM47-GO$103+1,Frauen!$AZ$9:$BD$102,5)),RundDx)</f>
        <v>65692</v>
      </c>
      <c r="GP47" s="25">
        <f>ROUND(v^($FM47+FaktorAlter)*VLOOKUP($FM47,$G$9:$J$102,4)*VLOOKUP($FM47,$A$9:$E$102,5)*0.5*(VLOOKUP($FM47-GP$103,Frauen!$G$9:$J$102,4)+VLOOKUP($FM47-GP$103+1,Frauen!$G$9:$J$102,4))*0.5*(VLOOKUP($FM47-GP$103,Frauen!$AZ$9:$BD$102,5)+VLOOKUP($FM47-GP$103+1,Frauen!$AZ$9:$BD$102,5)),RundDx)</f>
        <v>85521</v>
      </c>
      <c r="GQ47" s="25">
        <f>ROUND(v^($FM47+FaktorAlter)*VLOOKUP($FM47,$G$9:$J$102,4)*VLOOKUP($FM47,$A$9:$E$102,5)*0.5*(VLOOKUP($FM47-GQ$103,Frauen!$G$9:$J$102,4)+VLOOKUP($FM47-GQ$103+1,Frauen!$G$9:$J$102,4))*0.5*(VLOOKUP($FM47-GQ$103,Frauen!$AZ$9:$BD$102,5)+VLOOKUP($FM47-GQ$103+1,Frauen!$AZ$9:$BD$102,5)),RundDx)</f>
        <v>108762</v>
      </c>
      <c r="GR47" s="25">
        <f>ROUND(v^($FM47+FaktorAlter)*VLOOKUP($FM47,$G$9:$J$102,4)*VLOOKUP($FM47,$A$9:$E$102,5)*0.5*(VLOOKUP($FM47-GR$103,Frauen!$G$9:$J$102,4)+VLOOKUP($FM47-GR$103+1,Frauen!$G$9:$J$102,4))*0.5*(VLOOKUP($FM47-GR$103,Frauen!$AZ$9:$BD$102,5)+VLOOKUP($FM47-GR$103+1,Frauen!$AZ$9:$BD$102,5)),RundDx)</f>
        <v>135444</v>
      </c>
      <c r="GS47" s="24"/>
      <c r="GT47" s="24"/>
      <c r="GU47" s="24"/>
      <c r="GV47" s="24"/>
      <c r="GW47" s="24"/>
      <c r="GX47" s="24"/>
      <c r="GY47" s="24"/>
      <c r="GZ47" s="24"/>
      <c r="HA47" s="86"/>
      <c r="HB47" s="35">
        <f t="shared" si="63"/>
        <v>103</v>
      </c>
      <c r="HC47" s="24"/>
      <c r="HD47" s="24"/>
      <c r="HE47" s="24"/>
      <c r="HF47" s="24"/>
      <c r="HG47" s="24"/>
      <c r="HH47" s="24"/>
      <c r="HI47" s="24"/>
      <c r="HJ47" s="24"/>
      <c r="HK47" s="86"/>
      <c r="HL47" s="35">
        <f t="shared" si="64"/>
        <v>103</v>
      </c>
      <c r="HM47" s="24"/>
      <c r="HN47" s="24"/>
      <c r="HO47" s="24"/>
      <c r="HP47" s="24"/>
      <c r="HQ47" s="24"/>
      <c r="HR47" s="24"/>
      <c r="HS47" s="24"/>
      <c r="HT47" s="24"/>
      <c r="HU47" s="86"/>
      <c r="HV47" s="35">
        <f t="shared" si="65"/>
        <v>103</v>
      </c>
      <c r="HW47" s="24"/>
      <c r="HX47" s="24"/>
      <c r="HY47" s="24"/>
      <c r="HZ47" s="24"/>
      <c r="IA47" s="24"/>
      <c r="IB47" s="24"/>
      <c r="IC47" s="24"/>
      <c r="ID47" s="89"/>
      <c r="IE47" s="35">
        <f t="shared" si="81"/>
        <v>55</v>
      </c>
      <c r="IF47" s="25">
        <f t="shared" si="31"/>
        <v>164</v>
      </c>
      <c r="IG47" s="25">
        <f>IF($IE47&lt;RAM,IF(S48&lt;=RAK,ROUND(SUM(IF47:INDEX(Dakx,RAM-BeginnAlter))+INDEX(Dax,RAM-BeginnAlter+1)*INDEX(äkx,1),RundDx),0),"")</f>
        <v>788</v>
      </c>
      <c r="IH47" s="25">
        <f>IF($IE47&lt;RAM,IF(S48&lt;=RAK,ROUND(SUM(IG47:INDEX(Nakx,RAM-BeginnAlter))+INDEX(Dax,RAM-BeginnAlter+1)*INDEX(äkx,1),RundDx),0),"")</f>
        <v>3636</v>
      </c>
      <c r="II47" s="24">
        <f t="shared" si="32"/>
        <v>0.03</v>
      </c>
      <c r="IJ47" s="25">
        <f t="shared" si="33"/>
        <v>1046</v>
      </c>
      <c r="IK47" s="25">
        <f>IF($IE47&lt;RAM,IF(S48&lt;=RAK,SUM(IJ47:INDEX(Dikx,RAM-BeginnAlter))+INDEX(Dix,RAM-BeginnAlter+1)*INDEX(äkx,1),0),"")</f>
        <v>3387.8319999999999</v>
      </c>
      <c r="IL47" s="24">
        <f t="shared" si="34"/>
        <v>0.106</v>
      </c>
      <c r="IM47" s="86"/>
      <c r="IN47" s="35">
        <f t="shared" si="67"/>
        <v>103</v>
      </c>
      <c r="IO47" s="25"/>
      <c r="IP47" s="25"/>
      <c r="IQ47" s="24"/>
      <c r="IR47" s="86"/>
    </row>
    <row r="48" spans="1:252" ht="15.75" customHeight="1" x14ac:dyDescent="0.25">
      <c r="A48" s="35">
        <f t="shared" si="69"/>
        <v>56</v>
      </c>
      <c r="B48" s="77">
        <v>3.8306372696779744E-3</v>
      </c>
      <c r="C48" s="77">
        <v>1.4004997635273303E-2</v>
      </c>
      <c r="D48" s="77">
        <v>2.1321739892080124E-2</v>
      </c>
      <c r="E48" s="77">
        <v>5.2438107143235602E-3</v>
      </c>
      <c r="F48" s="86"/>
      <c r="G48" s="35">
        <f t="shared" si="70"/>
        <v>56</v>
      </c>
      <c r="H48" s="25">
        <f t="shared" si="37"/>
        <v>87515</v>
      </c>
      <c r="I48" s="25">
        <f t="shared" si="38"/>
        <v>6882</v>
      </c>
      <c r="J48" s="25">
        <f t="shared" si="39"/>
        <v>94397</v>
      </c>
      <c r="K48" s="30">
        <f>IF(J48&gt;0,ROUND(SUM(J48:J$102)/J48-0.5,Rundex),"")</f>
        <v>24.88</v>
      </c>
      <c r="L48" s="25">
        <f t="shared" si="0"/>
        <v>106846</v>
      </c>
      <c r="M48" s="30">
        <f>IF(L48&gt;0,ROUND(SUM(L48:L$102)/L48-0.5,Rundex),"")</f>
        <v>22.45</v>
      </c>
      <c r="N48" s="86"/>
      <c r="O48" s="35">
        <f t="shared" si="71"/>
        <v>56</v>
      </c>
      <c r="P48" s="43">
        <v>0.78557363590783202</v>
      </c>
      <c r="Q48" s="78">
        <v>53.207888387210367</v>
      </c>
      <c r="R48" s="43">
        <v>0.18706555284624826</v>
      </c>
      <c r="S48" s="78">
        <v>17.207832075108957</v>
      </c>
      <c r="T48" s="15">
        <v>5.29974388505371E-3</v>
      </c>
      <c r="U48" s="11">
        <f t="shared" si="40"/>
        <v>94398</v>
      </c>
      <c r="V48" s="30">
        <f>IF(U48&gt;0,ROUND(SUM(U48:U$102)/U48-0.5,Rundex),"")</f>
        <v>22.39</v>
      </c>
      <c r="W48" s="86"/>
      <c r="X48" s="35">
        <f t="shared" si="72"/>
        <v>56</v>
      </c>
      <c r="Y48" s="25">
        <f t="shared" si="1"/>
        <v>25173</v>
      </c>
      <c r="Z48" s="25">
        <f>IF($X48&lt;RAM,SUM(Y48:INDEX(Dax,RAM-BeginnAlter))," ")</f>
        <v>187078</v>
      </c>
      <c r="AA48" s="25">
        <f t="shared" si="2"/>
        <v>95</v>
      </c>
      <c r="AB48" s="25">
        <f>IF($X48&lt;RAM,SUM(AA48:INDEX(Cax,RAM-BeginnAlter))," ")</f>
        <v>1147</v>
      </c>
      <c r="AC48" s="25">
        <f t="shared" si="3"/>
        <v>349</v>
      </c>
      <c r="AD48" s="25">
        <f>IF($X48&lt;RAM,SUM(AC48:INDEX(Caix,RAM-BeginnAlter))," ")</f>
        <v>5200</v>
      </c>
      <c r="AE48" s="24">
        <f t="shared" si="4"/>
        <v>7.4320000000000004</v>
      </c>
      <c r="AF48" s="24">
        <f t="shared" si="5"/>
        <v>7.2430000000000003</v>
      </c>
      <c r="AG48" s="86"/>
      <c r="AH48" s="35">
        <f t="shared" si="73"/>
        <v>56</v>
      </c>
      <c r="AI48" s="25">
        <f t="shared" si="6"/>
        <v>30734</v>
      </c>
      <c r="AJ48" s="25">
        <f>IF($AH48&gt;RAM," ",IF($AH48&lt;RAM,SUM(AI48:INDEX(Dix,RAM-BeginnAlter))+INDEX(Nx,RAM-BeginnAlter+1),INDEX(Nx,RAM-BeginnAlter+1)))</f>
        <v>530326</v>
      </c>
      <c r="AK48" s="25">
        <f>IF($AH48&lt;RAM,SUM(AI48:INDEX(Dix,RAM-BeginnAlter))," ")</f>
        <v>233079</v>
      </c>
      <c r="AL48" s="24">
        <f t="shared" si="7"/>
        <v>17.254999999999999</v>
      </c>
      <c r="AM48" s="24">
        <f t="shared" si="8"/>
        <v>16.797000000000001</v>
      </c>
      <c r="AN48" s="24">
        <f t="shared" si="9"/>
        <v>7.5839999999999996</v>
      </c>
      <c r="AO48" s="24">
        <f t="shared" si="10"/>
        <v>7.431</v>
      </c>
      <c r="AP48" s="86"/>
      <c r="AQ48" s="35">
        <f t="shared" si="74"/>
        <v>56</v>
      </c>
      <c r="AR48" s="25">
        <f t="shared" si="11"/>
        <v>27153</v>
      </c>
      <c r="AS48" s="25">
        <f>SUM(AR48:AR$94)</f>
        <v>515031</v>
      </c>
      <c r="AT48" s="25">
        <f>IF($AQ48&lt;RAM,SUM(AR48:INDEX(Dx,RAM-BeginnAlter))," ")</f>
        <v>217784</v>
      </c>
      <c r="AU48" s="24">
        <f t="shared" si="12"/>
        <v>18.968</v>
      </c>
      <c r="AV48" s="24">
        <f t="shared" si="13"/>
        <v>18.509</v>
      </c>
      <c r="AW48" s="24">
        <f t="shared" si="14"/>
        <v>8.0210000000000008</v>
      </c>
      <c r="AX48" s="24">
        <f t="shared" si="15"/>
        <v>7.9080000000000004</v>
      </c>
      <c r="AY48" s="86"/>
      <c r="AZ48" s="35">
        <f t="shared" si="75"/>
        <v>56</v>
      </c>
      <c r="BA48" s="25">
        <f t="shared" si="16"/>
        <v>27153</v>
      </c>
      <c r="BB48" s="25">
        <f>SUM(BA48:BA$94)</f>
        <v>472980</v>
      </c>
      <c r="BC48" s="24">
        <f t="shared" si="17"/>
        <v>17.419</v>
      </c>
      <c r="BD48" s="24">
        <f t="shared" si="18"/>
        <v>16.960999999999999</v>
      </c>
      <c r="BE48" s="86"/>
      <c r="BF48" s="35">
        <f t="shared" si="48"/>
        <v>39</v>
      </c>
      <c r="BG48" s="24" t="str">
        <f t="shared" si="19"/>
        <v/>
      </c>
      <c r="BH48" s="24" t="str">
        <f t="shared" si="20"/>
        <v/>
      </c>
      <c r="BI48" s="86"/>
      <c r="BJ48" s="35">
        <f t="shared" si="76"/>
        <v>56</v>
      </c>
      <c r="BK48" s="25">
        <f t="shared" si="21"/>
        <v>5809</v>
      </c>
      <c r="BL48" s="25">
        <f>IF(BJ48&lt;RAM,SUM(BK48:INDEX(Daix,RAM-BeginnAlter))," ")</f>
        <v>79513</v>
      </c>
      <c r="BM48" s="25">
        <f>IF(BJ48&lt;RAM,SUM(BL48:INDEX(Naix,RAM-BeginnAlter))," ")</f>
        <v>437103</v>
      </c>
      <c r="BN48" s="24">
        <f t="shared" si="22"/>
        <v>8.2530000000000001</v>
      </c>
      <c r="BO48" s="24">
        <f t="shared" si="23"/>
        <v>3.1589999999999998</v>
      </c>
      <c r="BP48" s="86"/>
      <c r="BQ48" s="35">
        <f t="shared" si="77"/>
        <v>56</v>
      </c>
      <c r="BR48" s="25">
        <f t="shared" si="51"/>
        <v>2471</v>
      </c>
      <c r="BS48" s="25">
        <f>IF(BQ48&lt;RAM,SUM(BR48:INDEX(Daixs,RAM-BeginnAlter))," ")</f>
        <v>17945</v>
      </c>
      <c r="BT48" s="25">
        <f>IF(BQ48&lt;RAM,SUM(BS48:INDEX(Naixs,RAM-BeginnAlter))," ")</f>
        <v>74417</v>
      </c>
      <c r="BU48" s="24">
        <f t="shared" si="52"/>
        <v>10.698</v>
      </c>
      <c r="BV48" s="24">
        <f t="shared" si="53"/>
        <v>0.71299999999999997</v>
      </c>
      <c r="BW48" s="86"/>
      <c r="BX48" s="35">
        <f t="shared" si="78"/>
        <v>56</v>
      </c>
      <c r="BY48" s="10">
        <f t="shared" si="24"/>
        <v>6.3886260608210037</v>
      </c>
      <c r="BZ48" s="11">
        <f t="shared" si="25"/>
        <v>367</v>
      </c>
      <c r="CA48" s="25">
        <f>IF(S49&lt;=RAK,IF($BX48&lt;RAM,SUM(BZ48:INDEX(Dazx,RAM-BeginnAlter)),""),"")</f>
        <v>1492</v>
      </c>
      <c r="CB48" s="24">
        <f t="shared" si="26"/>
        <v>5.8999999999999997E-2</v>
      </c>
      <c r="CC48" s="25">
        <f t="shared" si="27"/>
        <v>21383</v>
      </c>
      <c r="CD48" s="24">
        <f t="shared" si="28"/>
        <v>14.646000000000001</v>
      </c>
      <c r="CE48" s="24">
        <f t="shared" si="29"/>
        <v>0.04</v>
      </c>
      <c r="CF48" s="86"/>
      <c r="CG48" s="35">
        <f t="shared" si="79"/>
        <v>56</v>
      </c>
      <c r="CH48" s="25">
        <f>IF(CG48&lt;RAM,ROUND(v^($CG48+FaktorAlter)*$H48*($B48*0.5*($P48+$P49)*(VLOOKUP(TRUNC(0.5*($Q48+$Q49),0),Frauen!$AZ$9:$BD$95,5)+(0.5*($Q48+$Q49)-TRUNC(0.5*($Q48+$Q49),0))*(VLOOKUP(TRUNC(0.5*($Q48+$Q49)+1,0),Frauen!$AZ$9:$BD$95,5)-VLOOKUP(TRUNC(0.5*($Q48+$Q49),0),Frauen!$AZ$9:$BD$95,5)))+$C48*0.5*($CN48+$CN49)),RundDx),"")</f>
        <v>3772</v>
      </c>
      <c r="CI48" s="25">
        <f>IF(CG48&lt;RAM,ROUND(SUM(CH48:INDEX(Dawx,RAM-BeginnAlter))+INDEX(Dax,RAM-BeginnAlter+1)*INDEX(äwx,1),RundDx),"")</f>
        <v>125228</v>
      </c>
      <c r="CJ48" s="25">
        <f>IF(CG48&lt;RAM,ROUND(SUM(CI48:INDEX(Nawx,RAM-BeginnAlter))+INDEX(Dax,RAM-BeginnAlter+1)*INDEX(äwx,1),RundDx),"")</f>
        <v>1034466</v>
      </c>
      <c r="CK48" s="24">
        <f t="shared" si="56"/>
        <v>4.9749999999999996</v>
      </c>
      <c r="CL48" s="25">
        <f>IF(CG48&lt;RAM,ROUND(v^($CG48+FaktorAlter)*$L48*$D48*0.5*($P48+$P49)*(VLOOKUP(TRUNC(0.5*($Q48+$Q49),0),Frauen!$AZ$9:$BD$95,5)+(0.5*($Q48+$Q49)-TRUNC(0.5*($Q48+$Q49),0))*(VLOOKUP(TRUNC(0.5*($Q48+$Q49)+1,0),Frauen!$AZ$9:$BD$95,5)-VLOOKUP(TRUNC(0.5*($Q48+$Q49),0),Frauen!$AZ$9:$BD$95,5))),RundDx),"")</f>
        <v>11111</v>
      </c>
      <c r="CM48" s="25">
        <f>IF(CG48&lt;RAM,SUM(CL48:INDEX(Diwx,RAM-BeginnAlter))+INDEX(Dix,RAM-BeginnAlter+1)*INDEX(äwx,1),"")</f>
        <v>189946.41399999999</v>
      </c>
      <c r="CN48" s="24">
        <f t="shared" si="57"/>
        <v>6.18</v>
      </c>
      <c r="CO48" s="86"/>
      <c r="CP48" s="35">
        <f t="shared" si="58"/>
        <v>104</v>
      </c>
      <c r="CQ48" s="11">
        <f>ROUND(v^($CP48+FaktorAlter)*VLOOKUP(CP48,G$9:J$102,4)*VLOOKUP(CP48,A$9:E$102,5)*0.5*(VLOOKUP(CP48,O$9:P$102,2)+VLOOKUP(CP48+1,O$9:P$102,2))*(VLOOKUP(TRUNC(0.5*(VLOOKUP(CP48,O$9:Q$102,3)+VLOOKUP(CP48+1,O$9:Q$102,3)),0),Frauen!$AZ$9:$BD$95,5)+(0.5*(VLOOKUP(CP48,O$9:Q$102,3)+VLOOKUP(CP48+1,O$9:Q$102,3))-TRUNC(0.5*(VLOOKUP(CP48,O$9:Q$102,3)+VLOOKUP(CP48+1,O$9:Q$102,3)),0))*(VLOOKUP(TRUNC(0.5*(VLOOKUP(CP48,O$9:Q$102,3)+VLOOKUP(CP48+1,O$9:Q$102,3))+1,0),Frauen!$AZ$9:$BD$95,5)-VLOOKUP(TRUNC(0.5*(VLOOKUP(CP48,O$9:Q$102,3)+VLOOKUP(CP48+1,O$9:Q$102,3)),0),Frauen!$AZ$9:$BD$95,5))),RundDx)</f>
        <v>0</v>
      </c>
      <c r="CR48" s="25">
        <f>SUM(CQ48:CQ$56)</f>
        <v>0</v>
      </c>
      <c r="CS48" s="24">
        <f t="shared" si="30"/>
        <v>0</v>
      </c>
      <c r="CT48" s="86"/>
      <c r="CU48" s="35">
        <f t="shared" si="80"/>
        <v>56</v>
      </c>
      <c r="CV48" s="25">
        <f>IF($CU48&gt;=RAM,"",IF($CU48-CV$103&lt;BeginnAlter,"",ROUND(v^($CU48+FaktorAlter)*$L48*$D48*0.5*(VLOOKUP($CU48-CV$103,Frauen!$G$9:$J$102,4)+VLOOKUP($CU48-CV$103+1,Frauen!$G$9:$J$102,4))*0.5*(VLOOKUP($CU48-CV$103,Frauen!$AZ$9:$BD$102,5)+VLOOKUP($CU48-CV$103+1,Frauen!$AZ$9:$BD$102,5)),RundDx)))</f>
        <v>694896989</v>
      </c>
      <c r="CW48" s="25">
        <f>IF($CU48&gt;=RAM,"",IF($CU48-CW$103&lt;BeginnAlter,"",ROUND(v^($CU48+FaktorAlter)*$L48*$D48*0.5*(VLOOKUP($CU48-CW$103,Frauen!$G$9:$J$102,4)+VLOOKUP($CU48-CW$103+1,Frauen!$G$9:$J$102,4))*0.5*(VLOOKUP($CU48-CW$103,Frauen!$AZ$9:$BD$102,5)+VLOOKUP($CU48-CW$103+1,Frauen!$AZ$9:$BD$102,5)),RundDx)))</f>
        <v>735652704</v>
      </c>
      <c r="CX48" s="25">
        <f>IF($CU48&gt;=RAM,"",IF($CU48-CX$103&lt;BeginnAlter,"",ROUND(v^($CU48+FaktorAlter)*$L48*$D48*0.5*(VLOOKUP($CU48-CX$103,Frauen!$G$9:$J$102,4)+VLOOKUP($CU48-CX$103+1,Frauen!$G$9:$J$102,4))*0.5*(VLOOKUP($CU48-CX$103,Frauen!$AZ$9:$BD$102,5)+VLOOKUP($CU48-CX$103+1,Frauen!$AZ$9:$BD$102,5)),RundDx)))</f>
        <v>776471061</v>
      </c>
      <c r="CY48" s="25">
        <f>IF($CU48&gt;=RAM,"",IF($CU48-CY$103&lt;BeginnAlter,"",ROUND(v^($CU48+FaktorAlter)*$L48*$D48*0.5*(VLOOKUP($CU48-CY$103,Frauen!$G$9:$J$102,4)+VLOOKUP($CU48-CY$103+1,Frauen!$G$9:$J$102,4))*0.5*(VLOOKUP($CU48-CY$103,Frauen!$AZ$9:$BD$102,5)+VLOOKUP($CU48-CY$103+1,Frauen!$AZ$9:$BD$102,5)),RundDx)))</f>
        <v>817277013</v>
      </c>
      <c r="CZ48" s="25">
        <f>IF($CU48&gt;=RAM,"",IF($CU48-CZ$103&lt;BeginnAlter,"",ROUND(v^($CU48+FaktorAlter)*$L48*$D48*0.5*(VLOOKUP($CU48-CZ$103,Frauen!$G$9:$J$102,4)+VLOOKUP($CU48-CZ$103+1,Frauen!$G$9:$J$102,4))*0.5*(VLOOKUP($CU48-CZ$103,Frauen!$AZ$9:$BD$102,5)+VLOOKUP($CU48-CZ$103+1,Frauen!$AZ$9:$BD$102,5)),RundDx)))</f>
        <v>857793661</v>
      </c>
      <c r="DA48" s="25">
        <f>IF($CU48&gt;=RAM,"",IF($CU48-DA$103&lt;BeginnAlter,"",ROUND(v^($CU48+FaktorAlter)*$L48*$D48*0.5*(VLOOKUP($CU48-DA$103,Frauen!$G$9:$J$102,4)+VLOOKUP($CU48-DA$103+1,Frauen!$G$9:$J$102,4))*0.5*(VLOOKUP($CU48-DA$103,Frauen!$AZ$9:$BD$102,5)+VLOOKUP($CU48-DA$103+1,Frauen!$AZ$9:$BD$102,5)),RundDx)))</f>
        <v>897860801</v>
      </c>
      <c r="DB48" s="25">
        <f>IF($CU48&gt;=RAM,"",IF($CU48-DB$103&lt;BeginnAlter,"",ROUND(v^($CU48+FaktorAlter)*$L48*$D48*0.5*(VLOOKUP($CU48-DB$103,Frauen!$G$9:$J$102,4)+VLOOKUP($CU48-DB$103+1,Frauen!$G$9:$J$102,4))*0.5*(VLOOKUP($CU48-DB$103,Frauen!$AZ$9:$BD$102,5)+VLOOKUP($CU48-DB$103+1,Frauen!$AZ$9:$BD$102,5)),RundDx)))</f>
        <v>937545225</v>
      </c>
      <c r="DC48" s="25">
        <f>IF($CU48&gt;=RAM,"",IF($CU48-DC$103&lt;BeginnAlter,"",ROUND(v^($CU48+FaktorAlter)*$L48*$D48*0.5*(VLOOKUP($CU48-DC$103,Frauen!$G$9:$J$102,4)+VLOOKUP($CU48-DC$103+1,Frauen!$G$9:$J$102,4))*0.5*(VLOOKUP($CU48-DC$103,Frauen!$AZ$9:$BD$102,5)+VLOOKUP($CU48-DC$103+1,Frauen!$AZ$9:$BD$102,5)),RundDx)))</f>
        <v>976753526</v>
      </c>
      <c r="DD48" s="25">
        <f>IF($CU48&gt;=RAM,"",IF($CU48-DD$103&lt;BeginnAlter,"",ROUND(v^($CU48+FaktorAlter)*$L48*$D48*0.5*(VLOOKUP($CU48-DD$103,Frauen!$G$9:$J$102,4)+VLOOKUP($CU48-DD$103+1,Frauen!$G$9:$J$102,4))*0.5*(VLOOKUP($CU48-DD$103,Frauen!$AZ$9:$BD$102,5)+VLOOKUP($CU48-DD$103+1,Frauen!$AZ$9:$BD$102,5)),RundDx)))</f>
        <v>1015254120</v>
      </c>
      <c r="DE48" s="25">
        <f>IF($CU48&gt;=RAM,"",IF($CU48-DE$103&lt;BeginnAlter,"",ROUND(v^($CU48+FaktorAlter)*$L48*$D48*0.5*(VLOOKUP($CU48-DE$103,Frauen!$G$9:$J$102,4)+VLOOKUP($CU48-DE$103+1,Frauen!$G$9:$J$102,4))*0.5*(VLOOKUP($CU48-DE$103,Frauen!$AZ$9:$BD$102,5)+VLOOKUP($CU48-DE$103+1,Frauen!$AZ$9:$BD$102,5)),RundDx)))</f>
        <v>1053026147</v>
      </c>
      <c r="DF48" s="25">
        <f>IF($CU48&gt;=RAM,"",IF($CU48-DF$103&lt;BeginnAlter,"",ROUND(v^($CU48+FaktorAlter)*$L48*$D48*0.5*(VLOOKUP($CU48-DF$103,Frauen!$G$9:$J$102,4)+VLOOKUP($CU48-DF$103+1,Frauen!$G$9:$J$102,4))*0.5*(VLOOKUP($CU48-DF$103,Frauen!$AZ$9:$BD$102,5)+VLOOKUP($CU48-DF$103+1,Frauen!$AZ$9:$BD$102,5)),RundDx)))</f>
        <v>1090167184</v>
      </c>
      <c r="DG48" s="25">
        <f>IF($CU48&gt;=RAM,"",IF($CU48-DG$103&lt;BeginnAlter,"",ROUND(v^($CU48+FaktorAlter)*$L48*$D48*0.5*(VLOOKUP($CU48-DG$103,Frauen!$G$9:$J$102,4)+VLOOKUP($CU48-DG$103+1,Frauen!$G$9:$J$102,4))*0.5*(VLOOKUP($CU48-DG$103,Frauen!$AZ$9:$BD$102,5)+VLOOKUP($CU48-DG$103+1,Frauen!$AZ$9:$BD$102,5)),RundDx)))</f>
        <v>1126627682</v>
      </c>
      <c r="DH48" s="25">
        <f>IF($CU48&gt;=RAM,"",IF($CU48-DH$103&lt;BeginnAlter,"",ROUND(v^($CU48+FaktorAlter)*$L48*$D48*0.5*(VLOOKUP($CU48-DH$103,Frauen!$G$9:$J$102,4)+VLOOKUP($CU48-DH$103+1,Frauen!$G$9:$J$102,4))*0.5*(VLOOKUP($CU48-DH$103,Frauen!$AZ$9:$BD$102,5)+VLOOKUP($CU48-DH$103+1,Frauen!$AZ$9:$BD$102,5)),RundDx)))</f>
        <v>1162397782</v>
      </c>
      <c r="DI48" s="25">
        <f>IF($CU48&gt;=RAM,"",IF($CU48-DI$103&lt;BeginnAlter,"",ROUND(v^($CU48+FaktorAlter)*$L48*$D48*0.5*(VLOOKUP($CU48-DI$103,Frauen!$G$9:$J$102,4)+VLOOKUP($CU48-DI$103+1,Frauen!$G$9:$J$102,4))*0.5*(VLOOKUP($CU48-DI$103,Frauen!$AZ$9:$BD$102,5)+VLOOKUP($CU48-DI$103+1,Frauen!$AZ$9:$BD$102,5)),RundDx)))</f>
        <v>1197551785</v>
      </c>
      <c r="DJ48" s="25">
        <f>IF($CU48&gt;=RAM,"",IF($CU48-DJ$103&lt;BeginnAlter,"",ROUND(v^($CU48+FaktorAlter)*$L48*$D48*0.5*(VLOOKUP($CU48-DJ$103,Frauen!$G$9:$J$102,4)+VLOOKUP($CU48-DJ$103+1,Frauen!$G$9:$J$102,4))*0.5*(VLOOKUP($CU48-DJ$103,Frauen!$AZ$9:$BD$102,5)+VLOOKUP($CU48-DJ$103+1,Frauen!$AZ$9:$BD$102,5)),RundDx)))</f>
        <v>1232199588</v>
      </c>
      <c r="DK48" s="25">
        <f>IF($CU48&gt;=RAM,"",IF($CU48-DK$103&lt;BeginnAlter,"",ROUND(v^($CU48+FaktorAlter)*$L48*$D48*0.5*(VLOOKUP($CU48-DK$103,Frauen!$G$9:$J$102,4)+VLOOKUP($CU48-DK$103+1,Frauen!$G$9:$J$102,4))*0.5*(VLOOKUP($CU48-DK$103,Frauen!$AZ$9:$BD$102,5)+VLOOKUP($CU48-DK$103+1,Frauen!$AZ$9:$BD$102,5)),RundDx)))</f>
        <v>1266432138</v>
      </c>
      <c r="DL48" s="25">
        <f>IF($CU48&gt;=RAM,"",IF($CU48-DL$103&lt;BeginnAlter,"",ROUND(v^($CU48+FaktorAlter)*$L48*$D48*0.5*(VLOOKUP($CU48-DL$103,Frauen!$G$9:$J$102,4)+VLOOKUP($CU48-DL$103+1,Frauen!$G$9:$J$102,4))*0.5*(VLOOKUP($CU48-DL$103,Frauen!$AZ$9:$BD$102,5)+VLOOKUP($CU48-DL$103+1,Frauen!$AZ$9:$BD$102,5)),RundDx)))</f>
        <v>1300330934</v>
      </c>
      <c r="DM48" s="25">
        <f>IF($CU48&gt;=RAM,"",IF($CU48-DM$103&lt;BeginnAlter,"",ROUND(v^($CU48+FaktorAlter)*$L48*$D48*0.5*(VLOOKUP($CU48-DM$103,Frauen!$G$9:$J$102,4)+VLOOKUP($CU48-DM$103+1,Frauen!$G$9:$J$102,4))*0.5*(VLOOKUP($CU48-DM$103,Frauen!$AZ$9:$BD$102,5)+VLOOKUP($CU48-DM$103+1,Frauen!$AZ$9:$BD$102,5)),RundDx)))</f>
        <v>1333934516</v>
      </c>
      <c r="DN48" s="25">
        <f>IF($CU48&gt;=RAM,"",IF($CU48-DN$103&lt;BeginnAlter,"",ROUND(v^($CU48+FaktorAlter)*$L48*$D48*0.5*(VLOOKUP($CU48-DN$103,Frauen!$G$9:$J$102,4)+VLOOKUP($CU48-DN$103+1,Frauen!$G$9:$J$102,4))*0.5*(VLOOKUP($CU48-DN$103,Frauen!$AZ$9:$BD$102,5)+VLOOKUP($CU48-DN$103+1,Frauen!$AZ$9:$BD$102,5)),RundDx)))</f>
        <v>1367180235</v>
      </c>
      <c r="DO48" s="25">
        <f>IF($CU48&gt;=RAM,"",IF($CU48-DO$103&lt;BeginnAlter,"",ROUND(v^($CU48+FaktorAlter)*$L48*$D48*0.5*(VLOOKUP($CU48-DO$103,Frauen!$G$9:$J$102,4)+VLOOKUP($CU48-DO$103+1,Frauen!$G$9:$J$102,4))*0.5*(VLOOKUP($CU48-DO$103,Frauen!$AZ$9:$BD$102,5)+VLOOKUP($CU48-DO$103+1,Frauen!$AZ$9:$BD$102,5)),RundDx)))</f>
        <v>1400096308</v>
      </c>
      <c r="DP48" s="25">
        <f>IF($CU48&gt;=RAM,"",IF($CU48-DP$103&lt;BeginnAlter,"",ROUND(v^($CU48+FaktorAlter)*$L48*$D48*0.5*(VLOOKUP($CU48-DP$103,Frauen!$G$9:$J$102,4)+VLOOKUP($CU48-DP$103+1,Frauen!$G$9:$J$102,4))*0.5*(VLOOKUP($CU48-DP$103,Frauen!$AZ$9:$BD$102,5)+VLOOKUP($CU48-DP$103+1,Frauen!$AZ$9:$BD$102,5)),RundDx)))</f>
        <v>1432614311</v>
      </c>
      <c r="DQ48" s="25">
        <f>IF($CU48&gt;=RAM,"",IF($CU48-DQ$103&lt;BeginnAlter,"",ROUND(v^($CU48+FaktorAlter)*$L48*$D48*0.5*(VLOOKUP($CU48-DQ$103,Frauen!$G$9:$J$102,4)+VLOOKUP($CU48-DQ$103+1,Frauen!$G$9:$J$102,4))*0.5*(VLOOKUP($CU48-DQ$103,Frauen!$AZ$9:$BD$102,5)+VLOOKUP($CU48-DQ$103+1,Frauen!$AZ$9:$BD$102,5)),RundDx)))</f>
        <v>1464583519</v>
      </c>
      <c r="DR48" s="25">
        <f>IF($CU48&gt;=RAM,"",IF($CU48-DR$103&lt;BeginnAlter,"",ROUND(v^($CU48+FaktorAlter)*$L48*$D48*0.5*(VLOOKUP($CU48-DR$103,Frauen!$G$9:$J$102,4)+VLOOKUP($CU48-DR$103+1,Frauen!$G$9:$J$102,4))*0.5*(VLOOKUP($CU48-DR$103,Frauen!$AZ$9:$BD$102,5)+VLOOKUP($CU48-DR$103+1,Frauen!$AZ$9:$BD$102,5)),RundDx)))</f>
        <v>1495909705</v>
      </c>
      <c r="DS48" s="25">
        <f>IF($CU48&gt;=RAM,"",IF($CU48-DS$103&lt;BeginnAlter,"",ROUND(v^($CU48+FaktorAlter)*$L48*$D48*0.5*(VLOOKUP($CU48-DS$103,Frauen!$G$9:$J$102,4)+VLOOKUP($CU48-DS$103+1,Frauen!$G$9:$J$102,4))*0.5*(VLOOKUP($CU48-DS$103,Frauen!$AZ$9:$BD$102,5)+VLOOKUP($CU48-DS$103+1,Frauen!$AZ$9:$BD$102,5)),RundDx)))</f>
        <v>1526563249</v>
      </c>
      <c r="DT48" s="25">
        <f>IF($CU48&gt;=RAM,"",IF($CU48-DT$103&lt;BeginnAlter,"",ROUND(v^($CU48+FaktorAlter)*$L48*$D48*0.5*(VLOOKUP($CU48-DT$103,Frauen!$G$9:$J$102,4)+VLOOKUP($CU48-DT$103+1,Frauen!$G$9:$J$102,4))*0.5*(VLOOKUP($CU48-DT$103,Frauen!$AZ$9:$BD$102,5)+VLOOKUP($CU48-DT$103+1,Frauen!$AZ$9:$BD$102,5)),RundDx)))</f>
        <v>1556548221</v>
      </c>
      <c r="DU48" s="25">
        <f>IF($CU48&gt;=RAM,"",IF($CU48-DU$103&lt;BeginnAlter,"",ROUND(v^($CU48+FaktorAlter)*$L48*$D48*0.5*(VLOOKUP($CU48-DU$103,Frauen!$G$9:$J$102,4)+VLOOKUP($CU48-DU$103+1,Frauen!$G$9:$J$102,4))*0.5*(VLOOKUP($CU48-DU$103,Frauen!$AZ$9:$BD$102,5)+VLOOKUP($CU48-DU$103+1,Frauen!$AZ$9:$BD$102,5)),RundDx)))</f>
        <v>1585894584</v>
      </c>
      <c r="DV48" s="25">
        <f>IF($CU48&gt;=RAM,"",IF($CU48-DV$103&lt;BeginnAlter,"",ROUND(v^($CU48+FaktorAlter)*$L48*$D48*0.5*(VLOOKUP($CU48-DV$103,Frauen!$G$9:$J$102,4)+VLOOKUP($CU48-DV$103+1,Frauen!$G$9:$J$102,4))*0.5*(VLOOKUP($CU48-DV$103,Frauen!$AZ$9:$BD$102,5)+VLOOKUP($CU48-DV$103+1,Frauen!$AZ$9:$BD$102,5)),RundDx)))</f>
        <v>1614562276</v>
      </c>
      <c r="DW48" s="25">
        <f>IF($CU48&gt;=RAM,"",IF($CU48-DW$103&lt;BeginnAlter,"",ROUND(v^($CU48+FaktorAlter)*$L48*$D48*0.5*(VLOOKUP($CU48-DW$103,Frauen!$G$9:$J$102,4)+VLOOKUP($CU48-DW$103+1,Frauen!$G$9:$J$102,4))*0.5*(VLOOKUP($CU48-DW$103,Frauen!$AZ$9:$BD$102,5)+VLOOKUP($CU48-DW$103+1,Frauen!$AZ$9:$BD$102,5)),RundDx)))</f>
        <v>1642560617</v>
      </c>
      <c r="DX48" s="25">
        <f>IF($CU48&gt;=RAM,"",IF($CU48-DX$103&lt;BeginnAlter,"",ROUND(v^($CU48+FaktorAlter)*$L48*$D48*0.5*(VLOOKUP($CU48-DX$103,Frauen!$G$9:$J$102,4)+VLOOKUP($CU48-DX$103+1,Frauen!$G$9:$J$102,4))*0.5*(VLOOKUP($CU48-DX$103,Frauen!$AZ$9:$BD$102,5)+VLOOKUP($CU48-DX$103+1,Frauen!$AZ$9:$BD$102,5)),RundDx)))</f>
        <v>1669956316</v>
      </c>
      <c r="DY48" s="25">
        <f>IF($CU48&gt;=RAM,"",IF($CU48-DY$103&lt;BeginnAlter,"",ROUND(v^($CU48+FaktorAlter)*$L48*$D48*0.5*(VLOOKUP($CU48-DY$103,Frauen!$G$9:$J$102,4)+VLOOKUP($CU48-DY$103+1,Frauen!$G$9:$J$102,4))*0.5*(VLOOKUP($CU48-DY$103,Frauen!$AZ$9:$BD$102,5)+VLOOKUP($CU48-DY$103+1,Frauen!$AZ$9:$BD$102,5)),RundDx)))</f>
        <v>1696762559</v>
      </c>
      <c r="DZ48" s="25">
        <f>IF($CU48&gt;=RAM,"",IF($CU48-DZ$103&lt;BeginnAlter,"",ROUND(v^($CU48+FaktorAlter)*$L48*$D48*0.5*(VLOOKUP($CU48-DZ$103,Frauen!$G$9:$J$102,4)+VLOOKUP($CU48-DZ$103+1,Frauen!$G$9:$J$102,4))*0.5*(VLOOKUP($CU48-DZ$103,Frauen!$AZ$9:$BD$102,5)+VLOOKUP($CU48-DZ$103+1,Frauen!$AZ$9:$BD$102,5)),RundDx)))</f>
        <v>1722985662</v>
      </c>
      <c r="EA48" s="43">
        <f>IF($CU48&gt;=RAM,"",IF($CU48-EA$103&lt;BeginnAlter,"",ROUND((SUM(CV48:CV$56)+SUM(FN$9:FN$56))/VLOOKUP($CU48,$AH$9:$AI$102,2)/VLOOKUP($CU48-EA$103,Frauen!$G$9:$J$102,4),Rundäx)))</f>
        <v>2.2530000000000001</v>
      </c>
      <c r="EB48" s="43">
        <f>IF($CU48&gt;=RAM,"",IF($CU48-EB$103&lt;BeginnAlter,"",ROUND((SUM(CW48:CW$56)+SUM(FO$9:FO$56))/VLOOKUP($CU48,$AH$9:$AI$102,2)/VLOOKUP($CU48-EB$103,Frauen!$G$9:$J$102,4),Rundäx)))</f>
        <v>2.4329999999999998</v>
      </c>
      <c r="EC48" s="43">
        <f>IF($CU48&gt;=RAM,"",IF($CU48-EC$103&lt;BeginnAlter,"",ROUND((SUM(CX48:CX$56)+SUM(FP$9:FP$56))/VLOOKUP($CU48,$AH$9:$AI$102,2)/VLOOKUP($CU48-EC$103,Frauen!$G$9:$J$102,4),Rundäx)))</f>
        <v>2.62</v>
      </c>
      <c r="ED48" s="43">
        <f>IF($CU48&gt;=RAM,"",IF($CU48-ED$103&lt;BeginnAlter,"",ROUND((SUM(CY48:CY$56)+SUM(FQ$9:FQ$56))/VLOOKUP($CU48,$AH$9:$AI$102,2)/VLOOKUP($CU48-ED$103,Frauen!$G$9:$J$102,4),Rundäx)))</f>
        <v>2.8149999999999999</v>
      </c>
      <c r="EE48" s="43">
        <f>IF($CU48&gt;=RAM,"",IF($CU48-EE$103&lt;BeginnAlter,"",ROUND((SUM(CZ48:CZ$56)+SUM(FR$9:FR$56))/VLOOKUP($CU48,$AH$9:$AI$102,2)/VLOOKUP($CU48-EE$103,Frauen!$G$9:$J$102,4),Rundäx)))</f>
        <v>3.0190000000000001</v>
      </c>
      <c r="EF48" s="43">
        <f>IF($CU48&gt;=RAM,"",IF($CU48-EF$103&lt;BeginnAlter,"",ROUND((SUM(DA48:DA$56)+SUM(FS$9:FS$56))/VLOOKUP($CU48,$AH$9:$AI$102,2)/VLOOKUP($CU48-EF$103,Frauen!$G$9:$J$102,4),Rundäx)))</f>
        <v>3.2320000000000002</v>
      </c>
      <c r="EG48" s="43">
        <f>IF($CU48&gt;=RAM,"",IF($CU48-EG$103&lt;BeginnAlter,"",ROUND((SUM(DB48:DB$56)+SUM(FT$9:FT$56))/VLOOKUP($CU48,$AH$9:$AI$102,2)/VLOOKUP($CU48-EG$103,Frauen!$G$9:$J$102,4),Rundäx)))</f>
        <v>3.452</v>
      </c>
      <c r="EH48" s="43">
        <f>IF($CU48&gt;=RAM,"",IF($CU48-EH$103&lt;BeginnAlter,"",ROUND((SUM(DC48:DC$56)+SUM(FU$9:FU$56))/VLOOKUP($CU48,$AH$9:$AI$102,2)/VLOOKUP($CU48-EH$103,Frauen!$G$9:$J$102,4),Rundäx)))</f>
        <v>3.681</v>
      </c>
      <c r="EI48" s="86"/>
      <c r="EJ48" s="35">
        <f t="shared" si="60"/>
        <v>56</v>
      </c>
      <c r="EK48" s="43">
        <f>IF($CU48&gt;=RAM,"",IF($CU48-EK$103&lt;BeginnAlter,"",ROUND((SUM(DD48:DD$56)+SUM(FV$9:FV$56))/VLOOKUP($CU48,$AH$9:$AI$102,2)/VLOOKUP($CU48-EK$103,Frauen!$G$9:$J$102,4),Rundäx)))</f>
        <v>3.919</v>
      </c>
      <c r="EL48" s="43">
        <f>IF($CU48&gt;=RAM,"",IF($CU48-EL$103&lt;BeginnAlter,"",ROUND((SUM(DE48:DE$56)+SUM(FW$9:FW$56))/VLOOKUP($CU48,$AH$9:$AI$102,2)/VLOOKUP($CU48-EL$103,Frauen!$G$9:$J$102,4),Rundäx)))</f>
        <v>4.1669999999999998</v>
      </c>
      <c r="EM48" s="43">
        <f>IF($CU48&gt;=RAM,"",IF($CU48-EM$103&lt;BeginnAlter,"",ROUND((SUM(DF48:DF$56)+SUM(FX$9:FX$56))/VLOOKUP($CU48,$AH$9:$AI$102,2)/VLOOKUP($CU48-EM$103,Frauen!$G$9:$J$102,4),Rundäx)))</f>
        <v>4.423</v>
      </c>
      <c r="EN48" s="43">
        <f>IF($CU48&gt;=RAM,"",IF($CU48-EN$103&lt;BeginnAlter,"",ROUND((SUM(DG48:DG$56)+SUM(FY$9:FY$56))/VLOOKUP($CU48,$AH$9:$AI$102,2)/VLOOKUP($CU48-EN$103,Frauen!$G$9:$J$102,4),Rundäx)))</f>
        <v>4.6879999999999997</v>
      </c>
      <c r="EO48" s="43">
        <f>IF($CU48&gt;=RAM,"",IF($CU48-EO$103&lt;BeginnAlter,"",ROUND((SUM(DH48:DH$56)+SUM(FZ$9:FZ$56))/VLOOKUP($CU48,$AH$9:$AI$102,2)/VLOOKUP($CU48-EO$103,Frauen!$G$9:$J$102,4),Rundäx)))</f>
        <v>4.9619999999999997</v>
      </c>
      <c r="EP48" s="43">
        <f>IF($CU48&gt;=RAM,"",IF($CU48-EP$103&lt;BeginnAlter,"",ROUND((SUM(DI48:DI$56)+SUM(GA$9:GA$56))/VLOOKUP($CU48,$AH$9:$AI$102,2)/VLOOKUP($CU48-EP$103,Frauen!$G$9:$J$102,4),Rundäx)))</f>
        <v>5.2450000000000001</v>
      </c>
      <c r="EQ48" s="43">
        <f>IF($CU48&gt;=RAM,"",IF($CU48-EQ$103&lt;BeginnAlter,"",ROUND((SUM(DJ48:DJ$56)+SUM(GB$9:GB$56))/VLOOKUP($CU48,$AH$9:$AI$102,2)/VLOOKUP($CU48-EQ$103,Frauen!$G$9:$J$102,4),Rundäx)))</f>
        <v>5.5359999999999996</v>
      </c>
      <c r="ER48" s="43">
        <f>IF($CU48&gt;=RAM,"",IF($CU48-ER$103&lt;BeginnAlter,"",ROUND((SUM(DK48:DK$56)+SUM(GC$9:GC$56))/VLOOKUP($CU48,$AH$9:$AI$102,2)/VLOOKUP($CU48-ER$103,Frauen!$G$9:$J$102,4),Rundäx)))</f>
        <v>5.8330000000000002</v>
      </c>
      <c r="ES48" s="86"/>
      <c r="ET48" s="35">
        <f t="shared" si="61"/>
        <v>56</v>
      </c>
      <c r="EU48" s="43">
        <f>IF($CU48&gt;=RAM,"",IF($CU48-EU$103&lt;BeginnAlter,"",ROUND((SUM(DL48:DL$56)+SUM(GD$9:GD$56))/VLOOKUP($CU48,$AH$9:$AI$102,2)/VLOOKUP($CU48-EU$103,Frauen!$G$9:$J$102,4),Rundäx)))</f>
        <v>6.1379999999999999</v>
      </c>
      <c r="EV48" s="43">
        <f>IF($CU48&gt;=RAM,"",IF($CU48-EV$103&lt;BeginnAlter,"",ROUND((SUM(DM48:DM$56)+SUM(GE$9:GE$56))/VLOOKUP($CU48,$AH$9:$AI$102,2)/VLOOKUP($CU48-EV$103,Frauen!$G$9:$J$102,4),Rundäx)))</f>
        <v>6.4489999999999998</v>
      </c>
      <c r="EW48" s="43">
        <f>IF($CU48&gt;=RAM,"",IF($CU48-EW$103&lt;BeginnAlter,"",ROUND((SUM(DN48:DN$56)+SUM(GF$9:GF$56))/VLOOKUP($CU48,$AH$9:$AI$102,2)/VLOOKUP($CU48-EW$103,Frauen!$G$9:$J$102,4),Rundäx)))</f>
        <v>6.7649999999999997</v>
      </c>
      <c r="EX48" s="43">
        <f>IF($CU48&gt;=RAM,"",IF($CU48-EX$103&lt;BeginnAlter,"",ROUND((SUM(DO48:DO$56)+SUM(GG$9:GG$56))/VLOOKUP($CU48,$AH$9:$AI$102,2)/VLOOKUP($CU48-EX$103,Frauen!$G$9:$J$102,4),Rundäx)))</f>
        <v>7.0869999999999997</v>
      </c>
      <c r="EY48" s="43">
        <f>IF($CU48&gt;=RAM,"",IF($CU48-EY$103&lt;BeginnAlter,"",ROUND((SUM(DP48:DP$56)+SUM(GH$9:GH$56))/VLOOKUP($CU48,$AH$9:$AI$102,2)/VLOOKUP($CU48-EY$103,Frauen!$G$9:$J$102,4),Rundäx)))</f>
        <v>7.4119999999999999</v>
      </c>
      <c r="EZ48" s="43">
        <f>IF($CU48&gt;=RAM,"",IF($CU48-EZ$103&lt;BeginnAlter,"",ROUND((SUM(DQ48:DQ$56)+SUM(GI$9:GI$56))/VLOOKUP($CU48,$AH$9:$AI$102,2)/VLOOKUP($CU48-EZ$103,Frauen!$G$9:$J$102,4),Rundäx)))</f>
        <v>7.7409999999999997</v>
      </c>
      <c r="FA48" s="43">
        <f>IF($CU48&gt;=RAM,"",IF($CU48-FA$103&lt;BeginnAlter,"",ROUND((SUM(DR48:DR$56)+SUM(GJ$9:GJ$56))/VLOOKUP($CU48,$AH$9:$AI$102,2)/VLOOKUP($CU48-FA$103,Frauen!$G$9:$J$102,4),Rundäx)))</f>
        <v>8.0730000000000004</v>
      </c>
      <c r="FB48" s="43">
        <f>IF($CU48&gt;=RAM,"",IF($CU48-FB$103&lt;BeginnAlter,"",ROUND((SUM(DS48:DS$56)+SUM(GK$9:GK$56))/VLOOKUP($CU48,$AH$9:$AI$102,2)/VLOOKUP($CU48-FB$103,Frauen!$G$9:$J$102,4),Rundäx)))</f>
        <v>8.4060000000000006</v>
      </c>
      <c r="FC48" s="86"/>
      <c r="FD48" s="35">
        <f t="shared" si="62"/>
        <v>56</v>
      </c>
      <c r="FE48" s="43">
        <f>IF($CU48&gt;=RAM,"",IF($CU48-FE$103&lt;BeginnAlter,"",ROUND((SUM(DT48:DT$56)+SUM(GL$9:GL$56))/VLOOKUP($CU48,$AH$9:$AI$102,2)/VLOOKUP($CU48-FE$103,Frauen!$G$9:$J$102,4),Rundäx)))</f>
        <v>8.7409999999999997</v>
      </c>
      <c r="FF48" s="43">
        <f>IF($CU48&gt;=RAM,"",IF($CU48-FF$103&lt;BeginnAlter,"",ROUND((SUM(DU48:DU$56)+SUM(GM$9:GM$56))/VLOOKUP($CU48,$AH$9:$AI$102,2)/VLOOKUP($CU48-FF$103,Frauen!$G$9:$J$102,4),Rundäx)))</f>
        <v>9.077</v>
      </c>
      <c r="FG48" s="43">
        <f>IF($CU48&gt;=RAM,"",IF($CU48-FG$103&lt;BeginnAlter,"",ROUND((SUM(DV48:DV$56)+SUM(GN$9:GN$56))/VLOOKUP($CU48,$AH$9:$AI$102,2)/VLOOKUP($CU48-FG$103,Frauen!$G$9:$J$102,4),Rundäx)))</f>
        <v>9.4130000000000003</v>
      </c>
      <c r="FH48" s="43">
        <f>IF($CU48&gt;=RAM,"",IF($CU48-FH$103&lt;BeginnAlter,"",ROUND((SUM(DW48:DW$56)+SUM(GO$9:GO$56))/VLOOKUP($CU48,$AH$9:$AI$102,2)/VLOOKUP($CU48-FH$103,Frauen!$G$9:$J$102,4),Rundäx)))</f>
        <v>9.7490000000000006</v>
      </c>
      <c r="FI48" s="43">
        <f>IF($CU48&gt;=RAM,"",IF($CU48-FI$103&lt;BeginnAlter,"",ROUND((SUM(DX48:DX$56)+SUM(GP$9:GP$56))/VLOOKUP($CU48,$AH$9:$AI$102,2)/VLOOKUP($CU48-FI$103,Frauen!$G$9:$J$102,4),Rundäx)))</f>
        <v>10.083</v>
      </c>
      <c r="FJ48" s="43">
        <f>IF($CU48&gt;=RAM,"",IF($CU48-FJ$103&lt;BeginnAlter,"",ROUND((SUM(DY48:DY$56)+SUM(GQ$9:GQ$56))/VLOOKUP($CU48,$AH$9:$AI$102,2)/VLOOKUP($CU48-FJ$103,Frauen!$G$9:$J$102,4),Rundäx)))</f>
        <v>10.416</v>
      </c>
      <c r="FK48" s="43">
        <f>IF($CU48&gt;=RAM,"",IF($CU48-FK$103&lt;BeginnAlter,"",ROUND((SUM(DZ48:DZ$56)+SUM(GR$9:GR$56))/VLOOKUP($CU48,$AH$9:$AI$102,2)/VLOOKUP($CU48-FK$103,Frauen!$G$9:$J$102,4),Rundäx)))</f>
        <v>10.747999999999999</v>
      </c>
      <c r="FL48" s="86"/>
      <c r="FM48" s="35">
        <f t="shared" si="68"/>
        <v>104</v>
      </c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>
        <f>ROUND(v^($FM48+FaktorAlter)*VLOOKUP($FM48,$G$9:$J$102,4)*VLOOKUP($FM48,$A$9:$E$102,5)*0.5*(VLOOKUP($FM48-GD$103,Frauen!$G$9:$J$102,4)+VLOOKUP($FM48-GD$103+1,Frauen!$G$9:$J$102,4))*0.5*(VLOOKUP($FM48-GD$103,Frauen!$AZ$9:$BD$102,5)+VLOOKUP($FM48-GD$103+1,Frauen!$AZ$9:$BD$102,5)),RundDx)</f>
        <v>13</v>
      </c>
      <c r="GE48" s="25">
        <f>ROUND(v^($FM48+FaktorAlter)*VLOOKUP($FM48,$G$9:$J$102,4)*VLOOKUP($FM48,$A$9:$E$102,5)*0.5*(VLOOKUP($FM48-GE$103,Frauen!$G$9:$J$102,4)+VLOOKUP($FM48-GE$103+1,Frauen!$G$9:$J$102,4))*0.5*(VLOOKUP($FM48-GE$103,Frauen!$AZ$9:$BD$102,5)+VLOOKUP($FM48-GE$103+1,Frauen!$AZ$9:$BD$102,5)),RundDx)</f>
        <v>47</v>
      </c>
      <c r="GF48" s="25">
        <f>ROUND(v^($FM48+FaktorAlter)*VLOOKUP($FM48,$G$9:$J$102,4)*VLOOKUP($FM48,$A$9:$E$102,5)*0.5*(VLOOKUP($FM48-GF$103,Frauen!$G$9:$J$102,4)+VLOOKUP($FM48-GF$103+1,Frauen!$G$9:$J$102,4))*0.5*(VLOOKUP($FM48-GF$103,Frauen!$AZ$9:$BD$102,5)+VLOOKUP($FM48-GF$103+1,Frauen!$AZ$9:$BD$102,5)),RundDx)</f>
        <v>124</v>
      </c>
      <c r="GG48" s="25">
        <f>ROUND(v^($FM48+FaktorAlter)*VLOOKUP($FM48,$G$9:$J$102,4)*VLOOKUP($FM48,$A$9:$E$102,5)*0.5*(VLOOKUP($FM48-GG$103,Frauen!$G$9:$J$102,4)+VLOOKUP($FM48-GG$103+1,Frauen!$G$9:$J$102,4))*0.5*(VLOOKUP($FM48-GG$103,Frauen!$AZ$9:$BD$102,5)+VLOOKUP($FM48-GG$103+1,Frauen!$AZ$9:$BD$102,5)),RundDx)</f>
        <v>273</v>
      </c>
      <c r="GH48" s="25">
        <f>ROUND(v^($FM48+FaktorAlter)*VLOOKUP($FM48,$G$9:$J$102,4)*VLOOKUP($FM48,$A$9:$E$102,5)*0.5*(VLOOKUP($FM48-GH$103,Frauen!$G$9:$J$102,4)+VLOOKUP($FM48-GH$103+1,Frauen!$G$9:$J$102,4))*0.5*(VLOOKUP($FM48-GH$103,Frauen!$AZ$9:$BD$102,5)+VLOOKUP($FM48-GH$103+1,Frauen!$AZ$9:$BD$102,5)),RundDx)</f>
        <v>529</v>
      </c>
      <c r="GI48" s="25">
        <f>ROUND(v^($FM48+FaktorAlter)*VLOOKUP($FM48,$G$9:$J$102,4)*VLOOKUP($FM48,$A$9:$E$102,5)*0.5*(VLOOKUP($FM48-GI$103,Frauen!$G$9:$J$102,4)+VLOOKUP($FM48-GI$103+1,Frauen!$G$9:$J$102,4))*0.5*(VLOOKUP($FM48-GI$103,Frauen!$AZ$9:$BD$102,5)+VLOOKUP($FM48-GI$103+1,Frauen!$AZ$9:$BD$102,5)),RundDx)</f>
        <v>943</v>
      </c>
      <c r="GJ48" s="25">
        <f>ROUND(v^($FM48+FaktorAlter)*VLOOKUP($FM48,$G$9:$J$102,4)*VLOOKUP($FM48,$A$9:$E$102,5)*0.5*(VLOOKUP($FM48-GJ$103,Frauen!$G$9:$J$102,4)+VLOOKUP($FM48-GJ$103+1,Frauen!$G$9:$J$102,4))*0.5*(VLOOKUP($FM48-GJ$103,Frauen!$AZ$9:$BD$102,5)+VLOOKUP($FM48-GJ$103+1,Frauen!$AZ$9:$BD$102,5)),RundDx)</f>
        <v>1571</v>
      </c>
      <c r="GK48" s="25">
        <f>ROUND(v^($FM48+FaktorAlter)*VLOOKUP($FM48,$G$9:$J$102,4)*VLOOKUP($FM48,$A$9:$E$102,5)*0.5*(VLOOKUP($FM48-GK$103,Frauen!$G$9:$J$102,4)+VLOOKUP($FM48-GK$103+1,Frauen!$G$9:$J$102,4))*0.5*(VLOOKUP($FM48-GK$103,Frauen!$AZ$9:$BD$102,5)+VLOOKUP($FM48-GK$103+1,Frauen!$AZ$9:$BD$102,5)),RundDx)</f>
        <v>2483</v>
      </c>
      <c r="GL48" s="25">
        <f>ROUND(v^($FM48+FaktorAlter)*VLOOKUP($FM48,$G$9:$J$102,4)*VLOOKUP($FM48,$A$9:$E$102,5)*0.5*(VLOOKUP($FM48-GL$103,Frauen!$G$9:$J$102,4)+VLOOKUP($FM48-GL$103+1,Frauen!$G$9:$J$102,4))*0.5*(VLOOKUP($FM48-GL$103,Frauen!$AZ$9:$BD$102,5)+VLOOKUP($FM48-GL$103+1,Frauen!$AZ$9:$BD$102,5)),RundDx)</f>
        <v>3760</v>
      </c>
      <c r="GM48" s="25">
        <f>ROUND(v^($FM48+FaktorAlter)*VLOOKUP($FM48,$G$9:$J$102,4)*VLOOKUP($FM48,$A$9:$E$102,5)*0.5*(VLOOKUP($FM48-GM$103,Frauen!$G$9:$J$102,4)+VLOOKUP($FM48-GM$103+1,Frauen!$G$9:$J$102,4))*0.5*(VLOOKUP($FM48-GM$103,Frauen!$AZ$9:$BD$102,5)+VLOOKUP($FM48-GM$103+1,Frauen!$AZ$9:$BD$102,5)),RundDx)</f>
        <v>5488</v>
      </c>
      <c r="GN48" s="25">
        <f>ROUND(v^($FM48+FaktorAlter)*VLOOKUP($FM48,$G$9:$J$102,4)*VLOOKUP($FM48,$A$9:$E$102,5)*0.5*(VLOOKUP($FM48-GN$103,Frauen!$G$9:$J$102,4)+VLOOKUP($FM48-GN$103+1,Frauen!$G$9:$J$102,4))*0.5*(VLOOKUP($FM48-GN$103,Frauen!$AZ$9:$BD$102,5)+VLOOKUP($FM48-GN$103+1,Frauen!$AZ$9:$BD$102,5)),RundDx)</f>
        <v>7754</v>
      </c>
      <c r="GO48" s="25">
        <f>ROUND(v^($FM48+FaktorAlter)*VLOOKUP($FM48,$G$9:$J$102,4)*VLOOKUP($FM48,$A$9:$E$102,5)*0.5*(VLOOKUP($FM48-GO$103,Frauen!$G$9:$J$102,4)+VLOOKUP($FM48-GO$103+1,Frauen!$G$9:$J$102,4))*0.5*(VLOOKUP($FM48-GO$103,Frauen!$AZ$9:$BD$102,5)+VLOOKUP($FM48-GO$103+1,Frauen!$AZ$9:$BD$102,5)),RundDx)</f>
        <v>10658</v>
      </c>
      <c r="GP48" s="25">
        <f>ROUND(v^($FM48+FaktorAlter)*VLOOKUP($FM48,$G$9:$J$102,4)*VLOOKUP($FM48,$A$9:$E$102,5)*0.5*(VLOOKUP($FM48-GP$103,Frauen!$G$9:$J$102,4)+VLOOKUP($FM48-GP$103+1,Frauen!$G$9:$J$102,4))*0.5*(VLOOKUP($FM48-GP$103,Frauen!$AZ$9:$BD$102,5)+VLOOKUP($FM48-GP$103+1,Frauen!$AZ$9:$BD$102,5)),RundDx)</f>
        <v>14258</v>
      </c>
      <c r="GQ48" s="25">
        <f>ROUND(v^($FM48+FaktorAlter)*VLOOKUP($FM48,$G$9:$J$102,4)*VLOOKUP($FM48,$A$9:$E$102,5)*0.5*(VLOOKUP($FM48-GQ$103,Frauen!$G$9:$J$102,4)+VLOOKUP($FM48-GQ$103+1,Frauen!$G$9:$J$102,4))*0.5*(VLOOKUP($FM48-GQ$103,Frauen!$AZ$9:$BD$102,5)+VLOOKUP($FM48-GQ$103+1,Frauen!$AZ$9:$BD$102,5)),RundDx)</f>
        <v>18562</v>
      </c>
      <c r="GR48" s="25">
        <f>ROUND(v^($FM48+FaktorAlter)*VLOOKUP($FM48,$G$9:$J$102,4)*VLOOKUP($FM48,$A$9:$E$102,5)*0.5*(VLOOKUP($FM48-GR$103,Frauen!$G$9:$J$102,4)+VLOOKUP($FM48-GR$103+1,Frauen!$G$9:$J$102,4))*0.5*(VLOOKUP($FM48-GR$103,Frauen!$AZ$9:$BD$102,5)+VLOOKUP($FM48-GR$103+1,Frauen!$AZ$9:$BD$102,5)),RundDx)</f>
        <v>23607</v>
      </c>
      <c r="GS48" s="24"/>
      <c r="GT48" s="24"/>
      <c r="GU48" s="24"/>
      <c r="GV48" s="24"/>
      <c r="GW48" s="24"/>
      <c r="GX48" s="24"/>
      <c r="GY48" s="24"/>
      <c r="GZ48" s="24"/>
      <c r="HA48" s="86"/>
      <c r="HB48" s="35">
        <f t="shared" si="63"/>
        <v>104</v>
      </c>
      <c r="HC48" s="24"/>
      <c r="HD48" s="24"/>
      <c r="HE48" s="24"/>
      <c r="HF48" s="24"/>
      <c r="HG48" s="24"/>
      <c r="HH48" s="24"/>
      <c r="HI48" s="24"/>
      <c r="HJ48" s="24"/>
      <c r="HK48" s="86"/>
      <c r="HL48" s="35">
        <f t="shared" si="64"/>
        <v>104</v>
      </c>
      <c r="HM48" s="24"/>
      <c r="HN48" s="24"/>
      <c r="HO48" s="24"/>
      <c r="HP48" s="24"/>
      <c r="HQ48" s="24"/>
      <c r="HR48" s="24"/>
      <c r="HS48" s="24"/>
      <c r="HT48" s="24"/>
      <c r="HU48" s="86"/>
      <c r="HV48" s="35">
        <f t="shared" si="65"/>
        <v>104</v>
      </c>
      <c r="HW48" s="24"/>
      <c r="HX48" s="24"/>
      <c r="HY48" s="24"/>
      <c r="HZ48" s="24"/>
      <c r="IA48" s="24"/>
      <c r="IB48" s="24"/>
      <c r="IC48" s="24"/>
      <c r="ID48" s="89"/>
      <c r="IE48" s="35">
        <f t="shared" si="81"/>
        <v>56</v>
      </c>
      <c r="IF48" s="25">
        <f t="shared" si="31"/>
        <v>133</v>
      </c>
      <c r="IG48" s="25">
        <f>IF($IE48&lt;RAM,IF(S49&lt;=RAK,ROUND(SUM(IF48:INDEX(Dakx,RAM-BeginnAlter))+INDEX(Dax,RAM-BeginnAlter+1)*INDEX(äkx,1),RundDx),0),"")</f>
        <v>624</v>
      </c>
      <c r="IH48" s="25">
        <f>IF($IE48&lt;RAM,IF(S49&lt;=RAK,ROUND(SUM(IG48:INDEX(Nakx,RAM-BeginnAlter))+INDEX(Dax,RAM-BeginnAlter+1)*INDEX(äkx,1),RundDx),0),"")</f>
        <v>2848</v>
      </c>
      <c r="II48" s="24">
        <f t="shared" si="32"/>
        <v>2.5000000000000001E-2</v>
      </c>
      <c r="IJ48" s="25">
        <f t="shared" si="33"/>
        <v>747</v>
      </c>
      <c r="IK48" s="25">
        <f>IF($IE48&lt;RAM,IF(S49&lt;=RAK,SUM(IJ48:INDEX(Dikx,RAM-BeginnAlter))+INDEX(Dix,RAM-BeginnAlter+1)*INDEX(äkx,1),0),"")</f>
        <v>2341.8319999999999</v>
      </c>
      <c r="IL48" s="24">
        <f t="shared" si="34"/>
        <v>7.5999999999999998E-2</v>
      </c>
      <c r="IM48" s="86"/>
      <c r="IN48" s="35">
        <f t="shared" si="67"/>
        <v>104</v>
      </c>
      <c r="IO48" s="25"/>
      <c r="IP48" s="25"/>
      <c r="IQ48" s="24"/>
      <c r="IR48" s="86"/>
    </row>
    <row r="49" spans="1:252" ht="15.75" customHeight="1" x14ac:dyDescent="0.25">
      <c r="A49" s="35">
        <f t="shared" si="69"/>
        <v>57</v>
      </c>
      <c r="B49" s="77">
        <v>4.3484304986697924E-3</v>
      </c>
      <c r="C49" s="77">
        <v>1.6892710316783147E-2</v>
      </c>
      <c r="D49" s="77">
        <v>2.1543495342935641E-2</v>
      </c>
      <c r="E49" s="77">
        <v>5.9743136461417601E-3</v>
      </c>
      <c r="F49" s="86"/>
      <c r="G49" s="35">
        <f t="shared" si="70"/>
        <v>57</v>
      </c>
      <c r="H49" s="25">
        <f t="shared" si="37"/>
        <v>85954</v>
      </c>
      <c r="I49" s="25">
        <f t="shared" si="38"/>
        <v>7948</v>
      </c>
      <c r="J49" s="25">
        <f t="shared" si="39"/>
        <v>93902</v>
      </c>
      <c r="K49" s="30">
        <f>IF(J49&gt;0,ROUND(SUM(J49:J$102)/J49-0.5,Rundex),"")</f>
        <v>24.01</v>
      </c>
      <c r="L49" s="25">
        <f t="shared" si="0"/>
        <v>104568</v>
      </c>
      <c r="M49" s="30">
        <f>IF(L49&gt;0,ROUND(SUM(L49:L$102)/L49-0.5,Rundex),"")</f>
        <v>21.93</v>
      </c>
      <c r="N49" s="86"/>
      <c r="O49" s="35">
        <f t="shared" si="71"/>
        <v>57</v>
      </c>
      <c r="P49" s="43">
        <v>0.78472960517711554</v>
      </c>
      <c r="Q49" s="78">
        <v>54.104607818957163</v>
      </c>
      <c r="R49" s="43">
        <v>0.14204973459266668</v>
      </c>
      <c r="S49" s="78">
        <v>17.563270384061219</v>
      </c>
      <c r="T49" s="15">
        <v>7.0435070196693929E-3</v>
      </c>
      <c r="U49" s="11">
        <f t="shared" si="40"/>
        <v>93898</v>
      </c>
      <c r="V49" s="30">
        <f>IF(U49&gt;0,ROUND(SUM(U49:U$102)/U49-0.5,Rundex),"")</f>
        <v>21.51</v>
      </c>
      <c r="W49" s="86"/>
      <c r="X49" s="35">
        <f t="shared" si="72"/>
        <v>57</v>
      </c>
      <c r="Y49" s="25">
        <f t="shared" si="1"/>
        <v>24180</v>
      </c>
      <c r="Z49" s="25">
        <f>IF($X49&lt;RAM,SUM(Y49:INDEX(Dax,RAM-BeginnAlter))," ")</f>
        <v>161905</v>
      </c>
      <c r="AA49" s="25">
        <f t="shared" si="2"/>
        <v>104</v>
      </c>
      <c r="AB49" s="25">
        <f>IF($X49&lt;RAM,SUM(AA49:INDEX(Cax,RAM-BeginnAlter))," ")</f>
        <v>1052</v>
      </c>
      <c r="AC49" s="25">
        <f t="shared" si="3"/>
        <v>404</v>
      </c>
      <c r="AD49" s="25">
        <f>IF($X49&lt;RAM,SUM(AC49:INDEX(Caix,RAM-BeginnAlter))," ")</f>
        <v>4851</v>
      </c>
      <c r="AE49" s="24">
        <f t="shared" si="4"/>
        <v>6.6959999999999997</v>
      </c>
      <c r="AF49" s="24">
        <f t="shared" si="5"/>
        <v>6.5179999999999998</v>
      </c>
      <c r="AG49" s="86"/>
      <c r="AH49" s="35">
        <f t="shared" si="73"/>
        <v>57</v>
      </c>
      <c r="AI49" s="25">
        <f t="shared" si="6"/>
        <v>29416</v>
      </c>
      <c r="AJ49" s="25">
        <f>IF($AH49&gt;RAM," ",IF($AH49&lt;RAM,SUM(AI49:INDEX(Dix,RAM-BeginnAlter))+INDEX(Nx,RAM-BeginnAlter+1),INDEX(Nx,RAM-BeginnAlter+1)))</f>
        <v>499592</v>
      </c>
      <c r="AK49" s="25">
        <f>IF($AH49&lt;RAM,SUM(AI49:INDEX(Dix,RAM-BeginnAlter))," ")</f>
        <v>202345</v>
      </c>
      <c r="AL49" s="24">
        <f t="shared" si="7"/>
        <v>16.984000000000002</v>
      </c>
      <c r="AM49" s="24">
        <f t="shared" si="8"/>
        <v>16.524999999999999</v>
      </c>
      <c r="AN49" s="24">
        <f t="shared" si="9"/>
        <v>6.8789999999999996</v>
      </c>
      <c r="AO49" s="24">
        <f t="shared" si="10"/>
        <v>6.7389999999999999</v>
      </c>
      <c r="AP49" s="86"/>
      <c r="AQ49" s="35">
        <f t="shared" si="74"/>
        <v>57</v>
      </c>
      <c r="AR49" s="25">
        <f t="shared" si="11"/>
        <v>26416</v>
      </c>
      <c r="AS49" s="25">
        <f>SUM(AR49:AR$94)</f>
        <v>487878</v>
      </c>
      <c r="AT49" s="25">
        <f>IF($AQ49&lt;RAM,SUM(AR49:INDEX(Dx,RAM-BeginnAlter))," ")</f>
        <v>190631</v>
      </c>
      <c r="AU49" s="24">
        <f t="shared" si="12"/>
        <v>18.469000000000001</v>
      </c>
      <c r="AV49" s="24">
        <f t="shared" si="13"/>
        <v>18.010999999999999</v>
      </c>
      <c r="AW49" s="24">
        <f t="shared" si="14"/>
        <v>7.2160000000000002</v>
      </c>
      <c r="AX49" s="24">
        <f t="shared" si="15"/>
        <v>7.1130000000000004</v>
      </c>
      <c r="AY49" s="86"/>
      <c r="AZ49" s="35">
        <f t="shared" si="75"/>
        <v>57</v>
      </c>
      <c r="BA49" s="25">
        <f t="shared" si="16"/>
        <v>26415</v>
      </c>
      <c r="BB49" s="25">
        <f>SUM(BA49:BA$94)</f>
        <v>445827</v>
      </c>
      <c r="BC49" s="24">
        <f t="shared" si="17"/>
        <v>16.878</v>
      </c>
      <c r="BD49" s="24">
        <f t="shared" si="18"/>
        <v>16.419</v>
      </c>
      <c r="BE49" s="86"/>
      <c r="BF49" s="35">
        <f t="shared" si="48"/>
        <v>40</v>
      </c>
      <c r="BG49" s="24" t="str">
        <f t="shared" si="19"/>
        <v/>
      </c>
      <c r="BH49" s="24" t="str">
        <f t="shared" si="20"/>
        <v/>
      </c>
      <c r="BI49" s="86"/>
      <c r="BJ49" s="35">
        <f t="shared" si="76"/>
        <v>57</v>
      </c>
      <c r="BK49" s="25">
        <f t="shared" si="21"/>
        <v>6619</v>
      </c>
      <c r="BL49" s="25">
        <f>IF(BJ49&lt;RAM,SUM(BK49:INDEX(Daix,RAM-BeginnAlter))," ")</f>
        <v>73704</v>
      </c>
      <c r="BM49" s="25">
        <f>IF(BJ49&lt;RAM,SUM(BL49:INDEX(Naix,RAM-BeginnAlter))," ")</f>
        <v>357590</v>
      </c>
      <c r="BN49" s="24">
        <f t="shared" si="22"/>
        <v>8.5920000000000005</v>
      </c>
      <c r="BO49" s="24">
        <f t="shared" si="23"/>
        <v>3.048</v>
      </c>
      <c r="BP49" s="86"/>
      <c r="BQ49" s="35">
        <f t="shared" si="77"/>
        <v>57</v>
      </c>
      <c r="BR49" s="25">
        <f t="shared" si="51"/>
        <v>2578</v>
      </c>
      <c r="BS49" s="25">
        <f>IF(BQ49&lt;RAM,SUM(BR49:INDEX(Daixs,RAM-BeginnAlter))," ")</f>
        <v>15474</v>
      </c>
      <c r="BT49" s="25">
        <f>IF(BQ49&lt;RAM,SUM(BS49:INDEX(Naixs,RAM-BeginnAlter))," ")</f>
        <v>56472</v>
      </c>
      <c r="BU49" s="24">
        <f t="shared" si="52"/>
        <v>11</v>
      </c>
      <c r="BV49" s="24">
        <f t="shared" si="53"/>
        <v>0.64</v>
      </c>
      <c r="BW49" s="86"/>
      <c r="BX49" s="35">
        <f t="shared" si="78"/>
        <v>57</v>
      </c>
      <c r="BY49" s="10">
        <f t="shared" si="24"/>
        <v>6.3822162817682742</v>
      </c>
      <c r="BZ49" s="11">
        <f t="shared" si="25"/>
        <v>317</v>
      </c>
      <c r="CA49" s="25">
        <f>IF(S50&lt;=RAK,IF($BX49&lt;RAM,SUM(BZ49:INDEX(Dazx,RAM-BeginnAlter)),""),"")</f>
        <v>1125</v>
      </c>
      <c r="CB49" s="24">
        <f t="shared" si="26"/>
        <v>4.7E-2</v>
      </c>
      <c r="CC49" s="25">
        <f t="shared" si="27"/>
        <v>20901</v>
      </c>
      <c r="CD49" s="24">
        <f t="shared" si="28"/>
        <v>14.331</v>
      </c>
      <c r="CE49" s="24">
        <f t="shared" si="29"/>
        <v>4.2000000000000003E-2</v>
      </c>
      <c r="CF49" s="86"/>
      <c r="CG49" s="35">
        <f t="shared" si="79"/>
        <v>57</v>
      </c>
      <c r="CH49" s="25">
        <f>IF(CG49&lt;RAM,ROUND(v^($CG49+FaktorAlter)*$H49*($B49*0.5*($P49+$P50)*(VLOOKUP(TRUNC(0.5*($Q49+$Q50),0),Frauen!$AZ$9:$BD$95,5)+(0.5*($Q49+$Q50)-TRUNC(0.5*($Q49+$Q50),0))*(VLOOKUP(TRUNC(0.5*($Q49+$Q50)+1,0),Frauen!$AZ$9:$BD$95,5)-VLOOKUP(TRUNC(0.5*($Q49+$Q50),0),Frauen!$AZ$9:$BD$95,5)))+$C49*0.5*($CN49+$CN50)),RundDx),"")</f>
        <v>4183</v>
      </c>
      <c r="CI49" s="25">
        <f>IF(CG49&lt;RAM,ROUND(SUM(CH49:INDEX(Dawx,RAM-BeginnAlter))+INDEX(Dax,RAM-BeginnAlter+1)*INDEX(äwx,1),RundDx),"")</f>
        <v>121456</v>
      </c>
      <c r="CJ49" s="25">
        <f>IF(CG49&lt;RAM,ROUND(SUM(CI49:INDEX(Nawx,RAM-BeginnAlter))+INDEX(Dax,RAM-BeginnAlter+1)*INDEX(äwx,1),RundDx),"")</f>
        <v>909238</v>
      </c>
      <c r="CK49" s="24">
        <f t="shared" si="56"/>
        <v>5.0229999999999997</v>
      </c>
      <c r="CL49" s="25">
        <f>IF(CG49&lt;RAM,ROUND(v^($CG49+FaktorAlter)*$L49*$D49*0.5*($P49+$P50)*(VLOOKUP(TRUNC(0.5*($Q49+$Q50),0),Frauen!$AZ$9:$BD$95,5)+(0.5*($Q49+$Q50)-TRUNC(0.5*($Q49+$Q50),0))*(VLOOKUP(TRUNC(0.5*($Q49+$Q50)+1,0),Frauen!$AZ$9:$BD$95,5)-VLOOKUP(TRUNC(0.5*($Q49+$Q50),0),Frauen!$AZ$9:$BD$95,5))),RundDx),"")</f>
        <v>10531</v>
      </c>
      <c r="CM49" s="25">
        <f>IF(CG49&lt;RAM,SUM(CL49:INDEX(Diwx,RAM-BeginnAlter))+INDEX(Dix,RAM-BeginnAlter+1)*INDEX(äwx,1),"")</f>
        <v>178835.41399999999</v>
      </c>
      <c r="CN49" s="24">
        <f t="shared" si="57"/>
        <v>6.08</v>
      </c>
      <c r="CO49" s="86"/>
      <c r="CP49" s="35">
        <f t="shared" si="58"/>
        <v>105</v>
      </c>
      <c r="CQ49" s="11">
        <f>ROUND(v^($CP49+FaktorAlter)*VLOOKUP(CP49,G$9:J$102,4)*VLOOKUP(CP49,A$9:E$102,5)*0.5*(VLOOKUP(CP49,O$9:P$102,2)+VLOOKUP(CP49+1,O$9:P$102,2))*(VLOOKUP(TRUNC(0.5*(VLOOKUP(CP49,O$9:Q$102,3)+VLOOKUP(CP49+1,O$9:Q$102,3)),0),Frauen!$AZ$9:$BD$95,5)+(0.5*(VLOOKUP(CP49,O$9:Q$102,3)+VLOOKUP(CP49+1,O$9:Q$102,3))-TRUNC(0.5*(VLOOKUP(CP49,O$9:Q$102,3)+VLOOKUP(CP49+1,O$9:Q$102,3)),0))*(VLOOKUP(TRUNC(0.5*(VLOOKUP(CP49,O$9:Q$102,3)+VLOOKUP(CP49+1,O$9:Q$102,3))+1,0),Frauen!$AZ$9:$BD$95,5)-VLOOKUP(TRUNC(0.5*(VLOOKUP(CP49,O$9:Q$102,3)+VLOOKUP(CP49+1,O$9:Q$102,3)),0),Frauen!$AZ$9:$BD$95,5))),RundDx)</f>
        <v>0</v>
      </c>
      <c r="CR49" s="25">
        <f>SUM(CQ49:CQ$56)</f>
        <v>0</v>
      </c>
      <c r="CS49" s="24">
        <f t="shared" si="30"/>
        <v>0</v>
      </c>
      <c r="CT49" s="86"/>
      <c r="CU49" s="35">
        <f t="shared" si="80"/>
        <v>57</v>
      </c>
      <c r="CV49" s="25">
        <f>IF($CU49&gt;=RAM,"",IF($CU49-CV$103&lt;BeginnAlter,"",ROUND(v^($CU49+FaktorAlter)*$L49*$D49*0.5*(VLOOKUP($CU49-CV$103,Frauen!$G$9:$J$102,4)+VLOOKUP($CU49-CV$103+1,Frauen!$G$9:$J$102,4))*0.5*(VLOOKUP($CU49-CV$103,Frauen!$AZ$9:$BD$102,5)+VLOOKUP($CU49-CV$103+1,Frauen!$AZ$9:$BD$102,5)),RundDx)))</f>
        <v>632789430</v>
      </c>
      <c r="CW49" s="25">
        <f>IF($CU49&gt;=RAM,"",IF($CU49-CW$103&lt;BeginnAlter,"",ROUND(v^($CU49+FaktorAlter)*$L49*$D49*0.5*(VLOOKUP($CU49-CW$103,Frauen!$G$9:$J$102,4)+VLOOKUP($CU49-CW$103+1,Frauen!$G$9:$J$102,4))*0.5*(VLOOKUP($CU49-CW$103,Frauen!$AZ$9:$BD$102,5)+VLOOKUP($CU49-CW$103+1,Frauen!$AZ$9:$BD$102,5)),RundDx)))</f>
        <v>672033888</v>
      </c>
      <c r="CX49" s="25">
        <f>IF($CU49&gt;=RAM,"",IF($CU49-CX$103&lt;BeginnAlter,"",ROUND(v^($CU49+FaktorAlter)*$L49*$D49*0.5*(VLOOKUP($CU49-CX$103,Frauen!$G$9:$J$102,4)+VLOOKUP($CU49-CX$103+1,Frauen!$G$9:$J$102,4))*0.5*(VLOOKUP($CU49-CX$103,Frauen!$AZ$9:$BD$102,5)+VLOOKUP($CU49-CX$103+1,Frauen!$AZ$9:$BD$102,5)),RundDx)))</f>
        <v>711448681</v>
      </c>
      <c r="CY49" s="25">
        <f>IF($CU49&gt;=RAM,"",IF($CU49-CY$103&lt;BeginnAlter,"",ROUND(v^($CU49+FaktorAlter)*$L49*$D49*0.5*(VLOOKUP($CU49-CY$103,Frauen!$G$9:$J$102,4)+VLOOKUP($CU49-CY$103+1,Frauen!$G$9:$J$102,4))*0.5*(VLOOKUP($CU49-CY$103,Frauen!$AZ$9:$BD$102,5)+VLOOKUP($CU49-CY$103+1,Frauen!$AZ$9:$BD$102,5)),RundDx)))</f>
        <v>750924056</v>
      </c>
      <c r="CZ49" s="25">
        <f>IF($CU49&gt;=RAM,"",IF($CU49-CZ$103&lt;BeginnAlter,"",ROUND(v^($CU49+FaktorAlter)*$L49*$D49*0.5*(VLOOKUP($CU49-CZ$103,Frauen!$G$9:$J$102,4)+VLOOKUP($CU49-CZ$103+1,Frauen!$G$9:$J$102,4))*0.5*(VLOOKUP($CU49-CZ$103,Frauen!$AZ$9:$BD$102,5)+VLOOKUP($CU49-CZ$103+1,Frauen!$AZ$9:$BD$102,5)),RundDx)))</f>
        <v>790387434</v>
      </c>
      <c r="DA49" s="25">
        <f>IF($CU49&gt;=RAM,"",IF($CU49-DA$103&lt;BeginnAlter,"",ROUND(v^($CU49+FaktorAlter)*$L49*$D49*0.5*(VLOOKUP($CU49-DA$103,Frauen!$G$9:$J$102,4)+VLOOKUP($CU49-DA$103+1,Frauen!$G$9:$J$102,4))*0.5*(VLOOKUP($CU49-DA$103,Frauen!$AZ$9:$BD$102,5)+VLOOKUP($CU49-DA$103+1,Frauen!$AZ$9:$BD$102,5)),RundDx)))</f>
        <v>829571027</v>
      </c>
      <c r="DB49" s="25">
        <f>IF($CU49&gt;=RAM,"",IF($CU49-DB$103&lt;BeginnAlter,"",ROUND(v^($CU49+FaktorAlter)*$L49*$D49*0.5*(VLOOKUP($CU49-DB$103,Frauen!$G$9:$J$102,4)+VLOOKUP($CU49-DB$103+1,Frauen!$G$9:$J$102,4))*0.5*(VLOOKUP($CU49-DB$103,Frauen!$AZ$9:$BD$102,5)+VLOOKUP($CU49-DB$103+1,Frauen!$AZ$9:$BD$102,5)),RundDx)))</f>
        <v>868319901</v>
      </c>
      <c r="DC49" s="25">
        <f>IF($CU49&gt;=RAM,"",IF($CU49-DC$103&lt;BeginnAlter,"",ROUND(v^($CU49+FaktorAlter)*$L49*$D49*0.5*(VLOOKUP($CU49-DC$103,Frauen!$G$9:$J$102,4)+VLOOKUP($CU49-DC$103+1,Frauen!$G$9:$J$102,4))*0.5*(VLOOKUP($CU49-DC$103,Frauen!$AZ$9:$BD$102,5)+VLOOKUP($CU49-DC$103+1,Frauen!$AZ$9:$BD$102,5)),RundDx)))</f>
        <v>906698650</v>
      </c>
      <c r="DD49" s="25">
        <f>IF($CU49&gt;=RAM,"",IF($CU49-DD$103&lt;BeginnAlter,"",ROUND(v^($CU49+FaktorAlter)*$L49*$D49*0.5*(VLOOKUP($CU49-DD$103,Frauen!$G$9:$J$102,4)+VLOOKUP($CU49-DD$103+1,Frauen!$G$9:$J$102,4))*0.5*(VLOOKUP($CU49-DD$103,Frauen!$AZ$9:$BD$102,5)+VLOOKUP($CU49-DD$103+1,Frauen!$AZ$9:$BD$102,5)),RundDx)))</f>
        <v>944616942</v>
      </c>
      <c r="DE49" s="25">
        <f>IF($CU49&gt;=RAM,"",IF($CU49-DE$103&lt;BeginnAlter,"",ROUND(v^($CU49+FaktorAlter)*$L49*$D49*0.5*(VLOOKUP($CU49-DE$103,Frauen!$G$9:$J$102,4)+VLOOKUP($CU49-DE$103+1,Frauen!$G$9:$J$102,4))*0.5*(VLOOKUP($CU49-DE$103,Frauen!$AZ$9:$BD$102,5)+VLOOKUP($CU49-DE$103+1,Frauen!$AZ$9:$BD$102,5)),RundDx)))</f>
        <v>981850812</v>
      </c>
      <c r="DF49" s="25">
        <f>IF($CU49&gt;=RAM,"",IF($CU49-DF$103&lt;BeginnAlter,"",ROUND(v^($CU49+FaktorAlter)*$L49*$D49*0.5*(VLOOKUP($CU49-DF$103,Frauen!$G$9:$J$102,4)+VLOOKUP($CU49-DF$103+1,Frauen!$G$9:$J$102,4))*0.5*(VLOOKUP($CU49-DF$103,Frauen!$AZ$9:$BD$102,5)+VLOOKUP($CU49-DF$103+1,Frauen!$AZ$9:$BD$102,5)),RundDx)))</f>
        <v>1018380085</v>
      </c>
      <c r="DG49" s="25">
        <f>IF($CU49&gt;=RAM,"",IF($CU49-DG$103&lt;BeginnAlter,"",ROUND(v^($CU49+FaktorAlter)*$L49*$D49*0.5*(VLOOKUP($CU49-DG$103,Frauen!$G$9:$J$102,4)+VLOOKUP($CU49-DG$103+1,Frauen!$G$9:$J$102,4))*0.5*(VLOOKUP($CU49-DG$103,Frauen!$AZ$9:$BD$102,5)+VLOOKUP($CU49-DG$103+1,Frauen!$AZ$9:$BD$102,5)),RundDx)))</f>
        <v>1054299130</v>
      </c>
      <c r="DH49" s="25">
        <f>IF($CU49&gt;=RAM,"",IF($CU49-DH$103&lt;BeginnAlter,"",ROUND(v^($CU49+FaktorAlter)*$L49*$D49*0.5*(VLOOKUP($CU49-DH$103,Frauen!$G$9:$J$102,4)+VLOOKUP($CU49-DH$103+1,Frauen!$G$9:$J$102,4))*0.5*(VLOOKUP($CU49-DH$103,Frauen!$AZ$9:$BD$102,5)+VLOOKUP($CU49-DH$103+1,Frauen!$AZ$9:$BD$102,5)),RundDx)))</f>
        <v>1089560025</v>
      </c>
      <c r="DI49" s="25">
        <f>IF($CU49&gt;=RAM,"",IF($CU49-DI$103&lt;BeginnAlter,"",ROUND(v^($CU49+FaktorAlter)*$L49*$D49*0.5*(VLOOKUP($CU49-DI$103,Frauen!$G$9:$J$102,4)+VLOOKUP($CU49-DI$103+1,Frauen!$G$9:$J$102,4))*0.5*(VLOOKUP($CU49-DI$103,Frauen!$AZ$9:$BD$102,5)+VLOOKUP($CU49-DI$103+1,Frauen!$AZ$9:$BD$102,5)),RundDx)))</f>
        <v>1124153237</v>
      </c>
      <c r="DJ49" s="25">
        <f>IF($CU49&gt;=RAM,"",IF($CU49-DJ$103&lt;BeginnAlter,"",ROUND(v^($CU49+FaktorAlter)*$L49*$D49*0.5*(VLOOKUP($CU49-DJ$103,Frauen!$G$9:$J$102,4)+VLOOKUP($CU49-DJ$103+1,Frauen!$G$9:$J$102,4))*0.5*(VLOOKUP($CU49-DJ$103,Frauen!$AZ$9:$BD$102,5)+VLOOKUP($CU49-DJ$103+1,Frauen!$AZ$9:$BD$102,5)),RundDx)))</f>
        <v>1158150623</v>
      </c>
      <c r="DK49" s="25">
        <f>IF($CU49&gt;=RAM,"",IF($CU49-DK$103&lt;BeginnAlter,"",ROUND(v^($CU49+FaktorAlter)*$L49*$D49*0.5*(VLOOKUP($CU49-DK$103,Frauen!$G$9:$J$102,4)+VLOOKUP($CU49-DK$103+1,Frauen!$G$9:$J$102,4))*0.5*(VLOOKUP($CU49-DK$103,Frauen!$AZ$9:$BD$102,5)+VLOOKUP($CU49-DK$103+1,Frauen!$AZ$9:$BD$102,5)),RundDx)))</f>
        <v>1191658464</v>
      </c>
      <c r="DL49" s="25">
        <f>IF($CU49&gt;=RAM,"",IF($CU49-DL$103&lt;BeginnAlter,"",ROUND(v^($CU49+FaktorAlter)*$L49*$D49*0.5*(VLOOKUP($CU49-DL$103,Frauen!$G$9:$J$102,4)+VLOOKUP($CU49-DL$103+1,Frauen!$G$9:$J$102,4))*0.5*(VLOOKUP($CU49-DL$103,Frauen!$AZ$9:$BD$102,5)+VLOOKUP($CU49-DL$103+1,Frauen!$AZ$9:$BD$102,5)),RundDx)))</f>
        <v>1224764715</v>
      </c>
      <c r="DM49" s="25">
        <f>IF($CU49&gt;=RAM,"",IF($CU49-DM$103&lt;BeginnAlter,"",ROUND(v^($CU49+FaktorAlter)*$L49*$D49*0.5*(VLOOKUP($CU49-DM$103,Frauen!$G$9:$J$102,4)+VLOOKUP($CU49-DM$103+1,Frauen!$G$9:$J$102,4))*0.5*(VLOOKUP($CU49-DM$103,Frauen!$AZ$9:$BD$102,5)+VLOOKUP($CU49-DM$103+1,Frauen!$AZ$9:$BD$102,5)),RundDx)))</f>
        <v>1257548192</v>
      </c>
      <c r="DN49" s="25">
        <f>IF($CU49&gt;=RAM,"",IF($CU49-DN$103&lt;BeginnAlter,"",ROUND(v^($CU49+FaktorAlter)*$L49*$D49*0.5*(VLOOKUP($CU49-DN$103,Frauen!$G$9:$J$102,4)+VLOOKUP($CU49-DN$103+1,Frauen!$G$9:$J$102,4))*0.5*(VLOOKUP($CU49-DN$103,Frauen!$AZ$9:$BD$102,5)+VLOOKUP($CU49-DN$103+1,Frauen!$AZ$9:$BD$102,5)),RundDx)))</f>
        <v>1290046168</v>
      </c>
      <c r="DO49" s="25">
        <f>IF($CU49&gt;=RAM,"",IF($CU49-DO$103&lt;BeginnAlter,"",ROUND(v^($CU49+FaktorAlter)*$L49*$D49*0.5*(VLOOKUP($CU49-DO$103,Frauen!$G$9:$J$102,4)+VLOOKUP($CU49-DO$103+1,Frauen!$G$9:$J$102,4))*0.5*(VLOOKUP($CU49-DO$103,Frauen!$AZ$9:$BD$102,5)+VLOOKUP($CU49-DO$103+1,Frauen!$AZ$9:$BD$102,5)),RundDx)))</f>
        <v>1322198056</v>
      </c>
      <c r="DP49" s="25">
        <f>IF($CU49&gt;=RAM,"",IF($CU49-DP$103&lt;BeginnAlter,"",ROUND(v^($CU49+FaktorAlter)*$L49*$D49*0.5*(VLOOKUP($CU49-DP$103,Frauen!$G$9:$J$102,4)+VLOOKUP($CU49-DP$103+1,Frauen!$G$9:$J$102,4))*0.5*(VLOOKUP($CU49-DP$103,Frauen!$AZ$9:$BD$102,5)+VLOOKUP($CU49-DP$103+1,Frauen!$AZ$9:$BD$102,5)),RundDx)))</f>
        <v>1354031143</v>
      </c>
      <c r="DQ49" s="25">
        <f>IF($CU49&gt;=RAM,"",IF($CU49-DQ$103&lt;BeginnAlter,"",ROUND(v^($CU49+FaktorAlter)*$L49*$D49*0.5*(VLOOKUP($CU49-DQ$103,Frauen!$G$9:$J$102,4)+VLOOKUP($CU49-DQ$103+1,Frauen!$G$9:$J$102,4))*0.5*(VLOOKUP($CU49-DQ$103,Frauen!$AZ$9:$BD$102,5)+VLOOKUP($CU49-DQ$103+1,Frauen!$AZ$9:$BD$102,5)),RundDx)))</f>
        <v>1385479258</v>
      </c>
      <c r="DR49" s="25">
        <f>IF($CU49&gt;=RAM,"",IF($CU49-DR$103&lt;BeginnAlter,"",ROUND(v^($CU49+FaktorAlter)*$L49*$D49*0.5*(VLOOKUP($CU49-DR$103,Frauen!$G$9:$J$102,4)+VLOOKUP($CU49-DR$103+1,Frauen!$G$9:$J$102,4))*0.5*(VLOOKUP($CU49-DR$103,Frauen!$AZ$9:$BD$102,5)+VLOOKUP($CU49-DR$103+1,Frauen!$AZ$9:$BD$102,5)),RundDx)))</f>
        <v>1416396633</v>
      </c>
      <c r="DS49" s="25">
        <f>IF($CU49&gt;=RAM,"",IF($CU49-DS$103&lt;BeginnAlter,"",ROUND(v^($CU49+FaktorAlter)*$L49*$D49*0.5*(VLOOKUP($CU49-DS$103,Frauen!$G$9:$J$102,4)+VLOOKUP($CU49-DS$103+1,Frauen!$G$9:$J$102,4))*0.5*(VLOOKUP($CU49-DS$103,Frauen!$AZ$9:$BD$102,5)+VLOOKUP($CU49-DS$103+1,Frauen!$AZ$9:$BD$102,5)),RundDx)))</f>
        <v>1446692143</v>
      </c>
      <c r="DT49" s="25">
        <f>IF($CU49&gt;=RAM,"",IF($CU49-DT$103&lt;BeginnAlter,"",ROUND(v^($CU49+FaktorAlter)*$L49*$D49*0.5*(VLOOKUP($CU49-DT$103,Frauen!$G$9:$J$102,4)+VLOOKUP($CU49-DT$103+1,Frauen!$G$9:$J$102,4))*0.5*(VLOOKUP($CU49-DT$103,Frauen!$AZ$9:$BD$102,5)+VLOOKUP($CU49-DT$103+1,Frauen!$AZ$9:$BD$102,5)),RundDx)))</f>
        <v>1476337141</v>
      </c>
      <c r="DU49" s="25">
        <f>IF($CU49&gt;=RAM,"",IF($CU49-DU$103&lt;BeginnAlter,"",ROUND(v^($CU49+FaktorAlter)*$L49*$D49*0.5*(VLOOKUP($CU49-DU$103,Frauen!$G$9:$J$102,4)+VLOOKUP($CU49-DU$103+1,Frauen!$G$9:$J$102,4))*0.5*(VLOOKUP($CU49-DU$103,Frauen!$AZ$9:$BD$102,5)+VLOOKUP($CU49-DU$103+1,Frauen!$AZ$9:$BD$102,5)),RundDx)))</f>
        <v>1505335565</v>
      </c>
      <c r="DV49" s="25">
        <f>IF($CU49&gt;=RAM,"",IF($CU49-DV$103&lt;BeginnAlter,"",ROUND(v^($CU49+FaktorAlter)*$L49*$D49*0.5*(VLOOKUP($CU49-DV$103,Frauen!$G$9:$J$102,4)+VLOOKUP($CU49-DV$103+1,Frauen!$G$9:$J$102,4))*0.5*(VLOOKUP($CU49-DV$103,Frauen!$AZ$9:$BD$102,5)+VLOOKUP($CU49-DV$103+1,Frauen!$AZ$9:$BD$102,5)),RundDx)))</f>
        <v>1533716391</v>
      </c>
      <c r="DW49" s="25">
        <f>IF($CU49&gt;=RAM,"",IF($CU49-DW$103&lt;BeginnAlter,"",ROUND(v^($CU49+FaktorAlter)*$L49*$D49*0.5*(VLOOKUP($CU49-DW$103,Frauen!$G$9:$J$102,4)+VLOOKUP($CU49-DW$103+1,Frauen!$G$9:$J$102,4))*0.5*(VLOOKUP($CU49-DW$103,Frauen!$AZ$9:$BD$102,5)+VLOOKUP($CU49-DW$103+1,Frauen!$AZ$9:$BD$102,5)),RundDx)))</f>
        <v>1561440875</v>
      </c>
      <c r="DX49" s="25">
        <f>IF($CU49&gt;=RAM,"",IF($CU49-DX$103&lt;BeginnAlter,"",ROUND(v^($CU49+FaktorAlter)*$L49*$D49*0.5*(VLOOKUP($CU49-DX$103,Frauen!$G$9:$J$102,4)+VLOOKUP($CU49-DX$103+1,Frauen!$G$9:$J$102,4))*0.5*(VLOOKUP($CU49-DX$103,Frauen!$AZ$9:$BD$102,5)+VLOOKUP($CU49-DX$103+1,Frauen!$AZ$9:$BD$102,5)),RundDx)))</f>
        <v>1588518031</v>
      </c>
      <c r="DY49" s="25">
        <f>IF($CU49&gt;=RAM,"",IF($CU49-DY$103&lt;BeginnAlter,"",ROUND(v^($CU49+FaktorAlter)*$L49*$D49*0.5*(VLOOKUP($CU49-DY$103,Frauen!$G$9:$J$102,4)+VLOOKUP($CU49-DY$103+1,Frauen!$G$9:$J$102,4))*0.5*(VLOOKUP($CU49-DY$103,Frauen!$AZ$9:$BD$102,5)+VLOOKUP($CU49-DY$103+1,Frauen!$AZ$9:$BD$102,5)),RundDx)))</f>
        <v>1615012372</v>
      </c>
      <c r="DZ49" s="25">
        <f>IF($CU49&gt;=RAM,"",IF($CU49-DZ$103&lt;BeginnAlter,"",ROUND(v^($CU49+FaktorAlter)*$L49*$D49*0.5*(VLOOKUP($CU49-DZ$103,Frauen!$G$9:$J$102,4)+VLOOKUP($CU49-DZ$103+1,Frauen!$G$9:$J$102,4))*0.5*(VLOOKUP($CU49-DZ$103,Frauen!$AZ$9:$BD$102,5)+VLOOKUP($CU49-DZ$103+1,Frauen!$AZ$9:$BD$102,5)),RundDx)))</f>
        <v>1640936652</v>
      </c>
      <c r="EA49" s="43">
        <f>IF($CU49&gt;=RAM,"",IF($CU49-EA$103&lt;BeginnAlter,"",ROUND((SUM(CV49:CV$56)+SUM(FN$9:FN$56))/VLOOKUP($CU49,$AH$9:$AI$102,2)/VLOOKUP($CU49-EA$103,Frauen!$G$9:$J$102,4),Rundäx)))</f>
        <v>2.1019999999999999</v>
      </c>
      <c r="EB49" s="43">
        <f>IF($CU49&gt;=RAM,"",IF($CU49-EB$103&lt;BeginnAlter,"",ROUND((SUM(CW49:CW$56)+SUM(FO$9:FO$56))/VLOOKUP($CU49,$AH$9:$AI$102,2)/VLOOKUP($CU49-EB$103,Frauen!$G$9:$J$102,4),Rundäx)))</f>
        <v>2.278</v>
      </c>
      <c r="EC49" s="43">
        <f>IF($CU49&gt;=RAM,"",IF($CU49-EC$103&lt;BeginnAlter,"",ROUND((SUM(CX49:CX$56)+SUM(FP$9:FP$56))/VLOOKUP($CU49,$AH$9:$AI$102,2)/VLOOKUP($CU49-EC$103,Frauen!$G$9:$J$102,4),Rundäx)))</f>
        <v>2.4630000000000001</v>
      </c>
      <c r="ED49" s="43">
        <f>IF($CU49&gt;=RAM,"",IF($CU49-ED$103&lt;BeginnAlter,"",ROUND((SUM(CY49:CY$56)+SUM(FQ$9:FQ$56))/VLOOKUP($CU49,$AH$9:$AI$102,2)/VLOOKUP($CU49-ED$103,Frauen!$G$9:$J$102,4),Rundäx)))</f>
        <v>2.6560000000000001</v>
      </c>
      <c r="EE49" s="43">
        <f>IF($CU49&gt;=RAM,"",IF($CU49-EE$103&lt;BeginnAlter,"",ROUND((SUM(CZ49:CZ$56)+SUM(FR$9:FR$56))/VLOOKUP($CU49,$AH$9:$AI$102,2)/VLOOKUP($CU49-EE$103,Frauen!$G$9:$J$102,4),Rundäx)))</f>
        <v>2.8570000000000002</v>
      </c>
      <c r="EF49" s="43">
        <f>IF($CU49&gt;=RAM,"",IF($CU49-EF$103&lt;BeginnAlter,"",ROUND((SUM(DA49:DA$56)+SUM(FS$9:FS$56))/VLOOKUP($CU49,$AH$9:$AI$102,2)/VLOOKUP($CU49-EF$103,Frauen!$G$9:$J$102,4),Rundäx)))</f>
        <v>3.0680000000000001</v>
      </c>
      <c r="EG49" s="43">
        <f>IF($CU49&gt;=RAM,"",IF($CU49-EG$103&lt;BeginnAlter,"",ROUND((SUM(DB49:DB$56)+SUM(FT$9:FT$56))/VLOOKUP($CU49,$AH$9:$AI$102,2)/VLOOKUP($CU49-EG$103,Frauen!$G$9:$J$102,4),Rundäx)))</f>
        <v>3.2869999999999999</v>
      </c>
      <c r="EH49" s="43">
        <f>IF($CU49&gt;=RAM,"",IF($CU49-EH$103&lt;BeginnAlter,"",ROUND((SUM(DC49:DC$56)+SUM(FU$9:FU$56))/VLOOKUP($CU49,$AH$9:$AI$102,2)/VLOOKUP($CU49-EH$103,Frauen!$G$9:$J$102,4),Rundäx)))</f>
        <v>3.5150000000000001</v>
      </c>
      <c r="EI49" s="86"/>
      <c r="EJ49" s="35">
        <f t="shared" si="60"/>
        <v>57</v>
      </c>
      <c r="EK49" s="43">
        <f>IF($CU49&gt;=RAM,"",IF($CU49-EK$103&lt;BeginnAlter,"",ROUND((SUM(DD49:DD$56)+SUM(FV$9:FV$56))/VLOOKUP($CU49,$AH$9:$AI$102,2)/VLOOKUP($CU49-EK$103,Frauen!$G$9:$J$102,4),Rundäx)))</f>
        <v>3.7530000000000001</v>
      </c>
      <c r="EL49" s="43">
        <f>IF($CU49&gt;=RAM,"",IF($CU49-EL$103&lt;BeginnAlter,"",ROUND((SUM(DE49:DE$56)+SUM(FW$9:FW$56))/VLOOKUP($CU49,$AH$9:$AI$102,2)/VLOOKUP($CU49-EL$103,Frauen!$G$9:$J$102,4),Rundäx)))</f>
        <v>3.9990000000000001</v>
      </c>
      <c r="EM49" s="43">
        <f>IF($CU49&gt;=RAM,"",IF($CU49-EM$103&lt;BeginnAlter,"",ROUND((SUM(DF49:DF$56)+SUM(FX$9:FX$56))/VLOOKUP($CU49,$AH$9:$AI$102,2)/VLOOKUP($CU49-EM$103,Frauen!$G$9:$J$102,4),Rundäx)))</f>
        <v>4.2549999999999999</v>
      </c>
      <c r="EN49" s="43">
        <f>IF($CU49&gt;=RAM,"",IF($CU49-EN$103&lt;BeginnAlter,"",ROUND((SUM(DG49:DG$56)+SUM(FY$9:FY$56))/VLOOKUP($CU49,$AH$9:$AI$102,2)/VLOOKUP($CU49-EN$103,Frauen!$G$9:$J$102,4),Rundäx)))</f>
        <v>4.5199999999999996</v>
      </c>
      <c r="EO49" s="43">
        <f>IF($CU49&gt;=RAM,"",IF($CU49-EO$103&lt;BeginnAlter,"",ROUND((SUM(DH49:DH$56)+SUM(FZ$9:FZ$56))/VLOOKUP($CU49,$AH$9:$AI$102,2)/VLOOKUP($CU49-EO$103,Frauen!$G$9:$J$102,4),Rundäx)))</f>
        <v>4.7939999999999996</v>
      </c>
      <c r="EP49" s="43">
        <f>IF($CU49&gt;=RAM,"",IF($CU49-EP$103&lt;BeginnAlter,"",ROUND((SUM(DI49:DI$56)+SUM(GA$9:GA$56))/VLOOKUP($CU49,$AH$9:$AI$102,2)/VLOOKUP($CU49-EP$103,Frauen!$G$9:$J$102,4),Rundäx)))</f>
        <v>5.077</v>
      </c>
      <c r="EQ49" s="43">
        <f>IF($CU49&gt;=RAM,"",IF($CU49-EQ$103&lt;BeginnAlter,"",ROUND((SUM(DJ49:DJ$56)+SUM(GB$9:GB$56))/VLOOKUP($CU49,$AH$9:$AI$102,2)/VLOOKUP($CU49-EQ$103,Frauen!$G$9:$J$102,4),Rundäx)))</f>
        <v>5.3689999999999998</v>
      </c>
      <c r="ER49" s="43">
        <f>IF($CU49&gt;=RAM,"",IF($CU49-ER$103&lt;BeginnAlter,"",ROUND((SUM(DK49:DK$56)+SUM(GC$9:GC$56))/VLOOKUP($CU49,$AH$9:$AI$102,2)/VLOOKUP($CU49-ER$103,Frauen!$G$9:$J$102,4),Rundäx)))</f>
        <v>5.6689999999999996</v>
      </c>
      <c r="ES49" s="86"/>
      <c r="ET49" s="35">
        <f t="shared" si="61"/>
        <v>57</v>
      </c>
      <c r="EU49" s="43">
        <f>IF($CU49&gt;=RAM,"",IF($CU49-EU$103&lt;BeginnAlter,"",ROUND((SUM(DL49:DL$56)+SUM(GD$9:GD$56))/VLOOKUP($CU49,$AH$9:$AI$102,2)/VLOOKUP($CU49-EU$103,Frauen!$G$9:$J$102,4),Rundäx)))</f>
        <v>5.976</v>
      </c>
      <c r="EV49" s="43">
        <f>IF($CU49&gt;=RAM,"",IF($CU49-EV$103&lt;BeginnAlter,"",ROUND((SUM(DM49:DM$56)+SUM(GE$9:GE$56))/VLOOKUP($CU49,$AH$9:$AI$102,2)/VLOOKUP($CU49-EV$103,Frauen!$G$9:$J$102,4),Rundäx)))</f>
        <v>6.2889999999999997</v>
      </c>
      <c r="EW49" s="43">
        <f>IF($CU49&gt;=RAM,"",IF($CU49-EW$103&lt;BeginnAlter,"",ROUND((SUM(DN49:DN$56)+SUM(GF$9:GF$56))/VLOOKUP($CU49,$AH$9:$AI$102,2)/VLOOKUP($CU49-EW$103,Frauen!$G$9:$J$102,4),Rundäx)))</f>
        <v>6.609</v>
      </c>
      <c r="EX49" s="43">
        <f>IF($CU49&gt;=RAM,"",IF($CU49-EX$103&lt;BeginnAlter,"",ROUND((SUM(DO49:DO$56)+SUM(GG$9:GG$56))/VLOOKUP($CU49,$AH$9:$AI$102,2)/VLOOKUP($CU49-EX$103,Frauen!$G$9:$J$102,4),Rundäx)))</f>
        <v>6.9340000000000002</v>
      </c>
      <c r="EY49" s="43">
        <f>IF($CU49&gt;=RAM,"",IF($CU49-EY$103&lt;BeginnAlter,"",ROUND((SUM(DP49:DP$56)+SUM(GH$9:GH$56))/VLOOKUP($CU49,$AH$9:$AI$102,2)/VLOOKUP($CU49-EY$103,Frauen!$G$9:$J$102,4),Rundäx)))</f>
        <v>7.2629999999999999</v>
      </c>
      <c r="EZ49" s="43">
        <f>IF($CU49&gt;=RAM,"",IF($CU49-EZ$103&lt;BeginnAlter,"",ROUND((SUM(DQ49:DQ$56)+SUM(GI$9:GI$56))/VLOOKUP($CU49,$AH$9:$AI$102,2)/VLOOKUP($CU49-EZ$103,Frauen!$G$9:$J$102,4),Rundäx)))</f>
        <v>7.5960000000000001</v>
      </c>
      <c r="FA49" s="43">
        <f>IF($CU49&gt;=RAM,"",IF($CU49-FA$103&lt;BeginnAlter,"",ROUND((SUM(DR49:DR$56)+SUM(GJ$9:GJ$56))/VLOOKUP($CU49,$AH$9:$AI$102,2)/VLOOKUP($CU49-FA$103,Frauen!$G$9:$J$102,4),Rundäx)))</f>
        <v>7.9320000000000004</v>
      </c>
      <c r="FB49" s="43">
        <f>IF($CU49&gt;=RAM,"",IF($CU49-FB$103&lt;BeginnAlter,"",ROUND((SUM(DS49:DS$56)+SUM(GK$9:GK$56))/VLOOKUP($CU49,$AH$9:$AI$102,2)/VLOOKUP($CU49-FB$103,Frauen!$G$9:$J$102,4),Rundäx)))</f>
        <v>8.27</v>
      </c>
      <c r="FC49" s="86"/>
      <c r="FD49" s="35">
        <f t="shared" si="62"/>
        <v>57</v>
      </c>
      <c r="FE49" s="43">
        <f>IF($CU49&gt;=RAM,"",IF($CU49-FE$103&lt;BeginnAlter,"",ROUND((SUM(DT49:DT$56)+SUM(GL$9:GL$56))/VLOOKUP($CU49,$AH$9:$AI$102,2)/VLOOKUP($CU49-FE$103,Frauen!$G$9:$J$102,4),Rundäx)))</f>
        <v>8.61</v>
      </c>
      <c r="FF49" s="43">
        <f>IF($CU49&gt;=RAM,"",IF($CU49-FF$103&lt;BeginnAlter,"",ROUND((SUM(DU49:DU$56)+SUM(GM$9:GM$56))/VLOOKUP($CU49,$AH$9:$AI$102,2)/VLOOKUP($CU49-FF$103,Frauen!$G$9:$J$102,4),Rundäx)))</f>
        <v>8.9510000000000005</v>
      </c>
      <c r="FG49" s="43">
        <f>IF($CU49&gt;=RAM,"",IF($CU49-FG$103&lt;BeginnAlter,"",ROUND((SUM(DV49:DV$56)+SUM(GN$9:GN$56))/VLOOKUP($CU49,$AH$9:$AI$102,2)/VLOOKUP($CU49-FG$103,Frauen!$G$9:$J$102,4),Rundäx)))</f>
        <v>9.2919999999999998</v>
      </c>
      <c r="FH49" s="43">
        <f>IF($CU49&gt;=RAM,"",IF($CU49-FH$103&lt;BeginnAlter,"",ROUND((SUM(DW49:DW$56)+SUM(GO$9:GO$56))/VLOOKUP($CU49,$AH$9:$AI$102,2)/VLOOKUP($CU49-FH$103,Frauen!$G$9:$J$102,4),Rundäx)))</f>
        <v>9.6329999999999991</v>
      </c>
      <c r="FI49" s="43">
        <f>IF($CU49&gt;=RAM,"",IF($CU49-FI$103&lt;BeginnAlter,"",ROUND((SUM(DX49:DX$56)+SUM(GP$9:GP$56))/VLOOKUP($CU49,$AH$9:$AI$102,2)/VLOOKUP($CU49-FI$103,Frauen!$G$9:$J$102,4),Rundäx)))</f>
        <v>9.9730000000000008</v>
      </c>
      <c r="FJ49" s="43">
        <f>IF($CU49&gt;=RAM,"",IF($CU49-FJ$103&lt;BeginnAlter,"",ROUND((SUM(DY49:DY$56)+SUM(GQ$9:GQ$56))/VLOOKUP($CU49,$AH$9:$AI$102,2)/VLOOKUP($CU49-FJ$103,Frauen!$G$9:$J$102,4),Rundäx)))</f>
        <v>10.311999999999999</v>
      </c>
      <c r="FK49" s="43">
        <f>IF($CU49&gt;=RAM,"",IF($CU49-FK$103&lt;BeginnAlter,"",ROUND((SUM(DZ49:DZ$56)+SUM(GR$9:GR$56))/VLOOKUP($CU49,$AH$9:$AI$102,2)/VLOOKUP($CU49-FK$103,Frauen!$G$9:$J$102,4),Rundäx)))</f>
        <v>10.648999999999999</v>
      </c>
      <c r="FL49" s="86"/>
      <c r="FM49" s="35">
        <f t="shared" si="68"/>
        <v>105</v>
      </c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>
        <f>ROUND(v^($FM49+FaktorAlter)*VLOOKUP($FM49,$G$9:$J$102,4)*VLOOKUP($FM49,$A$9:$E$102,5)*0.5*(VLOOKUP($FM49-GE$103,Frauen!$G$9:$J$102,4)+VLOOKUP($FM49-GE$103+1,Frauen!$G$9:$J$102,4))*0.5*(VLOOKUP($FM49-GE$103,Frauen!$AZ$9:$BD$102,5)+VLOOKUP($FM49-GE$103+1,Frauen!$AZ$9:$BD$102,5)),RundDx)</f>
        <v>0</v>
      </c>
      <c r="GF49" s="25">
        <f>ROUND(v^($FM49+FaktorAlter)*VLOOKUP($FM49,$G$9:$J$102,4)*VLOOKUP($FM49,$A$9:$E$102,5)*0.5*(VLOOKUP($FM49-GF$103,Frauen!$G$9:$J$102,4)+VLOOKUP($FM49-GF$103+1,Frauen!$G$9:$J$102,4))*0.5*(VLOOKUP($FM49-GF$103,Frauen!$AZ$9:$BD$102,5)+VLOOKUP($FM49-GF$103+1,Frauen!$AZ$9:$BD$102,5)),RundDx)</f>
        <v>0</v>
      </c>
      <c r="GG49" s="25">
        <f>ROUND(v^($FM49+FaktorAlter)*VLOOKUP($FM49,$G$9:$J$102,4)*VLOOKUP($FM49,$A$9:$E$102,5)*0.5*(VLOOKUP($FM49-GG$103,Frauen!$G$9:$J$102,4)+VLOOKUP($FM49-GG$103+1,Frauen!$G$9:$J$102,4))*0.5*(VLOOKUP($FM49-GG$103,Frauen!$AZ$9:$BD$102,5)+VLOOKUP($FM49-GG$103+1,Frauen!$AZ$9:$BD$102,5)),RundDx)</f>
        <v>0</v>
      </c>
      <c r="GH49" s="25">
        <f>ROUND(v^($FM49+FaktorAlter)*VLOOKUP($FM49,$G$9:$J$102,4)*VLOOKUP($FM49,$A$9:$E$102,5)*0.5*(VLOOKUP($FM49-GH$103,Frauen!$G$9:$J$102,4)+VLOOKUP($FM49-GH$103+1,Frauen!$G$9:$J$102,4))*0.5*(VLOOKUP($FM49-GH$103,Frauen!$AZ$9:$BD$102,5)+VLOOKUP($FM49-GH$103+1,Frauen!$AZ$9:$BD$102,5)),RundDx)</f>
        <v>0</v>
      </c>
      <c r="GI49" s="25">
        <f>ROUND(v^($FM49+FaktorAlter)*VLOOKUP($FM49,$G$9:$J$102,4)*VLOOKUP($FM49,$A$9:$E$102,5)*0.5*(VLOOKUP($FM49-GI$103,Frauen!$G$9:$J$102,4)+VLOOKUP($FM49-GI$103+1,Frauen!$G$9:$J$102,4))*0.5*(VLOOKUP($FM49-GI$103,Frauen!$AZ$9:$BD$102,5)+VLOOKUP($FM49-GI$103+1,Frauen!$AZ$9:$BD$102,5)),RundDx)</f>
        <v>0</v>
      </c>
      <c r="GJ49" s="25">
        <f>ROUND(v^($FM49+FaktorAlter)*VLOOKUP($FM49,$G$9:$J$102,4)*VLOOKUP($FM49,$A$9:$E$102,5)*0.5*(VLOOKUP($FM49-GJ$103,Frauen!$G$9:$J$102,4)+VLOOKUP($FM49-GJ$103+1,Frauen!$G$9:$J$102,4))*0.5*(VLOOKUP($FM49-GJ$103,Frauen!$AZ$9:$BD$102,5)+VLOOKUP($FM49-GJ$103+1,Frauen!$AZ$9:$BD$102,5)),RundDx)</f>
        <v>0</v>
      </c>
      <c r="GK49" s="25">
        <f>ROUND(v^($FM49+FaktorAlter)*VLOOKUP($FM49,$G$9:$J$102,4)*VLOOKUP($FM49,$A$9:$E$102,5)*0.5*(VLOOKUP($FM49-GK$103,Frauen!$G$9:$J$102,4)+VLOOKUP($FM49-GK$103+1,Frauen!$G$9:$J$102,4))*0.5*(VLOOKUP($FM49-GK$103,Frauen!$AZ$9:$BD$102,5)+VLOOKUP($FM49-GK$103+1,Frauen!$AZ$9:$BD$102,5)),RundDx)</f>
        <v>0</v>
      </c>
      <c r="GL49" s="25">
        <f>ROUND(v^($FM49+FaktorAlter)*VLOOKUP($FM49,$G$9:$J$102,4)*VLOOKUP($FM49,$A$9:$E$102,5)*0.5*(VLOOKUP($FM49-GL$103,Frauen!$G$9:$J$102,4)+VLOOKUP($FM49-GL$103+1,Frauen!$G$9:$J$102,4))*0.5*(VLOOKUP($FM49-GL$103,Frauen!$AZ$9:$BD$102,5)+VLOOKUP($FM49-GL$103+1,Frauen!$AZ$9:$BD$102,5)),RundDx)</f>
        <v>0</v>
      </c>
      <c r="GM49" s="25">
        <f>ROUND(v^($FM49+FaktorAlter)*VLOOKUP($FM49,$G$9:$J$102,4)*VLOOKUP($FM49,$A$9:$E$102,5)*0.5*(VLOOKUP($FM49-GM$103,Frauen!$G$9:$J$102,4)+VLOOKUP($FM49-GM$103+1,Frauen!$G$9:$J$102,4))*0.5*(VLOOKUP($FM49-GM$103,Frauen!$AZ$9:$BD$102,5)+VLOOKUP($FM49-GM$103+1,Frauen!$AZ$9:$BD$102,5)),RundDx)</f>
        <v>0</v>
      </c>
      <c r="GN49" s="25">
        <f>ROUND(v^($FM49+FaktorAlter)*VLOOKUP($FM49,$G$9:$J$102,4)*VLOOKUP($FM49,$A$9:$E$102,5)*0.5*(VLOOKUP($FM49-GN$103,Frauen!$G$9:$J$102,4)+VLOOKUP($FM49-GN$103+1,Frauen!$G$9:$J$102,4))*0.5*(VLOOKUP($FM49-GN$103,Frauen!$AZ$9:$BD$102,5)+VLOOKUP($FM49-GN$103+1,Frauen!$AZ$9:$BD$102,5)),RundDx)</f>
        <v>0</v>
      </c>
      <c r="GO49" s="25">
        <f>ROUND(v^($FM49+FaktorAlter)*VLOOKUP($FM49,$G$9:$J$102,4)*VLOOKUP($FM49,$A$9:$E$102,5)*0.5*(VLOOKUP($FM49-GO$103,Frauen!$G$9:$J$102,4)+VLOOKUP($FM49-GO$103+1,Frauen!$G$9:$J$102,4))*0.5*(VLOOKUP($FM49-GO$103,Frauen!$AZ$9:$BD$102,5)+VLOOKUP($FM49-GO$103+1,Frauen!$AZ$9:$BD$102,5)),RundDx)</f>
        <v>0</v>
      </c>
      <c r="GP49" s="25">
        <f>ROUND(v^($FM49+FaktorAlter)*VLOOKUP($FM49,$G$9:$J$102,4)*VLOOKUP($FM49,$A$9:$E$102,5)*0.5*(VLOOKUP($FM49-GP$103,Frauen!$G$9:$J$102,4)+VLOOKUP($FM49-GP$103+1,Frauen!$G$9:$J$102,4))*0.5*(VLOOKUP($FM49-GP$103,Frauen!$AZ$9:$BD$102,5)+VLOOKUP($FM49-GP$103+1,Frauen!$AZ$9:$BD$102,5)),RundDx)</f>
        <v>0</v>
      </c>
      <c r="GQ49" s="25">
        <f>ROUND(v^($FM49+FaktorAlter)*VLOOKUP($FM49,$G$9:$J$102,4)*VLOOKUP($FM49,$A$9:$E$102,5)*0.5*(VLOOKUP($FM49-GQ$103,Frauen!$G$9:$J$102,4)+VLOOKUP($FM49-GQ$103+1,Frauen!$G$9:$J$102,4))*0.5*(VLOOKUP($FM49-GQ$103,Frauen!$AZ$9:$BD$102,5)+VLOOKUP($FM49-GQ$103+1,Frauen!$AZ$9:$BD$102,5)),RundDx)</f>
        <v>0</v>
      </c>
      <c r="GR49" s="25">
        <f>ROUND(v^($FM49+FaktorAlter)*VLOOKUP($FM49,$G$9:$J$102,4)*VLOOKUP($FM49,$A$9:$E$102,5)*0.5*(VLOOKUP($FM49-GR$103,Frauen!$G$9:$J$102,4)+VLOOKUP($FM49-GR$103+1,Frauen!$G$9:$J$102,4))*0.5*(VLOOKUP($FM49-GR$103,Frauen!$AZ$9:$BD$102,5)+VLOOKUP($FM49-GR$103+1,Frauen!$AZ$9:$BD$102,5)),RundDx)</f>
        <v>0</v>
      </c>
      <c r="GS49" s="24"/>
      <c r="GT49" s="24"/>
      <c r="GU49" s="24"/>
      <c r="GV49" s="24"/>
      <c r="GW49" s="24"/>
      <c r="GX49" s="24"/>
      <c r="GY49" s="24"/>
      <c r="GZ49" s="24"/>
      <c r="HA49" s="86"/>
      <c r="HB49" s="35">
        <f t="shared" si="63"/>
        <v>105</v>
      </c>
      <c r="HC49" s="24"/>
      <c r="HD49" s="24"/>
      <c r="HE49" s="24"/>
      <c r="HF49" s="24"/>
      <c r="HG49" s="24"/>
      <c r="HH49" s="24"/>
      <c r="HI49" s="24"/>
      <c r="HJ49" s="24"/>
      <c r="HK49" s="86"/>
      <c r="HL49" s="35">
        <f t="shared" si="64"/>
        <v>105</v>
      </c>
      <c r="HM49" s="24"/>
      <c r="HN49" s="24"/>
      <c r="HO49" s="24"/>
      <c r="HP49" s="24"/>
      <c r="HQ49" s="24"/>
      <c r="HR49" s="24"/>
      <c r="HS49" s="24"/>
      <c r="HT49" s="24"/>
      <c r="HU49" s="86"/>
      <c r="HV49" s="35">
        <f t="shared" si="65"/>
        <v>105</v>
      </c>
      <c r="HW49" s="24"/>
      <c r="HX49" s="24"/>
      <c r="HY49" s="24"/>
      <c r="HZ49" s="24"/>
      <c r="IA49" s="24"/>
      <c r="IB49" s="24"/>
      <c r="IC49" s="24"/>
      <c r="ID49" s="89"/>
      <c r="IE49" s="35">
        <f t="shared" si="81"/>
        <v>57</v>
      </c>
      <c r="IF49" s="25">
        <f t="shared" si="31"/>
        <v>105</v>
      </c>
      <c r="IG49" s="25">
        <f>IF($IE49&lt;RAM,IF(S50&lt;=RAK,ROUND(SUM(IF49:INDEX(Dakx,RAM-BeginnAlter))+INDEX(Dax,RAM-BeginnAlter+1)*INDEX(äkx,1),RundDx),0),"")</f>
        <v>491</v>
      </c>
      <c r="IH49" s="25">
        <f>IF($IE49&lt;RAM,IF(S50&lt;=RAK,ROUND(SUM(IG49:INDEX(Nakx,RAM-BeginnAlter))+INDEX(Dax,RAM-BeginnAlter+1)*INDEX(äkx,1),RundDx),0),"")</f>
        <v>2224</v>
      </c>
      <c r="II49" s="24">
        <f t="shared" si="32"/>
        <v>0.02</v>
      </c>
      <c r="IJ49" s="25">
        <f t="shared" si="33"/>
        <v>518</v>
      </c>
      <c r="IK49" s="25">
        <f>IF($IE49&lt;RAM,IF(S50&lt;=RAK,SUM(IJ49:INDEX(Dikx,RAM-BeginnAlter))+INDEX(Dix,RAM-BeginnAlter+1)*INDEX(äkx,1),0),"")</f>
        <v>1594.8319999999999</v>
      </c>
      <c r="IL49" s="24">
        <f t="shared" si="34"/>
        <v>5.3999999999999999E-2</v>
      </c>
      <c r="IM49" s="86"/>
      <c r="IN49" s="35">
        <f t="shared" si="67"/>
        <v>105</v>
      </c>
      <c r="IO49" s="25"/>
      <c r="IP49" s="25"/>
      <c r="IQ49" s="24"/>
      <c r="IR49" s="86"/>
    </row>
    <row r="50" spans="1:252" ht="15.75" customHeight="1" x14ac:dyDescent="0.25">
      <c r="A50" s="35">
        <f t="shared" si="69"/>
        <v>58</v>
      </c>
      <c r="B50" s="77">
        <v>4.9592766904909043E-3</v>
      </c>
      <c r="C50" s="77">
        <v>2.0311104832108694E-2</v>
      </c>
      <c r="D50" s="77">
        <v>2.1800653405983125E-2</v>
      </c>
      <c r="E50" s="77">
        <v>6.8244394210476012E-3</v>
      </c>
      <c r="F50" s="86"/>
      <c r="G50" s="35">
        <f t="shared" si="70"/>
        <v>58</v>
      </c>
      <c r="H50" s="25">
        <f t="shared" si="37"/>
        <v>84128</v>
      </c>
      <c r="I50" s="25">
        <f t="shared" si="38"/>
        <v>9213</v>
      </c>
      <c r="J50" s="25">
        <f t="shared" si="39"/>
        <v>93341</v>
      </c>
      <c r="K50" s="30">
        <f>IF(J50&gt;0,ROUND(SUM(J50:J$102)/J50-0.5,Rundex),"")</f>
        <v>23.15</v>
      </c>
      <c r="L50" s="25">
        <f t="shared" si="0"/>
        <v>102315</v>
      </c>
      <c r="M50" s="30">
        <f>IF(L50&gt;0,ROUND(SUM(L50:L$102)/L50-0.5,Rundex),"")</f>
        <v>21.4</v>
      </c>
      <c r="N50" s="86"/>
      <c r="O50" s="35">
        <f t="shared" si="71"/>
        <v>58</v>
      </c>
      <c r="P50" s="43">
        <v>0.78372466504844196</v>
      </c>
      <c r="Q50" s="78">
        <v>55.001327250703959</v>
      </c>
      <c r="R50" s="43">
        <v>0.1041638064579391</v>
      </c>
      <c r="S50" s="78">
        <v>17.906070763162795</v>
      </c>
      <c r="T50" s="15">
        <v>9.043383205595168E-3</v>
      </c>
      <c r="U50" s="11">
        <f t="shared" si="40"/>
        <v>93237</v>
      </c>
      <c r="V50" s="30">
        <f>IF(U50&gt;0,ROUND(SUM(U50:U$102)/U50-0.5,Rundex),"")</f>
        <v>20.66</v>
      </c>
      <c r="W50" s="86"/>
      <c r="X50" s="35">
        <f t="shared" si="72"/>
        <v>58</v>
      </c>
      <c r="Y50" s="25">
        <f t="shared" si="1"/>
        <v>23146</v>
      </c>
      <c r="Z50" s="25">
        <f>IF($X50&lt;RAM,SUM(Y50:INDEX(Dax,RAM-BeginnAlter))," ")</f>
        <v>137725</v>
      </c>
      <c r="AA50" s="25">
        <f t="shared" si="2"/>
        <v>114</v>
      </c>
      <c r="AB50" s="25">
        <f>IF($X50&lt;RAM,SUM(AA50:INDEX(Cax,RAM-BeginnAlter))," ")</f>
        <v>948</v>
      </c>
      <c r="AC50" s="25">
        <f t="shared" si="3"/>
        <v>465</v>
      </c>
      <c r="AD50" s="25">
        <f>IF($X50&lt;RAM,SUM(AC50:INDEX(Caix,RAM-BeginnAlter))," ")</f>
        <v>4447</v>
      </c>
      <c r="AE50" s="24">
        <f t="shared" si="4"/>
        <v>5.95</v>
      </c>
      <c r="AF50" s="24">
        <f t="shared" si="5"/>
        <v>5.7839999999999998</v>
      </c>
      <c r="AG50" s="86"/>
      <c r="AH50" s="35">
        <f t="shared" si="73"/>
        <v>58</v>
      </c>
      <c r="AI50" s="25">
        <f t="shared" si="6"/>
        <v>28149</v>
      </c>
      <c r="AJ50" s="25">
        <f>IF($AH50&gt;RAM," ",IF($AH50&lt;RAM,SUM(AI50:INDEX(Dix,RAM-BeginnAlter))+INDEX(Nx,RAM-BeginnAlter+1),INDEX(Nx,RAM-BeginnAlter+1)))</f>
        <v>470176</v>
      </c>
      <c r="AK50" s="25">
        <f>IF($AH50&lt;RAM,SUM(AI50:INDEX(Dix,RAM-BeginnAlter))," ")</f>
        <v>172929</v>
      </c>
      <c r="AL50" s="24">
        <f t="shared" si="7"/>
        <v>16.702999999999999</v>
      </c>
      <c r="AM50" s="24">
        <f t="shared" si="8"/>
        <v>16.245000000000001</v>
      </c>
      <c r="AN50" s="24">
        <f t="shared" si="9"/>
        <v>6.1429999999999998</v>
      </c>
      <c r="AO50" s="24">
        <f t="shared" si="10"/>
        <v>6.0179999999999998</v>
      </c>
      <c r="AP50" s="86"/>
      <c r="AQ50" s="35">
        <f t="shared" si="74"/>
        <v>58</v>
      </c>
      <c r="AR50" s="25">
        <f t="shared" si="11"/>
        <v>25680</v>
      </c>
      <c r="AS50" s="25">
        <f>SUM(AR50:AR$94)</f>
        <v>461462</v>
      </c>
      <c r="AT50" s="25">
        <f>IF($AQ50&lt;RAM,SUM(AR50:INDEX(Dx,RAM-BeginnAlter))," ")</f>
        <v>164215</v>
      </c>
      <c r="AU50" s="24">
        <f t="shared" si="12"/>
        <v>17.97</v>
      </c>
      <c r="AV50" s="24">
        <f t="shared" si="13"/>
        <v>17.510999999999999</v>
      </c>
      <c r="AW50" s="24">
        <f t="shared" si="14"/>
        <v>6.3949999999999996</v>
      </c>
      <c r="AX50" s="24">
        <f t="shared" si="15"/>
        <v>6.3019999999999996</v>
      </c>
      <c r="AY50" s="86"/>
      <c r="AZ50" s="35">
        <f t="shared" si="75"/>
        <v>58</v>
      </c>
      <c r="BA50" s="25">
        <f t="shared" si="16"/>
        <v>25652</v>
      </c>
      <c r="BB50" s="25">
        <f>SUM(BA50:BA$94)</f>
        <v>419412</v>
      </c>
      <c r="BC50" s="24">
        <f t="shared" si="17"/>
        <v>16.350000000000001</v>
      </c>
      <c r="BD50" s="24">
        <f t="shared" si="18"/>
        <v>15.891999999999999</v>
      </c>
      <c r="BE50" s="86"/>
      <c r="BF50" s="35">
        <f t="shared" si="48"/>
        <v>41</v>
      </c>
      <c r="BG50" s="24" t="str">
        <f t="shared" si="19"/>
        <v/>
      </c>
      <c r="BH50" s="24" t="str">
        <f t="shared" si="20"/>
        <v/>
      </c>
      <c r="BI50" s="86"/>
      <c r="BJ50" s="35">
        <f t="shared" si="76"/>
        <v>58</v>
      </c>
      <c r="BK50" s="25">
        <f t="shared" si="21"/>
        <v>7485</v>
      </c>
      <c r="BL50" s="25">
        <f>IF(BJ50&lt;RAM,SUM(BK50:INDEX(Daix,RAM-BeginnAlter))," ")</f>
        <v>67085</v>
      </c>
      <c r="BM50" s="25">
        <f>IF(BJ50&lt;RAM,SUM(BL50:INDEX(Naix,RAM-BeginnAlter))," ")</f>
        <v>283886</v>
      </c>
      <c r="BN50" s="24">
        <f t="shared" si="22"/>
        <v>8.9760000000000009</v>
      </c>
      <c r="BO50" s="24">
        <f t="shared" si="23"/>
        <v>2.8980000000000001</v>
      </c>
      <c r="BP50" s="86"/>
      <c r="BQ50" s="35">
        <f t="shared" si="77"/>
        <v>58</v>
      </c>
      <c r="BR50" s="25">
        <f t="shared" si="51"/>
        <v>2625</v>
      </c>
      <c r="BS50" s="25">
        <f>IF(BQ50&lt;RAM,SUM(BR50:INDEX(Daixs,RAM-BeginnAlter))," ")</f>
        <v>12896</v>
      </c>
      <c r="BT50" s="25">
        <f>IF(BQ50&lt;RAM,SUM(BS50:INDEX(Naixs,RAM-BeginnAlter))," ")</f>
        <v>40998</v>
      </c>
      <c r="BU50" s="24">
        <f t="shared" si="52"/>
        <v>11.317</v>
      </c>
      <c r="BV50" s="24">
        <f t="shared" si="53"/>
        <v>0.55700000000000005</v>
      </c>
      <c r="BW50" s="86"/>
      <c r="BX50" s="35">
        <f t="shared" si="78"/>
        <v>58</v>
      </c>
      <c r="BY50" s="10">
        <f t="shared" si="24"/>
        <v>5.6463243519611233</v>
      </c>
      <c r="BZ50" s="11">
        <f t="shared" si="25"/>
        <v>233</v>
      </c>
      <c r="CA50" s="25">
        <f>IF(S51&lt;=RAK,IF($BX50&lt;RAM,SUM(BZ50:INDEX(Dazx,RAM-BeginnAlter)),""),"")</f>
        <v>808</v>
      </c>
      <c r="CB50" s="24">
        <f t="shared" si="26"/>
        <v>3.5000000000000003E-2</v>
      </c>
      <c r="CC50" s="25">
        <f t="shared" si="27"/>
        <v>20409</v>
      </c>
      <c r="CD50" s="24">
        <f t="shared" si="28"/>
        <v>14.01</v>
      </c>
      <c r="CE50" s="24">
        <f t="shared" si="29"/>
        <v>4.3999999999999997E-2</v>
      </c>
      <c r="CF50" s="86"/>
      <c r="CG50" s="35">
        <f t="shared" si="79"/>
        <v>58</v>
      </c>
      <c r="CH50" s="25">
        <f>IF(CG50&lt;RAM,ROUND(v^($CG50+FaktorAlter)*$H50*($B50*0.5*($P50+$P51)*(VLOOKUP(TRUNC(0.5*($Q50+$Q51),0),Frauen!$AZ$9:$BD$95,5)+(0.5*($Q50+$Q51)-TRUNC(0.5*($Q50+$Q51),0))*(VLOOKUP(TRUNC(0.5*($Q50+$Q51)+1,0),Frauen!$AZ$9:$BD$95,5)-VLOOKUP(TRUNC(0.5*($Q50+$Q51),0),Frauen!$AZ$9:$BD$95,5)))+$C50*0.5*($CN50+$CN51)),RundDx),"")</f>
        <v>4625</v>
      </c>
      <c r="CI50" s="25">
        <f>IF(CG50&lt;RAM,ROUND(SUM(CH50:INDEX(Dawx,RAM-BeginnAlter))+INDEX(Dax,RAM-BeginnAlter+1)*INDEX(äwx,1),RundDx),"")</f>
        <v>117273</v>
      </c>
      <c r="CJ50" s="25">
        <f>IF(CG50&lt;RAM,ROUND(SUM(CI50:INDEX(Nawx,RAM-BeginnAlter))+INDEX(Dax,RAM-BeginnAlter+1)*INDEX(äwx,1),RundDx),"")</f>
        <v>787782</v>
      </c>
      <c r="CK50" s="24">
        <f t="shared" si="56"/>
        <v>5.0670000000000002</v>
      </c>
      <c r="CL50" s="25">
        <f>IF(CG50&lt;RAM,ROUND(v^($CG50+FaktorAlter)*$L50*$D50*0.5*($P50+$P51)*(VLOOKUP(TRUNC(0.5*($Q50+$Q51),0),Frauen!$AZ$9:$BD$95,5)+(0.5*($Q50+$Q51)-TRUNC(0.5*($Q50+$Q51),0))*(VLOOKUP(TRUNC(0.5*($Q50+$Q51)+1,0),Frauen!$AZ$9:$BD$95,5)-VLOOKUP(TRUNC(0.5*($Q50+$Q51),0),Frauen!$AZ$9:$BD$95,5))),RundDx),"")</f>
        <v>9989</v>
      </c>
      <c r="CM50" s="25">
        <f>IF(CG50&lt;RAM,SUM(CL50:INDEX(Diwx,RAM-BeginnAlter))+INDEX(Dix,RAM-BeginnAlter+1)*INDEX(äwx,1),"")</f>
        <v>168304.41399999999</v>
      </c>
      <c r="CN50" s="24">
        <f t="shared" si="57"/>
        <v>5.9790000000000001</v>
      </c>
      <c r="CO50" s="86"/>
      <c r="CP50" s="35">
        <f t="shared" si="58"/>
        <v>106</v>
      </c>
      <c r="CQ50" s="11"/>
      <c r="CR50" s="25"/>
      <c r="CS50" s="24"/>
      <c r="CT50" s="86"/>
      <c r="CU50" s="35">
        <f t="shared" si="80"/>
        <v>58</v>
      </c>
      <c r="CV50" s="25">
        <f>IF($CU50&gt;=RAM,"",IF($CU50-CV$103&lt;BeginnAlter,"",ROUND(v^($CU50+FaktorAlter)*$L50*$D50*0.5*(VLOOKUP($CU50-CV$103,Frauen!$G$9:$J$102,4)+VLOOKUP($CU50-CV$103+1,Frauen!$G$9:$J$102,4))*0.5*(VLOOKUP($CU50-CV$103,Frauen!$AZ$9:$BD$102,5)+VLOOKUP($CU50-CV$103+1,Frauen!$AZ$9:$BD$102,5)),RundDx)))</f>
        <v>575194625</v>
      </c>
      <c r="CW50" s="25">
        <f>IF($CU50&gt;=RAM,"",IF($CU50-CW$103&lt;BeginnAlter,"",ROUND(v^($CU50+FaktorAlter)*$L50*$D50*0.5*(VLOOKUP($CU50-CW$103,Frauen!$G$9:$J$102,4)+VLOOKUP($CU50-CW$103+1,Frauen!$G$9:$J$102,4))*0.5*(VLOOKUP($CU50-CW$103,Frauen!$AZ$9:$BD$102,5)+VLOOKUP($CU50-CW$103+1,Frauen!$AZ$9:$BD$102,5)),RundDx)))</f>
        <v>612759072</v>
      </c>
      <c r="CX50" s="25">
        <f>IF($CU50&gt;=RAM,"",IF($CU50-CX$103&lt;BeginnAlter,"",ROUND(v^($CU50+FaktorAlter)*$L50*$D50*0.5*(VLOOKUP($CU50-CX$103,Frauen!$G$9:$J$102,4)+VLOOKUP($CU50-CX$103+1,Frauen!$G$9:$J$102,4))*0.5*(VLOOKUP($CU50-CX$103,Frauen!$AZ$9:$BD$102,5)+VLOOKUP($CU50-CX$103+1,Frauen!$AZ$9:$BD$102,5)),RundDx)))</f>
        <v>650761283</v>
      </c>
      <c r="CY50" s="25">
        <f>IF($CU50&gt;=RAM,"",IF($CU50-CY$103&lt;BeginnAlter,"",ROUND(v^($CU50+FaktorAlter)*$L50*$D50*0.5*(VLOOKUP($CU50-CY$103,Frauen!$G$9:$J$102,4)+VLOOKUP($CU50-CY$103+1,Frauen!$G$9:$J$102,4))*0.5*(VLOOKUP($CU50-CY$103,Frauen!$AZ$9:$BD$102,5)+VLOOKUP($CU50-CY$103+1,Frauen!$AZ$9:$BD$102,5)),RundDx)))</f>
        <v>688928437</v>
      </c>
      <c r="CZ50" s="25">
        <f>IF($CU50&gt;=RAM,"",IF($CU50-CZ$103&lt;BeginnAlter,"",ROUND(v^($CU50+FaktorAlter)*$L50*$D50*0.5*(VLOOKUP($CU50-CZ$103,Frauen!$G$9:$J$102,4)+VLOOKUP($CU50-CZ$103+1,Frauen!$G$9:$J$102,4))*0.5*(VLOOKUP($CU50-CZ$103,Frauen!$AZ$9:$BD$102,5)+VLOOKUP($CU50-CZ$103+1,Frauen!$AZ$9:$BD$102,5)),RundDx)))</f>
        <v>727154257</v>
      </c>
      <c r="DA50" s="25">
        <f>IF($CU50&gt;=RAM,"",IF($CU50-DA$103&lt;BeginnAlter,"",ROUND(v^($CU50+FaktorAlter)*$L50*$D50*0.5*(VLOOKUP($CU50-DA$103,Frauen!$G$9:$J$102,4)+VLOOKUP($CU50-DA$103+1,Frauen!$G$9:$J$102,4))*0.5*(VLOOKUP($CU50-DA$103,Frauen!$AZ$9:$BD$102,5)+VLOOKUP($CU50-DA$103+1,Frauen!$AZ$9:$BD$102,5)),RundDx)))</f>
        <v>765368458</v>
      </c>
      <c r="DB50" s="25">
        <f>IF($CU50&gt;=RAM,"",IF($CU50-DB$103&lt;BeginnAlter,"",ROUND(v^($CU50+FaktorAlter)*$L50*$D50*0.5*(VLOOKUP($CU50-DB$103,Frauen!$G$9:$J$102,4)+VLOOKUP($CU50-DB$103+1,Frauen!$G$9:$J$102,4))*0.5*(VLOOKUP($CU50-DB$103,Frauen!$AZ$9:$BD$102,5)+VLOOKUP($CU50-DB$103+1,Frauen!$AZ$9:$BD$102,5)),RundDx)))</f>
        <v>803311731</v>
      </c>
      <c r="DC50" s="25">
        <f>IF($CU50&gt;=RAM,"",IF($CU50-DC$103&lt;BeginnAlter,"",ROUND(v^($CU50+FaktorAlter)*$L50*$D50*0.5*(VLOOKUP($CU50-DC$103,Frauen!$G$9:$J$102,4)+VLOOKUP($CU50-DC$103+1,Frauen!$G$9:$J$102,4))*0.5*(VLOOKUP($CU50-DC$103,Frauen!$AZ$9:$BD$102,5)+VLOOKUP($CU50-DC$103+1,Frauen!$AZ$9:$BD$102,5)),RundDx)))</f>
        <v>840834046</v>
      </c>
      <c r="DD50" s="25">
        <f>IF($CU50&gt;=RAM,"",IF($CU50-DD$103&lt;BeginnAlter,"",ROUND(v^($CU50+FaktorAlter)*$L50*$D50*0.5*(VLOOKUP($CU50-DD$103,Frauen!$G$9:$J$102,4)+VLOOKUP($CU50-DD$103+1,Frauen!$G$9:$J$102,4))*0.5*(VLOOKUP($CU50-DD$103,Frauen!$AZ$9:$BD$102,5)+VLOOKUP($CU50-DD$103+1,Frauen!$AZ$9:$BD$102,5)),RundDx)))</f>
        <v>877997952</v>
      </c>
      <c r="DE50" s="25">
        <f>IF($CU50&gt;=RAM,"",IF($CU50-DE$103&lt;BeginnAlter,"",ROUND(v^($CU50+FaktorAlter)*$L50*$D50*0.5*(VLOOKUP($CU50-DE$103,Frauen!$G$9:$J$102,4)+VLOOKUP($CU50-DE$103+1,Frauen!$G$9:$J$102,4))*0.5*(VLOOKUP($CU50-DE$103,Frauen!$AZ$9:$BD$102,5)+VLOOKUP($CU50-DE$103+1,Frauen!$AZ$9:$BD$102,5)),RundDx)))</f>
        <v>914715975</v>
      </c>
      <c r="DF50" s="25">
        <f>IF($CU50&gt;=RAM,"",IF($CU50-DF$103&lt;BeginnAlter,"",ROUND(v^($CU50+FaktorAlter)*$L50*$D50*0.5*(VLOOKUP($CU50-DF$103,Frauen!$G$9:$J$102,4)+VLOOKUP($CU50-DF$103+1,Frauen!$G$9:$J$102,4))*0.5*(VLOOKUP($CU50-DF$103,Frauen!$AZ$9:$BD$102,5)+VLOOKUP($CU50-DF$103+1,Frauen!$AZ$9:$BD$102,5)),RundDx)))</f>
        <v>950771242</v>
      </c>
      <c r="DG50" s="25">
        <f>IF($CU50&gt;=RAM,"",IF($CU50-DG$103&lt;BeginnAlter,"",ROUND(v^($CU50+FaktorAlter)*$L50*$D50*0.5*(VLOOKUP($CU50-DG$103,Frauen!$G$9:$J$102,4)+VLOOKUP($CU50-DG$103+1,Frauen!$G$9:$J$102,4))*0.5*(VLOOKUP($CU50-DG$103,Frauen!$AZ$9:$BD$102,5)+VLOOKUP($CU50-DG$103+1,Frauen!$AZ$9:$BD$102,5)),RundDx)))</f>
        <v>986144215</v>
      </c>
      <c r="DH50" s="25">
        <f>IF($CU50&gt;=RAM,"",IF($CU50-DH$103&lt;BeginnAlter,"",ROUND(v^($CU50+FaktorAlter)*$L50*$D50*0.5*(VLOOKUP($CU50-DH$103,Frauen!$G$9:$J$102,4)+VLOOKUP($CU50-DH$103+1,Frauen!$G$9:$J$102,4))*0.5*(VLOOKUP($CU50-DH$103,Frauen!$AZ$9:$BD$102,5)+VLOOKUP($CU50-DH$103+1,Frauen!$AZ$9:$BD$102,5)),RundDx)))</f>
        <v>1020926276</v>
      </c>
      <c r="DI50" s="25">
        <f>IF($CU50&gt;=RAM,"",IF($CU50-DI$103&lt;BeginnAlter,"",ROUND(v^($CU50+FaktorAlter)*$L50*$D50*0.5*(VLOOKUP($CU50-DI$103,Frauen!$G$9:$J$102,4)+VLOOKUP($CU50-DI$103+1,Frauen!$G$9:$J$102,4))*0.5*(VLOOKUP($CU50-DI$103,Frauen!$AZ$9:$BD$102,5)+VLOOKUP($CU50-DI$103+1,Frauen!$AZ$9:$BD$102,5)),RundDx)))</f>
        <v>1055071021</v>
      </c>
      <c r="DJ50" s="25">
        <f>IF($CU50&gt;=RAM,"",IF($CU50-DJ$103&lt;BeginnAlter,"",ROUND(v^($CU50+FaktorAlter)*$L50*$D50*0.5*(VLOOKUP($CU50-DJ$103,Frauen!$G$9:$J$102,4)+VLOOKUP($CU50-DJ$103+1,Frauen!$G$9:$J$102,4))*0.5*(VLOOKUP($CU50-DJ$103,Frauen!$AZ$9:$BD$102,5)+VLOOKUP($CU50-DJ$103+1,Frauen!$AZ$9:$BD$102,5)),RundDx)))</f>
        <v>1088569217</v>
      </c>
      <c r="DK50" s="25">
        <f>IF($CU50&gt;=RAM,"",IF($CU50-DK$103&lt;BeginnAlter,"",ROUND(v^($CU50+FaktorAlter)*$L50*$D50*0.5*(VLOOKUP($CU50-DK$103,Frauen!$G$9:$J$102,4)+VLOOKUP($CU50-DK$103+1,Frauen!$G$9:$J$102,4))*0.5*(VLOOKUP($CU50-DK$103,Frauen!$AZ$9:$BD$102,5)+VLOOKUP($CU50-DK$103+1,Frauen!$AZ$9:$BD$102,5)),RundDx)))</f>
        <v>1121490448</v>
      </c>
      <c r="DL50" s="25">
        <f>IF($CU50&gt;=RAM,"",IF($CU50-DL$103&lt;BeginnAlter,"",ROUND(v^($CU50+FaktorAlter)*$L50*$D50*0.5*(VLOOKUP($CU50-DL$103,Frauen!$G$9:$J$102,4)+VLOOKUP($CU50-DL$103+1,Frauen!$G$9:$J$102,4))*0.5*(VLOOKUP($CU50-DL$103,Frauen!$AZ$9:$BD$102,5)+VLOOKUP($CU50-DL$103+1,Frauen!$AZ$9:$BD$102,5)),RundDx)))</f>
        <v>1153937629</v>
      </c>
      <c r="DM50" s="25">
        <f>IF($CU50&gt;=RAM,"",IF($CU50-DM$103&lt;BeginnAlter,"",ROUND(v^($CU50+FaktorAlter)*$L50*$D50*0.5*(VLOOKUP($CU50-DM$103,Frauen!$G$9:$J$102,4)+VLOOKUP($CU50-DM$103+1,Frauen!$G$9:$J$102,4))*0.5*(VLOOKUP($CU50-DM$103,Frauen!$AZ$9:$BD$102,5)+VLOOKUP($CU50-DM$103+1,Frauen!$AZ$9:$BD$102,5)),RundDx)))</f>
        <v>1185995932</v>
      </c>
      <c r="DN50" s="25">
        <f>IF($CU50&gt;=RAM,"",IF($CU50-DN$103&lt;BeginnAlter,"",ROUND(v^($CU50+FaktorAlter)*$L50*$D50*0.5*(VLOOKUP($CU50-DN$103,Frauen!$G$9:$J$102,4)+VLOOKUP($CU50-DN$103+1,Frauen!$G$9:$J$102,4))*0.5*(VLOOKUP($CU50-DN$103,Frauen!$AZ$9:$BD$102,5)+VLOOKUP($CU50-DN$103+1,Frauen!$AZ$9:$BD$102,5)),RundDx)))</f>
        <v>1217741679</v>
      </c>
      <c r="DO50" s="25">
        <f>IF($CU50&gt;=RAM,"",IF($CU50-DO$103&lt;BeginnAlter,"",ROUND(v^($CU50+FaktorAlter)*$L50*$D50*0.5*(VLOOKUP($CU50-DO$103,Frauen!$G$9:$J$102,4)+VLOOKUP($CU50-DO$103+1,Frauen!$G$9:$J$102,4))*0.5*(VLOOKUP($CU50-DO$103,Frauen!$AZ$9:$BD$102,5)+VLOOKUP($CU50-DO$103+1,Frauen!$AZ$9:$BD$102,5)),RundDx)))</f>
        <v>1249210962</v>
      </c>
      <c r="DP50" s="25">
        <f>IF($CU50&gt;=RAM,"",IF($CU50-DP$103&lt;BeginnAlter,"",ROUND(v^($CU50+FaktorAlter)*$L50*$D50*0.5*(VLOOKUP($CU50-DP$103,Frauen!$G$9:$J$102,4)+VLOOKUP($CU50-DP$103+1,Frauen!$G$9:$J$102,4))*0.5*(VLOOKUP($CU50-DP$103,Frauen!$AZ$9:$BD$102,5)+VLOOKUP($CU50-DP$103+1,Frauen!$AZ$9:$BD$102,5)),RundDx)))</f>
        <v>1280345112</v>
      </c>
      <c r="DQ50" s="25">
        <f>IF($CU50&gt;=RAM,"",IF($CU50-DQ$103&lt;BeginnAlter,"",ROUND(v^($CU50+FaktorAlter)*$L50*$D50*0.5*(VLOOKUP($CU50-DQ$103,Frauen!$G$9:$J$102,4)+VLOOKUP($CU50-DQ$103+1,Frauen!$G$9:$J$102,4))*0.5*(VLOOKUP($CU50-DQ$103,Frauen!$AZ$9:$BD$102,5)+VLOOKUP($CU50-DQ$103+1,Frauen!$AZ$9:$BD$102,5)),RundDx)))</f>
        <v>1311170552</v>
      </c>
      <c r="DR50" s="25">
        <f>IF($CU50&gt;=RAM,"",IF($CU50-DR$103&lt;BeginnAlter,"",ROUND(v^($CU50+FaktorAlter)*$L50*$D50*0.5*(VLOOKUP($CU50-DR$103,Frauen!$G$9:$J$102,4)+VLOOKUP($CU50-DR$103+1,Frauen!$G$9:$J$102,4))*0.5*(VLOOKUP($CU50-DR$103,Frauen!$AZ$9:$BD$102,5)+VLOOKUP($CU50-DR$103+1,Frauen!$AZ$9:$BD$102,5)),RundDx)))</f>
        <v>1341623206</v>
      </c>
      <c r="DS50" s="25">
        <f>IF($CU50&gt;=RAM,"",IF($CU50-DS$103&lt;BeginnAlter,"",ROUND(v^($CU50+FaktorAlter)*$L50*$D50*0.5*(VLOOKUP($CU50-DS$103,Frauen!$G$9:$J$102,4)+VLOOKUP($CU50-DS$103+1,Frauen!$G$9:$J$102,4))*0.5*(VLOOKUP($CU50-DS$103,Frauen!$AZ$9:$BD$102,5)+VLOOKUP($CU50-DS$103+1,Frauen!$AZ$9:$BD$102,5)),RundDx)))</f>
        <v>1371561921</v>
      </c>
      <c r="DT50" s="25">
        <f>IF($CU50&gt;=RAM,"",IF($CU50-DT$103&lt;BeginnAlter,"",ROUND(v^($CU50+FaktorAlter)*$L50*$D50*0.5*(VLOOKUP($CU50-DT$103,Frauen!$G$9:$J$102,4)+VLOOKUP($CU50-DT$103+1,Frauen!$G$9:$J$102,4))*0.5*(VLOOKUP($CU50-DT$103,Frauen!$AZ$9:$BD$102,5)+VLOOKUP($CU50-DT$103+1,Frauen!$AZ$9:$BD$102,5)),RundDx)))</f>
        <v>1400898455</v>
      </c>
      <c r="DU50" s="25">
        <f>IF($CU50&gt;=RAM,"",IF($CU50-DU$103&lt;BeginnAlter,"",ROUND(v^($CU50+FaktorAlter)*$L50*$D50*0.5*(VLOOKUP($CU50-DU$103,Frauen!$G$9:$J$102,4)+VLOOKUP($CU50-DU$103+1,Frauen!$G$9:$J$102,4))*0.5*(VLOOKUP($CU50-DU$103,Frauen!$AZ$9:$BD$102,5)+VLOOKUP($CU50-DU$103+1,Frauen!$AZ$9:$BD$102,5)),RundDx)))</f>
        <v>1429605069</v>
      </c>
      <c r="DV50" s="25">
        <f>IF($CU50&gt;=RAM,"",IF($CU50-DV$103&lt;BeginnAlter,"",ROUND(v^($CU50+FaktorAlter)*$L50*$D50*0.5*(VLOOKUP($CU50-DV$103,Frauen!$G$9:$J$102,4)+VLOOKUP($CU50-DV$103+1,Frauen!$G$9:$J$102,4))*0.5*(VLOOKUP($CU50-DV$103,Frauen!$AZ$9:$BD$102,5)+VLOOKUP($CU50-DV$103+1,Frauen!$AZ$9:$BD$102,5)),RundDx)))</f>
        <v>1457685575</v>
      </c>
      <c r="DW50" s="25">
        <f>IF($CU50&gt;=RAM,"",IF($CU50-DW$103&lt;BeginnAlter,"",ROUND(v^($CU50+FaktorAlter)*$L50*$D50*0.5*(VLOOKUP($CU50-DW$103,Frauen!$G$9:$J$102,4)+VLOOKUP($CU50-DW$103+1,Frauen!$G$9:$J$102,4))*0.5*(VLOOKUP($CU50-DW$103,Frauen!$AZ$9:$BD$102,5)+VLOOKUP($CU50-DW$103+1,Frauen!$AZ$9:$BD$102,5)),RundDx)))</f>
        <v>1485168032</v>
      </c>
      <c r="DX50" s="25">
        <f>IF($CU50&gt;=RAM,"",IF($CU50-DX$103&lt;BeginnAlter,"",ROUND(v^($CU50+FaktorAlter)*$L50*$D50*0.5*(VLOOKUP($CU50-DX$103,Frauen!$G$9:$J$102,4)+VLOOKUP($CU50-DX$103+1,Frauen!$G$9:$J$102,4))*0.5*(VLOOKUP($CU50-DX$103,Frauen!$AZ$9:$BD$102,5)+VLOOKUP($CU50-DX$103+1,Frauen!$AZ$9:$BD$102,5)),RundDx)))</f>
        <v>1512014923</v>
      </c>
      <c r="DY50" s="25">
        <f>IF($CU50&gt;=RAM,"",IF($CU50-DY$103&lt;BeginnAlter,"",ROUND(v^($CU50+FaktorAlter)*$L50*$D50*0.5*(VLOOKUP($CU50-DY$103,Frauen!$G$9:$J$102,4)+VLOOKUP($CU50-DY$103+1,Frauen!$G$9:$J$102,4))*0.5*(VLOOKUP($CU50-DY$103,Frauen!$AZ$9:$BD$102,5)+VLOOKUP($CU50-DY$103+1,Frauen!$AZ$9:$BD$102,5)),RundDx)))</f>
        <v>1538234977</v>
      </c>
      <c r="DZ50" s="25">
        <f>IF($CU50&gt;=RAM,"",IF($CU50-DZ$103&lt;BeginnAlter,"",ROUND(v^($CU50+FaktorAlter)*$L50*$D50*0.5*(VLOOKUP($CU50-DZ$103,Frauen!$G$9:$J$102,4)+VLOOKUP($CU50-DZ$103+1,Frauen!$G$9:$J$102,4))*0.5*(VLOOKUP($CU50-DZ$103,Frauen!$AZ$9:$BD$102,5)+VLOOKUP($CU50-DZ$103+1,Frauen!$AZ$9:$BD$102,5)),RundDx)))</f>
        <v>1563890664</v>
      </c>
      <c r="EA50" s="43">
        <f>IF($CU50&gt;=RAM,"",IF($CU50-EA$103&lt;BeginnAlter,"",ROUND((SUM(CV50:CV$56)+SUM(FN$9:FN$56))/VLOOKUP($CU50,$AH$9:$AI$102,2)/VLOOKUP($CU50-EA$103,Frauen!$G$9:$J$102,4),Rundäx)))</f>
        <v>1.9530000000000001</v>
      </c>
      <c r="EB50" s="43">
        <f>IF($CU50&gt;=RAM,"",IF($CU50-EB$103&lt;BeginnAlter,"",ROUND((SUM(CW50:CW$56)+SUM(FO$9:FO$56))/VLOOKUP($CU50,$AH$9:$AI$102,2)/VLOOKUP($CU50-EB$103,Frauen!$G$9:$J$102,4),Rundäx)))</f>
        <v>2.1259999999999999</v>
      </c>
      <c r="EC50" s="43">
        <f>IF($CU50&gt;=RAM,"",IF($CU50-EC$103&lt;BeginnAlter,"",ROUND((SUM(CX50:CX$56)+SUM(FP$9:FP$56))/VLOOKUP($CU50,$AH$9:$AI$102,2)/VLOOKUP($CU50-EC$103,Frauen!$G$9:$J$102,4),Rundäx)))</f>
        <v>2.3079999999999998</v>
      </c>
      <c r="ED50" s="43">
        <f>IF($CU50&gt;=RAM,"",IF($CU50-ED$103&lt;BeginnAlter,"",ROUND((SUM(CY50:CY$56)+SUM(FQ$9:FQ$56))/VLOOKUP($CU50,$AH$9:$AI$102,2)/VLOOKUP($CU50-ED$103,Frauen!$G$9:$J$102,4),Rundäx)))</f>
        <v>2.4990000000000001</v>
      </c>
      <c r="EE50" s="43">
        <f>IF($CU50&gt;=RAM,"",IF($CU50-EE$103&lt;BeginnAlter,"",ROUND((SUM(CZ50:CZ$56)+SUM(FR$9:FR$56))/VLOOKUP($CU50,$AH$9:$AI$102,2)/VLOOKUP($CU50-EE$103,Frauen!$G$9:$J$102,4),Rundäx)))</f>
        <v>2.698</v>
      </c>
      <c r="EF50" s="43">
        <f>IF($CU50&gt;=RAM,"",IF($CU50-EF$103&lt;BeginnAlter,"",ROUND((SUM(DA50:DA$56)+SUM(FS$9:FS$56))/VLOOKUP($CU50,$AH$9:$AI$102,2)/VLOOKUP($CU50-EF$103,Frauen!$G$9:$J$102,4),Rundäx)))</f>
        <v>2.9060000000000001</v>
      </c>
      <c r="EG50" s="43">
        <f>IF($CU50&gt;=RAM,"",IF($CU50-EG$103&lt;BeginnAlter,"",ROUND((SUM(DB50:DB$56)+SUM(FT$9:FT$56))/VLOOKUP($CU50,$AH$9:$AI$102,2)/VLOOKUP($CU50-EG$103,Frauen!$G$9:$J$102,4),Rundäx)))</f>
        <v>3.1240000000000001</v>
      </c>
      <c r="EH50" s="43">
        <f>IF($CU50&gt;=RAM,"",IF($CU50-EH$103&lt;BeginnAlter,"",ROUND((SUM(DC50:DC$56)+SUM(FU$9:FU$56))/VLOOKUP($CU50,$AH$9:$AI$102,2)/VLOOKUP($CU50-EH$103,Frauen!$G$9:$J$102,4),Rundäx)))</f>
        <v>3.351</v>
      </c>
      <c r="EI50" s="86"/>
      <c r="EJ50" s="35">
        <f t="shared" si="60"/>
        <v>58</v>
      </c>
      <c r="EK50" s="43">
        <f>IF($CU50&gt;=RAM,"",IF($CU50-EK$103&lt;BeginnAlter,"",ROUND((SUM(DD50:DD$56)+SUM(FV$9:FV$56))/VLOOKUP($CU50,$AH$9:$AI$102,2)/VLOOKUP($CU50-EK$103,Frauen!$G$9:$J$102,4),Rundäx)))</f>
        <v>3.5870000000000002</v>
      </c>
      <c r="EL50" s="43">
        <f>IF($CU50&gt;=RAM,"",IF($CU50-EL$103&lt;BeginnAlter,"",ROUND((SUM(DE50:DE$56)+SUM(FW$9:FW$56))/VLOOKUP($CU50,$AH$9:$AI$102,2)/VLOOKUP($CU50-EL$103,Frauen!$G$9:$J$102,4),Rundäx)))</f>
        <v>3.8330000000000002</v>
      </c>
      <c r="EM50" s="43">
        <f>IF($CU50&gt;=RAM,"",IF($CU50-EM$103&lt;BeginnAlter,"",ROUND((SUM(DF50:DF$56)+SUM(FX$9:FX$56))/VLOOKUP($CU50,$AH$9:$AI$102,2)/VLOOKUP($CU50-EM$103,Frauen!$G$9:$J$102,4),Rundäx)))</f>
        <v>4.0890000000000004</v>
      </c>
      <c r="EN50" s="43">
        <f>IF($CU50&gt;=RAM,"",IF($CU50-EN$103&lt;BeginnAlter,"",ROUND((SUM(DG50:DG$56)+SUM(FY$9:FY$56))/VLOOKUP($CU50,$AH$9:$AI$102,2)/VLOOKUP($CU50-EN$103,Frauen!$G$9:$J$102,4),Rundäx)))</f>
        <v>4.3540000000000001</v>
      </c>
      <c r="EO50" s="43">
        <f>IF($CU50&gt;=RAM,"",IF($CU50-EO$103&lt;BeginnAlter,"",ROUND((SUM(DH50:DH$56)+SUM(FZ$9:FZ$56))/VLOOKUP($CU50,$AH$9:$AI$102,2)/VLOOKUP($CU50-EO$103,Frauen!$G$9:$J$102,4),Rundäx)))</f>
        <v>4.6280000000000001</v>
      </c>
      <c r="EP50" s="43">
        <f>IF($CU50&gt;=RAM,"",IF($CU50-EP$103&lt;BeginnAlter,"",ROUND((SUM(DI50:DI$56)+SUM(GA$9:GA$56))/VLOOKUP($CU50,$AH$9:$AI$102,2)/VLOOKUP($CU50-EP$103,Frauen!$G$9:$J$102,4),Rundäx)))</f>
        <v>4.9119999999999999</v>
      </c>
      <c r="EQ50" s="43">
        <f>IF($CU50&gt;=RAM,"",IF($CU50-EQ$103&lt;BeginnAlter,"",ROUND((SUM(DJ50:DJ$56)+SUM(GB$9:GB$56))/VLOOKUP($CU50,$AH$9:$AI$102,2)/VLOOKUP($CU50-EQ$103,Frauen!$G$9:$J$102,4),Rundäx)))</f>
        <v>5.2039999999999997</v>
      </c>
      <c r="ER50" s="43">
        <f>IF($CU50&gt;=RAM,"",IF($CU50-ER$103&lt;BeginnAlter,"",ROUND((SUM(DK50:DK$56)+SUM(GC$9:GC$56))/VLOOKUP($CU50,$AH$9:$AI$102,2)/VLOOKUP($CU50-ER$103,Frauen!$G$9:$J$102,4),Rundäx)))</f>
        <v>5.5060000000000002</v>
      </c>
      <c r="ES50" s="86"/>
      <c r="ET50" s="35">
        <f t="shared" si="61"/>
        <v>58</v>
      </c>
      <c r="EU50" s="43">
        <f>IF($CU50&gt;=RAM,"",IF($CU50-EU$103&lt;BeginnAlter,"",ROUND((SUM(DL50:DL$56)+SUM(GD$9:GD$56))/VLOOKUP($CU50,$AH$9:$AI$102,2)/VLOOKUP($CU50-EU$103,Frauen!$G$9:$J$102,4),Rundäx)))</f>
        <v>5.8150000000000004</v>
      </c>
      <c r="EV50" s="43">
        <f>IF($CU50&gt;=RAM,"",IF($CU50-EV$103&lt;BeginnAlter,"",ROUND((SUM(DM50:DM$56)+SUM(GE$9:GE$56))/VLOOKUP($CU50,$AH$9:$AI$102,2)/VLOOKUP($CU50-EV$103,Frauen!$G$9:$J$102,4),Rundäx)))</f>
        <v>6.1310000000000002</v>
      </c>
      <c r="EW50" s="43">
        <f>IF($CU50&gt;=RAM,"",IF($CU50-EW$103&lt;BeginnAlter,"",ROUND((SUM(DN50:DN$56)+SUM(GF$9:GF$56))/VLOOKUP($CU50,$AH$9:$AI$102,2)/VLOOKUP($CU50-EW$103,Frauen!$G$9:$J$102,4),Rundäx)))</f>
        <v>6.4539999999999997</v>
      </c>
      <c r="EX50" s="43">
        <f>IF($CU50&gt;=RAM,"",IF($CU50-EX$103&lt;BeginnAlter,"",ROUND((SUM(DO50:DO$56)+SUM(GG$9:GG$56))/VLOOKUP($CU50,$AH$9:$AI$102,2)/VLOOKUP($CU50-EX$103,Frauen!$G$9:$J$102,4),Rundäx)))</f>
        <v>6.782</v>
      </c>
      <c r="EY50" s="43">
        <f>IF($CU50&gt;=RAM,"",IF($CU50-EY$103&lt;BeginnAlter,"",ROUND((SUM(DP50:DP$56)+SUM(GH$9:GH$56))/VLOOKUP($CU50,$AH$9:$AI$102,2)/VLOOKUP($CU50-EY$103,Frauen!$G$9:$J$102,4),Rundäx)))</f>
        <v>7.1150000000000002</v>
      </c>
      <c r="EZ50" s="43">
        <f>IF($CU50&gt;=RAM,"",IF($CU50-EZ$103&lt;BeginnAlter,"",ROUND((SUM(DQ50:DQ$56)+SUM(GI$9:GI$56))/VLOOKUP($CU50,$AH$9:$AI$102,2)/VLOOKUP($CU50-EZ$103,Frauen!$G$9:$J$102,4),Rundäx)))</f>
        <v>7.452</v>
      </c>
      <c r="FA50" s="43">
        <f>IF($CU50&gt;=RAM,"",IF($CU50-FA$103&lt;BeginnAlter,"",ROUND((SUM(DR50:DR$56)+SUM(GJ$9:GJ$56))/VLOOKUP($CU50,$AH$9:$AI$102,2)/VLOOKUP($CU50-FA$103,Frauen!$G$9:$J$102,4),Rundäx)))</f>
        <v>7.7919999999999998</v>
      </c>
      <c r="FB50" s="43">
        <f>IF($CU50&gt;=RAM,"",IF($CU50-FB$103&lt;BeginnAlter,"",ROUND((SUM(DS50:DS$56)+SUM(GK$9:GK$56))/VLOOKUP($CU50,$AH$9:$AI$102,2)/VLOOKUP($CU50-FB$103,Frauen!$G$9:$J$102,4),Rundäx)))</f>
        <v>8.1349999999999998</v>
      </c>
      <c r="FC50" s="86"/>
      <c r="FD50" s="35">
        <f t="shared" si="62"/>
        <v>58</v>
      </c>
      <c r="FE50" s="43">
        <f>IF($CU50&gt;=RAM,"",IF($CU50-FE$103&lt;BeginnAlter,"",ROUND((SUM(DT50:DT$56)+SUM(GL$9:GL$56))/VLOOKUP($CU50,$AH$9:$AI$102,2)/VLOOKUP($CU50-FE$103,Frauen!$G$9:$J$102,4),Rundäx)))</f>
        <v>8.48</v>
      </c>
      <c r="FF50" s="43">
        <f>IF($CU50&gt;=RAM,"",IF($CU50-FF$103&lt;BeginnAlter,"",ROUND((SUM(DU50:DU$56)+SUM(GM$9:GM$56))/VLOOKUP($CU50,$AH$9:$AI$102,2)/VLOOKUP($CU50-FF$103,Frauen!$G$9:$J$102,4),Rundäx)))</f>
        <v>8.8260000000000005</v>
      </c>
      <c r="FG50" s="43">
        <f>IF($CU50&gt;=RAM,"",IF($CU50-FG$103&lt;BeginnAlter,"",ROUND((SUM(DV50:DV$56)+SUM(GN$9:GN$56))/VLOOKUP($CU50,$AH$9:$AI$102,2)/VLOOKUP($CU50-FG$103,Frauen!$G$9:$J$102,4),Rundäx)))</f>
        <v>9.1720000000000006</v>
      </c>
      <c r="FH50" s="43">
        <f>IF($CU50&gt;=RAM,"",IF($CU50-FH$103&lt;BeginnAlter,"",ROUND((SUM(DW50:DW$56)+SUM(GO$9:GO$56))/VLOOKUP($CU50,$AH$9:$AI$102,2)/VLOOKUP($CU50-FH$103,Frauen!$G$9:$J$102,4),Rundäx)))</f>
        <v>9.5180000000000007</v>
      </c>
      <c r="FI50" s="43">
        <f>IF($CU50&gt;=RAM,"",IF($CU50-FI$103&lt;BeginnAlter,"",ROUND((SUM(DX50:DX$56)+SUM(GP$9:GP$56))/VLOOKUP($CU50,$AH$9:$AI$102,2)/VLOOKUP($CU50-FI$103,Frauen!$G$9:$J$102,4),Rundäx)))</f>
        <v>9.8640000000000008</v>
      </c>
      <c r="FJ50" s="43">
        <f>IF($CU50&gt;=RAM,"",IF($CU50-FJ$103&lt;BeginnAlter,"",ROUND((SUM(DY50:DY$56)+SUM(GQ$9:GQ$56))/VLOOKUP($CU50,$AH$9:$AI$102,2)/VLOOKUP($CU50-FJ$103,Frauen!$G$9:$J$102,4),Rundäx)))</f>
        <v>10.208</v>
      </c>
      <c r="FK50" s="43">
        <f>IF($CU50&gt;=RAM,"",IF($CU50-FK$103&lt;BeginnAlter,"",ROUND((SUM(DZ50:DZ$56)+SUM(GR$9:GR$56))/VLOOKUP($CU50,$AH$9:$AI$102,2)/VLOOKUP($CU50-FK$103,Frauen!$G$9:$J$102,4),Rundäx)))</f>
        <v>10.551</v>
      </c>
      <c r="FL50" s="86"/>
      <c r="FM50" s="35">
        <f t="shared" si="68"/>
        <v>106</v>
      </c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>
        <f>ROUND(v^($FM50+FaktorAlter)*VLOOKUP($FM50,$G$9:$J$102,4)*VLOOKUP($FM50,$A$9:$E$102,5)*0.5*(VLOOKUP($FM50-GF$103,Frauen!$G$9:$J$102,4)+VLOOKUP($FM50-GF$103+1,Frauen!$G$9:$J$102,4))*0.5*(VLOOKUP($FM50-GF$103,Frauen!$AZ$9:$BD$102,5)+VLOOKUP($FM50-GF$103+1,Frauen!$AZ$9:$BD$102,5)),RundDx)</f>
        <v>0</v>
      </c>
      <c r="GG50" s="25">
        <f>ROUND(v^($FM50+FaktorAlter)*VLOOKUP($FM50,$G$9:$J$102,4)*VLOOKUP($FM50,$A$9:$E$102,5)*0.5*(VLOOKUP($FM50-GG$103,Frauen!$G$9:$J$102,4)+VLOOKUP($FM50-GG$103+1,Frauen!$G$9:$J$102,4))*0.5*(VLOOKUP($FM50-GG$103,Frauen!$AZ$9:$BD$102,5)+VLOOKUP($FM50-GG$103+1,Frauen!$AZ$9:$BD$102,5)),RundDx)</f>
        <v>0</v>
      </c>
      <c r="GH50" s="25">
        <f>ROUND(v^($FM50+FaktorAlter)*VLOOKUP($FM50,$G$9:$J$102,4)*VLOOKUP($FM50,$A$9:$E$102,5)*0.5*(VLOOKUP($FM50-GH$103,Frauen!$G$9:$J$102,4)+VLOOKUP($FM50-GH$103+1,Frauen!$G$9:$J$102,4))*0.5*(VLOOKUP($FM50-GH$103,Frauen!$AZ$9:$BD$102,5)+VLOOKUP($FM50-GH$103+1,Frauen!$AZ$9:$BD$102,5)),RundDx)</f>
        <v>0</v>
      </c>
      <c r="GI50" s="25">
        <f>ROUND(v^($FM50+FaktorAlter)*VLOOKUP($FM50,$G$9:$J$102,4)*VLOOKUP($FM50,$A$9:$E$102,5)*0.5*(VLOOKUP($FM50-GI$103,Frauen!$G$9:$J$102,4)+VLOOKUP($FM50-GI$103+1,Frauen!$G$9:$J$102,4))*0.5*(VLOOKUP($FM50-GI$103,Frauen!$AZ$9:$BD$102,5)+VLOOKUP($FM50-GI$103+1,Frauen!$AZ$9:$BD$102,5)),RundDx)</f>
        <v>0</v>
      </c>
      <c r="GJ50" s="25">
        <f>ROUND(v^($FM50+FaktorAlter)*VLOOKUP($FM50,$G$9:$J$102,4)*VLOOKUP($FM50,$A$9:$E$102,5)*0.5*(VLOOKUP($FM50-GJ$103,Frauen!$G$9:$J$102,4)+VLOOKUP($FM50-GJ$103+1,Frauen!$G$9:$J$102,4))*0.5*(VLOOKUP($FM50-GJ$103,Frauen!$AZ$9:$BD$102,5)+VLOOKUP($FM50-GJ$103+1,Frauen!$AZ$9:$BD$102,5)),RundDx)</f>
        <v>0</v>
      </c>
      <c r="GK50" s="25">
        <f>ROUND(v^($FM50+FaktorAlter)*VLOOKUP($FM50,$G$9:$J$102,4)*VLOOKUP($FM50,$A$9:$E$102,5)*0.5*(VLOOKUP($FM50-GK$103,Frauen!$G$9:$J$102,4)+VLOOKUP($FM50-GK$103+1,Frauen!$G$9:$J$102,4))*0.5*(VLOOKUP($FM50-GK$103,Frauen!$AZ$9:$BD$102,5)+VLOOKUP($FM50-GK$103+1,Frauen!$AZ$9:$BD$102,5)),RundDx)</f>
        <v>0</v>
      </c>
      <c r="GL50" s="25">
        <f>ROUND(v^($FM50+FaktorAlter)*VLOOKUP($FM50,$G$9:$J$102,4)*VLOOKUP($FM50,$A$9:$E$102,5)*0.5*(VLOOKUP($FM50-GL$103,Frauen!$G$9:$J$102,4)+VLOOKUP($FM50-GL$103+1,Frauen!$G$9:$J$102,4))*0.5*(VLOOKUP($FM50-GL$103,Frauen!$AZ$9:$BD$102,5)+VLOOKUP($FM50-GL$103+1,Frauen!$AZ$9:$BD$102,5)),RundDx)</f>
        <v>0</v>
      </c>
      <c r="GM50" s="25">
        <f>ROUND(v^($FM50+FaktorAlter)*VLOOKUP($FM50,$G$9:$J$102,4)*VLOOKUP($FM50,$A$9:$E$102,5)*0.5*(VLOOKUP($FM50-GM$103,Frauen!$G$9:$J$102,4)+VLOOKUP($FM50-GM$103+1,Frauen!$G$9:$J$102,4))*0.5*(VLOOKUP($FM50-GM$103,Frauen!$AZ$9:$BD$102,5)+VLOOKUP($FM50-GM$103+1,Frauen!$AZ$9:$BD$102,5)),RundDx)</f>
        <v>0</v>
      </c>
      <c r="GN50" s="25">
        <f>ROUND(v^($FM50+FaktorAlter)*VLOOKUP($FM50,$G$9:$J$102,4)*VLOOKUP($FM50,$A$9:$E$102,5)*0.5*(VLOOKUP($FM50-GN$103,Frauen!$G$9:$J$102,4)+VLOOKUP($FM50-GN$103+1,Frauen!$G$9:$J$102,4))*0.5*(VLOOKUP($FM50-GN$103,Frauen!$AZ$9:$BD$102,5)+VLOOKUP($FM50-GN$103+1,Frauen!$AZ$9:$BD$102,5)),RundDx)</f>
        <v>0</v>
      </c>
      <c r="GO50" s="25">
        <f>ROUND(v^($FM50+FaktorAlter)*VLOOKUP($FM50,$G$9:$J$102,4)*VLOOKUP($FM50,$A$9:$E$102,5)*0.5*(VLOOKUP($FM50-GO$103,Frauen!$G$9:$J$102,4)+VLOOKUP($FM50-GO$103+1,Frauen!$G$9:$J$102,4))*0.5*(VLOOKUP($FM50-GO$103,Frauen!$AZ$9:$BD$102,5)+VLOOKUP($FM50-GO$103+1,Frauen!$AZ$9:$BD$102,5)),RundDx)</f>
        <v>0</v>
      </c>
      <c r="GP50" s="25">
        <f>ROUND(v^($FM50+FaktorAlter)*VLOOKUP($FM50,$G$9:$J$102,4)*VLOOKUP($FM50,$A$9:$E$102,5)*0.5*(VLOOKUP($FM50-GP$103,Frauen!$G$9:$J$102,4)+VLOOKUP($FM50-GP$103+1,Frauen!$G$9:$J$102,4))*0.5*(VLOOKUP($FM50-GP$103,Frauen!$AZ$9:$BD$102,5)+VLOOKUP($FM50-GP$103+1,Frauen!$AZ$9:$BD$102,5)),RundDx)</f>
        <v>0</v>
      </c>
      <c r="GQ50" s="25">
        <f>ROUND(v^($FM50+FaktorAlter)*VLOOKUP($FM50,$G$9:$J$102,4)*VLOOKUP($FM50,$A$9:$E$102,5)*0.5*(VLOOKUP($FM50-GQ$103,Frauen!$G$9:$J$102,4)+VLOOKUP($FM50-GQ$103+1,Frauen!$G$9:$J$102,4))*0.5*(VLOOKUP($FM50-GQ$103,Frauen!$AZ$9:$BD$102,5)+VLOOKUP($FM50-GQ$103+1,Frauen!$AZ$9:$BD$102,5)),RundDx)</f>
        <v>0</v>
      </c>
      <c r="GR50" s="25">
        <f>ROUND(v^($FM50+FaktorAlter)*VLOOKUP($FM50,$G$9:$J$102,4)*VLOOKUP($FM50,$A$9:$E$102,5)*0.5*(VLOOKUP($FM50-GR$103,Frauen!$G$9:$J$102,4)+VLOOKUP($FM50-GR$103+1,Frauen!$G$9:$J$102,4))*0.5*(VLOOKUP($FM50-GR$103,Frauen!$AZ$9:$BD$102,5)+VLOOKUP($FM50-GR$103+1,Frauen!$AZ$9:$BD$102,5)),RundDx)</f>
        <v>0</v>
      </c>
      <c r="GS50" s="24"/>
      <c r="GT50" s="24"/>
      <c r="GU50" s="24"/>
      <c r="GV50" s="24"/>
      <c r="GW50" s="24"/>
      <c r="GX50" s="24"/>
      <c r="GY50" s="24"/>
      <c r="GZ50" s="24"/>
      <c r="HA50" s="86"/>
      <c r="HB50" s="35">
        <f t="shared" si="63"/>
        <v>106</v>
      </c>
      <c r="HC50" s="24"/>
      <c r="HD50" s="24"/>
      <c r="HE50" s="24"/>
      <c r="HF50" s="24"/>
      <c r="HG50" s="24"/>
      <c r="HH50" s="24"/>
      <c r="HI50" s="24"/>
      <c r="HJ50" s="24"/>
      <c r="HK50" s="86"/>
      <c r="HL50" s="35">
        <f t="shared" si="64"/>
        <v>106</v>
      </c>
      <c r="HM50" s="24"/>
      <c r="HN50" s="24"/>
      <c r="HO50" s="24"/>
      <c r="HP50" s="24"/>
      <c r="HQ50" s="24"/>
      <c r="HR50" s="24"/>
      <c r="HS50" s="24"/>
      <c r="HT50" s="24"/>
      <c r="HU50" s="86"/>
      <c r="HV50" s="35">
        <f t="shared" si="65"/>
        <v>106</v>
      </c>
      <c r="HW50" s="24"/>
      <c r="HX50" s="24"/>
      <c r="HY50" s="24"/>
      <c r="HZ50" s="24"/>
      <c r="IA50" s="24"/>
      <c r="IB50" s="24"/>
      <c r="IC50" s="24"/>
      <c r="ID50" s="89"/>
      <c r="IE50" s="35">
        <f t="shared" si="81"/>
        <v>58</v>
      </c>
      <c r="IF50" s="25">
        <f t="shared" si="31"/>
        <v>80</v>
      </c>
      <c r="IG50" s="25">
        <f>IF($IE50&lt;RAM,IF(S51&lt;=RAK,ROUND(SUM(IF50:INDEX(Dakx,RAM-BeginnAlter))+INDEX(Dax,RAM-BeginnAlter+1)*INDEX(äkx,1),RundDx),0),"")</f>
        <v>386</v>
      </c>
      <c r="IH50" s="25">
        <f>IF($IE50&lt;RAM,IF(S51&lt;=RAK,ROUND(SUM(IG50:INDEX(Nakx,RAM-BeginnAlter))+INDEX(Dax,RAM-BeginnAlter+1)*INDEX(äkx,1),RundDx),0),"")</f>
        <v>1733</v>
      </c>
      <c r="II50" s="24">
        <f t="shared" si="32"/>
        <v>1.7000000000000001E-2</v>
      </c>
      <c r="IJ50" s="25">
        <f t="shared" si="33"/>
        <v>346</v>
      </c>
      <c r="IK50" s="25">
        <f>IF($IE50&lt;RAM,IF(S51&lt;=RAK,SUM(IJ50:INDEX(Dikx,RAM-BeginnAlter))+INDEX(Dix,RAM-BeginnAlter+1)*INDEX(äkx,1),0),"")</f>
        <v>1076.8319999999999</v>
      </c>
      <c r="IL50" s="24">
        <f t="shared" si="34"/>
        <v>3.7999999999999999E-2</v>
      </c>
      <c r="IM50" s="86"/>
      <c r="IN50" s="35">
        <f t="shared" si="67"/>
        <v>106</v>
      </c>
      <c r="IO50" s="25"/>
      <c r="IP50" s="25"/>
      <c r="IQ50" s="24"/>
      <c r="IR50" s="86"/>
    </row>
    <row r="51" spans="1:252" ht="15.75" customHeight="1" x14ac:dyDescent="0.25">
      <c r="A51" s="35">
        <f t="shared" si="69"/>
        <v>59</v>
      </c>
      <c r="B51" s="77">
        <v>5.6750966866694254E-3</v>
      </c>
      <c r="C51" s="77">
        <v>2.4329791209240711E-2</v>
      </c>
      <c r="D51" s="77">
        <v>2.2096957578900074E-2</v>
      </c>
      <c r="E51" s="77">
        <v>7.8098032447359023E-3</v>
      </c>
      <c r="F51" s="86"/>
      <c r="G51" s="35">
        <f t="shared" si="70"/>
        <v>59</v>
      </c>
      <c r="H51" s="25">
        <f t="shared" si="37"/>
        <v>82002</v>
      </c>
      <c r="I51" s="25">
        <f t="shared" si="38"/>
        <v>10702</v>
      </c>
      <c r="J51" s="25">
        <f t="shared" si="39"/>
        <v>92704</v>
      </c>
      <c r="K51" s="30">
        <f>IF(J51&gt;0,ROUND(SUM(J51:J$102)/J51-0.5,Rundex),"")</f>
        <v>22.31</v>
      </c>
      <c r="L51" s="25">
        <f t="shared" si="0"/>
        <v>100084</v>
      </c>
      <c r="M51" s="30">
        <f>IF(L51&gt;0,ROUND(SUM(L51:L$102)/L51-0.5,Rundex),"")</f>
        <v>20.87</v>
      </c>
      <c r="N51" s="86"/>
      <c r="O51" s="35">
        <f t="shared" si="71"/>
        <v>59</v>
      </c>
      <c r="P51" s="43">
        <v>0.78265832075211561</v>
      </c>
      <c r="Q51" s="78">
        <v>55.898046682450754</v>
      </c>
      <c r="R51" s="43">
        <v>7.3242352655802589E-2</v>
      </c>
      <c r="S51" s="78">
        <v>18.23623321241368</v>
      </c>
      <c r="T51" s="15">
        <v>1.1222993143351068E-2</v>
      </c>
      <c r="U51" s="11">
        <f t="shared" si="40"/>
        <v>92394</v>
      </c>
      <c r="V51" s="30">
        <f>IF(U51&gt;0,ROUND(SUM(U51:U$102)/U51-0.5,Rundex),"")</f>
        <v>19.84</v>
      </c>
      <c r="W51" s="86"/>
      <c r="X51" s="35">
        <f t="shared" si="72"/>
        <v>59</v>
      </c>
      <c r="Y51" s="25">
        <f t="shared" si="1"/>
        <v>22064</v>
      </c>
      <c r="Z51" s="25">
        <f>IF($X51&lt;RAM,SUM(Y51:INDEX(Dax,RAM-BeginnAlter))," ")</f>
        <v>114579</v>
      </c>
      <c r="AA51" s="25">
        <f t="shared" si="2"/>
        <v>124</v>
      </c>
      <c r="AB51" s="25">
        <f>IF($X51&lt;RAM,SUM(AA51:INDEX(Cax,RAM-BeginnAlter))," ")</f>
        <v>834</v>
      </c>
      <c r="AC51" s="25">
        <f t="shared" si="3"/>
        <v>531</v>
      </c>
      <c r="AD51" s="25">
        <f>IF($X51&lt;RAM,SUM(AC51:INDEX(Caix,RAM-BeginnAlter))," ")</f>
        <v>3982</v>
      </c>
      <c r="AE51" s="24">
        <f t="shared" si="4"/>
        <v>5.1929999999999996</v>
      </c>
      <c r="AF51" s="24">
        <f t="shared" si="5"/>
        <v>5.0419999999999998</v>
      </c>
      <c r="AG51" s="86"/>
      <c r="AH51" s="35">
        <f t="shared" si="73"/>
        <v>59</v>
      </c>
      <c r="AI51" s="25">
        <f t="shared" si="6"/>
        <v>26930</v>
      </c>
      <c r="AJ51" s="25">
        <f>IF($AH51&gt;RAM," ",IF($AH51&lt;RAM,SUM(AI51:INDEX(Dix,RAM-BeginnAlter))+INDEX(Nx,RAM-BeginnAlter+1),INDEX(Nx,RAM-BeginnAlter+1)))</f>
        <v>442027</v>
      </c>
      <c r="AK51" s="25">
        <f>IF($AH51&lt;RAM,SUM(AI51:INDEX(Dix,RAM-BeginnAlter))," ")</f>
        <v>144780</v>
      </c>
      <c r="AL51" s="24">
        <f t="shared" si="7"/>
        <v>16.414000000000001</v>
      </c>
      <c r="AM51" s="24">
        <f t="shared" si="8"/>
        <v>15.956</v>
      </c>
      <c r="AN51" s="24">
        <f t="shared" si="9"/>
        <v>5.3760000000000003</v>
      </c>
      <c r="AO51" s="24">
        <f t="shared" si="10"/>
        <v>5.266</v>
      </c>
      <c r="AP51" s="86"/>
      <c r="AQ51" s="35">
        <f t="shared" si="74"/>
        <v>59</v>
      </c>
      <c r="AR51" s="25">
        <f t="shared" si="11"/>
        <v>24944</v>
      </c>
      <c r="AS51" s="25">
        <f>SUM(AR51:AR$94)</f>
        <v>435782</v>
      </c>
      <c r="AT51" s="25">
        <f>IF($AQ51&lt;RAM,SUM(AR51:INDEX(Dx,RAM-BeginnAlter))," ")</f>
        <v>138535</v>
      </c>
      <c r="AU51" s="24">
        <f t="shared" si="12"/>
        <v>17.47</v>
      </c>
      <c r="AV51" s="24">
        <f t="shared" si="13"/>
        <v>17.012</v>
      </c>
      <c r="AW51" s="24">
        <f t="shared" si="14"/>
        <v>5.5540000000000003</v>
      </c>
      <c r="AX51" s="24">
        <f t="shared" si="15"/>
        <v>5.4720000000000004</v>
      </c>
      <c r="AY51" s="86"/>
      <c r="AZ51" s="35">
        <f t="shared" si="75"/>
        <v>59</v>
      </c>
      <c r="BA51" s="25">
        <f t="shared" si="16"/>
        <v>24860</v>
      </c>
      <c r="BB51" s="25">
        <f>SUM(BA51:BA$94)</f>
        <v>393760</v>
      </c>
      <c r="BC51" s="24">
        <f t="shared" si="17"/>
        <v>15.839</v>
      </c>
      <c r="BD51" s="24">
        <f t="shared" si="18"/>
        <v>15.381</v>
      </c>
      <c r="BE51" s="86"/>
      <c r="BF51" s="35">
        <f t="shared" si="48"/>
        <v>42</v>
      </c>
      <c r="BG51" s="24" t="str">
        <f t="shared" si="19"/>
        <v/>
      </c>
      <c r="BH51" s="24" t="str">
        <f t="shared" si="20"/>
        <v/>
      </c>
      <c r="BI51" s="86"/>
      <c r="BJ51" s="35">
        <f t="shared" si="76"/>
        <v>59</v>
      </c>
      <c r="BK51" s="25">
        <f t="shared" si="21"/>
        <v>8392</v>
      </c>
      <c r="BL51" s="25">
        <f>IF(BJ51&lt;RAM,SUM(BK51:INDEX(Daix,RAM-BeginnAlter))," ")</f>
        <v>59600</v>
      </c>
      <c r="BM51" s="25">
        <f>IF(BJ51&lt;RAM,SUM(BL51:INDEX(Naix,RAM-BeginnAlter))," ")</f>
        <v>216801</v>
      </c>
      <c r="BN51" s="24">
        <f t="shared" si="22"/>
        <v>9.4160000000000004</v>
      </c>
      <c r="BO51" s="24">
        <f t="shared" si="23"/>
        <v>2.7010000000000001</v>
      </c>
      <c r="BP51" s="86"/>
      <c r="BQ51" s="35">
        <f t="shared" si="77"/>
        <v>59</v>
      </c>
      <c r="BR51" s="25">
        <f t="shared" si="51"/>
        <v>2590</v>
      </c>
      <c r="BS51" s="25">
        <f>IF(BQ51&lt;RAM,SUM(BR51:INDEX(Daixs,RAM-BeginnAlter))," ")</f>
        <v>10271</v>
      </c>
      <c r="BT51" s="25">
        <f>IF(BQ51&lt;RAM,SUM(BS51:INDEX(Naixs,RAM-BeginnAlter))," ")</f>
        <v>28102</v>
      </c>
      <c r="BU51" s="24">
        <f t="shared" si="52"/>
        <v>11.651</v>
      </c>
      <c r="BV51" s="24">
        <f t="shared" si="53"/>
        <v>0.46600000000000003</v>
      </c>
      <c r="BW51" s="86"/>
      <c r="BX51" s="35">
        <f t="shared" si="78"/>
        <v>59</v>
      </c>
      <c r="BY51" s="10">
        <f t="shared" si="24"/>
        <v>5.6423328665771475</v>
      </c>
      <c r="BZ51" s="11">
        <f t="shared" si="25"/>
        <v>183</v>
      </c>
      <c r="CA51" s="25">
        <f>IF(S52&lt;=RAK,IF($BX51&lt;RAM,SUM(BZ51:INDEX(Dazx,RAM-BeginnAlter)),""),"")</f>
        <v>575</v>
      </c>
      <c r="CB51" s="24">
        <f t="shared" si="26"/>
        <v>2.5999999999999999E-2</v>
      </c>
      <c r="CC51" s="25">
        <f t="shared" si="27"/>
        <v>19908</v>
      </c>
      <c r="CD51" s="24">
        <f t="shared" si="28"/>
        <v>13.683</v>
      </c>
      <c r="CE51" s="24">
        <f t="shared" si="29"/>
        <v>4.5999999999999999E-2</v>
      </c>
      <c r="CF51" s="86"/>
      <c r="CG51" s="35">
        <f t="shared" si="79"/>
        <v>59</v>
      </c>
      <c r="CH51" s="25">
        <f>IF(CG51&lt;RAM,ROUND(v^($CG51+FaktorAlter)*$H51*($B51*0.5*($P51+$P52)*(VLOOKUP(TRUNC(0.5*($Q51+$Q52),0),Frauen!$AZ$9:$BD$95,5)+(0.5*($Q51+$Q52)-TRUNC(0.5*($Q51+$Q52),0))*(VLOOKUP(TRUNC(0.5*($Q51+$Q52)+1,0),Frauen!$AZ$9:$BD$95,5)-VLOOKUP(TRUNC(0.5*($Q51+$Q52),0),Frauen!$AZ$9:$BD$95,5)))+$C51*0.5*($CN51+$CN52)),RundDx),"")</f>
        <v>5090</v>
      </c>
      <c r="CI51" s="25">
        <f>IF(CG51&lt;RAM,ROUND(SUM(CH51:INDEX(Dawx,RAM-BeginnAlter))+INDEX(Dax,RAM-BeginnAlter+1)*INDEX(äwx,1),RundDx),"")</f>
        <v>112648</v>
      </c>
      <c r="CJ51" s="25">
        <f>IF(CG51&lt;RAM,ROUND(SUM(CI51:INDEX(Nawx,RAM-BeginnAlter))+INDEX(Dax,RAM-BeginnAlter+1)*INDEX(äwx,1),RundDx),"")</f>
        <v>670509</v>
      </c>
      <c r="CK51" s="24">
        <f t="shared" si="56"/>
        <v>5.1059999999999999</v>
      </c>
      <c r="CL51" s="25">
        <f>IF(CG51&lt;RAM,ROUND(v^($CG51+FaktorAlter)*$L51*$D51*0.5*($P51+$P52)*(VLOOKUP(TRUNC(0.5*($Q51+$Q52),0),Frauen!$AZ$9:$BD$95,5)+(0.5*($Q51+$Q52)-TRUNC(0.5*($Q51+$Q52),0))*(VLOOKUP(TRUNC(0.5*($Q51+$Q52)+1,0),Frauen!$AZ$9:$BD$95,5)-VLOOKUP(TRUNC(0.5*($Q51+$Q52),0),Frauen!$AZ$9:$BD$95,5))),RundDx),"")</f>
        <v>9483</v>
      </c>
      <c r="CM51" s="25">
        <f>IF(CG51&lt;RAM,SUM(CL51:INDEX(Diwx,RAM-BeginnAlter))+INDEX(Dix,RAM-BeginnAlter+1)*INDEX(äwx,1),"")</f>
        <v>158315.41399999999</v>
      </c>
      <c r="CN51" s="24">
        <f t="shared" si="57"/>
        <v>5.8789999999999996</v>
      </c>
      <c r="CO51" s="86"/>
      <c r="CP51" s="35">
        <f t="shared" si="58"/>
        <v>107</v>
      </c>
      <c r="CQ51" s="25"/>
      <c r="CR51" s="25"/>
      <c r="CS51" s="24"/>
      <c r="CT51" s="86"/>
      <c r="CU51" s="35">
        <f t="shared" si="80"/>
        <v>59</v>
      </c>
      <c r="CV51" s="25">
        <f>IF($CU51&gt;=RAM,"",IF($CU51-CV$103&lt;BeginnAlter,"",ROUND(v^($CU51+FaktorAlter)*$L51*$D51*0.5*(VLOOKUP($CU51-CV$103,Frauen!$G$9:$J$102,4)+VLOOKUP($CU51-CV$103+1,Frauen!$G$9:$J$102,4))*0.5*(VLOOKUP($CU51-CV$103,Frauen!$AZ$9:$BD$102,5)+VLOOKUP($CU51-CV$103+1,Frauen!$AZ$9:$BD$102,5)),RundDx)))</f>
        <v>521908813</v>
      </c>
      <c r="CW51" s="25">
        <f>IF($CU51&gt;=RAM,"",IF($CU51-CW$103&lt;BeginnAlter,"",ROUND(v^($CU51+FaktorAlter)*$L51*$D51*0.5*(VLOOKUP($CU51-CW$103,Frauen!$G$9:$J$102,4)+VLOOKUP($CU51-CW$103+1,Frauen!$G$9:$J$102,4))*0.5*(VLOOKUP($CU51-CW$103,Frauen!$AZ$9:$BD$102,5)+VLOOKUP($CU51-CW$103+1,Frauen!$AZ$9:$BD$102,5)),RundDx)))</f>
        <v>557750309</v>
      </c>
      <c r="CX51" s="25">
        <f>IF($CU51&gt;=RAM,"",IF($CU51-CX$103&lt;BeginnAlter,"",ROUND(v^($CU51+FaktorAlter)*$L51*$D51*0.5*(VLOOKUP($CU51-CX$103,Frauen!$G$9:$J$102,4)+VLOOKUP($CU51-CX$103+1,Frauen!$G$9:$J$102,4))*0.5*(VLOOKUP($CU51-CX$103,Frauen!$AZ$9:$BD$102,5)+VLOOKUP($CU51-CX$103+1,Frauen!$AZ$9:$BD$102,5)),RundDx)))</f>
        <v>594175513</v>
      </c>
      <c r="CY51" s="25">
        <f>IF($CU51&gt;=RAM,"",IF($CU51-CY$103&lt;BeginnAlter,"",ROUND(v^($CU51+FaktorAlter)*$L51*$D51*0.5*(VLOOKUP($CU51-CY$103,Frauen!$G$9:$J$102,4)+VLOOKUP($CU51-CY$103+1,Frauen!$G$9:$J$102,4))*0.5*(VLOOKUP($CU51-CY$103,Frauen!$AZ$9:$BD$102,5)+VLOOKUP($CU51-CY$103+1,Frauen!$AZ$9:$BD$102,5)),RundDx)))</f>
        <v>631025206</v>
      </c>
      <c r="CZ51" s="25">
        <f>IF($CU51&gt;=RAM,"",IF($CU51-CZ$103&lt;BeginnAlter,"",ROUND(v^($CU51+FaktorAlter)*$L51*$D51*0.5*(VLOOKUP($CU51-CZ$103,Frauen!$G$9:$J$102,4)+VLOOKUP($CU51-CZ$103+1,Frauen!$G$9:$J$102,4))*0.5*(VLOOKUP($CU51-CZ$103,Frauen!$AZ$9:$BD$102,5)+VLOOKUP($CU51-CZ$103+1,Frauen!$AZ$9:$BD$102,5)),RundDx)))</f>
        <v>668034839</v>
      </c>
      <c r="DA51" s="25">
        <f>IF($CU51&gt;=RAM,"",IF($CU51-DA$103&lt;BeginnAlter,"",ROUND(v^($CU51+FaktorAlter)*$L51*$D51*0.5*(VLOOKUP($CU51-DA$103,Frauen!$G$9:$J$102,4)+VLOOKUP($CU51-DA$103+1,Frauen!$G$9:$J$102,4))*0.5*(VLOOKUP($CU51-DA$103,Frauen!$AZ$9:$BD$102,5)+VLOOKUP($CU51-DA$103+1,Frauen!$AZ$9:$BD$102,5)),RundDx)))</f>
        <v>705101358</v>
      </c>
      <c r="DB51" s="25">
        <f>IF($CU51&gt;=RAM,"",IF($CU51-DB$103&lt;BeginnAlter,"",ROUND(v^($CU51+FaktorAlter)*$L51*$D51*0.5*(VLOOKUP($CU51-DB$103,Frauen!$G$9:$J$102,4)+VLOOKUP($CU51-DB$103+1,Frauen!$G$9:$J$102,4))*0.5*(VLOOKUP($CU51-DB$103,Frauen!$AZ$9:$BD$102,5)+VLOOKUP($CU51-DB$103+1,Frauen!$AZ$9:$BD$102,5)),RundDx)))</f>
        <v>742156612</v>
      </c>
      <c r="DC51" s="25">
        <f>IF($CU51&gt;=RAM,"",IF($CU51-DC$103&lt;BeginnAlter,"",ROUND(v^($CU51+FaktorAlter)*$L51*$D51*0.5*(VLOOKUP($CU51-DC$103,Frauen!$G$9:$J$102,4)+VLOOKUP($CU51-DC$103+1,Frauen!$G$9:$J$102,4))*0.5*(VLOOKUP($CU51-DC$103,Frauen!$AZ$9:$BD$102,5)+VLOOKUP($CU51-DC$103+1,Frauen!$AZ$9:$BD$102,5)),RundDx)))</f>
        <v>778949153</v>
      </c>
      <c r="DD51" s="25">
        <f>IF($CU51&gt;=RAM,"",IF($CU51-DD$103&lt;BeginnAlter,"",ROUND(v^($CU51+FaktorAlter)*$L51*$D51*0.5*(VLOOKUP($CU51-DD$103,Frauen!$G$9:$J$102,4)+VLOOKUP($CU51-DD$103+1,Frauen!$G$9:$J$102,4))*0.5*(VLOOKUP($CU51-DD$103,Frauen!$AZ$9:$BD$102,5)+VLOOKUP($CU51-DD$103+1,Frauen!$AZ$9:$BD$102,5)),RundDx)))</f>
        <v>815333504</v>
      </c>
      <c r="DE51" s="25">
        <f>IF($CU51&gt;=RAM,"",IF($CU51-DE$103&lt;BeginnAlter,"",ROUND(v^($CU51+FaktorAlter)*$L51*$D51*0.5*(VLOOKUP($CU51-DE$103,Frauen!$G$9:$J$102,4)+VLOOKUP($CU51-DE$103+1,Frauen!$G$9:$J$102,4))*0.5*(VLOOKUP($CU51-DE$103,Frauen!$AZ$9:$BD$102,5)+VLOOKUP($CU51-DE$103+1,Frauen!$AZ$9:$BD$102,5)),RundDx)))</f>
        <v>851370315</v>
      </c>
      <c r="DF51" s="25">
        <f>IF($CU51&gt;=RAM,"",IF($CU51-DF$103&lt;BeginnAlter,"",ROUND(v^($CU51+FaktorAlter)*$L51*$D51*0.5*(VLOOKUP($CU51-DF$103,Frauen!$G$9:$J$102,4)+VLOOKUP($CU51-DF$103+1,Frauen!$G$9:$J$102,4))*0.5*(VLOOKUP($CU51-DF$103,Frauen!$AZ$9:$BD$102,5)+VLOOKUP($CU51-DF$103+1,Frauen!$AZ$9:$BD$102,5)),RundDx)))</f>
        <v>886974766</v>
      </c>
      <c r="DG51" s="25">
        <f>IF($CU51&gt;=RAM,"",IF($CU51-DG$103&lt;BeginnAlter,"",ROUND(v^($CU51+FaktorAlter)*$L51*$D51*0.5*(VLOOKUP($CU51-DG$103,Frauen!$G$9:$J$102,4)+VLOOKUP($CU51-DG$103+1,Frauen!$G$9:$J$102,4))*0.5*(VLOOKUP($CU51-DG$103,Frauen!$AZ$9:$BD$102,5)+VLOOKUP($CU51-DG$103+1,Frauen!$AZ$9:$BD$102,5)),RundDx)))</f>
        <v>921936560</v>
      </c>
      <c r="DH51" s="25">
        <f>IF($CU51&gt;=RAM,"",IF($CU51-DH$103&lt;BeginnAlter,"",ROUND(v^($CU51+FaktorAlter)*$L51*$D51*0.5*(VLOOKUP($CU51-DH$103,Frauen!$G$9:$J$102,4)+VLOOKUP($CU51-DH$103+1,Frauen!$G$9:$J$102,4))*0.5*(VLOOKUP($CU51-DH$103,Frauen!$AZ$9:$BD$102,5)+VLOOKUP($CU51-DH$103+1,Frauen!$AZ$9:$BD$102,5)),RundDx)))</f>
        <v>956236753</v>
      </c>
      <c r="DI51" s="25">
        <f>IF($CU51&gt;=RAM,"",IF($CU51-DI$103&lt;BeginnAlter,"",ROUND(v^($CU51+FaktorAlter)*$L51*$D51*0.5*(VLOOKUP($CU51-DI$103,Frauen!$G$9:$J$102,4)+VLOOKUP($CU51-DI$103+1,Frauen!$G$9:$J$102,4))*0.5*(VLOOKUP($CU51-DI$103,Frauen!$AZ$9:$BD$102,5)+VLOOKUP($CU51-DI$103+1,Frauen!$AZ$9:$BD$102,5)),RundDx)))</f>
        <v>989963955</v>
      </c>
      <c r="DJ51" s="25">
        <f>IF($CU51&gt;=RAM,"",IF($CU51-DJ$103&lt;BeginnAlter,"",ROUND(v^($CU51+FaktorAlter)*$L51*$D51*0.5*(VLOOKUP($CU51-DJ$103,Frauen!$G$9:$J$102,4)+VLOOKUP($CU51-DJ$103+1,Frauen!$G$9:$J$102,4))*0.5*(VLOOKUP($CU51-DJ$103,Frauen!$AZ$9:$BD$102,5)+VLOOKUP($CU51-DJ$103+1,Frauen!$AZ$9:$BD$102,5)),RundDx)))</f>
        <v>1023073169</v>
      </c>
      <c r="DK51" s="25">
        <f>IF($CU51&gt;=RAM,"",IF($CU51-DK$103&lt;BeginnAlter,"",ROUND(v^($CU51+FaktorAlter)*$L51*$D51*0.5*(VLOOKUP($CU51-DK$103,Frauen!$G$9:$J$102,4)+VLOOKUP($CU51-DK$103+1,Frauen!$G$9:$J$102,4))*0.5*(VLOOKUP($CU51-DK$103,Frauen!$AZ$9:$BD$102,5)+VLOOKUP($CU51-DK$103+1,Frauen!$AZ$9:$BD$102,5)),RundDx)))</f>
        <v>1055555443</v>
      </c>
      <c r="DL51" s="25">
        <f>IF($CU51&gt;=RAM,"",IF($CU51-DL$103&lt;BeginnAlter,"",ROUND(v^($CU51+FaktorAlter)*$L51*$D51*0.5*(VLOOKUP($CU51-DL$103,Frauen!$G$9:$J$102,4)+VLOOKUP($CU51-DL$103+1,Frauen!$G$9:$J$102,4))*0.5*(VLOOKUP($CU51-DL$103,Frauen!$AZ$9:$BD$102,5)+VLOOKUP($CU51-DL$103+1,Frauen!$AZ$9:$BD$102,5)),RundDx)))</f>
        <v>1087478249</v>
      </c>
      <c r="DM51" s="25">
        <f>IF($CU51&gt;=RAM,"",IF($CU51-DM$103&lt;BeginnAlter,"",ROUND(v^($CU51+FaktorAlter)*$L51*$D51*0.5*(VLOOKUP($CU51-DM$103,Frauen!$G$9:$J$102,4)+VLOOKUP($CU51-DM$103+1,Frauen!$G$9:$J$102,4))*0.5*(VLOOKUP($CU51-DM$103,Frauen!$AZ$9:$BD$102,5)+VLOOKUP($CU51-DM$103+1,Frauen!$AZ$9:$BD$102,5)),RundDx)))</f>
        <v>1118941383</v>
      </c>
      <c r="DN51" s="25">
        <f>IF($CU51&gt;=RAM,"",IF($CU51-DN$103&lt;BeginnAlter,"",ROUND(v^($CU51+FaktorAlter)*$L51*$D51*0.5*(VLOOKUP($CU51-DN$103,Frauen!$G$9:$J$102,4)+VLOOKUP($CU51-DN$103+1,Frauen!$G$9:$J$102,4))*0.5*(VLOOKUP($CU51-DN$103,Frauen!$AZ$9:$BD$102,5)+VLOOKUP($CU51-DN$103+1,Frauen!$AZ$9:$BD$102,5)),RundDx)))</f>
        <v>1150027432</v>
      </c>
      <c r="DO51" s="25">
        <f>IF($CU51&gt;=RAM,"",IF($CU51-DO$103&lt;BeginnAlter,"",ROUND(v^($CU51+FaktorAlter)*$L51*$D51*0.5*(VLOOKUP($CU51-DO$103,Frauen!$G$9:$J$102,4)+VLOOKUP($CU51-DO$103+1,Frauen!$G$9:$J$102,4))*0.5*(VLOOKUP($CU51-DO$103,Frauen!$AZ$9:$BD$102,5)+VLOOKUP($CU51-DO$103+1,Frauen!$AZ$9:$BD$102,5)),RundDx)))</f>
        <v>1180810404</v>
      </c>
      <c r="DP51" s="25">
        <f>IF($CU51&gt;=RAM,"",IF($CU51-DP$103&lt;BeginnAlter,"",ROUND(v^($CU51+FaktorAlter)*$L51*$D51*0.5*(VLOOKUP($CU51-DP$103,Frauen!$G$9:$J$102,4)+VLOOKUP($CU51-DP$103+1,Frauen!$G$9:$J$102,4))*0.5*(VLOOKUP($CU51-DP$103,Frauen!$AZ$9:$BD$102,5)+VLOOKUP($CU51-DP$103+1,Frauen!$AZ$9:$BD$102,5)),RundDx)))</f>
        <v>1211325297</v>
      </c>
      <c r="DQ51" s="25">
        <f>IF($CU51&gt;=RAM,"",IF($CU51-DQ$103&lt;BeginnAlter,"",ROUND(v^($CU51+FaktorAlter)*$L51*$D51*0.5*(VLOOKUP($CU51-DQ$103,Frauen!$G$9:$J$102,4)+VLOOKUP($CU51-DQ$103+1,Frauen!$G$9:$J$102,4))*0.5*(VLOOKUP($CU51-DQ$103,Frauen!$AZ$9:$BD$102,5)+VLOOKUP($CU51-DQ$103+1,Frauen!$AZ$9:$BD$102,5)),RundDx)))</f>
        <v>1241515221</v>
      </c>
      <c r="DR51" s="25">
        <f>IF($CU51&gt;=RAM,"",IF($CU51-DR$103&lt;BeginnAlter,"",ROUND(v^($CU51+FaktorAlter)*$L51*$D51*0.5*(VLOOKUP($CU51-DR$103,Frauen!$G$9:$J$102,4)+VLOOKUP($CU51-DR$103+1,Frauen!$G$9:$J$102,4))*0.5*(VLOOKUP($CU51-DR$103,Frauen!$AZ$9:$BD$102,5)+VLOOKUP($CU51-DR$103+1,Frauen!$AZ$9:$BD$102,5)),RundDx)))</f>
        <v>1271405797</v>
      </c>
      <c r="DS51" s="25">
        <f>IF($CU51&gt;=RAM,"",IF($CU51-DS$103&lt;BeginnAlter,"",ROUND(v^($CU51+FaktorAlter)*$L51*$D51*0.5*(VLOOKUP($CU51-DS$103,Frauen!$G$9:$J$102,4)+VLOOKUP($CU51-DS$103+1,Frauen!$G$9:$J$102,4))*0.5*(VLOOKUP($CU51-DS$103,Frauen!$AZ$9:$BD$102,5)+VLOOKUP($CU51-DS$103+1,Frauen!$AZ$9:$BD$102,5)),RundDx)))</f>
        <v>1300934893</v>
      </c>
      <c r="DT51" s="25">
        <f>IF($CU51&gt;=RAM,"",IF($CU51-DT$103&lt;BeginnAlter,"",ROUND(v^($CU51+FaktorAlter)*$L51*$D51*0.5*(VLOOKUP($CU51-DT$103,Frauen!$G$9:$J$102,4)+VLOOKUP($CU51-DT$103+1,Frauen!$G$9:$J$102,4))*0.5*(VLOOKUP($CU51-DT$103,Frauen!$AZ$9:$BD$102,5)+VLOOKUP($CU51-DT$103+1,Frauen!$AZ$9:$BD$102,5)),RundDx)))</f>
        <v>1329965636</v>
      </c>
      <c r="DU51" s="25">
        <f>IF($CU51&gt;=RAM,"",IF($CU51-DU$103&lt;BeginnAlter,"",ROUND(v^($CU51+FaktorAlter)*$L51*$D51*0.5*(VLOOKUP($CU51-DU$103,Frauen!$G$9:$J$102,4)+VLOOKUP($CU51-DU$103+1,Frauen!$G$9:$J$102,4))*0.5*(VLOOKUP($CU51-DU$103,Frauen!$AZ$9:$BD$102,5)+VLOOKUP($CU51-DU$103+1,Frauen!$AZ$9:$BD$102,5)),RundDx)))</f>
        <v>1358412461</v>
      </c>
      <c r="DV51" s="25">
        <f>IF($CU51&gt;=RAM,"",IF($CU51-DV$103&lt;BeginnAlter,"",ROUND(v^($CU51+FaktorAlter)*$L51*$D51*0.5*(VLOOKUP($CU51-DV$103,Frauen!$G$9:$J$102,4)+VLOOKUP($CU51-DV$103+1,Frauen!$G$9:$J$102,4))*0.5*(VLOOKUP($CU51-DV$103,Frauen!$AZ$9:$BD$102,5)+VLOOKUP($CU51-DV$103+1,Frauen!$AZ$9:$BD$102,5)),RundDx)))</f>
        <v>1386248470</v>
      </c>
      <c r="DW51" s="25">
        <f>IF($CU51&gt;=RAM,"",IF($CU51-DW$103&lt;BeginnAlter,"",ROUND(v^($CU51+FaktorAlter)*$L51*$D51*0.5*(VLOOKUP($CU51-DW$103,Frauen!$G$9:$J$102,4)+VLOOKUP($CU51-DW$103+1,Frauen!$G$9:$J$102,4))*0.5*(VLOOKUP($CU51-DW$103,Frauen!$AZ$9:$BD$102,5)+VLOOKUP($CU51-DW$103+1,Frauen!$AZ$9:$BD$102,5)),RundDx)))</f>
        <v>1413477359</v>
      </c>
      <c r="DX51" s="25">
        <f>IF($CU51&gt;=RAM,"",IF($CU51-DX$103&lt;BeginnAlter,"",ROUND(v^($CU51+FaktorAlter)*$L51*$D51*0.5*(VLOOKUP($CU51-DX$103,Frauen!$G$9:$J$102,4)+VLOOKUP($CU51-DX$103+1,Frauen!$G$9:$J$102,4))*0.5*(VLOOKUP($CU51-DX$103,Frauen!$AZ$9:$BD$102,5)+VLOOKUP($CU51-DX$103+1,Frauen!$AZ$9:$BD$102,5)),RundDx)))</f>
        <v>1440126337</v>
      </c>
      <c r="DY51" s="25">
        <f>IF($CU51&gt;=RAM,"",IF($CU51-DY$103&lt;BeginnAlter,"",ROUND(v^($CU51+FaktorAlter)*$L51*$D51*0.5*(VLOOKUP($CU51-DY$103,Frauen!$G$9:$J$102,4)+VLOOKUP($CU51-DY$103+1,Frauen!$G$9:$J$102,4))*0.5*(VLOOKUP($CU51-DY$103,Frauen!$AZ$9:$BD$102,5)+VLOOKUP($CU51-DY$103+1,Frauen!$AZ$9:$BD$102,5)),RundDx)))</f>
        <v>1466159025</v>
      </c>
      <c r="DZ51" s="25">
        <f>IF($CU51&gt;=RAM,"",IF($CU51-DZ$103&lt;BeginnAlter,"",ROUND(v^($CU51+FaktorAlter)*$L51*$D51*0.5*(VLOOKUP($CU51-DZ$103,Frauen!$G$9:$J$102,4)+VLOOKUP($CU51-DZ$103+1,Frauen!$G$9:$J$102,4))*0.5*(VLOOKUP($CU51-DZ$103,Frauen!$AZ$9:$BD$102,5)+VLOOKUP($CU51-DZ$103+1,Frauen!$AZ$9:$BD$102,5)),RundDx)))</f>
        <v>1491583886</v>
      </c>
      <c r="EA51" s="43">
        <f>IF($CU51&gt;=RAM,"",IF($CU51-EA$103&lt;BeginnAlter,"",ROUND((SUM(CV51:CV$56)+SUM(FN$9:FN$56))/VLOOKUP($CU51,$AH$9:$AI$102,2)/VLOOKUP($CU51-EA$103,Frauen!$G$9:$J$102,4),Rundäx)))</f>
        <v>1.806</v>
      </c>
      <c r="EB51" s="43">
        <f>IF($CU51&gt;=RAM,"",IF($CU51-EB$103&lt;BeginnAlter,"",ROUND((SUM(CW51:CW$56)+SUM(FO$9:FO$56))/VLOOKUP($CU51,$AH$9:$AI$102,2)/VLOOKUP($CU51-EB$103,Frauen!$G$9:$J$102,4),Rundäx)))</f>
        <v>1.976</v>
      </c>
      <c r="EC51" s="43">
        <f>IF($CU51&gt;=RAM,"",IF($CU51-EC$103&lt;BeginnAlter,"",ROUND((SUM(CX51:CX$56)+SUM(FP$9:FP$56))/VLOOKUP($CU51,$AH$9:$AI$102,2)/VLOOKUP($CU51-EC$103,Frauen!$G$9:$J$102,4),Rundäx)))</f>
        <v>2.1549999999999998</v>
      </c>
      <c r="ED51" s="43">
        <f>IF($CU51&gt;=RAM,"",IF($CU51-ED$103&lt;BeginnAlter,"",ROUND((SUM(CY51:CY$56)+SUM(FQ$9:FQ$56))/VLOOKUP($CU51,$AH$9:$AI$102,2)/VLOOKUP($CU51-ED$103,Frauen!$G$9:$J$102,4),Rundäx)))</f>
        <v>2.3420000000000001</v>
      </c>
      <c r="EE51" s="43">
        <f>IF($CU51&gt;=RAM,"",IF($CU51-EE$103&lt;BeginnAlter,"",ROUND((SUM(CZ51:CZ$56)+SUM(FR$9:FR$56))/VLOOKUP($CU51,$AH$9:$AI$102,2)/VLOOKUP($CU51-EE$103,Frauen!$G$9:$J$102,4),Rundäx)))</f>
        <v>2.54</v>
      </c>
      <c r="EF51" s="43">
        <f>IF($CU51&gt;=RAM,"",IF($CU51-EF$103&lt;BeginnAlter,"",ROUND((SUM(DA51:DA$56)+SUM(FS$9:FS$56))/VLOOKUP($CU51,$AH$9:$AI$102,2)/VLOOKUP($CU51-EF$103,Frauen!$G$9:$J$102,4),Rundäx)))</f>
        <v>2.746</v>
      </c>
      <c r="EG51" s="43">
        <f>IF($CU51&gt;=RAM,"",IF($CU51-EG$103&lt;BeginnAlter,"",ROUND((SUM(DB51:DB$56)+SUM(FT$9:FT$56))/VLOOKUP($CU51,$AH$9:$AI$102,2)/VLOOKUP($CU51-EG$103,Frauen!$G$9:$J$102,4),Rundäx)))</f>
        <v>2.9620000000000002</v>
      </c>
      <c r="EH51" s="43">
        <f>IF($CU51&gt;=RAM,"",IF($CU51-EH$103&lt;BeginnAlter,"",ROUND((SUM(DC51:DC$56)+SUM(FU$9:FU$56))/VLOOKUP($CU51,$AH$9:$AI$102,2)/VLOOKUP($CU51-EH$103,Frauen!$G$9:$J$102,4),Rundäx)))</f>
        <v>3.1880000000000002</v>
      </c>
      <c r="EI51" s="86"/>
      <c r="EJ51" s="35">
        <f t="shared" si="60"/>
        <v>59</v>
      </c>
      <c r="EK51" s="43">
        <f>IF($CU51&gt;=RAM,"",IF($CU51-EK$103&lt;BeginnAlter,"",ROUND((SUM(DD51:DD$56)+SUM(FV$9:FV$56))/VLOOKUP($CU51,$AH$9:$AI$102,2)/VLOOKUP($CU51-EK$103,Frauen!$G$9:$J$102,4),Rundäx)))</f>
        <v>3.4239999999999999</v>
      </c>
      <c r="EL51" s="43">
        <f>IF($CU51&gt;=RAM,"",IF($CU51-EL$103&lt;BeginnAlter,"",ROUND((SUM(DE51:DE$56)+SUM(FW$9:FW$56))/VLOOKUP($CU51,$AH$9:$AI$102,2)/VLOOKUP($CU51-EL$103,Frauen!$G$9:$J$102,4),Rundäx)))</f>
        <v>3.669</v>
      </c>
      <c r="EM51" s="43">
        <f>IF($CU51&gt;=RAM,"",IF($CU51-EM$103&lt;BeginnAlter,"",ROUND((SUM(DF51:DF$56)+SUM(FX$9:FX$56))/VLOOKUP($CU51,$AH$9:$AI$102,2)/VLOOKUP($CU51-EM$103,Frauen!$G$9:$J$102,4),Rundäx)))</f>
        <v>3.9239999999999999</v>
      </c>
      <c r="EN51" s="43">
        <f>IF($CU51&gt;=RAM,"",IF($CU51-EN$103&lt;BeginnAlter,"",ROUND((SUM(DG51:DG$56)+SUM(FY$9:FY$56))/VLOOKUP($CU51,$AH$9:$AI$102,2)/VLOOKUP($CU51-EN$103,Frauen!$G$9:$J$102,4),Rundäx)))</f>
        <v>4.1890000000000001</v>
      </c>
      <c r="EO51" s="43">
        <f>IF($CU51&gt;=RAM,"",IF($CU51-EO$103&lt;BeginnAlter,"",ROUND((SUM(DH51:DH$56)+SUM(FZ$9:FZ$56))/VLOOKUP($CU51,$AH$9:$AI$102,2)/VLOOKUP($CU51-EO$103,Frauen!$G$9:$J$102,4),Rundäx)))</f>
        <v>4.4640000000000004</v>
      </c>
      <c r="EP51" s="43">
        <f>IF($CU51&gt;=RAM,"",IF($CU51-EP$103&lt;BeginnAlter,"",ROUND((SUM(DI51:DI$56)+SUM(GA$9:GA$56))/VLOOKUP($CU51,$AH$9:$AI$102,2)/VLOOKUP($CU51-EP$103,Frauen!$G$9:$J$102,4),Rundäx)))</f>
        <v>4.7480000000000002</v>
      </c>
      <c r="EQ51" s="43">
        <f>IF($CU51&gt;=RAM,"",IF($CU51-EQ$103&lt;BeginnAlter,"",ROUND((SUM(DJ51:DJ$56)+SUM(GB$9:GB$56))/VLOOKUP($CU51,$AH$9:$AI$102,2)/VLOOKUP($CU51-EQ$103,Frauen!$G$9:$J$102,4),Rundäx)))</f>
        <v>5.0410000000000004</v>
      </c>
      <c r="ER51" s="43">
        <f>IF($CU51&gt;=RAM,"",IF($CU51-ER$103&lt;BeginnAlter,"",ROUND((SUM(DK51:DK$56)+SUM(GC$9:GC$56))/VLOOKUP($CU51,$AH$9:$AI$102,2)/VLOOKUP($CU51-ER$103,Frauen!$G$9:$J$102,4),Rundäx)))</f>
        <v>5.3440000000000003</v>
      </c>
      <c r="ES51" s="86"/>
      <c r="ET51" s="35">
        <f t="shared" si="61"/>
        <v>59</v>
      </c>
      <c r="EU51" s="43">
        <f>IF($CU51&gt;=RAM,"",IF($CU51-EU$103&lt;BeginnAlter,"",ROUND((SUM(DL51:DL$56)+SUM(GD$9:GD$56))/VLOOKUP($CU51,$AH$9:$AI$102,2)/VLOOKUP($CU51-EU$103,Frauen!$G$9:$J$102,4),Rundäx)))</f>
        <v>5.6550000000000002</v>
      </c>
      <c r="EV51" s="43">
        <f>IF($CU51&gt;=RAM,"",IF($CU51-EV$103&lt;BeginnAlter,"",ROUND((SUM(DM51:DM$56)+SUM(GE$9:GE$56))/VLOOKUP($CU51,$AH$9:$AI$102,2)/VLOOKUP($CU51-EV$103,Frauen!$G$9:$J$102,4),Rundäx)))</f>
        <v>5.9740000000000002</v>
      </c>
      <c r="EW51" s="43">
        <f>IF($CU51&gt;=RAM,"",IF($CU51-EW$103&lt;BeginnAlter,"",ROUND((SUM(DN51:DN$56)+SUM(GF$9:GF$56))/VLOOKUP($CU51,$AH$9:$AI$102,2)/VLOOKUP($CU51-EW$103,Frauen!$G$9:$J$102,4),Rundäx)))</f>
        <v>6.2990000000000004</v>
      </c>
      <c r="EX51" s="43">
        <f>IF($CU51&gt;=RAM,"",IF($CU51-EX$103&lt;BeginnAlter,"",ROUND((SUM(DO51:DO$56)+SUM(GG$9:GG$56))/VLOOKUP($CU51,$AH$9:$AI$102,2)/VLOOKUP($CU51-EX$103,Frauen!$G$9:$J$102,4),Rundäx)))</f>
        <v>6.6310000000000002</v>
      </c>
      <c r="EY51" s="43">
        <f>IF($CU51&gt;=RAM,"",IF($CU51-EY$103&lt;BeginnAlter,"",ROUND((SUM(DP51:DP$56)+SUM(GH$9:GH$56))/VLOOKUP($CU51,$AH$9:$AI$102,2)/VLOOKUP($CU51-EY$103,Frauen!$G$9:$J$102,4),Rundäx)))</f>
        <v>6.9669999999999996</v>
      </c>
      <c r="EZ51" s="43">
        <f>IF($CU51&gt;=RAM,"",IF($CU51-EZ$103&lt;BeginnAlter,"",ROUND((SUM(DQ51:DQ$56)+SUM(GI$9:GI$56))/VLOOKUP($CU51,$AH$9:$AI$102,2)/VLOOKUP($CU51-EZ$103,Frauen!$G$9:$J$102,4),Rundäx)))</f>
        <v>7.3079999999999998</v>
      </c>
      <c r="FA51" s="43">
        <f>IF($CU51&gt;=RAM,"",IF($CU51-FA$103&lt;BeginnAlter,"",ROUND((SUM(DR51:DR$56)+SUM(GJ$9:GJ$56))/VLOOKUP($CU51,$AH$9:$AI$102,2)/VLOOKUP($CU51-FA$103,Frauen!$G$9:$J$102,4),Rundäx)))</f>
        <v>7.6529999999999996</v>
      </c>
      <c r="FB51" s="43">
        <f>IF($CU51&gt;=RAM,"",IF($CU51-FB$103&lt;BeginnAlter,"",ROUND((SUM(DS51:DS$56)+SUM(GK$9:GK$56))/VLOOKUP($CU51,$AH$9:$AI$102,2)/VLOOKUP($CU51-FB$103,Frauen!$G$9:$J$102,4),Rundäx)))</f>
        <v>8.0009999999999994</v>
      </c>
      <c r="FC51" s="86"/>
      <c r="FD51" s="35">
        <f t="shared" si="62"/>
        <v>59</v>
      </c>
      <c r="FE51" s="43">
        <f>IF($CU51&gt;=RAM,"",IF($CU51-FE$103&lt;BeginnAlter,"",ROUND((SUM(DT51:DT$56)+SUM(GL$9:GL$56))/VLOOKUP($CU51,$AH$9:$AI$102,2)/VLOOKUP($CU51-FE$103,Frauen!$G$9:$J$102,4),Rundäx)))</f>
        <v>8.35</v>
      </c>
      <c r="FF51" s="43">
        <f>IF($CU51&gt;=RAM,"",IF($CU51-FF$103&lt;BeginnAlter,"",ROUND((SUM(DU51:DU$56)+SUM(GM$9:GM$56))/VLOOKUP($CU51,$AH$9:$AI$102,2)/VLOOKUP($CU51-FF$103,Frauen!$G$9:$J$102,4),Rundäx)))</f>
        <v>8.7010000000000005</v>
      </c>
      <c r="FG51" s="43">
        <f>IF($CU51&gt;=RAM,"",IF($CU51-FG$103&lt;BeginnAlter,"",ROUND((SUM(DV51:DV$56)+SUM(GN$9:GN$56))/VLOOKUP($CU51,$AH$9:$AI$102,2)/VLOOKUP($CU51-FG$103,Frauen!$G$9:$J$102,4),Rundäx)))</f>
        <v>9.0530000000000008</v>
      </c>
      <c r="FH51" s="43">
        <f>IF($CU51&gt;=RAM,"",IF($CU51-FH$103&lt;BeginnAlter,"",ROUND((SUM(DW51:DW$56)+SUM(GO$9:GO$56))/VLOOKUP($CU51,$AH$9:$AI$102,2)/VLOOKUP($CU51-FH$103,Frauen!$G$9:$J$102,4),Rundäx)))</f>
        <v>9.4039999999999999</v>
      </c>
      <c r="FI51" s="43">
        <f>IF($CU51&gt;=RAM,"",IF($CU51-FI$103&lt;BeginnAlter,"",ROUND((SUM(DX51:DX$56)+SUM(GP$9:GP$56))/VLOOKUP($CU51,$AH$9:$AI$102,2)/VLOOKUP($CU51-FI$103,Frauen!$G$9:$J$102,4),Rundäx)))</f>
        <v>9.7550000000000008</v>
      </c>
      <c r="FJ51" s="43">
        <f>IF($CU51&gt;=RAM,"",IF($CU51-FJ$103&lt;BeginnAlter,"",ROUND((SUM(DY51:DY$56)+SUM(GQ$9:GQ$56))/VLOOKUP($CU51,$AH$9:$AI$102,2)/VLOOKUP($CU51-FJ$103,Frauen!$G$9:$J$102,4),Rundäx)))</f>
        <v>10.105</v>
      </c>
      <c r="FK51" s="43">
        <f>IF($CU51&gt;=RAM,"",IF($CU51-FK$103&lt;BeginnAlter,"",ROUND((SUM(DZ51:DZ$56)+SUM(GR$9:GR$56))/VLOOKUP($CU51,$AH$9:$AI$102,2)/VLOOKUP($CU51-FK$103,Frauen!$G$9:$J$102,4),Rundäx)))</f>
        <v>10.454000000000001</v>
      </c>
      <c r="FL51" s="86"/>
      <c r="FM51" s="35">
        <f t="shared" si="68"/>
        <v>107</v>
      </c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>
        <f>ROUND(v^($FM51+FaktorAlter)*VLOOKUP($FM51,$G$9:$J$102,4)*VLOOKUP($FM51,$A$9:$E$102,5)*0.5*(VLOOKUP($FM51-GG$103,Frauen!$G$9:$J$102,4)+VLOOKUP($FM51-GG$103+1,Frauen!$G$9:$J$102,4))*0.5*(VLOOKUP($FM51-GG$103,Frauen!$AZ$9:$BD$102,5)+VLOOKUP($FM51-GG$103+1,Frauen!$AZ$9:$BD$102,5)),RundDx)</f>
        <v>0</v>
      </c>
      <c r="GH51" s="25">
        <f>ROUND(v^($FM51+FaktorAlter)*VLOOKUP($FM51,$G$9:$J$102,4)*VLOOKUP($FM51,$A$9:$E$102,5)*0.5*(VLOOKUP($FM51-GH$103,Frauen!$G$9:$J$102,4)+VLOOKUP($FM51-GH$103+1,Frauen!$G$9:$J$102,4))*0.5*(VLOOKUP($FM51-GH$103,Frauen!$AZ$9:$BD$102,5)+VLOOKUP($FM51-GH$103+1,Frauen!$AZ$9:$BD$102,5)),RundDx)</f>
        <v>0</v>
      </c>
      <c r="GI51" s="25">
        <f>ROUND(v^($FM51+FaktorAlter)*VLOOKUP($FM51,$G$9:$J$102,4)*VLOOKUP($FM51,$A$9:$E$102,5)*0.5*(VLOOKUP($FM51-GI$103,Frauen!$G$9:$J$102,4)+VLOOKUP($FM51-GI$103+1,Frauen!$G$9:$J$102,4))*0.5*(VLOOKUP($FM51-GI$103,Frauen!$AZ$9:$BD$102,5)+VLOOKUP($FM51-GI$103+1,Frauen!$AZ$9:$BD$102,5)),RundDx)</f>
        <v>0</v>
      </c>
      <c r="GJ51" s="25">
        <f>ROUND(v^($FM51+FaktorAlter)*VLOOKUP($FM51,$G$9:$J$102,4)*VLOOKUP($FM51,$A$9:$E$102,5)*0.5*(VLOOKUP($FM51-GJ$103,Frauen!$G$9:$J$102,4)+VLOOKUP($FM51-GJ$103+1,Frauen!$G$9:$J$102,4))*0.5*(VLOOKUP($FM51-GJ$103,Frauen!$AZ$9:$BD$102,5)+VLOOKUP($FM51-GJ$103+1,Frauen!$AZ$9:$BD$102,5)),RundDx)</f>
        <v>0</v>
      </c>
      <c r="GK51" s="25">
        <f>ROUND(v^($FM51+FaktorAlter)*VLOOKUP($FM51,$G$9:$J$102,4)*VLOOKUP($FM51,$A$9:$E$102,5)*0.5*(VLOOKUP($FM51-GK$103,Frauen!$G$9:$J$102,4)+VLOOKUP($FM51-GK$103+1,Frauen!$G$9:$J$102,4))*0.5*(VLOOKUP($FM51-GK$103,Frauen!$AZ$9:$BD$102,5)+VLOOKUP($FM51-GK$103+1,Frauen!$AZ$9:$BD$102,5)),RundDx)</f>
        <v>0</v>
      </c>
      <c r="GL51" s="25">
        <f>ROUND(v^($FM51+FaktorAlter)*VLOOKUP($FM51,$G$9:$J$102,4)*VLOOKUP($FM51,$A$9:$E$102,5)*0.5*(VLOOKUP($FM51-GL$103,Frauen!$G$9:$J$102,4)+VLOOKUP($FM51-GL$103+1,Frauen!$G$9:$J$102,4))*0.5*(VLOOKUP($FM51-GL$103,Frauen!$AZ$9:$BD$102,5)+VLOOKUP($FM51-GL$103+1,Frauen!$AZ$9:$BD$102,5)),RundDx)</f>
        <v>0</v>
      </c>
      <c r="GM51" s="25">
        <f>ROUND(v^($FM51+FaktorAlter)*VLOOKUP($FM51,$G$9:$J$102,4)*VLOOKUP($FM51,$A$9:$E$102,5)*0.5*(VLOOKUP($FM51-GM$103,Frauen!$G$9:$J$102,4)+VLOOKUP($FM51-GM$103+1,Frauen!$G$9:$J$102,4))*0.5*(VLOOKUP($FM51-GM$103,Frauen!$AZ$9:$BD$102,5)+VLOOKUP($FM51-GM$103+1,Frauen!$AZ$9:$BD$102,5)),RundDx)</f>
        <v>0</v>
      </c>
      <c r="GN51" s="25">
        <f>ROUND(v^($FM51+FaktorAlter)*VLOOKUP($FM51,$G$9:$J$102,4)*VLOOKUP($FM51,$A$9:$E$102,5)*0.5*(VLOOKUP($FM51-GN$103,Frauen!$G$9:$J$102,4)+VLOOKUP($FM51-GN$103+1,Frauen!$G$9:$J$102,4))*0.5*(VLOOKUP($FM51-GN$103,Frauen!$AZ$9:$BD$102,5)+VLOOKUP($FM51-GN$103+1,Frauen!$AZ$9:$BD$102,5)),RundDx)</f>
        <v>0</v>
      </c>
      <c r="GO51" s="25">
        <f>ROUND(v^($FM51+FaktorAlter)*VLOOKUP($FM51,$G$9:$J$102,4)*VLOOKUP($FM51,$A$9:$E$102,5)*0.5*(VLOOKUP($FM51-GO$103,Frauen!$G$9:$J$102,4)+VLOOKUP($FM51-GO$103+1,Frauen!$G$9:$J$102,4))*0.5*(VLOOKUP($FM51-GO$103,Frauen!$AZ$9:$BD$102,5)+VLOOKUP($FM51-GO$103+1,Frauen!$AZ$9:$BD$102,5)),RundDx)</f>
        <v>0</v>
      </c>
      <c r="GP51" s="25">
        <f>ROUND(v^($FM51+FaktorAlter)*VLOOKUP($FM51,$G$9:$J$102,4)*VLOOKUP($FM51,$A$9:$E$102,5)*0.5*(VLOOKUP($FM51-GP$103,Frauen!$G$9:$J$102,4)+VLOOKUP($FM51-GP$103+1,Frauen!$G$9:$J$102,4))*0.5*(VLOOKUP($FM51-GP$103,Frauen!$AZ$9:$BD$102,5)+VLOOKUP($FM51-GP$103+1,Frauen!$AZ$9:$BD$102,5)),RundDx)</f>
        <v>0</v>
      </c>
      <c r="GQ51" s="25">
        <f>ROUND(v^($FM51+FaktorAlter)*VLOOKUP($FM51,$G$9:$J$102,4)*VLOOKUP($FM51,$A$9:$E$102,5)*0.5*(VLOOKUP($FM51-GQ$103,Frauen!$G$9:$J$102,4)+VLOOKUP($FM51-GQ$103+1,Frauen!$G$9:$J$102,4))*0.5*(VLOOKUP($FM51-GQ$103,Frauen!$AZ$9:$BD$102,5)+VLOOKUP($FM51-GQ$103+1,Frauen!$AZ$9:$BD$102,5)),RundDx)</f>
        <v>0</v>
      </c>
      <c r="GR51" s="25">
        <f>ROUND(v^($FM51+FaktorAlter)*VLOOKUP($FM51,$G$9:$J$102,4)*VLOOKUP($FM51,$A$9:$E$102,5)*0.5*(VLOOKUP($FM51-GR$103,Frauen!$G$9:$J$102,4)+VLOOKUP($FM51-GR$103+1,Frauen!$G$9:$J$102,4))*0.5*(VLOOKUP($FM51-GR$103,Frauen!$AZ$9:$BD$102,5)+VLOOKUP($FM51-GR$103+1,Frauen!$AZ$9:$BD$102,5)),RundDx)</f>
        <v>0</v>
      </c>
      <c r="GS51" s="24"/>
      <c r="GT51" s="24"/>
      <c r="GU51" s="24"/>
      <c r="GV51" s="24"/>
      <c r="GW51" s="24"/>
      <c r="GX51" s="24"/>
      <c r="GY51" s="24"/>
      <c r="GZ51" s="24"/>
      <c r="HA51" s="86"/>
      <c r="HB51" s="35">
        <f t="shared" si="63"/>
        <v>107</v>
      </c>
      <c r="HC51" s="24"/>
      <c r="HD51" s="24"/>
      <c r="HE51" s="24"/>
      <c r="HF51" s="24"/>
      <c r="HG51" s="24"/>
      <c r="HH51" s="24"/>
      <c r="HI51" s="24"/>
      <c r="HJ51" s="24"/>
      <c r="HK51" s="86"/>
      <c r="HL51" s="35">
        <f t="shared" si="64"/>
        <v>107</v>
      </c>
      <c r="HM51" s="24"/>
      <c r="HN51" s="24"/>
      <c r="HO51" s="24"/>
      <c r="HP51" s="24"/>
      <c r="HQ51" s="24"/>
      <c r="HR51" s="24"/>
      <c r="HS51" s="24"/>
      <c r="HT51" s="24"/>
      <c r="HU51" s="86"/>
      <c r="HV51" s="35">
        <f t="shared" si="65"/>
        <v>107</v>
      </c>
      <c r="HW51" s="24"/>
      <c r="HX51" s="24"/>
      <c r="HY51" s="24"/>
      <c r="HZ51" s="24"/>
      <c r="IA51" s="24"/>
      <c r="IB51" s="24"/>
      <c r="IC51" s="24"/>
      <c r="ID51" s="89"/>
      <c r="IE51" s="35">
        <f t="shared" si="81"/>
        <v>59</v>
      </c>
      <c r="IF51" s="25">
        <f t="shared" si="31"/>
        <v>59</v>
      </c>
      <c r="IG51" s="25">
        <f>IF($IE51&lt;RAM,IF(S52&lt;=RAK,ROUND(SUM(IF51:INDEX(Dakx,RAM-BeginnAlter))+INDEX(Dax,RAM-BeginnAlter+1)*INDEX(äkx,1),RundDx),0),"")</f>
        <v>306</v>
      </c>
      <c r="IH51" s="25">
        <f>IF($IE51&lt;RAM,IF(S52&lt;=RAK,ROUND(SUM(IG51:INDEX(Nakx,RAM-BeginnAlter))+INDEX(Dax,RAM-BeginnAlter+1)*INDEX(äkx,1),RundDx),0),"")</f>
        <v>1347</v>
      </c>
      <c r="II51" s="24">
        <f t="shared" si="32"/>
        <v>1.4E-2</v>
      </c>
      <c r="IJ51" s="25">
        <f t="shared" si="33"/>
        <v>221</v>
      </c>
      <c r="IK51" s="25">
        <f>IF($IE51&lt;RAM,IF(S52&lt;=RAK,SUM(IJ51:INDEX(Dikx,RAM-BeginnAlter))+INDEX(Dix,RAM-BeginnAlter+1)*INDEX(äkx,1),0),"")</f>
        <v>730.83199999999999</v>
      </c>
      <c r="IL51" s="24">
        <f t="shared" si="34"/>
        <v>2.7E-2</v>
      </c>
      <c r="IM51" s="86"/>
      <c r="IN51" s="35">
        <f t="shared" si="67"/>
        <v>107</v>
      </c>
      <c r="IO51" s="25"/>
      <c r="IP51" s="25"/>
      <c r="IQ51" s="24"/>
      <c r="IR51" s="86"/>
    </row>
    <row r="52" spans="1:252" ht="15.75" customHeight="1" x14ac:dyDescent="0.25">
      <c r="A52" s="35">
        <f t="shared" si="69"/>
        <v>60</v>
      </c>
      <c r="B52" s="77">
        <v>6.3072000000000007E-3</v>
      </c>
      <c r="C52" s="77">
        <v>2.8907200000000001E-2</v>
      </c>
      <c r="D52" s="77">
        <v>2.2436151359363991E-2</v>
      </c>
      <c r="E52" s="77">
        <v>8.7736464448793239E-3</v>
      </c>
      <c r="F52" s="86"/>
      <c r="G52" s="35">
        <f t="shared" si="70"/>
        <v>60</v>
      </c>
      <c r="H52" s="25">
        <f t="shared" si="37"/>
        <v>79542</v>
      </c>
      <c r="I52" s="25">
        <f t="shared" si="38"/>
        <v>12438</v>
      </c>
      <c r="J52" s="25">
        <f t="shared" si="39"/>
        <v>91980</v>
      </c>
      <c r="K52" s="30">
        <f>IF(J52&gt;0,ROUND(SUM(J52:J$102)/J52-0.5,Rundex),"")</f>
        <v>21.48</v>
      </c>
      <c r="L52" s="25">
        <f t="shared" si="0"/>
        <v>97872</v>
      </c>
      <c r="M52" s="30">
        <f>IF(L52&gt;0,ROUND(SUM(L52:L$102)/L52-0.5,Rundex),"")</f>
        <v>20.329999999999998</v>
      </c>
      <c r="N52" s="86"/>
      <c r="O52" s="35">
        <f t="shared" si="71"/>
        <v>60</v>
      </c>
      <c r="P52" s="43">
        <v>0.78161326977379231</v>
      </c>
      <c r="Q52" s="78">
        <v>56.794766114197543</v>
      </c>
      <c r="R52" s="43">
        <v>4.8953941610483609E-2</v>
      </c>
      <c r="S52" s="78">
        <v>18.553757731813871</v>
      </c>
      <c r="T52" s="15">
        <v>1.3517498830439964E-2</v>
      </c>
      <c r="U52" s="11">
        <f t="shared" si="40"/>
        <v>91357</v>
      </c>
      <c r="V52" s="30">
        <f>IF(U52&gt;0,ROUND(SUM(U52:U$102)/U52-0.5,Rundex),"")</f>
        <v>19.059999999999999</v>
      </c>
      <c r="W52" s="86"/>
      <c r="X52" s="35">
        <f t="shared" si="72"/>
        <v>60</v>
      </c>
      <c r="Y52" s="25">
        <f t="shared" si="1"/>
        <v>20931</v>
      </c>
      <c r="Z52" s="25">
        <f>IF($X52&lt;RAM,SUM(Y52:INDEX(Dax,RAM-BeginnAlter))," ")</f>
        <v>92515</v>
      </c>
      <c r="AA52" s="25">
        <f t="shared" si="2"/>
        <v>131</v>
      </c>
      <c r="AB52" s="25">
        <f>IF($X52&lt;RAM,SUM(AA52:INDEX(Cax,RAM-BeginnAlter))," ")</f>
        <v>710</v>
      </c>
      <c r="AC52" s="25">
        <f t="shared" si="3"/>
        <v>598</v>
      </c>
      <c r="AD52" s="25">
        <f>IF($X52&lt;RAM,SUM(AC52:INDEX(Caix,RAM-BeginnAlter))," ")</f>
        <v>3451</v>
      </c>
      <c r="AE52" s="24">
        <f t="shared" si="4"/>
        <v>4.42</v>
      </c>
      <c r="AF52" s="24">
        <f t="shared" si="5"/>
        <v>4.2850000000000001</v>
      </c>
      <c r="AG52" s="86"/>
      <c r="AH52" s="35">
        <f t="shared" si="73"/>
        <v>60</v>
      </c>
      <c r="AI52" s="25">
        <f t="shared" si="6"/>
        <v>25755</v>
      </c>
      <c r="AJ52" s="25">
        <f>IF($AH52&gt;RAM," ",IF($AH52&lt;RAM,SUM(AI52:INDEX(Dix,RAM-BeginnAlter))+INDEX(Nx,RAM-BeginnAlter+1),INDEX(Nx,RAM-BeginnAlter+1)))</f>
        <v>415097</v>
      </c>
      <c r="AK52" s="25">
        <f>IF($AH52&lt;RAM,SUM(AI52:INDEX(Dix,RAM-BeginnAlter))," ")</f>
        <v>117850</v>
      </c>
      <c r="AL52" s="24">
        <f t="shared" si="7"/>
        <v>16.117000000000001</v>
      </c>
      <c r="AM52" s="24">
        <f t="shared" si="8"/>
        <v>15.659000000000001</v>
      </c>
      <c r="AN52" s="24">
        <f t="shared" si="9"/>
        <v>4.5759999999999996</v>
      </c>
      <c r="AO52" s="24">
        <f t="shared" si="10"/>
        <v>4.4820000000000002</v>
      </c>
      <c r="AP52" s="86"/>
      <c r="AQ52" s="35">
        <f t="shared" si="74"/>
        <v>60</v>
      </c>
      <c r="AR52" s="25">
        <f t="shared" si="11"/>
        <v>24204</v>
      </c>
      <c r="AS52" s="25">
        <f>SUM(AR52:AR$94)</f>
        <v>410838</v>
      </c>
      <c r="AT52" s="25">
        <f>IF($AQ52&lt;RAM,SUM(AR52:INDEX(Dx,RAM-BeginnAlter))," ")</f>
        <v>113591</v>
      </c>
      <c r="AU52" s="24">
        <f t="shared" si="12"/>
        <v>16.974</v>
      </c>
      <c r="AV52" s="24">
        <f t="shared" si="13"/>
        <v>16.515999999999998</v>
      </c>
      <c r="AW52" s="24">
        <f t="shared" si="14"/>
        <v>4.6929999999999996</v>
      </c>
      <c r="AX52" s="24">
        <f t="shared" si="15"/>
        <v>4.6230000000000002</v>
      </c>
      <c r="AY52" s="86"/>
      <c r="AZ52" s="35">
        <f t="shared" si="75"/>
        <v>60</v>
      </c>
      <c r="BA52" s="25">
        <f t="shared" si="16"/>
        <v>24040</v>
      </c>
      <c r="BB52" s="25">
        <f>SUM(BA52:BA$94)</f>
        <v>368900</v>
      </c>
      <c r="BC52" s="24">
        <f t="shared" si="17"/>
        <v>15.345000000000001</v>
      </c>
      <c r="BD52" s="24">
        <f t="shared" si="18"/>
        <v>14.887</v>
      </c>
      <c r="BE52" s="86"/>
      <c r="BF52" s="35">
        <f t="shared" si="48"/>
        <v>43</v>
      </c>
      <c r="BG52" s="24" t="str">
        <f t="shared" si="19"/>
        <v/>
      </c>
      <c r="BH52" s="24" t="str">
        <f t="shared" si="20"/>
        <v/>
      </c>
      <c r="BI52" s="86"/>
      <c r="BJ52" s="35">
        <f t="shared" si="76"/>
        <v>60</v>
      </c>
      <c r="BK52" s="25">
        <f t="shared" si="21"/>
        <v>9279</v>
      </c>
      <c r="BL52" s="25">
        <f>IF(BJ52&lt;RAM,SUM(BK52:INDEX(Daix,RAM-BeginnAlter))," ")</f>
        <v>51208</v>
      </c>
      <c r="BM52" s="25">
        <f>IF(BJ52&lt;RAM,SUM(BL52:INDEX(Naix,RAM-BeginnAlter))," ")</f>
        <v>157201</v>
      </c>
      <c r="BN52" s="24">
        <f t="shared" si="22"/>
        <v>9.9250000000000007</v>
      </c>
      <c r="BO52" s="24">
        <f t="shared" si="23"/>
        <v>2.4470000000000001</v>
      </c>
      <c r="BP52" s="86"/>
      <c r="BQ52" s="35">
        <f t="shared" si="77"/>
        <v>60</v>
      </c>
      <c r="BR52" s="25">
        <f t="shared" si="51"/>
        <v>2439</v>
      </c>
      <c r="BS52" s="25">
        <f>IF(BQ52&lt;RAM,SUM(BR52:INDEX(Daixs,RAM-BeginnAlter))," ")</f>
        <v>7681</v>
      </c>
      <c r="BT52" s="25">
        <f>IF(BQ52&lt;RAM,SUM(BS52:INDEX(Naixs,RAM-BeginnAlter))," ")</f>
        <v>17831</v>
      </c>
      <c r="BU52" s="24">
        <f t="shared" si="52"/>
        <v>12.005000000000001</v>
      </c>
      <c r="BV52" s="24">
        <f t="shared" si="53"/>
        <v>0.36699999999999999</v>
      </c>
      <c r="BW52" s="86"/>
      <c r="BX52" s="35">
        <f t="shared" si="78"/>
        <v>60</v>
      </c>
      <c r="BY52" s="10">
        <f t="shared" si="24"/>
        <v>5.6456759177018085</v>
      </c>
      <c r="BZ52" s="11">
        <f t="shared" si="25"/>
        <v>135</v>
      </c>
      <c r="CA52" s="25">
        <f>IF(S53&lt;=RAK,IF($BX52&lt;RAM,SUM(BZ52:INDEX(Dazx,RAM-BeginnAlter)),""),"")</f>
        <v>392</v>
      </c>
      <c r="CB52" s="24">
        <f t="shared" si="26"/>
        <v>1.9E-2</v>
      </c>
      <c r="CC52" s="25">
        <f t="shared" si="27"/>
        <v>19399</v>
      </c>
      <c r="CD52" s="24">
        <f t="shared" si="28"/>
        <v>13.35</v>
      </c>
      <c r="CE52" s="24">
        <f t="shared" si="29"/>
        <v>4.9000000000000002E-2</v>
      </c>
      <c r="CF52" s="86"/>
      <c r="CG52" s="35">
        <f t="shared" si="79"/>
        <v>60</v>
      </c>
      <c r="CH52" s="25">
        <f>IF(CG52&lt;RAM,ROUND(v^($CG52+FaktorAlter)*$H52*($B52*0.5*($P52+$P53)*(VLOOKUP(TRUNC(0.5*($Q52+$Q53),0),Frauen!$AZ$9:$BD$95,5)+(0.5*($Q52+$Q53)-TRUNC(0.5*($Q52+$Q53),0))*(VLOOKUP(TRUNC(0.5*($Q52+$Q53)+1,0),Frauen!$AZ$9:$BD$95,5)-VLOOKUP(TRUNC(0.5*($Q52+$Q53),0),Frauen!$AZ$9:$BD$95,5)))+$C52*0.5*($CN52+$CN53)),RundDx),"")</f>
        <v>5487</v>
      </c>
      <c r="CI52" s="25">
        <f>IF(CG52&lt;RAM,ROUND(SUM(CH52:INDEX(Dawx,RAM-BeginnAlter))+INDEX(Dax,RAM-BeginnAlter+1)*INDEX(äwx,1),RundDx),"")</f>
        <v>107558</v>
      </c>
      <c r="CJ52" s="25">
        <f>IF(CG52&lt;RAM,ROUND(SUM(CI52:INDEX(Nawx,RAM-BeginnAlter))+INDEX(Dax,RAM-BeginnAlter+1)*INDEX(äwx,1),RundDx),"")</f>
        <v>557861</v>
      </c>
      <c r="CK52" s="24">
        <f t="shared" si="56"/>
        <v>5.1390000000000002</v>
      </c>
      <c r="CL52" s="25">
        <f>IF(CG52&lt;RAM,ROUND(v^($CG52+FaktorAlter)*$L52*$D52*0.5*($P52+$P53)*(VLOOKUP(TRUNC(0.5*($Q52+$Q53),0),Frauen!$AZ$9:$BD$95,5)+(0.5*($Q52+$Q53)-TRUNC(0.5*($Q52+$Q53),0))*(VLOOKUP(TRUNC(0.5*($Q52+$Q53)+1,0),Frauen!$AZ$9:$BD$95,5)-VLOOKUP(TRUNC(0.5*($Q52+$Q53),0),Frauen!$AZ$9:$BD$95,5))),RundDx),"")</f>
        <v>9013</v>
      </c>
      <c r="CM52" s="25">
        <f>IF(CG52&lt;RAM,SUM(CL52:INDEX(Diwx,RAM-BeginnAlter))+INDEX(Dix,RAM-BeginnAlter+1)*INDEX(äwx,1),"")</f>
        <v>148832.41399999999</v>
      </c>
      <c r="CN52" s="24">
        <f t="shared" si="57"/>
        <v>5.7789999999999999</v>
      </c>
      <c r="CO52" s="86"/>
      <c r="CP52" s="35">
        <f t="shared" si="58"/>
        <v>108</v>
      </c>
      <c r="CQ52" s="25"/>
      <c r="CR52" s="25"/>
      <c r="CS52" s="24"/>
      <c r="CT52" s="86"/>
      <c r="CU52" s="35">
        <f t="shared" si="80"/>
        <v>60</v>
      </c>
      <c r="CV52" s="25">
        <f>IF($CU52&gt;=RAM,"",IF($CU52-CV$103&lt;BeginnAlter,"",ROUND(v^($CU52+FaktorAlter)*$L52*$D52*0.5*(VLOOKUP($CU52-CV$103,Frauen!$G$9:$J$102,4)+VLOOKUP($CU52-CV$103+1,Frauen!$G$9:$J$102,4))*0.5*(VLOOKUP($CU52-CV$103,Frauen!$AZ$9:$BD$102,5)+VLOOKUP($CU52-CV$103+1,Frauen!$AZ$9:$BD$102,5)),RundDx)))</f>
        <v>472647692</v>
      </c>
      <c r="CW52" s="25">
        <f>IF($CU52&gt;=RAM,"",IF($CU52-CW$103&lt;BeginnAlter,"",ROUND(v^($CU52+FaktorAlter)*$L52*$D52*0.5*(VLOOKUP($CU52-CW$103,Frauen!$G$9:$J$102,4)+VLOOKUP($CU52-CW$103+1,Frauen!$G$9:$J$102,4))*0.5*(VLOOKUP($CU52-CW$103,Frauen!$AZ$9:$BD$102,5)+VLOOKUP($CU52-CW$103+1,Frauen!$AZ$9:$BD$102,5)),RundDx)))</f>
        <v>506805130</v>
      </c>
      <c r="CX52" s="25">
        <f>IF($CU52&gt;=RAM,"",IF($CU52-CX$103&lt;BeginnAlter,"",ROUND(v^($CU52+FaktorAlter)*$L52*$D52*0.5*(VLOOKUP($CU52-CX$103,Frauen!$G$9:$J$102,4)+VLOOKUP($CU52-CX$103+1,Frauen!$G$9:$J$102,4))*0.5*(VLOOKUP($CU52-CX$103,Frauen!$AZ$9:$BD$102,5)+VLOOKUP($CU52-CX$103+1,Frauen!$AZ$9:$BD$102,5)),RundDx)))</f>
        <v>541609397</v>
      </c>
      <c r="CY52" s="25">
        <f>IF($CU52&gt;=RAM,"",IF($CU52-CY$103&lt;BeginnAlter,"",ROUND(v^($CU52+FaktorAlter)*$L52*$D52*0.5*(VLOOKUP($CU52-CY$103,Frauen!$G$9:$J$102,4)+VLOOKUP($CU52-CY$103+1,Frauen!$G$9:$J$102,4))*0.5*(VLOOKUP($CU52-CY$103,Frauen!$AZ$9:$BD$102,5)+VLOOKUP($CU52-CY$103+1,Frauen!$AZ$9:$BD$102,5)),RundDx)))</f>
        <v>576980481</v>
      </c>
      <c r="CZ52" s="25">
        <f>IF($CU52&gt;=RAM,"",IF($CU52-CZ$103&lt;BeginnAlter,"",ROUND(v^($CU52+FaktorAlter)*$L52*$D52*0.5*(VLOOKUP($CU52-CZ$103,Frauen!$G$9:$J$102,4)+VLOOKUP($CU52-CZ$103+1,Frauen!$G$9:$J$102,4))*0.5*(VLOOKUP($CU52-CZ$103,Frauen!$AZ$9:$BD$102,5)+VLOOKUP($CU52-CZ$103+1,Frauen!$AZ$9:$BD$102,5)),RundDx)))</f>
        <v>612763769</v>
      </c>
      <c r="DA52" s="25">
        <f>IF($CU52&gt;=RAM,"",IF($CU52-DA$103&lt;BeginnAlter,"",ROUND(v^($CU52+FaktorAlter)*$L52*$D52*0.5*(VLOOKUP($CU52-DA$103,Frauen!$G$9:$J$102,4)+VLOOKUP($CU52-DA$103+1,Frauen!$G$9:$J$102,4))*0.5*(VLOOKUP($CU52-DA$103,Frauen!$AZ$9:$BD$102,5)+VLOOKUP($CU52-DA$103+1,Frauen!$AZ$9:$BD$102,5)),RundDx)))</f>
        <v>648702369</v>
      </c>
      <c r="DB52" s="25">
        <f>IF($CU52&gt;=RAM,"",IF($CU52-DB$103&lt;BeginnAlter,"",ROUND(v^($CU52+FaktorAlter)*$L52*$D52*0.5*(VLOOKUP($CU52-DB$103,Frauen!$G$9:$J$102,4)+VLOOKUP($CU52-DB$103+1,Frauen!$G$9:$J$102,4))*0.5*(VLOOKUP($CU52-DB$103,Frauen!$AZ$9:$BD$102,5)+VLOOKUP($CU52-DB$103+1,Frauen!$AZ$9:$BD$102,5)),RundDx)))</f>
        <v>684696208</v>
      </c>
      <c r="DC52" s="25">
        <f>IF($CU52&gt;=RAM,"",IF($CU52-DC$103&lt;BeginnAlter,"",ROUND(v^($CU52+FaktorAlter)*$L52*$D52*0.5*(VLOOKUP($CU52-DC$103,Frauen!$G$9:$J$102,4)+VLOOKUP($CU52-DC$103+1,Frauen!$G$9:$J$102,4))*0.5*(VLOOKUP($CU52-DC$103,Frauen!$AZ$9:$BD$102,5)+VLOOKUP($CU52-DC$103+1,Frauen!$AZ$9:$BD$102,5)),RundDx)))</f>
        <v>720679108</v>
      </c>
      <c r="DD52" s="25">
        <f>IF($CU52&gt;=RAM,"",IF($CU52-DD$103&lt;BeginnAlter,"",ROUND(v^($CU52+FaktorAlter)*$L52*$D52*0.5*(VLOOKUP($CU52-DD$103,Frauen!$G$9:$J$102,4)+VLOOKUP($CU52-DD$103+1,Frauen!$G$9:$J$102,4))*0.5*(VLOOKUP($CU52-DD$103,Frauen!$AZ$9:$BD$102,5)+VLOOKUP($CU52-DD$103+1,Frauen!$AZ$9:$BD$102,5)),RundDx)))</f>
        <v>756406899</v>
      </c>
      <c r="DE52" s="25">
        <f>IF($CU52&gt;=RAM,"",IF($CU52-DE$103&lt;BeginnAlter,"",ROUND(v^($CU52+FaktorAlter)*$L52*$D52*0.5*(VLOOKUP($CU52-DE$103,Frauen!$G$9:$J$102,4)+VLOOKUP($CU52-DE$103+1,Frauen!$G$9:$J$102,4))*0.5*(VLOOKUP($CU52-DE$103,Frauen!$AZ$9:$BD$102,5)+VLOOKUP($CU52-DE$103+1,Frauen!$AZ$9:$BD$102,5)),RundDx)))</f>
        <v>791738311</v>
      </c>
      <c r="DF52" s="25">
        <f>IF($CU52&gt;=RAM,"",IF($CU52-DF$103&lt;BeginnAlter,"",ROUND(v^($CU52+FaktorAlter)*$L52*$D52*0.5*(VLOOKUP($CU52-DF$103,Frauen!$G$9:$J$102,4)+VLOOKUP($CU52-DF$103+1,Frauen!$G$9:$J$102,4))*0.5*(VLOOKUP($CU52-DF$103,Frauen!$AZ$9:$BD$102,5)+VLOOKUP($CU52-DF$103+1,Frauen!$AZ$9:$BD$102,5)),RundDx)))</f>
        <v>826732241</v>
      </c>
      <c r="DG52" s="25">
        <f>IF($CU52&gt;=RAM,"",IF($CU52-DG$103&lt;BeginnAlter,"",ROUND(v^($CU52+FaktorAlter)*$L52*$D52*0.5*(VLOOKUP($CU52-DG$103,Frauen!$G$9:$J$102,4)+VLOOKUP($CU52-DG$103+1,Frauen!$G$9:$J$102,4))*0.5*(VLOOKUP($CU52-DG$103,Frauen!$AZ$9:$BD$102,5)+VLOOKUP($CU52-DG$103+1,Frauen!$AZ$9:$BD$102,5)),RundDx)))</f>
        <v>861306324</v>
      </c>
      <c r="DH52" s="25">
        <f>IF($CU52&gt;=RAM,"",IF($CU52-DH$103&lt;BeginnAlter,"",ROUND(v^($CU52+FaktorAlter)*$L52*$D52*0.5*(VLOOKUP($CU52-DH$103,Frauen!$G$9:$J$102,4)+VLOOKUP($CU52-DH$103+1,Frauen!$G$9:$J$102,4))*0.5*(VLOOKUP($CU52-DH$103,Frauen!$AZ$9:$BD$102,5)+VLOOKUP($CU52-DH$103+1,Frauen!$AZ$9:$BD$102,5)),RundDx)))</f>
        <v>895256348</v>
      </c>
      <c r="DI52" s="25">
        <f>IF($CU52&gt;=RAM,"",IF($CU52-DI$103&lt;BeginnAlter,"",ROUND(v^($CU52+FaktorAlter)*$L52*$D52*0.5*(VLOOKUP($CU52-DI$103,Frauen!$G$9:$J$102,4)+VLOOKUP($CU52-DI$103+1,Frauen!$G$9:$J$102,4))*0.5*(VLOOKUP($CU52-DI$103,Frauen!$AZ$9:$BD$102,5)+VLOOKUP($CU52-DI$103+1,Frauen!$AZ$9:$BD$102,5)),RundDx)))</f>
        <v>928563917</v>
      </c>
      <c r="DJ52" s="25">
        <f>IF($CU52&gt;=RAM,"",IF($CU52-DJ$103&lt;BeginnAlter,"",ROUND(v^($CU52+FaktorAlter)*$L52*$D52*0.5*(VLOOKUP($CU52-DJ$103,Frauen!$G$9:$J$102,4)+VLOOKUP($CU52-DJ$103+1,Frauen!$G$9:$J$102,4))*0.5*(VLOOKUP($CU52-DJ$103,Frauen!$AZ$9:$BD$102,5)+VLOOKUP($CU52-DJ$103+1,Frauen!$AZ$9:$BD$102,5)),RundDx)))</f>
        <v>961315076</v>
      </c>
      <c r="DK52" s="25">
        <f>IF($CU52&gt;=RAM,"",IF($CU52-DK$103&lt;BeginnAlter,"",ROUND(v^($CU52+FaktorAlter)*$L52*$D52*0.5*(VLOOKUP($CU52-DK$103,Frauen!$G$9:$J$102,4)+VLOOKUP($CU52-DK$103+1,Frauen!$G$9:$J$102,4))*0.5*(VLOOKUP($CU52-DK$103,Frauen!$AZ$9:$BD$102,5)+VLOOKUP($CU52-DK$103+1,Frauen!$AZ$9:$BD$102,5)),RundDx)))</f>
        <v>993466133</v>
      </c>
      <c r="DL52" s="25">
        <f>IF($CU52&gt;=RAM,"",IF($CU52-DL$103&lt;BeginnAlter,"",ROUND(v^($CU52+FaktorAlter)*$L52*$D52*0.5*(VLOOKUP($CU52-DL$103,Frauen!$G$9:$J$102,4)+VLOOKUP($CU52-DL$103+1,Frauen!$G$9:$J$102,4))*0.5*(VLOOKUP($CU52-DL$103,Frauen!$AZ$9:$BD$102,5)+VLOOKUP($CU52-DL$103+1,Frauen!$AZ$9:$BD$102,5)),RundDx)))</f>
        <v>1025008392</v>
      </c>
      <c r="DM52" s="25">
        <f>IF($CU52&gt;=RAM,"",IF($CU52-DM$103&lt;BeginnAlter,"",ROUND(v^($CU52+FaktorAlter)*$L52*$D52*0.5*(VLOOKUP($CU52-DM$103,Frauen!$G$9:$J$102,4)+VLOOKUP($CU52-DM$103+1,Frauen!$G$9:$J$102,4))*0.5*(VLOOKUP($CU52-DM$103,Frauen!$AZ$9:$BD$102,5)+VLOOKUP($CU52-DM$103+1,Frauen!$AZ$9:$BD$102,5)),RundDx)))</f>
        <v>1056007374</v>
      </c>
      <c r="DN52" s="25">
        <f>IF($CU52&gt;=RAM,"",IF($CU52-DN$103&lt;BeginnAlter,"",ROUND(v^($CU52+FaktorAlter)*$L52*$D52*0.5*(VLOOKUP($CU52-DN$103,Frauen!$G$9:$J$102,4)+VLOOKUP($CU52-DN$103+1,Frauen!$G$9:$J$102,4))*0.5*(VLOOKUP($CU52-DN$103,Frauen!$AZ$9:$BD$102,5)+VLOOKUP($CU52-DN$103+1,Frauen!$AZ$9:$BD$102,5)),RundDx)))</f>
        <v>1086559986</v>
      </c>
      <c r="DO52" s="25">
        <f>IF($CU52&gt;=RAM,"",IF($CU52-DO$103&lt;BeginnAlter,"",ROUND(v^($CU52+FaktorAlter)*$L52*$D52*0.5*(VLOOKUP($CU52-DO$103,Frauen!$G$9:$J$102,4)+VLOOKUP($CU52-DO$103+1,Frauen!$G$9:$J$102,4))*0.5*(VLOOKUP($CU52-DO$103,Frauen!$AZ$9:$BD$102,5)+VLOOKUP($CU52-DO$103+1,Frauen!$AZ$9:$BD$102,5)),RundDx)))</f>
        <v>1116746426</v>
      </c>
      <c r="DP52" s="25">
        <f>IF($CU52&gt;=RAM,"",IF($CU52-DP$103&lt;BeginnAlter,"",ROUND(v^($CU52+FaktorAlter)*$L52*$D52*0.5*(VLOOKUP($CU52-DP$103,Frauen!$G$9:$J$102,4)+VLOOKUP($CU52-DP$103+1,Frauen!$G$9:$J$102,4))*0.5*(VLOOKUP($CU52-DP$103,Frauen!$AZ$9:$BD$102,5)+VLOOKUP($CU52-DP$103+1,Frauen!$AZ$9:$BD$102,5)),RundDx)))</f>
        <v>1146638561</v>
      </c>
      <c r="DQ52" s="25">
        <f>IF($CU52&gt;=RAM,"",IF($CU52-DQ$103&lt;BeginnAlter,"",ROUND(v^($CU52+FaktorAlter)*$L52*$D52*0.5*(VLOOKUP($CU52-DQ$103,Frauen!$G$9:$J$102,4)+VLOOKUP($CU52-DQ$103+1,Frauen!$G$9:$J$102,4))*0.5*(VLOOKUP($CU52-DQ$103,Frauen!$AZ$9:$BD$102,5)+VLOOKUP($CU52-DQ$103+1,Frauen!$AZ$9:$BD$102,5)),RundDx)))</f>
        <v>1176270374</v>
      </c>
      <c r="DR52" s="25">
        <f>IF($CU52&gt;=RAM,"",IF($CU52-DR$103&lt;BeginnAlter,"",ROUND(v^($CU52+FaktorAlter)*$L52*$D52*0.5*(VLOOKUP($CU52-DR$103,Frauen!$G$9:$J$102,4)+VLOOKUP($CU52-DR$103+1,Frauen!$G$9:$J$102,4))*0.5*(VLOOKUP($CU52-DR$103,Frauen!$AZ$9:$BD$102,5)+VLOOKUP($CU52-DR$103+1,Frauen!$AZ$9:$BD$102,5)),RundDx)))</f>
        <v>1205586621</v>
      </c>
      <c r="DS52" s="25">
        <f>IF($CU52&gt;=RAM,"",IF($CU52-DS$103&lt;BeginnAlter,"",ROUND(v^($CU52+FaktorAlter)*$L52*$D52*0.5*(VLOOKUP($CU52-DS$103,Frauen!$G$9:$J$102,4)+VLOOKUP($CU52-DS$103+1,Frauen!$G$9:$J$102,4))*0.5*(VLOOKUP($CU52-DS$103,Frauen!$AZ$9:$BD$102,5)+VLOOKUP($CU52-DS$103+1,Frauen!$AZ$9:$BD$102,5)),RundDx)))</f>
        <v>1234612185</v>
      </c>
      <c r="DT52" s="25">
        <f>IF($CU52&gt;=RAM,"",IF($CU52-DT$103&lt;BeginnAlter,"",ROUND(v^($CU52+FaktorAlter)*$L52*$D52*0.5*(VLOOKUP($CU52-DT$103,Frauen!$G$9:$J$102,4)+VLOOKUP($CU52-DT$103+1,Frauen!$G$9:$J$102,4))*0.5*(VLOOKUP($CU52-DT$103,Frauen!$AZ$9:$BD$102,5)+VLOOKUP($CU52-DT$103+1,Frauen!$AZ$9:$BD$102,5)),RundDx)))</f>
        <v>1263286729</v>
      </c>
      <c r="DU52" s="25">
        <f>IF($CU52&gt;=RAM,"",IF($CU52-DU$103&lt;BeginnAlter,"",ROUND(v^($CU52+FaktorAlter)*$L52*$D52*0.5*(VLOOKUP($CU52-DU$103,Frauen!$G$9:$J$102,4)+VLOOKUP($CU52-DU$103+1,Frauen!$G$9:$J$102,4))*0.5*(VLOOKUP($CU52-DU$103,Frauen!$AZ$9:$BD$102,5)+VLOOKUP($CU52-DU$103+1,Frauen!$AZ$9:$BD$102,5)),RundDx)))</f>
        <v>1291477342</v>
      </c>
      <c r="DV52" s="25">
        <f>IF($CU52&gt;=RAM,"",IF($CU52-DV$103&lt;BeginnAlter,"",ROUND(v^($CU52+FaktorAlter)*$L52*$D52*0.5*(VLOOKUP($CU52-DV$103,Frauen!$G$9:$J$102,4)+VLOOKUP($CU52-DV$103+1,Frauen!$G$9:$J$102,4))*0.5*(VLOOKUP($CU52-DV$103,Frauen!$AZ$9:$BD$102,5)+VLOOKUP($CU52-DV$103+1,Frauen!$AZ$9:$BD$102,5)),RundDx)))</f>
        <v>1319100935</v>
      </c>
      <c r="DW52" s="25">
        <f>IF($CU52&gt;=RAM,"",IF($CU52-DW$103&lt;BeginnAlter,"",ROUND(v^($CU52+FaktorAlter)*$L52*$D52*0.5*(VLOOKUP($CU52-DW$103,Frauen!$G$9:$J$102,4)+VLOOKUP($CU52-DW$103+1,Frauen!$G$9:$J$102,4))*0.5*(VLOOKUP($CU52-DW$103,Frauen!$AZ$9:$BD$102,5)+VLOOKUP($CU52-DW$103+1,Frauen!$AZ$9:$BD$102,5)),RundDx)))</f>
        <v>1346131389</v>
      </c>
      <c r="DX52" s="25">
        <f>IF($CU52&gt;=RAM,"",IF($CU52-DX$103&lt;BeginnAlter,"",ROUND(v^($CU52+FaktorAlter)*$L52*$D52*0.5*(VLOOKUP($CU52-DX$103,Frauen!$G$9:$J$102,4)+VLOOKUP($CU52-DX$103+1,Frauen!$G$9:$J$102,4))*0.5*(VLOOKUP($CU52-DX$103,Frauen!$AZ$9:$BD$102,5)+VLOOKUP($CU52-DX$103+1,Frauen!$AZ$9:$BD$102,5)),RundDx)))</f>
        <v>1372572293</v>
      </c>
      <c r="DY52" s="25">
        <f>IF($CU52&gt;=RAM,"",IF($CU52-DY$103&lt;BeginnAlter,"",ROUND(v^($CU52+FaktorAlter)*$L52*$D52*0.5*(VLOOKUP($CU52-DY$103,Frauen!$G$9:$J$102,4)+VLOOKUP($CU52-DY$103+1,Frauen!$G$9:$J$102,4))*0.5*(VLOOKUP($CU52-DY$103,Frauen!$AZ$9:$BD$102,5)+VLOOKUP($CU52-DY$103+1,Frauen!$AZ$9:$BD$102,5)),RundDx)))</f>
        <v>1398450068</v>
      </c>
      <c r="DZ52" s="25">
        <f>IF($CU52&gt;=RAM,"",IF($CU52-DZ$103&lt;BeginnAlter,"",ROUND(v^($CU52+FaktorAlter)*$L52*$D52*0.5*(VLOOKUP($CU52-DZ$103,Frauen!$G$9:$J$102,4)+VLOOKUP($CU52-DZ$103+1,Frauen!$G$9:$J$102,4))*0.5*(VLOOKUP($CU52-DZ$103,Frauen!$AZ$9:$BD$102,5)+VLOOKUP($CU52-DZ$103+1,Frauen!$AZ$9:$BD$102,5)),RundDx)))</f>
        <v>1423729388</v>
      </c>
      <c r="EA52" s="43">
        <f>IF($CU52&gt;=RAM,"",IF($CU52-EA$103&lt;BeginnAlter,"",ROUND((SUM(CV52:CV$56)+SUM(FN$9:FN$56))/VLOOKUP($CU52,$AH$9:$AI$102,2)/VLOOKUP($CU52-EA$103,Frauen!$G$9:$J$102,4),Rundäx)))</f>
        <v>1.66</v>
      </c>
      <c r="EB52" s="43">
        <f>IF($CU52&gt;=RAM,"",IF($CU52-EB$103&lt;BeginnAlter,"",ROUND((SUM(CW52:CW$56)+SUM(FO$9:FO$56))/VLOOKUP($CU52,$AH$9:$AI$102,2)/VLOOKUP($CU52-EB$103,Frauen!$G$9:$J$102,4),Rundäx)))</f>
        <v>1.827</v>
      </c>
      <c r="EC52" s="43">
        <f>IF($CU52&gt;=RAM,"",IF($CU52-EC$103&lt;BeginnAlter,"",ROUND((SUM(CX52:CX$56)+SUM(FP$9:FP$56))/VLOOKUP($CU52,$AH$9:$AI$102,2)/VLOOKUP($CU52-EC$103,Frauen!$G$9:$J$102,4),Rundäx)))</f>
        <v>2.0030000000000001</v>
      </c>
      <c r="ED52" s="43">
        <f>IF($CU52&gt;=RAM,"",IF($CU52-ED$103&lt;BeginnAlter,"",ROUND((SUM(CY52:CY$56)+SUM(FQ$9:FQ$56))/VLOOKUP($CU52,$AH$9:$AI$102,2)/VLOOKUP($CU52-ED$103,Frauen!$G$9:$J$102,4),Rundäx)))</f>
        <v>2.1880000000000002</v>
      </c>
      <c r="EE52" s="43">
        <f>IF($CU52&gt;=RAM,"",IF($CU52-EE$103&lt;BeginnAlter,"",ROUND((SUM(CZ52:CZ$56)+SUM(FR$9:FR$56))/VLOOKUP($CU52,$AH$9:$AI$102,2)/VLOOKUP($CU52-EE$103,Frauen!$G$9:$J$102,4),Rundäx)))</f>
        <v>2.383</v>
      </c>
      <c r="EF52" s="43">
        <f>IF($CU52&gt;=RAM,"",IF($CU52-EF$103&lt;BeginnAlter,"",ROUND((SUM(DA52:DA$56)+SUM(FS$9:FS$56))/VLOOKUP($CU52,$AH$9:$AI$102,2)/VLOOKUP($CU52-EF$103,Frauen!$G$9:$J$102,4),Rundäx)))</f>
        <v>2.5880000000000001</v>
      </c>
      <c r="EG52" s="43">
        <f>IF($CU52&gt;=RAM,"",IF($CU52-EG$103&lt;BeginnAlter,"",ROUND((SUM(DB52:DB$56)+SUM(FT$9:FT$56))/VLOOKUP($CU52,$AH$9:$AI$102,2)/VLOOKUP($CU52-EG$103,Frauen!$G$9:$J$102,4),Rundäx)))</f>
        <v>2.802</v>
      </c>
      <c r="EH52" s="43">
        <f>IF($CU52&gt;=RAM,"",IF($CU52-EH$103&lt;BeginnAlter,"",ROUND((SUM(DC52:DC$56)+SUM(FU$9:FU$56))/VLOOKUP($CU52,$AH$9:$AI$102,2)/VLOOKUP($CU52-EH$103,Frauen!$G$9:$J$102,4),Rundäx)))</f>
        <v>3.0270000000000001</v>
      </c>
      <c r="EI52" s="86"/>
      <c r="EJ52" s="35">
        <f t="shared" si="60"/>
        <v>60</v>
      </c>
      <c r="EK52" s="43">
        <f>IF($CU52&gt;=RAM,"",IF($CU52-EK$103&lt;BeginnAlter,"",ROUND((SUM(DD52:DD$56)+SUM(FV$9:FV$56))/VLOOKUP($CU52,$AH$9:$AI$102,2)/VLOOKUP($CU52-EK$103,Frauen!$G$9:$J$102,4),Rundäx)))</f>
        <v>3.262</v>
      </c>
      <c r="EL52" s="43">
        <f>IF($CU52&gt;=RAM,"",IF($CU52-EL$103&lt;BeginnAlter,"",ROUND((SUM(DE52:DE$56)+SUM(FW$9:FW$56))/VLOOKUP($CU52,$AH$9:$AI$102,2)/VLOOKUP($CU52-EL$103,Frauen!$G$9:$J$102,4),Rundäx)))</f>
        <v>3.5070000000000001</v>
      </c>
      <c r="EM52" s="43">
        <f>IF($CU52&gt;=RAM,"",IF($CU52-EM$103&lt;BeginnAlter,"",ROUND((SUM(DF52:DF$56)+SUM(FX$9:FX$56))/VLOOKUP($CU52,$AH$9:$AI$102,2)/VLOOKUP($CU52-EM$103,Frauen!$G$9:$J$102,4),Rundäx)))</f>
        <v>3.7610000000000001</v>
      </c>
      <c r="EN52" s="43">
        <f>IF($CU52&gt;=RAM,"",IF($CU52-EN$103&lt;BeginnAlter,"",ROUND((SUM(DG52:DG$56)+SUM(FY$9:FY$56))/VLOOKUP($CU52,$AH$9:$AI$102,2)/VLOOKUP($CU52-EN$103,Frauen!$G$9:$J$102,4),Rundäx)))</f>
        <v>4.0259999999999998</v>
      </c>
      <c r="EO52" s="43">
        <f>IF($CU52&gt;=RAM,"",IF($CU52-EO$103&lt;BeginnAlter,"",ROUND((SUM(DH52:DH$56)+SUM(FZ$9:FZ$56))/VLOOKUP($CU52,$AH$9:$AI$102,2)/VLOOKUP($CU52-EO$103,Frauen!$G$9:$J$102,4),Rundäx)))</f>
        <v>4.3010000000000002</v>
      </c>
      <c r="EP52" s="43">
        <f>IF($CU52&gt;=RAM,"",IF($CU52-EP$103&lt;BeginnAlter,"",ROUND((SUM(DI52:DI$56)+SUM(GA$9:GA$56))/VLOOKUP($CU52,$AH$9:$AI$102,2)/VLOOKUP($CU52-EP$103,Frauen!$G$9:$J$102,4),Rundäx)))</f>
        <v>4.5860000000000003</v>
      </c>
      <c r="EQ52" s="43">
        <f>IF($CU52&gt;=RAM,"",IF($CU52-EQ$103&lt;BeginnAlter,"",ROUND((SUM(DJ52:DJ$56)+SUM(GB$9:GB$56))/VLOOKUP($CU52,$AH$9:$AI$102,2)/VLOOKUP($CU52-EQ$103,Frauen!$G$9:$J$102,4),Rundäx)))</f>
        <v>4.88</v>
      </c>
      <c r="ER52" s="43">
        <f>IF($CU52&gt;=RAM,"",IF($CU52-ER$103&lt;BeginnAlter,"",ROUND((SUM(DK52:DK$56)+SUM(GC$9:GC$56))/VLOOKUP($CU52,$AH$9:$AI$102,2)/VLOOKUP($CU52-ER$103,Frauen!$G$9:$J$102,4),Rundäx)))</f>
        <v>5.1840000000000002</v>
      </c>
      <c r="ES52" s="86"/>
      <c r="ET52" s="35">
        <f t="shared" si="61"/>
        <v>60</v>
      </c>
      <c r="EU52" s="43">
        <f>IF($CU52&gt;=RAM,"",IF($CU52-EU$103&lt;BeginnAlter,"",ROUND((SUM(DL52:DL$56)+SUM(GD$9:GD$56))/VLOOKUP($CU52,$AH$9:$AI$102,2)/VLOOKUP($CU52-EU$103,Frauen!$G$9:$J$102,4),Rundäx)))</f>
        <v>5.4969999999999999</v>
      </c>
      <c r="EV52" s="43">
        <f>IF($CU52&gt;=RAM,"",IF($CU52-EV$103&lt;BeginnAlter,"",ROUND((SUM(DM52:DM$56)+SUM(GE$9:GE$56))/VLOOKUP($CU52,$AH$9:$AI$102,2)/VLOOKUP($CU52-EV$103,Frauen!$G$9:$J$102,4),Rundäx)))</f>
        <v>5.8179999999999996</v>
      </c>
      <c r="EW52" s="43">
        <f>IF($CU52&gt;=RAM,"",IF($CU52-EW$103&lt;BeginnAlter,"",ROUND((SUM(DN52:DN$56)+SUM(GF$9:GF$56))/VLOOKUP($CU52,$AH$9:$AI$102,2)/VLOOKUP($CU52-EW$103,Frauen!$G$9:$J$102,4),Rundäx)))</f>
        <v>6.1459999999999999</v>
      </c>
      <c r="EX52" s="43">
        <f>IF($CU52&gt;=RAM,"",IF($CU52-EX$103&lt;BeginnAlter,"",ROUND((SUM(DO52:DO$56)+SUM(GG$9:GG$56))/VLOOKUP($CU52,$AH$9:$AI$102,2)/VLOOKUP($CU52-EX$103,Frauen!$G$9:$J$102,4),Rundäx)))</f>
        <v>6.4809999999999999</v>
      </c>
      <c r="EY52" s="43">
        <f>IF($CU52&gt;=RAM,"",IF($CU52-EY$103&lt;BeginnAlter,"",ROUND((SUM(DP52:DP$56)+SUM(GH$9:GH$56))/VLOOKUP($CU52,$AH$9:$AI$102,2)/VLOOKUP($CU52-EY$103,Frauen!$G$9:$J$102,4),Rundäx)))</f>
        <v>6.8209999999999997</v>
      </c>
      <c r="EZ52" s="43">
        <f>IF($CU52&gt;=RAM,"",IF($CU52-EZ$103&lt;BeginnAlter,"",ROUND((SUM(DQ52:DQ$56)+SUM(GI$9:GI$56))/VLOOKUP($CU52,$AH$9:$AI$102,2)/VLOOKUP($CU52-EZ$103,Frauen!$G$9:$J$102,4),Rundäx)))</f>
        <v>7.1660000000000004</v>
      </c>
      <c r="FA52" s="43">
        <f>IF($CU52&gt;=RAM,"",IF($CU52-FA$103&lt;BeginnAlter,"",ROUND((SUM(DR52:DR$56)+SUM(GJ$9:GJ$56))/VLOOKUP($CU52,$AH$9:$AI$102,2)/VLOOKUP($CU52-FA$103,Frauen!$G$9:$J$102,4),Rundäx)))</f>
        <v>7.5149999999999997</v>
      </c>
      <c r="FB52" s="43">
        <f>IF($CU52&gt;=RAM,"",IF($CU52-FB$103&lt;BeginnAlter,"",ROUND((SUM(DS52:DS$56)+SUM(GK$9:GK$56))/VLOOKUP($CU52,$AH$9:$AI$102,2)/VLOOKUP($CU52-FB$103,Frauen!$G$9:$J$102,4),Rundäx)))</f>
        <v>7.867</v>
      </c>
      <c r="FC52" s="86"/>
      <c r="FD52" s="35">
        <f t="shared" si="62"/>
        <v>60</v>
      </c>
      <c r="FE52" s="43">
        <f>IF($CU52&gt;=RAM,"",IF($CU52-FE$103&lt;BeginnAlter,"",ROUND((SUM(DT52:DT$56)+SUM(GL$9:GL$56))/VLOOKUP($CU52,$AH$9:$AI$102,2)/VLOOKUP($CU52-FE$103,Frauen!$G$9:$J$102,4),Rundäx)))</f>
        <v>8.2219999999999995</v>
      </c>
      <c r="FF52" s="43">
        <f>IF($CU52&gt;=RAM,"",IF($CU52-FF$103&lt;BeginnAlter,"",ROUND((SUM(DU52:DU$56)+SUM(GM$9:GM$56))/VLOOKUP($CU52,$AH$9:$AI$102,2)/VLOOKUP($CU52-FF$103,Frauen!$G$9:$J$102,4),Rundäx)))</f>
        <v>8.5779999999999994</v>
      </c>
      <c r="FG52" s="43">
        <f>IF($CU52&gt;=RAM,"",IF($CU52-FG$103&lt;BeginnAlter,"",ROUND((SUM(DV52:DV$56)+SUM(GN$9:GN$56))/VLOOKUP($CU52,$AH$9:$AI$102,2)/VLOOKUP($CU52-FG$103,Frauen!$G$9:$J$102,4),Rundäx)))</f>
        <v>8.9350000000000005</v>
      </c>
      <c r="FH52" s="43">
        <f>IF($CU52&gt;=RAM,"",IF($CU52-FH$103&lt;BeginnAlter,"",ROUND((SUM(DW52:DW$56)+SUM(GO$9:GO$56))/VLOOKUP($CU52,$AH$9:$AI$102,2)/VLOOKUP($CU52-FH$103,Frauen!$G$9:$J$102,4),Rundäx)))</f>
        <v>9.2919999999999998</v>
      </c>
      <c r="FI52" s="43">
        <f>IF($CU52&gt;=RAM,"",IF($CU52-FI$103&lt;BeginnAlter,"",ROUND((SUM(DX52:DX$56)+SUM(GP$9:GP$56))/VLOOKUP($CU52,$AH$9:$AI$102,2)/VLOOKUP($CU52-FI$103,Frauen!$G$9:$J$102,4),Rundäx)))</f>
        <v>9.6479999999999997</v>
      </c>
      <c r="FJ52" s="43">
        <f>IF($CU52&gt;=RAM,"",IF($CU52-FJ$103&lt;BeginnAlter,"",ROUND((SUM(DY52:DY$56)+SUM(GQ$9:GQ$56))/VLOOKUP($CU52,$AH$9:$AI$102,2)/VLOOKUP($CU52-FJ$103,Frauen!$G$9:$J$102,4),Rundäx)))</f>
        <v>10.004</v>
      </c>
      <c r="FK52" s="43">
        <f>IF($CU52&gt;=RAM,"",IF($CU52-FK$103&lt;BeginnAlter,"",ROUND((SUM(DZ52:DZ$56)+SUM(GR$9:GR$56))/VLOOKUP($CU52,$AH$9:$AI$102,2)/VLOOKUP($CU52-FK$103,Frauen!$G$9:$J$102,4),Rundäx)))</f>
        <v>10.358000000000001</v>
      </c>
      <c r="FL52" s="86"/>
      <c r="FM52" s="35">
        <f t="shared" si="68"/>
        <v>108</v>
      </c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4"/>
      <c r="GT52" s="24"/>
      <c r="GU52" s="24"/>
      <c r="GV52" s="24"/>
      <c r="GW52" s="24"/>
      <c r="GX52" s="24"/>
      <c r="GY52" s="24"/>
      <c r="GZ52" s="24"/>
      <c r="HA52" s="86"/>
      <c r="HB52" s="35">
        <f t="shared" si="63"/>
        <v>108</v>
      </c>
      <c r="HC52" s="24"/>
      <c r="HD52" s="24"/>
      <c r="HE52" s="24"/>
      <c r="HF52" s="24"/>
      <c r="HG52" s="24"/>
      <c r="HH52" s="24"/>
      <c r="HI52" s="24"/>
      <c r="HJ52" s="24"/>
      <c r="HK52" s="86"/>
      <c r="HL52" s="35">
        <f t="shared" si="64"/>
        <v>108</v>
      </c>
      <c r="HM52" s="24"/>
      <c r="HN52" s="24"/>
      <c r="HO52" s="24"/>
      <c r="HP52" s="24"/>
      <c r="HQ52" s="24"/>
      <c r="HR52" s="24"/>
      <c r="HS52" s="24"/>
      <c r="HT52" s="24"/>
      <c r="HU52" s="86"/>
      <c r="HV52" s="35">
        <f t="shared" si="65"/>
        <v>108</v>
      </c>
      <c r="HW52" s="24"/>
      <c r="HX52" s="24"/>
      <c r="HY52" s="24"/>
      <c r="HZ52" s="24"/>
      <c r="IA52" s="24"/>
      <c r="IB52" s="24"/>
      <c r="IC52" s="24"/>
      <c r="ID52" s="89"/>
      <c r="IE52" s="35">
        <f t="shared" si="81"/>
        <v>60</v>
      </c>
      <c r="IF52" s="25">
        <f t="shared" si="31"/>
        <v>41</v>
      </c>
      <c r="IG52" s="25">
        <f>IF($IE52&lt;RAM,IF(S53&lt;=RAK,ROUND(SUM(IF52:INDEX(Dakx,RAM-BeginnAlter))+INDEX(Dax,RAM-BeginnAlter+1)*INDEX(äkx,1),RundDx),0),"")</f>
        <v>247</v>
      </c>
      <c r="IH52" s="25">
        <f>IF($IE52&lt;RAM,IF(S53&lt;=RAK,ROUND(SUM(IG52:INDEX(Nakx,RAM-BeginnAlter))+INDEX(Dax,RAM-BeginnAlter+1)*INDEX(äkx,1),RundDx),0),"")</f>
        <v>1041</v>
      </c>
      <c r="II52" s="24">
        <f t="shared" si="32"/>
        <v>1.2E-2</v>
      </c>
      <c r="IJ52" s="25">
        <f t="shared" si="33"/>
        <v>134</v>
      </c>
      <c r="IK52" s="25">
        <f>IF($IE52&lt;RAM,IF(S53&lt;=RAK,SUM(IJ52:INDEX(Dikx,RAM-BeginnAlter))+INDEX(Dix,RAM-BeginnAlter+1)*INDEX(äkx,1),0),"")</f>
        <v>509.83199999999999</v>
      </c>
      <c r="IL52" s="24">
        <f t="shared" si="34"/>
        <v>0.02</v>
      </c>
      <c r="IM52" s="86"/>
      <c r="IN52" s="35">
        <f t="shared" si="67"/>
        <v>108</v>
      </c>
      <c r="IO52" s="25"/>
      <c r="IP52" s="25"/>
      <c r="IQ52" s="24"/>
      <c r="IR52" s="86"/>
    </row>
    <row r="53" spans="1:252" ht="15.75" customHeight="1" x14ac:dyDescent="0.25">
      <c r="A53" s="35">
        <f t="shared" si="69"/>
        <v>61</v>
      </c>
      <c r="B53" s="77">
        <v>7.0775999999999999E-3</v>
      </c>
      <c r="C53" s="77">
        <v>3.3877600000000001E-2</v>
      </c>
      <c r="D53" s="77">
        <v>2.2821978245052381E-2</v>
      </c>
      <c r="E53" s="77">
        <v>9.904247968148483E-3</v>
      </c>
      <c r="F53" s="86"/>
      <c r="G53" s="35">
        <f t="shared" si="70"/>
        <v>61</v>
      </c>
      <c r="H53" s="25">
        <f t="shared" si="37"/>
        <v>76741</v>
      </c>
      <c r="I53" s="25">
        <f t="shared" si="38"/>
        <v>14432</v>
      </c>
      <c r="J53" s="25">
        <f t="shared" si="39"/>
        <v>91173</v>
      </c>
      <c r="K53" s="30">
        <f>IF(J53&gt;0,ROUND(SUM(J53:J$102)/J53-0.5,Rundex),"")</f>
        <v>20.67</v>
      </c>
      <c r="L53" s="25">
        <f t="shared" si="0"/>
        <v>95676</v>
      </c>
      <c r="M53" s="30">
        <f>IF(L53&gt;0,ROUND(SUM(L53:L$102)/L53-0.5,Rundex),"")</f>
        <v>19.78</v>
      </c>
      <c r="N53" s="86"/>
      <c r="O53" s="35">
        <f t="shared" si="71"/>
        <v>61</v>
      </c>
      <c r="P53" s="43">
        <v>0.78065452481115427</v>
      </c>
      <c r="Q53" s="78">
        <v>57.691485545944346</v>
      </c>
      <c r="R53" s="43">
        <v>3.0815036258302397E-2</v>
      </c>
      <c r="S53" s="78">
        <v>18.858644321363371</v>
      </c>
      <c r="T53" s="15">
        <v>1.5873211478217825E-2</v>
      </c>
      <c r="U53" s="11">
        <f t="shared" si="40"/>
        <v>90122</v>
      </c>
      <c r="V53" s="30">
        <f>IF(U53&gt;0,ROUND(SUM(U53:U$102)/U53-0.5,Rundex),"")</f>
        <v>18.32</v>
      </c>
      <c r="W53" s="86"/>
      <c r="X53" s="35">
        <f t="shared" si="72"/>
        <v>61</v>
      </c>
      <c r="Y53" s="25">
        <f t="shared" si="1"/>
        <v>19750</v>
      </c>
      <c r="Z53" s="25">
        <f>IF($X53&lt;RAM,SUM(Y53:INDEX(Dax,RAM-BeginnAlter))," ")</f>
        <v>71584</v>
      </c>
      <c r="AA53" s="25">
        <f t="shared" si="2"/>
        <v>138</v>
      </c>
      <c r="AB53" s="25">
        <f>IF($X53&lt;RAM,SUM(AA53:INDEX(Cax,RAM-BeginnAlter))," ")</f>
        <v>579</v>
      </c>
      <c r="AC53" s="25">
        <f t="shared" si="3"/>
        <v>662</v>
      </c>
      <c r="AD53" s="25">
        <f>IF($X53&lt;RAM,SUM(AC53:INDEX(Caix,RAM-BeginnAlter))," ")</f>
        <v>2853</v>
      </c>
      <c r="AE53" s="24">
        <f t="shared" si="4"/>
        <v>3.625</v>
      </c>
      <c r="AF53" s="24">
        <f t="shared" si="5"/>
        <v>3.51</v>
      </c>
      <c r="AG53" s="86"/>
      <c r="AH53" s="35">
        <f t="shared" si="73"/>
        <v>61</v>
      </c>
      <c r="AI53" s="25">
        <f t="shared" si="6"/>
        <v>24623</v>
      </c>
      <c r="AJ53" s="25">
        <f>IF($AH53&gt;RAM," ",IF($AH53&lt;RAM,SUM(AI53:INDEX(Dix,RAM-BeginnAlter))+INDEX(Nx,RAM-BeginnAlter+1),INDEX(Nx,RAM-BeginnAlter+1)))</f>
        <v>389342</v>
      </c>
      <c r="AK53" s="25">
        <f>IF($AH53&lt;RAM,SUM(AI53:INDEX(Dix,RAM-BeginnAlter))," ")</f>
        <v>92095</v>
      </c>
      <c r="AL53" s="24">
        <f t="shared" si="7"/>
        <v>15.811999999999999</v>
      </c>
      <c r="AM53" s="24">
        <f t="shared" si="8"/>
        <v>15.353999999999999</v>
      </c>
      <c r="AN53" s="24">
        <f t="shared" si="9"/>
        <v>3.74</v>
      </c>
      <c r="AO53" s="24">
        <f t="shared" si="10"/>
        <v>3.6629999999999998</v>
      </c>
      <c r="AP53" s="86"/>
      <c r="AQ53" s="35">
        <f t="shared" si="74"/>
        <v>61</v>
      </c>
      <c r="AR53" s="25">
        <f t="shared" si="11"/>
        <v>23464</v>
      </c>
      <c r="AS53" s="25">
        <f>SUM(AR53:AR$94)</f>
        <v>386634</v>
      </c>
      <c r="AT53" s="25">
        <f>IF($AQ53&lt;RAM,SUM(AR53:INDEX(Dx,RAM-BeginnAlter))," ")</f>
        <v>89387</v>
      </c>
      <c r="AU53" s="24">
        <f t="shared" si="12"/>
        <v>16.478000000000002</v>
      </c>
      <c r="AV53" s="24">
        <f t="shared" si="13"/>
        <v>16.018999999999998</v>
      </c>
      <c r="AW53" s="24">
        <f t="shared" si="14"/>
        <v>3.81</v>
      </c>
      <c r="AX53" s="24">
        <f t="shared" si="15"/>
        <v>3.7509999999999999</v>
      </c>
      <c r="AY53" s="86"/>
      <c r="AZ53" s="35">
        <f t="shared" si="75"/>
        <v>61</v>
      </c>
      <c r="BA53" s="25">
        <f t="shared" si="16"/>
        <v>23194</v>
      </c>
      <c r="BB53" s="25">
        <f>SUM(BA53:BA$94)</f>
        <v>344860</v>
      </c>
      <c r="BC53" s="24">
        <f t="shared" si="17"/>
        <v>14.869</v>
      </c>
      <c r="BD53" s="24">
        <f t="shared" si="18"/>
        <v>14.41</v>
      </c>
      <c r="BE53" s="86"/>
      <c r="BF53" s="35">
        <f t="shared" si="48"/>
        <v>44</v>
      </c>
      <c r="BG53" s="24" t="str">
        <f t="shared" si="19"/>
        <v/>
      </c>
      <c r="BH53" s="24" t="str">
        <f t="shared" si="20"/>
        <v/>
      </c>
      <c r="BI53" s="86"/>
      <c r="BJ53" s="35">
        <f t="shared" si="76"/>
        <v>61</v>
      </c>
      <c r="BK53" s="25">
        <f t="shared" si="21"/>
        <v>10056</v>
      </c>
      <c r="BL53" s="25">
        <f>IF(BJ53&lt;RAM,SUM(BK53:INDEX(Daix,RAM-BeginnAlter))," ")</f>
        <v>41929</v>
      </c>
      <c r="BM53" s="25">
        <f>IF(BJ53&lt;RAM,SUM(BL53:INDEX(Naix,RAM-BeginnAlter))," ")</f>
        <v>105993</v>
      </c>
      <c r="BN53" s="24">
        <f t="shared" si="22"/>
        <v>10.519</v>
      </c>
      <c r="BO53" s="24">
        <f t="shared" si="23"/>
        <v>2.1230000000000002</v>
      </c>
      <c r="BP53" s="86"/>
      <c r="BQ53" s="35">
        <f t="shared" si="77"/>
        <v>61</v>
      </c>
      <c r="BR53" s="25">
        <f t="shared" si="51"/>
        <v>2144</v>
      </c>
      <c r="BS53" s="25">
        <f>IF(BQ53&lt;RAM,SUM(BR53:INDEX(Daixs,RAM-BeginnAlter))," ")</f>
        <v>5242</v>
      </c>
      <c r="BT53" s="25">
        <f>IF(BQ53&lt;RAM,SUM(BS53:INDEX(Naixs,RAM-BeginnAlter))," ")</f>
        <v>10150</v>
      </c>
      <c r="BU53" s="24">
        <f t="shared" si="52"/>
        <v>12.375999999999999</v>
      </c>
      <c r="BV53" s="24">
        <f t="shared" si="53"/>
        <v>0.26500000000000001</v>
      </c>
      <c r="BW53" s="86"/>
      <c r="BX53" s="35">
        <f t="shared" si="78"/>
        <v>61</v>
      </c>
      <c r="BY53" s="10">
        <f t="shared" si="24"/>
        <v>4.8811257148001044</v>
      </c>
      <c r="BZ53" s="11">
        <f t="shared" si="25"/>
        <v>79</v>
      </c>
      <c r="CA53" s="25">
        <f>IF(S54&lt;=RAK,IF($BX53&lt;RAM,SUM(BZ53:INDEX(Dazx,RAM-BeginnAlter)),""),"")</f>
        <v>257</v>
      </c>
      <c r="CB53" s="24">
        <f t="shared" si="26"/>
        <v>1.2999999999999999E-2</v>
      </c>
      <c r="CC53" s="25">
        <f t="shared" si="27"/>
        <v>18880</v>
      </c>
      <c r="CD53" s="24">
        <f t="shared" si="28"/>
        <v>13.012</v>
      </c>
      <c r="CE53" s="24">
        <f t="shared" si="29"/>
        <v>5.1999999999999998E-2</v>
      </c>
      <c r="CF53" s="86"/>
      <c r="CG53" s="35">
        <f t="shared" si="79"/>
        <v>61</v>
      </c>
      <c r="CH53" s="25">
        <f>IF(CG53&lt;RAM,ROUND(v^($CG53+FaktorAlter)*$H53*($B53*0.5*($P53+$P54)*(VLOOKUP(TRUNC(0.5*($Q53+$Q54),0),Frauen!$AZ$9:$BD$95,5)+(0.5*($Q53+$Q54)-TRUNC(0.5*($Q53+$Q54),0))*(VLOOKUP(TRUNC(0.5*($Q53+$Q54)+1,0),Frauen!$AZ$9:$BD$95,5)-VLOOKUP(TRUNC(0.5*($Q53+$Q54),0),Frauen!$AZ$9:$BD$95,5)))+$C53*0.5*($CN53+$CN54)),RundDx),"")</f>
        <v>5857</v>
      </c>
      <c r="CI53" s="25">
        <f>IF(CG53&lt;RAM,ROUND(SUM(CH53:INDEX(Dawx,RAM-BeginnAlter))+INDEX(Dax,RAM-BeginnAlter+1)*INDEX(äwx,1),RundDx),"")</f>
        <v>102071</v>
      </c>
      <c r="CJ53" s="25">
        <f>IF(CG53&lt;RAM,ROUND(SUM(CI53:INDEX(Nawx,RAM-BeginnAlter))+INDEX(Dax,RAM-BeginnAlter+1)*INDEX(äwx,1),RundDx),"")</f>
        <v>450303</v>
      </c>
      <c r="CK53" s="24">
        <f t="shared" si="56"/>
        <v>5.1680000000000001</v>
      </c>
      <c r="CL53" s="25">
        <f>IF(CG53&lt;RAM,ROUND(v^($CG53+FaktorAlter)*$L53*$D53*0.5*($P53+$P54)*(VLOOKUP(TRUNC(0.5*($Q53+$Q54),0),Frauen!$AZ$9:$BD$95,5)+(0.5*($Q53+$Q54)-TRUNC(0.5*($Q53+$Q54),0))*(VLOOKUP(TRUNC(0.5*($Q53+$Q54)+1,0),Frauen!$AZ$9:$BD$95,5)-VLOOKUP(TRUNC(0.5*($Q53+$Q54),0),Frauen!$AZ$9:$BD$95,5))),RundDx),"")</f>
        <v>8576</v>
      </c>
      <c r="CM53" s="25">
        <f>IF(CG53&lt;RAM,SUM(CL53:INDEX(Diwx,RAM-BeginnAlter))+INDEX(Dix,RAM-BeginnAlter+1)*INDEX(äwx,1),"")</f>
        <v>139819.41399999999</v>
      </c>
      <c r="CN53" s="24">
        <f t="shared" si="57"/>
        <v>5.6779999999999999</v>
      </c>
      <c r="CO53" s="86"/>
      <c r="CP53" s="35">
        <f t="shared" si="58"/>
        <v>109</v>
      </c>
      <c r="CQ53" s="25"/>
      <c r="CR53" s="25"/>
      <c r="CS53" s="24"/>
      <c r="CT53" s="86"/>
      <c r="CU53" s="35">
        <f t="shared" si="80"/>
        <v>61</v>
      </c>
      <c r="CV53" s="25">
        <f>IF($CU53&gt;=RAM,"",IF($CU53-CV$103&lt;BeginnAlter,"",ROUND(v^($CU53+FaktorAlter)*$L53*$D53*0.5*(VLOOKUP($CU53-CV$103,Frauen!$G$9:$J$102,4)+VLOOKUP($CU53-CV$103+1,Frauen!$G$9:$J$102,4))*0.5*(VLOOKUP($CU53-CV$103,Frauen!$AZ$9:$BD$102,5)+VLOOKUP($CU53-CV$103+1,Frauen!$AZ$9:$BD$102,5)),RundDx)))</f>
        <v>427038743</v>
      </c>
      <c r="CW53" s="25">
        <f>IF($CU53&gt;=RAM,"",IF($CU53-CW$103&lt;BeginnAlter,"",ROUND(v^($CU53+FaktorAlter)*$L53*$D53*0.5*(VLOOKUP($CU53-CW$103,Frauen!$G$9:$J$102,4)+VLOOKUP($CU53-CW$103+1,Frauen!$G$9:$J$102,4))*0.5*(VLOOKUP($CU53-CW$103,Frauen!$AZ$9:$BD$102,5)+VLOOKUP($CU53-CW$103+1,Frauen!$AZ$9:$BD$102,5)),RundDx)))</f>
        <v>459646225</v>
      </c>
      <c r="CX53" s="25">
        <f>IF($CU53&gt;=RAM,"",IF($CU53-CX$103&lt;BeginnAlter,"",ROUND(v^($CU53+FaktorAlter)*$L53*$D53*0.5*(VLOOKUP($CU53-CX$103,Frauen!$G$9:$J$102,4)+VLOOKUP($CU53-CX$103+1,Frauen!$G$9:$J$102,4))*0.5*(VLOOKUP($CU53-CX$103,Frauen!$AZ$9:$BD$102,5)+VLOOKUP($CU53-CX$103+1,Frauen!$AZ$9:$BD$102,5)),RundDx)))</f>
        <v>492864069</v>
      </c>
      <c r="CY53" s="25">
        <f>IF($CU53&gt;=RAM,"",IF($CU53-CY$103&lt;BeginnAlter,"",ROUND(v^($CU53+FaktorAlter)*$L53*$D53*0.5*(VLOOKUP($CU53-CY$103,Frauen!$G$9:$J$102,4)+VLOOKUP($CU53-CY$103+1,Frauen!$G$9:$J$102,4))*0.5*(VLOOKUP($CU53-CY$103,Frauen!$AZ$9:$BD$102,5)+VLOOKUP($CU53-CY$103+1,Frauen!$AZ$9:$BD$102,5)),RundDx)))</f>
        <v>526710950</v>
      </c>
      <c r="CZ53" s="25">
        <f>IF($CU53&gt;=RAM,"",IF($CU53-CZ$103&lt;BeginnAlter,"",ROUND(v^($CU53+FaktorAlter)*$L53*$D53*0.5*(VLOOKUP($CU53-CZ$103,Frauen!$G$9:$J$102,4)+VLOOKUP($CU53-CZ$103+1,Frauen!$G$9:$J$102,4))*0.5*(VLOOKUP($CU53-CZ$103,Frauen!$AZ$9:$BD$102,5)+VLOOKUP($CU53-CZ$103+1,Frauen!$AZ$9:$BD$102,5)),RundDx)))</f>
        <v>561109056</v>
      </c>
      <c r="DA53" s="25">
        <f>IF($CU53&gt;=RAM,"",IF($CU53-DA$103&lt;BeginnAlter,"",ROUND(v^($CU53+FaktorAlter)*$L53*$D53*0.5*(VLOOKUP($CU53-DA$103,Frauen!$G$9:$J$102,4)+VLOOKUP($CU53-DA$103+1,Frauen!$G$9:$J$102,4))*0.5*(VLOOKUP($CU53-DA$103,Frauen!$AZ$9:$BD$102,5)+VLOOKUP($CU53-DA$103+1,Frauen!$AZ$9:$BD$102,5)),RundDx)))</f>
        <v>595908026</v>
      </c>
      <c r="DB53" s="25">
        <f>IF($CU53&gt;=RAM,"",IF($CU53-DB$103&lt;BeginnAlter,"",ROUND(v^($CU53+FaktorAlter)*$L53*$D53*0.5*(VLOOKUP($CU53-DB$103,Frauen!$G$9:$J$102,4)+VLOOKUP($CU53-DB$103+1,Frauen!$G$9:$J$102,4))*0.5*(VLOOKUP($CU53-DB$103,Frauen!$AZ$9:$BD$102,5)+VLOOKUP($CU53-DB$103+1,Frauen!$AZ$9:$BD$102,5)),RundDx)))</f>
        <v>630858037</v>
      </c>
      <c r="DC53" s="25">
        <f>IF($CU53&gt;=RAM,"",IF($CU53-DC$103&lt;BeginnAlter,"",ROUND(v^($CU53+FaktorAlter)*$L53*$D53*0.5*(VLOOKUP($CU53-DC$103,Frauen!$G$9:$J$102,4)+VLOOKUP($CU53-DC$103+1,Frauen!$G$9:$J$102,4))*0.5*(VLOOKUP($CU53-DC$103,Frauen!$AZ$9:$BD$102,5)+VLOOKUP($CU53-DC$103+1,Frauen!$AZ$9:$BD$102,5)),RundDx)))</f>
        <v>665861767</v>
      </c>
      <c r="DD53" s="25">
        <f>IF($CU53&gt;=RAM,"",IF($CU53-DD$103&lt;BeginnAlter,"",ROUND(v^($CU53+FaktorAlter)*$L53*$D53*0.5*(VLOOKUP($CU53-DD$103,Frauen!$G$9:$J$102,4)+VLOOKUP($CU53-DD$103+1,Frauen!$G$9:$J$102,4))*0.5*(VLOOKUP($CU53-DD$103,Frauen!$AZ$9:$BD$102,5)+VLOOKUP($CU53-DD$103+1,Frauen!$AZ$9:$BD$102,5)),RundDx)))</f>
        <v>700854859</v>
      </c>
      <c r="DE53" s="25">
        <f>IF($CU53&gt;=RAM,"",IF($CU53-DE$103&lt;BeginnAlter,"",ROUND(v^($CU53+FaktorAlter)*$L53*$D53*0.5*(VLOOKUP($CU53-DE$103,Frauen!$G$9:$J$102,4)+VLOOKUP($CU53-DE$103+1,Frauen!$G$9:$J$102,4))*0.5*(VLOOKUP($CU53-DE$103,Frauen!$AZ$9:$BD$102,5)+VLOOKUP($CU53-DE$103+1,Frauen!$AZ$9:$BD$102,5)),RundDx)))</f>
        <v>735599859</v>
      </c>
      <c r="DF53" s="25">
        <f>IF($CU53&gt;=RAM,"",IF($CU53-DF$103&lt;BeginnAlter,"",ROUND(v^($CU53+FaktorAlter)*$L53*$D53*0.5*(VLOOKUP($CU53-DF$103,Frauen!$G$9:$J$102,4)+VLOOKUP($CU53-DF$103+1,Frauen!$G$9:$J$102,4))*0.5*(VLOOKUP($CU53-DF$103,Frauen!$AZ$9:$BD$102,5)+VLOOKUP($CU53-DF$103+1,Frauen!$AZ$9:$BD$102,5)),RundDx)))</f>
        <v>769959384</v>
      </c>
      <c r="DG53" s="25">
        <f>IF($CU53&gt;=RAM,"",IF($CU53-DG$103&lt;BeginnAlter,"",ROUND(v^($CU53+FaktorAlter)*$L53*$D53*0.5*(VLOOKUP($CU53-DG$103,Frauen!$G$9:$J$102,4)+VLOOKUP($CU53-DG$103+1,Frauen!$G$9:$J$102,4))*0.5*(VLOOKUP($CU53-DG$103,Frauen!$AZ$9:$BD$102,5)+VLOOKUP($CU53-DG$103+1,Frauen!$AZ$9:$BD$102,5)),RundDx)))</f>
        <v>803990711</v>
      </c>
      <c r="DH53" s="25">
        <f>IF($CU53&gt;=RAM,"",IF($CU53-DH$103&lt;BeginnAlter,"",ROUND(v^($CU53+FaktorAlter)*$L53*$D53*0.5*(VLOOKUP($CU53-DH$103,Frauen!$G$9:$J$102,4)+VLOOKUP($CU53-DH$103+1,Frauen!$G$9:$J$102,4))*0.5*(VLOOKUP($CU53-DH$103,Frauen!$AZ$9:$BD$102,5)+VLOOKUP($CU53-DH$103+1,Frauen!$AZ$9:$BD$102,5)),RundDx)))</f>
        <v>837613739</v>
      </c>
      <c r="DI53" s="25">
        <f>IF($CU53&gt;=RAM,"",IF($CU53-DI$103&lt;BeginnAlter,"",ROUND(v^($CU53+FaktorAlter)*$L53*$D53*0.5*(VLOOKUP($CU53-DI$103,Frauen!$G$9:$J$102,4)+VLOOKUP($CU53-DI$103+1,Frauen!$G$9:$J$102,4))*0.5*(VLOOKUP($CU53-DI$103,Frauen!$AZ$9:$BD$102,5)+VLOOKUP($CU53-DI$103+1,Frauen!$AZ$9:$BD$102,5)),RundDx)))</f>
        <v>870629875</v>
      </c>
      <c r="DJ53" s="25">
        <f>IF($CU53&gt;=RAM,"",IF($CU53-DJ$103&lt;BeginnAlter,"",ROUND(v^($CU53+FaktorAlter)*$L53*$D53*0.5*(VLOOKUP($CU53-DJ$103,Frauen!$G$9:$J$102,4)+VLOOKUP($CU53-DJ$103+1,Frauen!$G$9:$J$102,4))*0.5*(VLOOKUP($CU53-DJ$103,Frauen!$AZ$9:$BD$102,5)+VLOOKUP($CU53-DJ$103+1,Frauen!$AZ$9:$BD$102,5)),RundDx)))</f>
        <v>903021228</v>
      </c>
      <c r="DK53" s="25">
        <f>IF($CU53&gt;=RAM,"",IF($CU53-DK$103&lt;BeginnAlter,"",ROUND(v^($CU53+FaktorAlter)*$L53*$D53*0.5*(VLOOKUP($CU53-DK$103,Frauen!$G$9:$J$102,4)+VLOOKUP($CU53-DK$103+1,Frauen!$G$9:$J$102,4))*0.5*(VLOOKUP($CU53-DK$103,Frauen!$AZ$9:$BD$102,5)+VLOOKUP($CU53-DK$103+1,Frauen!$AZ$9:$BD$102,5)),RundDx)))</f>
        <v>934871477</v>
      </c>
      <c r="DL53" s="25">
        <f>IF($CU53&gt;=RAM,"",IF($CU53-DL$103&lt;BeginnAlter,"",ROUND(v^($CU53+FaktorAlter)*$L53*$D53*0.5*(VLOOKUP($CU53-DL$103,Frauen!$G$9:$J$102,4)+VLOOKUP($CU53-DL$103+1,Frauen!$G$9:$J$102,4))*0.5*(VLOOKUP($CU53-DL$103,Frauen!$AZ$9:$BD$102,5)+VLOOKUP($CU53-DL$103+1,Frauen!$AZ$9:$BD$102,5)),RundDx)))</f>
        <v>966138131</v>
      </c>
      <c r="DM53" s="25">
        <f>IF($CU53&gt;=RAM,"",IF($CU53-DM$103&lt;BeginnAlter,"",ROUND(v^($CU53+FaktorAlter)*$L53*$D53*0.5*(VLOOKUP($CU53-DM$103,Frauen!$G$9:$J$102,4)+VLOOKUP($CU53-DM$103+1,Frauen!$G$9:$J$102,4))*0.5*(VLOOKUP($CU53-DM$103,Frauen!$AZ$9:$BD$102,5)+VLOOKUP($CU53-DM$103+1,Frauen!$AZ$9:$BD$102,5)),RundDx)))</f>
        <v>996812734</v>
      </c>
      <c r="DN53" s="25">
        <f>IF($CU53&gt;=RAM,"",IF($CU53-DN$103&lt;BeginnAlter,"",ROUND(v^($CU53+FaktorAlter)*$L53*$D53*0.5*(VLOOKUP($CU53-DN$103,Frauen!$G$9:$J$102,4)+VLOOKUP($CU53-DN$103+1,Frauen!$G$9:$J$102,4))*0.5*(VLOOKUP($CU53-DN$103,Frauen!$AZ$9:$BD$102,5)+VLOOKUP($CU53-DN$103+1,Frauen!$AZ$9:$BD$102,5)),RundDx)))</f>
        <v>1026959004</v>
      </c>
      <c r="DO53" s="25">
        <f>IF($CU53&gt;=RAM,"",IF($CU53-DO$103&lt;BeginnAlter,"",ROUND(v^($CU53+FaktorAlter)*$L53*$D53*0.5*(VLOOKUP($CU53-DO$103,Frauen!$G$9:$J$102,4)+VLOOKUP($CU53-DO$103+1,Frauen!$G$9:$J$102,4))*0.5*(VLOOKUP($CU53-DO$103,Frauen!$AZ$9:$BD$102,5)+VLOOKUP($CU53-DO$103+1,Frauen!$AZ$9:$BD$102,5)),RundDx)))</f>
        <v>1056671183</v>
      </c>
      <c r="DP53" s="25">
        <f>IF($CU53&gt;=RAM,"",IF($CU53-DP$103&lt;BeginnAlter,"",ROUND(v^($CU53+FaktorAlter)*$L53*$D53*0.5*(VLOOKUP($CU53-DP$103,Frauen!$G$9:$J$102,4)+VLOOKUP($CU53-DP$103+1,Frauen!$G$9:$J$102,4))*0.5*(VLOOKUP($CU53-DP$103,Frauen!$AZ$9:$BD$102,5)+VLOOKUP($CU53-DP$103+1,Frauen!$AZ$9:$BD$102,5)),RundDx)))</f>
        <v>1086027263</v>
      </c>
      <c r="DQ53" s="25">
        <f>IF($CU53&gt;=RAM,"",IF($CU53-DQ$103&lt;BeginnAlter,"",ROUND(v^($CU53+FaktorAlter)*$L53*$D53*0.5*(VLOOKUP($CU53-DQ$103,Frauen!$G$9:$J$102,4)+VLOOKUP($CU53-DQ$103+1,Frauen!$G$9:$J$102,4))*0.5*(VLOOKUP($CU53-DQ$103,Frauen!$AZ$9:$BD$102,5)+VLOOKUP($CU53-DQ$103+1,Frauen!$AZ$9:$BD$102,5)),RundDx)))</f>
        <v>1115097132</v>
      </c>
      <c r="DR53" s="25">
        <f>IF($CU53&gt;=RAM,"",IF($CU53-DR$103&lt;BeginnAlter,"",ROUND(v^($CU53+FaktorAlter)*$L53*$D53*0.5*(VLOOKUP($CU53-DR$103,Frauen!$G$9:$J$102,4)+VLOOKUP($CU53-DR$103+1,Frauen!$G$9:$J$102,4))*0.5*(VLOOKUP($CU53-DR$103,Frauen!$AZ$9:$BD$102,5)+VLOOKUP($CU53-DR$103+1,Frauen!$AZ$9:$BD$102,5)),RundDx)))</f>
        <v>1143913841</v>
      </c>
      <c r="DS53" s="25">
        <f>IF($CU53&gt;=RAM,"",IF($CU53-DS$103&lt;BeginnAlter,"",ROUND(v^($CU53+FaktorAlter)*$L53*$D53*0.5*(VLOOKUP($CU53-DS$103,Frauen!$G$9:$J$102,4)+VLOOKUP($CU53-DS$103+1,Frauen!$G$9:$J$102,4))*0.5*(VLOOKUP($CU53-DS$103,Frauen!$AZ$9:$BD$102,5)+VLOOKUP($CU53-DS$103+1,Frauen!$AZ$9:$BD$102,5)),RundDx)))</f>
        <v>1172423665</v>
      </c>
      <c r="DT53" s="25">
        <f>IF($CU53&gt;=RAM,"",IF($CU53-DT$103&lt;BeginnAlter,"",ROUND(v^($CU53+FaktorAlter)*$L53*$D53*0.5*(VLOOKUP($CU53-DT$103,Frauen!$G$9:$J$102,4)+VLOOKUP($CU53-DT$103+1,Frauen!$G$9:$J$102,4))*0.5*(VLOOKUP($CU53-DT$103,Frauen!$AZ$9:$BD$102,5)+VLOOKUP($CU53-DT$103+1,Frauen!$AZ$9:$BD$102,5)),RundDx)))</f>
        <v>1200650801</v>
      </c>
      <c r="DU53" s="25">
        <f>IF($CU53&gt;=RAM,"",IF($CU53-DU$103&lt;BeginnAlter,"",ROUND(v^($CU53+FaktorAlter)*$L53*$D53*0.5*(VLOOKUP($CU53-DU$103,Frauen!$G$9:$J$102,4)+VLOOKUP($CU53-DU$103+1,Frauen!$G$9:$J$102,4))*0.5*(VLOOKUP($CU53-DU$103,Frauen!$AZ$9:$BD$102,5)+VLOOKUP($CU53-DU$103+1,Frauen!$AZ$9:$BD$102,5)),RundDx)))</f>
        <v>1228536573</v>
      </c>
      <c r="DV53" s="25">
        <f>IF($CU53&gt;=RAM,"",IF($CU53-DV$103&lt;BeginnAlter,"",ROUND(v^($CU53+FaktorAlter)*$L53*$D53*0.5*(VLOOKUP($CU53-DV$103,Frauen!$G$9:$J$102,4)+VLOOKUP($CU53-DV$103+1,Frauen!$G$9:$J$102,4))*0.5*(VLOOKUP($CU53-DV$103,Frauen!$AZ$9:$BD$102,5)+VLOOKUP($CU53-DV$103+1,Frauen!$AZ$9:$BD$102,5)),RundDx)))</f>
        <v>1255951727</v>
      </c>
      <c r="DW53" s="25">
        <f>IF($CU53&gt;=RAM,"",IF($CU53-DW$103&lt;BeginnAlter,"",ROUND(v^($CU53+FaktorAlter)*$L53*$D53*0.5*(VLOOKUP($CU53-DW$103,Frauen!$G$9:$J$102,4)+VLOOKUP($CU53-DW$103+1,Frauen!$G$9:$J$102,4))*0.5*(VLOOKUP($CU53-DW$103,Frauen!$AZ$9:$BD$102,5)+VLOOKUP($CU53-DW$103+1,Frauen!$AZ$9:$BD$102,5)),RundDx)))</f>
        <v>1282815458</v>
      </c>
      <c r="DX53" s="25">
        <f>IF($CU53&gt;=RAM,"",IF($CU53-DX$103&lt;BeginnAlter,"",ROUND(v^($CU53+FaktorAlter)*$L53*$D53*0.5*(VLOOKUP($CU53-DX$103,Frauen!$G$9:$J$102,4)+VLOOKUP($CU53-DX$103+1,Frauen!$G$9:$J$102,4))*0.5*(VLOOKUP($CU53-DX$103,Frauen!$AZ$9:$BD$102,5)+VLOOKUP($CU53-DX$103+1,Frauen!$AZ$9:$BD$102,5)),RundDx)))</f>
        <v>1309102365</v>
      </c>
      <c r="DY53" s="25">
        <f>IF($CU53&gt;=RAM,"",IF($CU53-DY$103&lt;BeginnAlter,"",ROUND(v^($CU53+FaktorAlter)*$L53*$D53*0.5*(VLOOKUP($CU53-DY$103,Frauen!$G$9:$J$102,4)+VLOOKUP($CU53-DY$103+1,Frauen!$G$9:$J$102,4))*0.5*(VLOOKUP($CU53-DY$103,Frauen!$AZ$9:$BD$102,5)+VLOOKUP($CU53-DY$103+1,Frauen!$AZ$9:$BD$102,5)),RundDx)))</f>
        <v>1334815940</v>
      </c>
      <c r="DZ53" s="25">
        <f>IF($CU53&gt;=RAM,"",IF($CU53-DZ$103&lt;BeginnAlter,"",ROUND(v^($CU53+FaktorAlter)*$L53*$D53*0.5*(VLOOKUP($CU53-DZ$103,Frauen!$G$9:$J$102,4)+VLOOKUP($CU53-DZ$103+1,Frauen!$G$9:$J$102,4))*0.5*(VLOOKUP($CU53-DZ$103,Frauen!$AZ$9:$BD$102,5)+VLOOKUP($CU53-DZ$103+1,Frauen!$AZ$9:$BD$102,5)),RundDx)))</f>
        <v>1359981876</v>
      </c>
      <c r="EA53" s="43">
        <f>IF($CU53&gt;=RAM,"",IF($CU53-EA$103&lt;BeginnAlter,"",ROUND((SUM(CV53:CV$56)+SUM(FN$9:FN$56))/VLOOKUP($CU53,$AH$9:$AI$102,2)/VLOOKUP($CU53-EA$103,Frauen!$G$9:$J$102,4),Rundäx)))</f>
        <v>1.5169999999999999</v>
      </c>
      <c r="EB53" s="43">
        <f>IF($CU53&gt;=RAM,"",IF($CU53-EB$103&lt;BeginnAlter,"",ROUND((SUM(CW53:CW$56)+SUM(FO$9:FO$56))/VLOOKUP($CU53,$AH$9:$AI$102,2)/VLOOKUP($CU53-EB$103,Frauen!$G$9:$J$102,4),Rundäx)))</f>
        <v>1.679</v>
      </c>
      <c r="EC53" s="43">
        <f>IF($CU53&gt;=RAM,"",IF($CU53-EC$103&lt;BeginnAlter,"",ROUND((SUM(CX53:CX$56)+SUM(FP$9:FP$56))/VLOOKUP($CU53,$AH$9:$AI$102,2)/VLOOKUP($CU53-EC$103,Frauen!$G$9:$J$102,4),Rundäx)))</f>
        <v>1.8520000000000001</v>
      </c>
      <c r="ED53" s="43">
        <f>IF($CU53&gt;=RAM,"",IF($CU53-ED$103&lt;BeginnAlter,"",ROUND((SUM(CY53:CY$56)+SUM(FQ$9:FQ$56))/VLOOKUP($CU53,$AH$9:$AI$102,2)/VLOOKUP($CU53-ED$103,Frauen!$G$9:$J$102,4),Rundäx)))</f>
        <v>2.0339999999999998</v>
      </c>
      <c r="EE53" s="43">
        <f>IF($CU53&gt;=RAM,"",IF($CU53-EE$103&lt;BeginnAlter,"",ROUND((SUM(CZ53:CZ$56)+SUM(FR$9:FR$56))/VLOOKUP($CU53,$AH$9:$AI$102,2)/VLOOKUP($CU53-EE$103,Frauen!$G$9:$J$102,4),Rundäx)))</f>
        <v>2.2269999999999999</v>
      </c>
      <c r="EF53" s="43">
        <f>IF($CU53&gt;=RAM,"",IF($CU53-EF$103&lt;BeginnAlter,"",ROUND((SUM(DA53:DA$56)+SUM(FS$9:FS$56))/VLOOKUP($CU53,$AH$9:$AI$102,2)/VLOOKUP($CU53-EF$103,Frauen!$G$9:$J$102,4),Rundäx)))</f>
        <v>2.4289999999999998</v>
      </c>
      <c r="EG53" s="43">
        <f>IF($CU53&gt;=RAM,"",IF($CU53-EG$103&lt;BeginnAlter,"",ROUND((SUM(DB53:DB$56)+SUM(FT$9:FT$56))/VLOOKUP($CU53,$AH$9:$AI$102,2)/VLOOKUP($CU53-EG$103,Frauen!$G$9:$J$102,4),Rundäx)))</f>
        <v>2.6429999999999998</v>
      </c>
      <c r="EH53" s="43">
        <f>IF($CU53&gt;=RAM,"",IF($CU53-EH$103&lt;BeginnAlter,"",ROUND((SUM(DC53:DC$56)+SUM(FU$9:FU$56))/VLOOKUP($CU53,$AH$9:$AI$102,2)/VLOOKUP($CU53-EH$103,Frauen!$G$9:$J$102,4),Rundäx)))</f>
        <v>2.8660000000000001</v>
      </c>
      <c r="EI53" s="86"/>
      <c r="EJ53" s="35">
        <f t="shared" si="60"/>
        <v>61</v>
      </c>
      <c r="EK53" s="43">
        <f>IF($CU53&gt;=RAM,"",IF($CU53-EK$103&lt;BeginnAlter,"",ROUND((SUM(DD53:DD$56)+SUM(FV$9:FV$56))/VLOOKUP($CU53,$AH$9:$AI$102,2)/VLOOKUP($CU53-EK$103,Frauen!$G$9:$J$102,4),Rundäx)))</f>
        <v>3.1</v>
      </c>
      <c r="EL53" s="43">
        <f>IF($CU53&gt;=RAM,"",IF($CU53-EL$103&lt;BeginnAlter,"",ROUND((SUM(DE53:DE$56)+SUM(FW$9:FW$56))/VLOOKUP($CU53,$AH$9:$AI$102,2)/VLOOKUP($CU53-EL$103,Frauen!$G$9:$J$102,4),Rundäx)))</f>
        <v>3.3450000000000002</v>
      </c>
      <c r="EM53" s="43">
        <f>IF($CU53&gt;=RAM,"",IF($CU53-EM$103&lt;BeginnAlter,"",ROUND((SUM(DF53:DF$56)+SUM(FX$9:FX$56))/VLOOKUP($CU53,$AH$9:$AI$102,2)/VLOOKUP($CU53-EM$103,Frauen!$G$9:$J$102,4),Rundäx)))</f>
        <v>3.6</v>
      </c>
      <c r="EN53" s="43">
        <f>IF($CU53&gt;=RAM,"",IF($CU53-EN$103&lt;BeginnAlter,"",ROUND((SUM(DG53:DG$56)+SUM(FY$9:FY$56))/VLOOKUP($CU53,$AH$9:$AI$102,2)/VLOOKUP($CU53-EN$103,Frauen!$G$9:$J$102,4),Rundäx)))</f>
        <v>3.8639999999999999</v>
      </c>
      <c r="EO53" s="43">
        <f>IF($CU53&gt;=RAM,"",IF($CU53-EO$103&lt;BeginnAlter,"",ROUND((SUM(DH53:DH$56)+SUM(FZ$9:FZ$56))/VLOOKUP($CU53,$AH$9:$AI$102,2)/VLOOKUP($CU53-EO$103,Frauen!$G$9:$J$102,4),Rundäx)))</f>
        <v>4.1399999999999997</v>
      </c>
      <c r="EP53" s="43">
        <f>IF($CU53&gt;=RAM,"",IF($CU53-EP$103&lt;BeginnAlter,"",ROUND((SUM(DI53:DI$56)+SUM(GA$9:GA$56))/VLOOKUP($CU53,$AH$9:$AI$102,2)/VLOOKUP($CU53-EP$103,Frauen!$G$9:$J$102,4),Rundäx)))</f>
        <v>4.4249999999999998</v>
      </c>
      <c r="EQ53" s="43">
        <f>IF($CU53&gt;=RAM,"",IF($CU53-EQ$103&lt;BeginnAlter,"",ROUND((SUM(DJ53:DJ$56)+SUM(GB$9:GB$56))/VLOOKUP($CU53,$AH$9:$AI$102,2)/VLOOKUP($CU53-EQ$103,Frauen!$G$9:$J$102,4),Rundäx)))</f>
        <v>4.7210000000000001</v>
      </c>
      <c r="ER53" s="43">
        <f>IF($CU53&gt;=RAM,"",IF($CU53-ER$103&lt;BeginnAlter,"",ROUND((SUM(DK53:DK$56)+SUM(GC$9:GC$56))/VLOOKUP($CU53,$AH$9:$AI$102,2)/VLOOKUP($CU53-ER$103,Frauen!$G$9:$J$102,4),Rundäx)))</f>
        <v>5.0259999999999998</v>
      </c>
      <c r="ES53" s="86"/>
      <c r="ET53" s="35">
        <f t="shared" si="61"/>
        <v>61</v>
      </c>
      <c r="EU53" s="43">
        <f>IF($CU53&gt;=RAM,"",IF($CU53-EU$103&lt;BeginnAlter,"",ROUND((SUM(DL53:DL$56)+SUM(GD$9:GD$56))/VLOOKUP($CU53,$AH$9:$AI$102,2)/VLOOKUP($CU53-EU$103,Frauen!$G$9:$J$102,4),Rundäx)))</f>
        <v>5.34</v>
      </c>
      <c r="EV53" s="43">
        <f>IF($CU53&gt;=RAM,"",IF($CU53-EV$103&lt;BeginnAlter,"",ROUND((SUM(DM53:DM$56)+SUM(GE$9:GE$56))/VLOOKUP($CU53,$AH$9:$AI$102,2)/VLOOKUP($CU53-EV$103,Frauen!$G$9:$J$102,4),Rundäx)))</f>
        <v>5.6630000000000003</v>
      </c>
      <c r="EW53" s="43">
        <f>IF($CU53&gt;=RAM,"",IF($CU53-EW$103&lt;BeginnAlter,"",ROUND((SUM(DN53:DN$56)+SUM(GF$9:GF$56))/VLOOKUP($CU53,$AH$9:$AI$102,2)/VLOOKUP($CU53-EW$103,Frauen!$G$9:$J$102,4),Rundäx)))</f>
        <v>5.9939999999999998</v>
      </c>
      <c r="EX53" s="43">
        <f>IF($CU53&gt;=RAM,"",IF($CU53-EX$103&lt;BeginnAlter,"",ROUND((SUM(DO53:DO$56)+SUM(GG$9:GG$56))/VLOOKUP($CU53,$AH$9:$AI$102,2)/VLOOKUP($CU53-EX$103,Frauen!$G$9:$J$102,4),Rundäx)))</f>
        <v>6.3319999999999999</v>
      </c>
      <c r="EY53" s="43">
        <f>IF($CU53&gt;=RAM,"",IF($CU53-EY$103&lt;BeginnAlter,"",ROUND((SUM(DP53:DP$56)+SUM(GH$9:GH$56))/VLOOKUP($CU53,$AH$9:$AI$102,2)/VLOOKUP($CU53-EY$103,Frauen!$G$9:$J$102,4),Rundäx)))</f>
        <v>6.6760000000000002</v>
      </c>
      <c r="EZ53" s="43">
        <f>IF($CU53&gt;=RAM,"",IF($CU53-EZ$103&lt;BeginnAlter,"",ROUND((SUM(DQ53:DQ$56)+SUM(GI$9:GI$56))/VLOOKUP($CU53,$AH$9:$AI$102,2)/VLOOKUP($CU53-EZ$103,Frauen!$G$9:$J$102,4),Rundäx)))</f>
        <v>7.0250000000000004</v>
      </c>
      <c r="FA53" s="43">
        <f>IF($CU53&gt;=RAM,"",IF($CU53-FA$103&lt;BeginnAlter,"",ROUND((SUM(DR53:DR$56)+SUM(GJ$9:GJ$56))/VLOOKUP($CU53,$AH$9:$AI$102,2)/VLOOKUP($CU53-FA$103,Frauen!$G$9:$J$102,4),Rundäx)))</f>
        <v>7.3780000000000001</v>
      </c>
      <c r="FB53" s="43">
        <f>IF($CU53&gt;=RAM,"",IF($CU53-FB$103&lt;BeginnAlter,"",ROUND((SUM(DS53:DS$56)+SUM(GK$9:GK$56))/VLOOKUP($CU53,$AH$9:$AI$102,2)/VLOOKUP($CU53-FB$103,Frauen!$G$9:$J$102,4),Rundäx)))</f>
        <v>7.7350000000000003</v>
      </c>
      <c r="FC53" s="86"/>
      <c r="FD53" s="35">
        <f t="shared" si="62"/>
        <v>61</v>
      </c>
      <c r="FE53" s="43">
        <f>IF($CU53&gt;=RAM,"",IF($CU53-FE$103&lt;BeginnAlter,"",ROUND((SUM(DT53:DT$56)+SUM(GL$9:GL$56))/VLOOKUP($CU53,$AH$9:$AI$102,2)/VLOOKUP($CU53-FE$103,Frauen!$G$9:$J$102,4),Rundäx)))</f>
        <v>8.0939999999999994</v>
      </c>
      <c r="FF53" s="43">
        <f>IF($CU53&gt;=RAM,"",IF($CU53-FF$103&lt;BeginnAlter,"",ROUND((SUM(DU53:DU$56)+SUM(GM$9:GM$56))/VLOOKUP($CU53,$AH$9:$AI$102,2)/VLOOKUP($CU53-FF$103,Frauen!$G$9:$J$102,4),Rundäx)))</f>
        <v>8.4550000000000001</v>
      </c>
      <c r="FG53" s="43">
        <f>IF($CU53&gt;=RAM,"",IF($CU53-FG$103&lt;BeginnAlter,"",ROUND((SUM(DV53:DV$56)+SUM(GN$9:GN$56))/VLOOKUP($CU53,$AH$9:$AI$102,2)/VLOOKUP($CU53-FG$103,Frauen!$G$9:$J$102,4),Rundäx)))</f>
        <v>8.8170000000000002</v>
      </c>
      <c r="FH53" s="43">
        <f>IF($CU53&gt;=RAM,"",IF($CU53-FH$103&lt;BeginnAlter,"",ROUND((SUM(DW53:DW$56)+SUM(GO$9:GO$56))/VLOOKUP($CU53,$AH$9:$AI$102,2)/VLOOKUP($CU53-FH$103,Frauen!$G$9:$J$102,4),Rundäx)))</f>
        <v>9.18</v>
      </c>
      <c r="FI53" s="43">
        <f>IF($CU53&gt;=RAM,"",IF($CU53-FI$103&lt;BeginnAlter,"",ROUND((SUM(DX53:DX$56)+SUM(GP$9:GP$56))/VLOOKUP($CU53,$AH$9:$AI$102,2)/VLOOKUP($CU53-FI$103,Frauen!$G$9:$J$102,4),Rundäx)))</f>
        <v>9.5419999999999998</v>
      </c>
      <c r="FJ53" s="43">
        <f>IF($CU53&gt;=RAM,"",IF($CU53-FJ$103&lt;BeginnAlter,"",ROUND((SUM(DY53:DY$56)+SUM(GQ$9:GQ$56))/VLOOKUP($CU53,$AH$9:$AI$102,2)/VLOOKUP($CU53-FJ$103,Frauen!$G$9:$J$102,4),Rundäx)))</f>
        <v>9.9030000000000005</v>
      </c>
      <c r="FK53" s="43">
        <f>IF($CU53&gt;=RAM,"",IF($CU53-FK$103&lt;BeginnAlter,"",ROUND((SUM(DZ53:DZ$56)+SUM(GR$9:GR$56))/VLOOKUP($CU53,$AH$9:$AI$102,2)/VLOOKUP($CU53-FK$103,Frauen!$G$9:$J$102,4),Rundäx)))</f>
        <v>10.263999999999999</v>
      </c>
      <c r="FL53" s="86"/>
      <c r="FM53" s="35">
        <f t="shared" si="68"/>
        <v>109</v>
      </c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4"/>
      <c r="GT53" s="24"/>
      <c r="GU53" s="24"/>
      <c r="GV53" s="24"/>
      <c r="GW53" s="24"/>
      <c r="GX53" s="24"/>
      <c r="GY53" s="24"/>
      <c r="GZ53" s="24"/>
      <c r="HA53" s="86"/>
      <c r="HB53" s="35">
        <f t="shared" si="63"/>
        <v>109</v>
      </c>
      <c r="HC53" s="24"/>
      <c r="HD53" s="24"/>
      <c r="HE53" s="24"/>
      <c r="HF53" s="24"/>
      <c r="HG53" s="24"/>
      <c r="HH53" s="24"/>
      <c r="HI53" s="24"/>
      <c r="HJ53" s="24"/>
      <c r="HK53" s="86"/>
      <c r="HL53" s="35">
        <f t="shared" si="64"/>
        <v>109</v>
      </c>
      <c r="HM53" s="24"/>
      <c r="HN53" s="24"/>
      <c r="HO53" s="24"/>
      <c r="HP53" s="24"/>
      <c r="HQ53" s="24"/>
      <c r="HR53" s="24"/>
      <c r="HS53" s="24"/>
      <c r="HT53" s="24"/>
      <c r="HU53" s="86"/>
      <c r="HV53" s="35">
        <f t="shared" si="65"/>
        <v>109</v>
      </c>
      <c r="HW53" s="24"/>
      <c r="HX53" s="24"/>
      <c r="HY53" s="24"/>
      <c r="HZ53" s="24"/>
      <c r="IA53" s="24"/>
      <c r="IB53" s="24"/>
      <c r="IC53" s="24"/>
      <c r="ID53" s="89"/>
      <c r="IE53" s="35">
        <f t="shared" si="81"/>
        <v>61</v>
      </c>
      <c r="IF53" s="25">
        <f t="shared" si="31"/>
        <v>28</v>
      </c>
      <c r="IG53" s="25">
        <f>IF($IE53&lt;RAM,IF(S54&lt;=RAK,ROUND(SUM(IF53:INDEX(Dakx,RAM-BeginnAlter))+INDEX(Dax,RAM-BeginnAlter+1)*INDEX(äkx,1),RundDx),0),"")</f>
        <v>206</v>
      </c>
      <c r="IH53" s="25">
        <f>IF($IE53&lt;RAM,IF(S54&lt;=RAK,ROUND(SUM(IG53:INDEX(Nakx,RAM-BeginnAlter))+INDEX(Dax,RAM-BeginnAlter+1)*INDEX(äkx,1),RundDx),0),"")</f>
        <v>794</v>
      </c>
      <c r="II53" s="24">
        <f t="shared" si="32"/>
        <v>0.01</v>
      </c>
      <c r="IJ53" s="25">
        <f t="shared" si="33"/>
        <v>77</v>
      </c>
      <c r="IK53" s="25">
        <f>IF($IE53&lt;RAM,IF(S54&lt;=RAK,SUM(IJ53:INDEX(Dikx,RAM-BeginnAlter))+INDEX(Dix,RAM-BeginnAlter+1)*INDEX(äkx,1),0),"")</f>
        <v>375.83199999999999</v>
      </c>
      <c r="IL53" s="24">
        <f t="shared" si="34"/>
        <v>1.4999999999999999E-2</v>
      </c>
      <c r="IM53" s="86"/>
      <c r="IN53" s="35">
        <f t="shared" si="67"/>
        <v>109</v>
      </c>
      <c r="IO53" s="25"/>
      <c r="IP53" s="25"/>
      <c r="IQ53" s="24"/>
      <c r="IR53" s="86"/>
    </row>
    <row r="54" spans="1:252" ht="15.75" customHeight="1" x14ac:dyDescent="0.25">
      <c r="A54" s="35">
        <f t="shared" si="69"/>
        <v>62</v>
      </c>
      <c r="B54" s="77">
        <v>7.8460000000000005E-3</v>
      </c>
      <c r="C54" s="77">
        <v>3.8345999999999998E-2</v>
      </c>
      <c r="D54" s="77">
        <v>2.3258181733642747E-2</v>
      </c>
      <c r="E54" s="77">
        <v>1.1066799601196387E-2</v>
      </c>
      <c r="F54" s="86"/>
      <c r="G54" s="35">
        <f t="shared" si="70"/>
        <v>62</v>
      </c>
      <c r="H54" s="25">
        <f t="shared" si="37"/>
        <v>73598</v>
      </c>
      <c r="I54" s="25">
        <f t="shared" si="38"/>
        <v>16672</v>
      </c>
      <c r="J54" s="25">
        <f t="shared" si="39"/>
        <v>90270</v>
      </c>
      <c r="K54" s="30">
        <f>IF(J54&gt;0,ROUND(SUM(J54:J$102)/J54-0.5,Rundex),"")</f>
        <v>19.87</v>
      </c>
      <c r="L54" s="25">
        <f t="shared" si="0"/>
        <v>93492</v>
      </c>
      <c r="M54" s="30">
        <f>IF(L54&gt;0,ROUND(SUM(L54:L$102)/L54-0.5,Rundex),"")</f>
        <v>19.23</v>
      </c>
      <c r="N54" s="86"/>
      <c r="O54" s="35">
        <f t="shared" si="71"/>
        <v>62</v>
      </c>
      <c r="P54" s="43">
        <v>0.77982873740968683</v>
      </c>
      <c r="Q54" s="78">
        <v>58.588204977691134</v>
      </c>
      <c r="R54" s="43">
        <v>1.8207235979423642E-2</v>
      </c>
      <c r="S54" s="78">
        <v>19.150892981062178</v>
      </c>
      <c r="T54" s="15">
        <v>1.8247199428763981E-2</v>
      </c>
      <c r="U54" s="11">
        <f t="shared" si="40"/>
        <v>88691</v>
      </c>
      <c r="V54" s="30">
        <f>IF(U54&gt;0,ROUND(SUM(U54:U$102)/U54-0.5,Rundex),"")</f>
        <v>17.600000000000001</v>
      </c>
      <c r="W54" s="86"/>
      <c r="X54" s="35">
        <f t="shared" si="72"/>
        <v>62</v>
      </c>
      <c r="Y54" s="25">
        <f t="shared" si="1"/>
        <v>18524</v>
      </c>
      <c r="Z54" s="25">
        <f>IF($X54&lt;RAM,SUM(Y54:INDEX(Dax,RAM-BeginnAlter))," ")</f>
        <v>51834</v>
      </c>
      <c r="AA54" s="25">
        <f t="shared" si="2"/>
        <v>144</v>
      </c>
      <c r="AB54" s="25">
        <f>IF($X54&lt;RAM,SUM(AA54:INDEX(Cax,RAM-BeginnAlter))," ")</f>
        <v>441</v>
      </c>
      <c r="AC54" s="25">
        <f t="shared" si="3"/>
        <v>702</v>
      </c>
      <c r="AD54" s="25">
        <f>IF($X54&lt;RAM,SUM(AC54:INDEX(Caix,RAM-BeginnAlter))," ")</f>
        <v>2191</v>
      </c>
      <c r="AE54" s="24">
        <f t="shared" si="4"/>
        <v>2.798</v>
      </c>
      <c r="AF54" s="24">
        <f t="shared" si="5"/>
        <v>2.7050000000000001</v>
      </c>
      <c r="AG54" s="86"/>
      <c r="AH54" s="35">
        <f t="shared" si="73"/>
        <v>62</v>
      </c>
      <c r="AI54" s="25">
        <f t="shared" si="6"/>
        <v>23531</v>
      </c>
      <c r="AJ54" s="25">
        <f>IF($AH54&gt;RAM," ",IF($AH54&lt;RAM,SUM(AI54:INDEX(Dix,RAM-BeginnAlter))+INDEX(Nx,RAM-BeginnAlter+1),INDEX(Nx,RAM-BeginnAlter+1)))</f>
        <v>364719</v>
      </c>
      <c r="AK54" s="25">
        <f>IF($AH54&lt;RAM,SUM(AI54:INDEX(Dix,RAM-BeginnAlter))," ")</f>
        <v>67472</v>
      </c>
      <c r="AL54" s="24">
        <f t="shared" si="7"/>
        <v>15.5</v>
      </c>
      <c r="AM54" s="24">
        <f t="shared" si="8"/>
        <v>15.041</v>
      </c>
      <c r="AN54" s="24">
        <f t="shared" si="9"/>
        <v>2.867</v>
      </c>
      <c r="AO54" s="24">
        <f t="shared" si="10"/>
        <v>2.8079999999999998</v>
      </c>
      <c r="AP54" s="86"/>
      <c r="AQ54" s="35">
        <f t="shared" si="74"/>
        <v>62</v>
      </c>
      <c r="AR54" s="25">
        <f t="shared" si="11"/>
        <v>22720</v>
      </c>
      <c r="AS54" s="25">
        <f>SUM(AR54:AR$94)</f>
        <v>363170</v>
      </c>
      <c r="AT54" s="25">
        <f>IF($AQ54&lt;RAM,SUM(AR54:INDEX(Dx,RAM-BeginnAlter))," ")</f>
        <v>65923</v>
      </c>
      <c r="AU54" s="24">
        <f t="shared" si="12"/>
        <v>15.984999999999999</v>
      </c>
      <c r="AV54" s="24">
        <f t="shared" si="13"/>
        <v>15.526</v>
      </c>
      <c r="AW54" s="24">
        <f t="shared" si="14"/>
        <v>2.9020000000000001</v>
      </c>
      <c r="AX54" s="24">
        <f t="shared" si="15"/>
        <v>2.8559999999999999</v>
      </c>
      <c r="AY54" s="86"/>
      <c r="AZ54" s="35">
        <f t="shared" si="75"/>
        <v>62</v>
      </c>
      <c r="BA54" s="25">
        <f t="shared" si="16"/>
        <v>22323</v>
      </c>
      <c r="BB54" s="25">
        <f>SUM(BA54:BA$94)</f>
        <v>321666</v>
      </c>
      <c r="BC54" s="24">
        <f t="shared" si="17"/>
        <v>14.41</v>
      </c>
      <c r="BD54" s="24">
        <f t="shared" si="18"/>
        <v>13.951000000000001</v>
      </c>
      <c r="BE54" s="86"/>
      <c r="BF54" s="35">
        <f t="shared" si="48"/>
        <v>45</v>
      </c>
      <c r="BG54" s="24" t="str">
        <f t="shared" si="19"/>
        <v/>
      </c>
      <c r="BH54" s="24" t="str">
        <f t="shared" si="20"/>
        <v/>
      </c>
      <c r="BI54" s="86"/>
      <c r="BJ54" s="35">
        <f t="shared" si="76"/>
        <v>62</v>
      </c>
      <c r="BK54" s="25">
        <f t="shared" si="21"/>
        <v>10453</v>
      </c>
      <c r="BL54" s="25">
        <f>IF(BJ54&lt;RAM,SUM(BK54:INDEX(Daix,RAM-BeginnAlter))," ")</f>
        <v>31873</v>
      </c>
      <c r="BM54" s="25">
        <f>IF(BJ54&lt;RAM,SUM(BL54:INDEX(Naix,RAM-BeginnAlter))," ")</f>
        <v>64064</v>
      </c>
      <c r="BN54" s="24">
        <f t="shared" si="22"/>
        <v>11.215</v>
      </c>
      <c r="BO54" s="24">
        <f t="shared" si="23"/>
        <v>1.7210000000000001</v>
      </c>
      <c r="BP54" s="86"/>
      <c r="BQ54" s="35">
        <f t="shared" si="77"/>
        <v>62</v>
      </c>
      <c r="BR54" s="25">
        <f t="shared" si="51"/>
        <v>1662</v>
      </c>
      <c r="BS54" s="25">
        <f>IF(BQ54&lt;RAM,SUM(BR54:INDEX(Daixs,RAM-BeginnAlter))," ")</f>
        <v>3098</v>
      </c>
      <c r="BT54" s="25">
        <f>IF(BQ54&lt;RAM,SUM(BS54:INDEX(Naixs,RAM-BeginnAlter))," ")</f>
        <v>4908</v>
      </c>
      <c r="BU54" s="24">
        <f t="shared" si="52"/>
        <v>12.768000000000001</v>
      </c>
      <c r="BV54" s="24">
        <f t="shared" si="53"/>
        <v>0.16700000000000001</v>
      </c>
      <c r="BW54" s="86"/>
      <c r="BX54" s="35">
        <f t="shared" si="78"/>
        <v>62</v>
      </c>
      <c r="BY54" s="10">
        <f t="shared" si="24"/>
        <v>4.8942999489588424</v>
      </c>
      <c r="BZ54" s="11">
        <f t="shared" si="25"/>
        <v>61</v>
      </c>
      <c r="CA54" s="25">
        <f>IF(S55&lt;=RAK,IF($BX54&lt;RAM,SUM(BZ54:INDEX(Dazx,RAM-BeginnAlter)),""),"")</f>
        <v>178</v>
      </c>
      <c r="CB54" s="24">
        <f t="shared" si="26"/>
        <v>0.01</v>
      </c>
      <c r="CC54" s="25">
        <f t="shared" si="27"/>
        <v>18347</v>
      </c>
      <c r="CD54" s="24">
        <f t="shared" si="28"/>
        <v>12.67</v>
      </c>
      <c r="CE54" s="24">
        <f t="shared" si="29"/>
        <v>5.5E-2</v>
      </c>
      <c r="CF54" s="86"/>
      <c r="CG54" s="35">
        <f t="shared" si="79"/>
        <v>62</v>
      </c>
      <c r="CH54" s="25">
        <f>IF(CG54&lt;RAM,ROUND(v^($CG54+FaktorAlter)*$H54*($B54*0.5*($P54+$P55)*(VLOOKUP(TRUNC(0.5*($Q54+$Q55),0),Frauen!$AZ$9:$BD$95,5)+(0.5*($Q54+$Q55)-TRUNC(0.5*($Q54+$Q55),0))*(VLOOKUP(TRUNC(0.5*($Q54+$Q55)+1,0),Frauen!$AZ$9:$BD$95,5)-VLOOKUP(TRUNC(0.5*($Q54+$Q55),0),Frauen!$AZ$9:$BD$95,5)))+$C54*0.5*($CN54+$CN55)),RundDx),"")</f>
        <v>6051</v>
      </c>
      <c r="CI54" s="25">
        <f>IF(CG54&lt;RAM,ROUND(SUM(CH54:INDEX(Dawx,RAM-BeginnAlter))+INDEX(Dax,RAM-BeginnAlter+1)*INDEX(äwx,1),RundDx),"")</f>
        <v>96214</v>
      </c>
      <c r="CJ54" s="25">
        <f>IF(CG54&lt;RAM,ROUND(SUM(CI54:INDEX(Nawx,RAM-BeginnAlter))+INDEX(Dax,RAM-BeginnAlter+1)*INDEX(äwx,1),RundDx),"")</f>
        <v>348232</v>
      </c>
      <c r="CK54" s="24">
        <f t="shared" si="56"/>
        <v>5.194</v>
      </c>
      <c r="CL54" s="25">
        <f>IF(CG54&lt;RAM,ROUND(v^($CG54+FaktorAlter)*$L54*$D54*0.5*($P54+$P55)*(VLOOKUP(TRUNC(0.5*($Q54+$Q55),0),Frauen!$AZ$9:$BD$95,5)+(0.5*($Q54+$Q55)-TRUNC(0.5*($Q54+$Q55),0))*(VLOOKUP(TRUNC(0.5*($Q54+$Q55)+1,0),Frauen!$AZ$9:$BD$95,5)-VLOOKUP(TRUNC(0.5*($Q54+$Q55),0),Frauen!$AZ$9:$BD$95,5))),RundDx),"")</f>
        <v>8170</v>
      </c>
      <c r="CM54" s="25">
        <f>IF(CG54&lt;RAM,SUM(CL54:INDEX(Diwx,RAM-BeginnAlter))+INDEX(Dix,RAM-BeginnAlter+1)*INDEX(äwx,1),"")</f>
        <v>131243.41399999999</v>
      </c>
      <c r="CN54" s="24">
        <f t="shared" si="57"/>
        <v>5.577</v>
      </c>
      <c r="CO54" s="86"/>
      <c r="CP54" s="35">
        <f t="shared" si="58"/>
        <v>110</v>
      </c>
      <c r="CQ54" s="25"/>
      <c r="CR54" s="25"/>
      <c r="CS54" s="24"/>
      <c r="CT54" s="86"/>
      <c r="CU54" s="35">
        <f t="shared" si="80"/>
        <v>62</v>
      </c>
      <c r="CV54" s="25">
        <f>IF($CU54&gt;=RAM,"",IF($CU54-CV$103&lt;BeginnAlter,"",ROUND(v^($CU54+FaktorAlter)*$L54*$D54*0.5*(VLOOKUP($CU54-CV$103,Frauen!$G$9:$J$102,4)+VLOOKUP($CU54-CV$103+1,Frauen!$G$9:$J$102,4))*0.5*(VLOOKUP($CU54-CV$103,Frauen!$AZ$9:$BD$102,5)+VLOOKUP($CU54-CV$103+1,Frauen!$AZ$9:$BD$102,5)),RundDx)))</f>
        <v>384647177</v>
      </c>
      <c r="CW54" s="25">
        <f>IF($CU54&gt;=RAM,"",IF($CU54-CW$103&lt;BeginnAlter,"",ROUND(v^($CU54+FaktorAlter)*$L54*$D54*0.5*(VLOOKUP($CU54-CW$103,Frauen!$G$9:$J$102,4)+VLOOKUP($CU54-CW$103+1,Frauen!$G$9:$J$102,4))*0.5*(VLOOKUP($CU54-CW$103,Frauen!$AZ$9:$BD$102,5)+VLOOKUP($CU54-CW$103+1,Frauen!$AZ$9:$BD$102,5)),RundDx)))</f>
        <v>415908575</v>
      </c>
      <c r="CX54" s="25">
        <f>IF($CU54&gt;=RAM,"",IF($CU54-CX$103&lt;BeginnAlter,"",ROUND(v^($CU54+FaktorAlter)*$L54*$D54*0.5*(VLOOKUP($CU54-CX$103,Frauen!$G$9:$J$102,4)+VLOOKUP($CU54-CX$103+1,Frauen!$G$9:$J$102,4))*0.5*(VLOOKUP($CU54-CX$103,Frauen!$AZ$9:$BD$102,5)+VLOOKUP($CU54-CX$103+1,Frauen!$AZ$9:$BD$102,5)),RundDx)))</f>
        <v>447666188</v>
      </c>
      <c r="CY54" s="25">
        <f>IF($CU54&gt;=RAM,"",IF($CU54-CY$103&lt;BeginnAlter,"",ROUND(v^($CU54+FaktorAlter)*$L54*$D54*0.5*(VLOOKUP($CU54-CY$103,Frauen!$G$9:$J$102,4)+VLOOKUP($CU54-CY$103+1,Frauen!$G$9:$J$102,4))*0.5*(VLOOKUP($CU54-CY$103,Frauen!$AZ$9:$BD$102,5)+VLOOKUP($CU54-CY$103+1,Frauen!$AZ$9:$BD$102,5)),RundDx)))</f>
        <v>480018256</v>
      </c>
      <c r="CZ54" s="25">
        <f>IF($CU54&gt;=RAM,"",IF($CU54-CZ$103&lt;BeginnAlter,"",ROUND(v^($CU54+FaktorAlter)*$L54*$D54*0.5*(VLOOKUP($CU54-CZ$103,Frauen!$G$9:$J$102,4)+VLOOKUP($CU54-CZ$103+1,Frauen!$G$9:$J$102,4))*0.5*(VLOOKUP($CU54-CZ$103,Frauen!$AZ$9:$BD$102,5)+VLOOKUP($CU54-CZ$103+1,Frauen!$AZ$9:$BD$102,5)),RundDx)))</f>
        <v>512982965</v>
      </c>
      <c r="DA54" s="25">
        <f>IF($CU54&gt;=RAM,"",IF($CU54-DA$103&lt;BeginnAlter,"",ROUND(v^($CU54+FaktorAlter)*$L54*$D54*0.5*(VLOOKUP($CU54-DA$103,Frauen!$G$9:$J$102,4)+VLOOKUP($CU54-DA$103+1,Frauen!$G$9:$J$102,4))*0.5*(VLOOKUP($CU54-DA$103,Frauen!$AZ$9:$BD$102,5)+VLOOKUP($CU54-DA$103+1,Frauen!$AZ$9:$BD$102,5)),RundDx)))</f>
        <v>546484532</v>
      </c>
      <c r="DB54" s="25">
        <f>IF($CU54&gt;=RAM,"",IF($CU54-DB$103&lt;BeginnAlter,"",ROUND(v^($CU54+FaktorAlter)*$L54*$D54*0.5*(VLOOKUP($CU54-DB$103,Frauen!$G$9:$J$102,4)+VLOOKUP($CU54-DB$103+1,Frauen!$G$9:$J$102,4))*0.5*(VLOOKUP($CU54-DB$103,Frauen!$AZ$9:$BD$102,5)+VLOOKUP($CU54-DB$103+1,Frauen!$AZ$9:$BD$102,5)),RundDx)))</f>
        <v>580376516</v>
      </c>
      <c r="DC54" s="25">
        <f>IF($CU54&gt;=RAM,"",IF($CU54-DC$103&lt;BeginnAlter,"",ROUND(v^($CU54+FaktorAlter)*$L54*$D54*0.5*(VLOOKUP($CU54-DC$103,Frauen!$G$9:$J$102,4)+VLOOKUP($CU54-DC$103+1,Frauen!$G$9:$J$102,4))*0.5*(VLOOKUP($CU54-DC$103,Frauen!$AZ$9:$BD$102,5)+VLOOKUP($CU54-DC$103+1,Frauen!$AZ$9:$BD$102,5)),RundDx)))</f>
        <v>614415603</v>
      </c>
      <c r="DD54" s="25">
        <f>IF($CU54&gt;=RAM,"",IF($CU54-DD$103&lt;BeginnAlter,"",ROUND(v^($CU54+FaktorAlter)*$L54*$D54*0.5*(VLOOKUP($CU54-DD$103,Frauen!$G$9:$J$102,4)+VLOOKUP($CU54-DD$103+1,Frauen!$G$9:$J$102,4))*0.5*(VLOOKUP($CU54-DD$103,Frauen!$AZ$9:$BD$102,5)+VLOOKUP($CU54-DD$103+1,Frauen!$AZ$9:$BD$102,5)),RundDx)))</f>
        <v>648507010</v>
      </c>
      <c r="DE54" s="25">
        <f>IF($CU54&gt;=RAM,"",IF($CU54-DE$103&lt;BeginnAlter,"",ROUND(v^($CU54+FaktorAlter)*$L54*$D54*0.5*(VLOOKUP($CU54-DE$103,Frauen!$G$9:$J$102,4)+VLOOKUP($CU54-DE$103+1,Frauen!$G$9:$J$102,4))*0.5*(VLOOKUP($CU54-DE$103,Frauen!$AZ$9:$BD$102,5)+VLOOKUP($CU54-DE$103+1,Frauen!$AZ$9:$BD$102,5)),RundDx)))</f>
        <v>682588056</v>
      </c>
      <c r="DF54" s="25">
        <f>IF($CU54&gt;=RAM,"",IF($CU54-DF$103&lt;BeginnAlter,"",ROUND(v^($CU54+FaktorAlter)*$L54*$D54*0.5*(VLOOKUP($CU54-DF$103,Frauen!$G$9:$J$102,4)+VLOOKUP($CU54-DF$103+1,Frauen!$G$9:$J$102,4))*0.5*(VLOOKUP($CU54-DF$103,Frauen!$AZ$9:$BD$102,5)+VLOOKUP($CU54-DF$103+1,Frauen!$AZ$9:$BD$102,5)),RundDx)))</f>
        <v>716427476</v>
      </c>
      <c r="DG54" s="25">
        <f>IF($CU54&gt;=RAM,"",IF($CU54-DG$103&lt;BeginnAlter,"",ROUND(v^($CU54+FaktorAlter)*$L54*$D54*0.5*(VLOOKUP($CU54-DG$103,Frauen!$G$9:$J$102,4)+VLOOKUP($CU54-DG$103+1,Frauen!$G$9:$J$102,4))*0.5*(VLOOKUP($CU54-DG$103,Frauen!$AZ$9:$BD$102,5)+VLOOKUP($CU54-DG$103+1,Frauen!$AZ$9:$BD$102,5)),RundDx)))</f>
        <v>749891468</v>
      </c>
      <c r="DH54" s="25">
        <f>IF($CU54&gt;=RAM,"",IF($CU54-DH$103&lt;BeginnAlter,"",ROUND(v^($CU54+FaktorAlter)*$L54*$D54*0.5*(VLOOKUP($CU54-DH$103,Frauen!$G$9:$J$102,4)+VLOOKUP($CU54-DH$103+1,Frauen!$G$9:$J$102,4))*0.5*(VLOOKUP($CU54-DH$103,Frauen!$AZ$9:$BD$102,5)+VLOOKUP($CU54-DH$103+1,Frauen!$AZ$9:$BD$102,5)),RundDx)))</f>
        <v>783035816</v>
      </c>
      <c r="DI54" s="25">
        <f>IF($CU54&gt;=RAM,"",IF($CU54-DI$103&lt;BeginnAlter,"",ROUND(v^($CU54+FaktorAlter)*$L54*$D54*0.5*(VLOOKUP($CU54-DI$103,Frauen!$G$9:$J$102,4)+VLOOKUP($CU54-DI$103+1,Frauen!$G$9:$J$102,4))*0.5*(VLOOKUP($CU54-DI$103,Frauen!$AZ$9:$BD$102,5)+VLOOKUP($CU54-DI$103+1,Frauen!$AZ$9:$BD$102,5)),RundDx)))</f>
        <v>815782507</v>
      </c>
      <c r="DJ54" s="25">
        <f>IF($CU54&gt;=RAM,"",IF($CU54-DJ$103&lt;BeginnAlter,"",ROUND(v^($CU54+FaktorAlter)*$L54*$D54*0.5*(VLOOKUP($CU54-DJ$103,Frauen!$G$9:$J$102,4)+VLOOKUP($CU54-DJ$103+1,Frauen!$G$9:$J$102,4))*0.5*(VLOOKUP($CU54-DJ$103,Frauen!$AZ$9:$BD$102,5)+VLOOKUP($CU54-DJ$103+1,Frauen!$AZ$9:$BD$102,5)),RundDx)))</f>
        <v>847938123</v>
      </c>
      <c r="DK54" s="25">
        <f>IF($CU54&gt;=RAM,"",IF($CU54-DK$103&lt;BeginnAlter,"",ROUND(v^($CU54+FaktorAlter)*$L54*$D54*0.5*(VLOOKUP($CU54-DK$103,Frauen!$G$9:$J$102,4)+VLOOKUP($CU54-DK$103+1,Frauen!$G$9:$J$102,4))*0.5*(VLOOKUP($CU54-DK$103,Frauen!$AZ$9:$BD$102,5)+VLOOKUP($CU54-DK$103+1,Frauen!$AZ$9:$BD$102,5)),RundDx)))</f>
        <v>879485241</v>
      </c>
      <c r="DL54" s="25">
        <f>IF($CU54&gt;=RAM,"",IF($CU54-DL$103&lt;BeginnAlter,"",ROUND(v^($CU54+FaktorAlter)*$L54*$D54*0.5*(VLOOKUP($CU54-DL$103,Frauen!$G$9:$J$102,4)+VLOOKUP($CU54-DL$103+1,Frauen!$G$9:$J$102,4))*0.5*(VLOOKUP($CU54-DL$103,Frauen!$AZ$9:$BD$102,5)+VLOOKUP($CU54-DL$103+1,Frauen!$AZ$9:$BD$102,5)),RundDx)))</f>
        <v>910505358</v>
      </c>
      <c r="DM54" s="25">
        <f>IF($CU54&gt;=RAM,"",IF($CU54-DM$103&lt;BeginnAlter,"",ROUND(v^($CU54+FaktorAlter)*$L54*$D54*0.5*(VLOOKUP($CU54-DM$103,Frauen!$G$9:$J$102,4)+VLOOKUP($CU54-DM$103+1,Frauen!$G$9:$J$102,4))*0.5*(VLOOKUP($CU54-DM$103,Frauen!$AZ$9:$BD$102,5)+VLOOKUP($CU54-DM$103+1,Frauen!$AZ$9:$BD$102,5)),RundDx)))</f>
        <v>940957090</v>
      </c>
      <c r="DN54" s="25">
        <f>IF($CU54&gt;=RAM,"",IF($CU54-DN$103&lt;BeginnAlter,"",ROUND(v^($CU54+FaktorAlter)*$L54*$D54*0.5*(VLOOKUP($CU54-DN$103,Frauen!$G$9:$J$102,4)+VLOOKUP($CU54-DN$103+1,Frauen!$G$9:$J$102,4))*0.5*(VLOOKUP($CU54-DN$103,Frauen!$AZ$9:$BD$102,5)+VLOOKUP($CU54-DN$103+1,Frauen!$AZ$9:$BD$102,5)),RundDx)))</f>
        <v>970832202</v>
      </c>
      <c r="DO54" s="25">
        <f>IF($CU54&gt;=RAM,"",IF($CU54-DO$103&lt;BeginnAlter,"",ROUND(v^($CU54+FaktorAlter)*$L54*$D54*0.5*(VLOOKUP($CU54-DO$103,Frauen!$G$9:$J$102,4)+VLOOKUP($CU54-DO$103+1,Frauen!$G$9:$J$102,4))*0.5*(VLOOKUP($CU54-DO$103,Frauen!$AZ$9:$BD$102,5)+VLOOKUP($CU54-DO$103+1,Frauen!$AZ$9:$BD$102,5)),RundDx)))</f>
        <v>1000192752</v>
      </c>
      <c r="DP54" s="25">
        <f>IF($CU54&gt;=RAM,"",IF($CU54-DP$103&lt;BeginnAlter,"",ROUND(v^($CU54+FaktorAlter)*$L54*$D54*0.5*(VLOOKUP($CU54-DP$103,Frauen!$G$9:$J$102,4)+VLOOKUP($CU54-DP$103+1,Frauen!$G$9:$J$102,4))*0.5*(VLOOKUP($CU54-DP$103,Frauen!$AZ$9:$BD$102,5)+VLOOKUP($CU54-DP$103+1,Frauen!$AZ$9:$BD$102,5)),RundDx)))</f>
        <v>1029130525</v>
      </c>
      <c r="DQ54" s="25">
        <f>IF($CU54&gt;=RAM,"",IF($CU54-DQ$103&lt;BeginnAlter,"",ROUND(v^($CU54+FaktorAlter)*$L54*$D54*0.5*(VLOOKUP($CU54-DQ$103,Frauen!$G$9:$J$102,4)+VLOOKUP($CU54-DQ$103+1,Frauen!$G$9:$J$102,4))*0.5*(VLOOKUP($CU54-DQ$103,Frauen!$AZ$9:$BD$102,5)+VLOOKUP($CU54-DQ$103+1,Frauen!$AZ$9:$BD$102,5)),RundDx)))</f>
        <v>1057721479</v>
      </c>
      <c r="DR54" s="25">
        <f>IF($CU54&gt;=RAM,"",IF($CU54-DR$103&lt;BeginnAlter,"",ROUND(v^($CU54+FaktorAlter)*$L54*$D54*0.5*(VLOOKUP($CU54-DR$103,Frauen!$G$9:$J$102,4)+VLOOKUP($CU54-DR$103+1,Frauen!$G$9:$J$102,4))*0.5*(VLOOKUP($CU54-DR$103,Frauen!$AZ$9:$BD$102,5)+VLOOKUP($CU54-DR$103+1,Frauen!$AZ$9:$BD$102,5)),RundDx)))</f>
        <v>1086033683</v>
      </c>
      <c r="DS54" s="25">
        <f>IF($CU54&gt;=RAM,"",IF($CU54-DS$103&lt;BeginnAlter,"",ROUND(v^($CU54+FaktorAlter)*$L54*$D54*0.5*(VLOOKUP($CU54-DS$103,Frauen!$G$9:$J$102,4)+VLOOKUP($CU54-DS$103+1,Frauen!$G$9:$J$102,4))*0.5*(VLOOKUP($CU54-DS$103,Frauen!$AZ$9:$BD$102,5)+VLOOKUP($CU54-DS$103+1,Frauen!$AZ$9:$BD$102,5)),RundDx)))</f>
        <v>1114099325</v>
      </c>
      <c r="DT54" s="25">
        <f>IF($CU54&gt;=RAM,"",IF($CU54-DT$103&lt;BeginnAlter,"",ROUND(v^($CU54+FaktorAlter)*$L54*$D54*0.5*(VLOOKUP($CU54-DT$103,Frauen!$G$9:$J$102,4)+VLOOKUP($CU54-DT$103+1,Frauen!$G$9:$J$102,4))*0.5*(VLOOKUP($CU54-DT$103,Frauen!$AZ$9:$BD$102,5)+VLOOKUP($CU54-DT$103+1,Frauen!$AZ$9:$BD$102,5)),RundDx)))</f>
        <v>1141866080</v>
      </c>
      <c r="DU54" s="25">
        <f>IF($CU54&gt;=RAM,"",IF($CU54-DU$103&lt;BeginnAlter,"",ROUND(v^($CU54+FaktorAlter)*$L54*$D54*0.5*(VLOOKUP($CU54-DU$103,Frauen!$G$9:$J$102,4)+VLOOKUP($CU54-DU$103+1,Frauen!$G$9:$J$102,4))*0.5*(VLOOKUP($CU54-DU$103,Frauen!$AZ$9:$BD$102,5)+VLOOKUP($CU54-DU$103+1,Frauen!$AZ$9:$BD$102,5)),RundDx)))</f>
        <v>1169357515</v>
      </c>
      <c r="DV54" s="25">
        <f>IF($CU54&gt;=RAM,"",IF($CU54-DV$103&lt;BeginnAlter,"",ROUND(v^($CU54+FaktorAlter)*$L54*$D54*0.5*(VLOOKUP($CU54-DV$103,Frauen!$G$9:$J$102,4)+VLOOKUP($CU54-DV$103+1,Frauen!$G$9:$J$102,4))*0.5*(VLOOKUP($CU54-DV$103,Frauen!$AZ$9:$BD$102,5)+VLOOKUP($CU54-DV$103+1,Frauen!$AZ$9:$BD$102,5)),RundDx)))</f>
        <v>1196516484</v>
      </c>
      <c r="DW54" s="25">
        <f>IF($CU54&gt;=RAM,"",IF($CU54-DW$103&lt;BeginnAlter,"",ROUND(v^($CU54+FaktorAlter)*$L54*$D54*0.5*(VLOOKUP($CU54-DW$103,Frauen!$G$9:$J$102,4)+VLOOKUP($CU54-DW$103+1,Frauen!$G$9:$J$102,4))*0.5*(VLOOKUP($CU54-DW$103,Frauen!$AZ$9:$BD$102,5)+VLOOKUP($CU54-DW$103+1,Frauen!$AZ$9:$BD$102,5)),RundDx)))</f>
        <v>1223217100</v>
      </c>
      <c r="DX54" s="25">
        <f>IF($CU54&gt;=RAM,"",IF($CU54-DX$103&lt;BeginnAlter,"",ROUND(v^($CU54+FaktorAlter)*$L54*$D54*0.5*(VLOOKUP($CU54-DX$103,Frauen!$G$9:$J$102,4)+VLOOKUP($CU54-DX$103+1,Frauen!$G$9:$J$102,4))*0.5*(VLOOKUP($CU54-DX$103,Frauen!$AZ$9:$BD$102,5)+VLOOKUP($CU54-DX$103+1,Frauen!$AZ$9:$BD$102,5)),RundDx)))</f>
        <v>1249380665</v>
      </c>
      <c r="DY54" s="25">
        <f>IF($CU54&gt;=RAM,"",IF($CU54-DY$103&lt;BeginnAlter,"",ROUND(v^($CU54+FaktorAlter)*$L54*$D54*0.5*(VLOOKUP($CU54-DY$103,Frauen!$G$9:$J$102,4)+VLOOKUP($CU54-DY$103+1,Frauen!$G$9:$J$102,4))*0.5*(VLOOKUP($CU54-DY$103,Frauen!$AZ$9:$BD$102,5)+VLOOKUP($CU54-DY$103+1,Frauen!$AZ$9:$BD$102,5)),RundDx)))</f>
        <v>1274982441</v>
      </c>
      <c r="DZ54" s="25">
        <f>IF($CU54&gt;=RAM,"",IF($CU54-DZ$103&lt;BeginnAlter,"",ROUND(v^($CU54+FaktorAlter)*$L54*$D54*0.5*(VLOOKUP($CU54-DZ$103,Frauen!$G$9:$J$102,4)+VLOOKUP($CU54-DZ$103+1,Frauen!$G$9:$J$102,4))*0.5*(VLOOKUP($CU54-DZ$103,Frauen!$AZ$9:$BD$102,5)+VLOOKUP($CU54-DZ$103+1,Frauen!$AZ$9:$BD$102,5)),RundDx)))</f>
        <v>1300025827</v>
      </c>
      <c r="EA54" s="43">
        <f>IF($CU54&gt;=RAM,"",IF($CU54-EA$103&lt;BeginnAlter,"",ROUND((SUM(CV54:CV$56)+SUM(FN$9:FN$56))/VLOOKUP($CU54,$AH$9:$AI$102,2)/VLOOKUP($CU54-EA$103,Frauen!$G$9:$J$102,4),Rundäx)))</f>
        <v>1.375</v>
      </c>
      <c r="EB54" s="43">
        <f>IF($CU54&gt;=RAM,"",IF($CU54-EB$103&lt;BeginnAlter,"",ROUND((SUM(CW54:CW$56)+SUM(FO$9:FO$56))/VLOOKUP($CU54,$AH$9:$AI$102,2)/VLOOKUP($CU54-EB$103,Frauen!$G$9:$J$102,4),Rundäx)))</f>
        <v>1.5329999999999999</v>
      </c>
      <c r="EC54" s="43">
        <f>IF($CU54&gt;=RAM,"",IF($CU54-EC$103&lt;BeginnAlter,"",ROUND((SUM(CX54:CX$56)+SUM(FP$9:FP$56))/VLOOKUP($CU54,$AH$9:$AI$102,2)/VLOOKUP($CU54-EC$103,Frauen!$G$9:$J$102,4),Rundäx)))</f>
        <v>1.702</v>
      </c>
      <c r="ED54" s="43">
        <f>IF($CU54&gt;=RAM,"",IF($CU54-ED$103&lt;BeginnAlter,"",ROUND((SUM(CY54:CY$56)+SUM(FQ$9:FQ$56))/VLOOKUP($CU54,$AH$9:$AI$102,2)/VLOOKUP($CU54-ED$103,Frauen!$G$9:$J$102,4),Rundäx)))</f>
        <v>1.8819999999999999</v>
      </c>
      <c r="EE54" s="43">
        <f>IF($CU54&gt;=RAM,"",IF($CU54-EE$103&lt;BeginnAlter,"",ROUND((SUM(CZ54:CZ$56)+SUM(FR$9:FR$56))/VLOOKUP($CU54,$AH$9:$AI$102,2)/VLOOKUP($CU54-EE$103,Frauen!$G$9:$J$102,4),Rundäx)))</f>
        <v>2.0720000000000001</v>
      </c>
      <c r="EF54" s="43">
        <f>IF($CU54&gt;=RAM,"",IF($CU54-EF$103&lt;BeginnAlter,"",ROUND((SUM(DA54:DA$56)+SUM(FS$9:FS$56))/VLOOKUP($CU54,$AH$9:$AI$102,2)/VLOOKUP($CU54-EF$103,Frauen!$G$9:$J$102,4),Rundäx)))</f>
        <v>2.2719999999999998</v>
      </c>
      <c r="EG54" s="43">
        <f>IF($CU54&gt;=RAM,"",IF($CU54-EG$103&lt;BeginnAlter,"",ROUND((SUM(DB54:DB$56)+SUM(FT$9:FT$56))/VLOOKUP($CU54,$AH$9:$AI$102,2)/VLOOKUP($CU54-EG$103,Frauen!$G$9:$J$102,4),Rundäx)))</f>
        <v>2.484</v>
      </c>
      <c r="EH54" s="43">
        <f>IF($CU54&gt;=RAM,"",IF($CU54-EH$103&lt;BeginnAlter,"",ROUND((SUM(DC54:DC$56)+SUM(FU$9:FU$56))/VLOOKUP($CU54,$AH$9:$AI$102,2)/VLOOKUP($CU54-EH$103,Frauen!$G$9:$J$102,4),Rundäx)))</f>
        <v>2.706</v>
      </c>
      <c r="EI54" s="86"/>
      <c r="EJ54" s="35">
        <f t="shared" si="60"/>
        <v>62</v>
      </c>
      <c r="EK54" s="43">
        <f>IF($CU54&gt;=RAM,"",IF($CU54-EK$103&lt;BeginnAlter,"",ROUND((SUM(DD54:DD$56)+SUM(FV$9:FV$56))/VLOOKUP($CU54,$AH$9:$AI$102,2)/VLOOKUP($CU54-EK$103,Frauen!$G$9:$J$102,4),Rundäx)))</f>
        <v>2.9390000000000001</v>
      </c>
      <c r="EL54" s="43">
        <f>IF($CU54&gt;=RAM,"",IF($CU54-EL$103&lt;BeginnAlter,"",ROUND((SUM(DE54:DE$56)+SUM(FW$9:FW$56))/VLOOKUP($CU54,$AH$9:$AI$102,2)/VLOOKUP($CU54-EL$103,Frauen!$G$9:$J$102,4),Rundäx)))</f>
        <v>3.1829999999999998</v>
      </c>
      <c r="EM54" s="43">
        <f>IF($CU54&gt;=RAM,"",IF($CU54-EM$103&lt;BeginnAlter,"",ROUND((SUM(DF54:DF$56)+SUM(FX$9:FX$56))/VLOOKUP($CU54,$AH$9:$AI$102,2)/VLOOKUP($CU54-EM$103,Frauen!$G$9:$J$102,4),Rundäx)))</f>
        <v>3.4380000000000002</v>
      </c>
      <c r="EN54" s="43">
        <f>IF($CU54&gt;=RAM,"",IF($CU54-EN$103&lt;BeginnAlter,"",ROUND((SUM(DG54:DG$56)+SUM(FY$9:FY$56))/VLOOKUP($CU54,$AH$9:$AI$102,2)/VLOOKUP($CU54-EN$103,Frauen!$G$9:$J$102,4),Rundäx)))</f>
        <v>3.7040000000000002</v>
      </c>
      <c r="EO54" s="43">
        <f>IF($CU54&gt;=RAM,"",IF($CU54-EO$103&lt;BeginnAlter,"",ROUND((SUM(DH54:DH$56)+SUM(FZ$9:FZ$56))/VLOOKUP($CU54,$AH$9:$AI$102,2)/VLOOKUP($CU54-EO$103,Frauen!$G$9:$J$102,4),Rundäx)))</f>
        <v>3.9790000000000001</v>
      </c>
      <c r="EP54" s="43">
        <f>IF($CU54&gt;=RAM,"",IF($CU54-EP$103&lt;BeginnAlter,"",ROUND((SUM(DI54:DI$56)+SUM(GA$9:GA$56))/VLOOKUP($CU54,$AH$9:$AI$102,2)/VLOOKUP($CU54-EP$103,Frauen!$G$9:$J$102,4),Rundäx)))</f>
        <v>4.266</v>
      </c>
      <c r="EQ54" s="43">
        <f>IF($CU54&gt;=RAM,"",IF($CU54-EQ$103&lt;BeginnAlter,"",ROUND((SUM(DJ54:DJ$56)+SUM(GB$9:GB$56))/VLOOKUP($CU54,$AH$9:$AI$102,2)/VLOOKUP($CU54-EQ$103,Frauen!$G$9:$J$102,4),Rundäx)))</f>
        <v>4.5620000000000003</v>
      </c>
      <c r="ER54" s="43">
        <f>IF($CU54&gt;=RAM,"",IF($CU54-ER$103&lt;BeginnAlter,"",ROUND((SUM(DK54:DK$56)+SUM(GC$9:GC$56))/VLOOKUP($CU54,$AH$9:$AI$102,2)/VLOOKUP($CU54-ER$103,Frauen!$G$9:$J$102,4),Rundäx)))</f>
        <v>4.8689999999999998</v>
      </c>
      <c r="ES54" s="86"/>
      <c r="ET54" s="35">
        <f t="shared" si="61"/>
        <v>62</v>
      </c>
      <c r="EU54" s="43">
        <f>IF($CU54&gt;=RAM,"",IF($CU54-EU$103&lt;BeginnAlter,"",ROUND((SUM(DL54:DL$56)+SUM(GD$9:GD$56))/VLOOKUP($CU54,$AH$9:$AI$102,2)/VLOOKUP($CU54-EU$103,Frauen!$G$9:$J$102,4),Rundäx)))</f>
        <v>5.1840000000000002</v>
      </c>
      <c r="EV54" s="43">
        <f>IF($CU54&gt;=RAM,"",IF($CU54-EV$103&lt;BeginnAlter,"",ROUND((SUM(DM54:DM$56)+SUM(GE$9:GE$56))/VLOOKUP($CU54,$AH$9:$AI$102,2)/VLOOKUP($CU54-EV$103,Frauen!$G$9:$J$102,4),Rundäx)))</f>
        <v>5.5090000000000003</v>
      </c>
      <c r="EW54" s="43">
        <f>IF($CU54&gt;=RAM,"",IF($CU54-EW$103&lt;BeginnAlter,"",ROUND((SUM(DN54:DN$56)+SUM(GF$9:GF$56))/VLOOKUP($CU54,$AH$9:$AI$102,2)/VLOOKUP($CU54-EW$103,Frauen!$G$9:$J$102,4),Rundäx)))</f>
        <v>5.843</v>
      </c>
      <c r="EX54" s="43">
        <f>IF($CU54&gt;=RAM,"",IF($CU54-EX$103&lt;BeginnAlter,"",ROUND((SUM(DO54:DO$56)+SUM(GG$9:GG$56))/VLOOKUP($CU54,$AH$9:$AI$102,2)/VLOOKUP($CU54-EX$103,Frauen!$G$9:$J$102,4),Rundäx)))</f>
        <v>6.1829999999999998</v>
      </c>
      <c r="EY54" s="43">
        <f>IF($CU54&gt;=RAM,"",IF($CU54-EY$103&lt;BeginnAlter,"",ROUND((SUM(DP54:DP$56)+SUM(GH$9:GH$56))/VLOOKUP($CU54,$AH$9:$AI$102,2)/VLOOKUP($CU54-EY$103,Frauen!$G$9:$J$102,4),Rundäx)))</f>
        <v>6.5309999999999997</v>
      </c>
      <c r="EZ54" s="43">
        <f>IF($CU54&gt;=RAM,"",IF($CU54-EZ$103&lt;BeginnAlter,"",ROUND((SUM(DQ54:DQ$56)+SUM(GI$9:GI$56))/VLOOKUP($CU54,$AH$9:$AI$102,2)/VLOOKUP($CU54-EZ$103,Frauen!$G$9:$J$102,4),Rundäx)))</f>
        <v>6.8840000000000003</v>
      </c>
      <c r="FA54" s="43">
        <f>IF($CU54&gt;=RAM,"",IF($CU54-FA$103&lt;BeginnAlter,"",ROUND((SUM(DR54:DR$56)+SUM(GJ$9:GJ$56))/VLOOKUP($CU54,$AH$9:$AI$102,2)/VLOOKUP($CU54-FA$103,Frauen!$G$9:$J$102,4),Rundäx)))</f>
        <v>7.242</v>
      </c>
      <c r="FB54" s="43">
        <f>IF($CU54&gt;=RAM,"",IF($CU54-FB$103&lt;BeginnAlter,"",ROUND((SUM(DS54:DS$56)+SUM(GK$9:GK$56))/VLOOKUP($CU54,$AH$9:$AI$102,2)/VLOOKUP($CU54-FB$103,Frauen!$G$9:$J$102,4),Rundäx)))</f>
        <v>7.6029999999999998</v>
      </c>
      <c r="FC54" s="86"/>
      <c r="FD54" s="35">
        <f t="shared" si="62"/>
        <v>62</v>
      </c>
      <c r="FE54" s="43">
        <f>IF($CU54&gt;=RAM,"",IF($CU54-FE$103&lt;BeginnAlter,"",ROUND((SUM(DT54:DT$56)+SUM(GL$9:GL$56))/VLOOKUP($CU54,$AH$9:$AI$102,2)/VLOOKUP($CU54-FE$103,Frauen!$G$9:$J$102,4),Rundäx)))</f>
        <v>7.9669999999999996</v>
      </c>
      <c r="FF54" s="43">
        <f>IF($CU54&gt;=RAM,"",IF($CU54-FF$103&lt;BeginnAlter,"",ROUND((SUM(DU54:DU$56)+SUM(GM$9:GM$56))/VLOOKUP($CU54,$AH$9:$AI$102,2)/VLOOKUP($CU54-FF$103,Frauen!$G$9:$J$102,4),Rundäx)))</f>
        <v>8.3330000000000002</v>
      </c>
      <c r="FG54" s="43">
        <f>IF($CU54&gt;=RAM,"",IF($CU54-FG$103&lt;BeginnAlter,"",ROUND((SUM(DV54:DV$56)+SUM(GN$9:GN$56))/VLOOKUP($CU54,$AH$9:$AI$102,2)/VLOOKUP($CU54-FG$103,Frauen!$G$9:$J$102,4),Rundäx)))</f>
        <v>8.6999999999999993</v>
      </c>
      <c r="FH54" s="43">
        <f>IF($CU54&gt;=RAM,"",IF($CU54-FH$103&lt;BeginnAlter,"",ROUND((SUM(DW54:DW$56)+SUM(GO$9:GO$56))/VLOOKUP($CU54,$AH$9:$AI$102,2)/VLOOKUP($CU54-FH$103,Frauen!$G$9:$J$102,4),Rundäx)))</f>
        <v>9.0679999999999996</v>
      </c>
      <c r="FI54" s="43">
        <f>IF($CU54&gt;=RAM,"",IF($CU54-FI$103&lt;BeginnAlter,"",ROUND((SUM(DX54:DX$56)+SUM(GP$9:GP$56))/VLOOKUP($CU54,$AH$9:$AI$102,2)/VLOOKUP($CU54-FI$103,Frauen!$G$9:$J$102,4),Rundäx)))</f>
        <v>9.4359999999999999</v>
      </c>
      <c r="FJ54" s="43">
        <f>IF($CU54&gt;=RAM,"",IF($CU54-FJ$103&lt;BeginnAlter,"",ROUND((SUM(DY54:DY$56)+SUM(GQ$9:GQ$56))/VLOOKUP($CU54,$AH$9:$AI$102,2)/VLOOKUP($CU54-FJ$103,Frauen!$G$9:$J$102,4),Rundäx)))</f>
        <v>9.8040000000000003</v>
      </c>
      <c r="FK54" s="43">
        <f>IF($CU54&gt;=RAM,"",IF($CU54-FK$103&lt;BeginnAlter,"",ROUND((SUM(DZ54:DZ$56)+SUM(GR$9:GR$56))/VLOOKUP($CU54,$AH$9:$AI$102,2)/VLOOKUP($CU54-FK$103,Frauen!$G$9:$J$102,4),Rundäx)))</f>
        <v>10.17</v>
      </c>
      <c r="FL54" s="86"/>
      <c r="FM54" s="35">
        <f t="shared" si="68"/>
        <v>110</v>
      </c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4"/>
      <c r="GT54" s="24"/>
      <c r="GU54" s="24"/>
      <c r="GV54" s="24"/>
      <c r="GW54" s="24"/>
      <c r="GX54" s="24"/>
      <c r="GY54" s="24" t="str">
        <f>IF(FM54&gt;=RAM," ",#REF!/$AI54/Frauen!$J54)</f>
        <v xml:space="preserve"> </v>
      </c>
      <c r="GZ54" s="24"/>
      <c r="HA54" s="86"/>
      <c r="HB54" s="35">
        <f t="shared" si="63"/>
        <v>110</v>
      </c>
      <c r="HC54" s="24"/>
      <c r="HD54" s="24"/>
      <c r="HE54" s="24"/>
      <c r="HF54" s="24"/>
      <c r="HG54" s="24"/>
      <c r="HH54" s="24"/>
      <c r="HI54" s="24"/>
      <c r="HJ54" s="24"/>
      <c r="HK54" s="86"/>
      <c r="HL54" s="35">
        <f t="shared" si="64"/>
        <v>110</v>
      </c>
      <c r="HM54" s="24"/>
      <c r="HN54" s="24"/>
      <c r="HO54" s="24"/>
      <c r="HP54" s="24"/>
      <c r="HQ54" s="24"/>
      <c r="HR54" s="24"/>
      <c r="HS54" s="24"/>
      <c r="HT54" s="24"/>
      <c r="HU54" s="86"/>
      <c r="HV54" s="35">
        <f t="shared" si="65"/>
        <v>110</v>
      </c>
      <c r="HW54" s="24"/>
      <c r="HX54" s="24"/>
      <c r="HY54" s="24"/>
      <c r="HZ54" s="24"/>
      <c r="IA54" s="24"/>
      <c r="IB54" s="24"/>
      <c r="IC54" s="24"/>
      <c r="ID54" s="89"/>
      <c r="IE54" s="35">
        <f t="shared" si="81"/>
        <v>62</v>
      </c>
      <c r="IF54" s="25">
        <f t="shared" si="31"/>
        <v>22</v>
      </c>
      <c r="IG54" s="25">
        <f>IF($IE54&lt;RAM,IF(S55&lt;=RAK,ROUND(SUM(IF54:INDEX(Dakx,RAM-BeginnAlter))+INDEX(Dax,RAM-BeginnAlter+1)*INDEX(äkx,1),RundDx),0),"")</f>
        <v>178</v>
      </c>
      <c r="IH54" s="25">
        <f>IF($IE54&lt;RAM,IF(S55&lt;=RAK,ROUND(SUM(IG54:INDEX(Nakx,RAM-BeginnAlter))+INDEX(Dax,RAM-BeginnAlter+1)*INDEX(äkx,1),RundDx),0),"")</f>
        <v>588</v>
      </c>
      <c r="II54" s="24">
        <f t="shared" si="32"/>
        <v>0.01</v>
      </c>
      <c r="IJ54" s="25">
        <f t="shared" si="33"/>
        <v>51</v>
      </c>
      <c r="IK54" s="25">
        <f>IF($IE54&lt;RAM,IF(S55&lt;=RAK,SUM(IJ54:INDEX(Dikx,RAM-BeginnAlter))+INDEX(Dix,RAM-BeginnAlter+1)*INDEX(äkx,1),0),"")</f>
        <v>298.83199999999999</v>
      </c>
      <c r="IL54" s="24">
        <f t="shared" si="34"/>
        <v>1.2999999999999999E-2</v>
      </c>
      <c r="IM54" s="86"/>
      <c r="IN54" s="35">
        <f t="shared" si="67"/>
        <v>110</v>
      </c>
      <c r="IO54" s="25"/>
      <c r="IP54" s="25"/>
      <c r="IQ54" s="24"/>
      <c r="IR54" s="86"/>
    </row>
    <row r="55" spans="1:252" ht="15.75" customHeight="1" x14ac:dyDescent="0.25">
      <c r="A55" s="35">
        <f t="shared" si="69"/>
        <v>63</v>
      </c>
      <c r="B55" s="77">
        <v>8.6108000000000001E-3</v>
      </c>
      <c r="C55" s="77">
        <v>4.2810799999999996E-2</v>
      </c>
      <c r="D55" s="77">
        <v>2.3748505322812599E-2</v>
      </c>
      <c r="E55" s="77">
        <v>1.2254819594269106E-2</v>
      </c>
      <c r="F55" s="86"/>
      <c r="G55" s="35">
        <f t="shared" si="70"/>
        <v>63</v>
      </c>
      <c r="H55" s="25">
        <f t="shared" si="37"/>
        <v>70198</v>
      </c>
      <c r="I55" s="25">
        <f t="shared" si="38"/>
        <v>19073</v>
      </c>
      <c r="J55" s="25">
        <f t="shared" si="39"/>
        <v>89271</v>
      </c>
      <c r="K55" s="30">
        <f>IF(J55&gt;0,ROUND(SUM(J55:J$102)/J55-0.5,Rundex),"")</f>
        <v>19.09</v>
      </c>
      <c r="L55" s="25">
        <f t="shared" si="0"/>
        <v>91318</v>
      </c>
      <c r="M55" s="30">
        <f>IF(L55&gt;0,ROUND(SUM(L55:L$102)/L55-0.5,Rundex),"")</f>
        <v>18.68</v>
      </c>
      <c r="N55" s="86"/>
      <c r="O55" s="35">
        <f t="shared" si="71"/>
        <v>63</v>
      </c>
      <c r="P55" s="43">
        <v>0.77916372227783581</v>
      </c>
      <c r="Q55" s="78">
        <v>59.484924409437937</v>
      </c>
      <c r="R55" s="43">
        <v>1.7000000000000001E-2</v>
      </c>
      <c r="S55" s="78">
        <v>19.430503710910301</v>
      </c>
      <c r="T55" s="15">
        <v>2.06068960717514E-2</v>
      </c>
      <c r="U55" s="11">
        <f t="shared" si="40"/>
        <v>87073</v>
      </c>
      <c r="V55" s="30">
        <f>IF(U55&gt;0,ROUND(SUM(U55:U$102)/U55-0.5,Rundex),"")</f>
        <v>16.920000000000002</v>
      </c>
      <c r="W55" s="86"/>
      <c r="X55" s="35">
        <f t="shared" si="72"/>
        <v>63</v>
      </c>
      <c r="Y55" s="25">
        <f t="shared" si="1"/>
        <v>17280</v>
      </c>
      <c r="Z55" s="25">
        <f>IF($X55&lt;RAM,SUM(Y55:INDEX(Dax,RAM-BeginnAlter))," ")</f>
        <v>33310</v>
      </c>
      <c r="AA55" s="25">
        <f t="shared" si="2"/>
        <v>147</v>
      </c>
      <c r="AB55" s="25">
        <f>IF($X55&lt;RAM,SUM(AA55:INDEX(Cax,RAM-BeginnAlter))," ")</f>
        <v>297</v>
      </c>
      <c r="AC55" s="25">
        <f t="shared" si="3"/>
        <v>732</v>
      </c>
      <c r="AD55" s="25">
        <f>IF($X55&lt;RAM,SUM(AC55:INDEX(Caix,RAM-BeginnAlter))," ")</f>
        <v>1489</v>
      </c>
      <c r="AE55" s="24">
        <f t="shared" si="4"/>
        <v>1.9279999999999999</v>
      </c>
      <c r="AF55" s="24">
        <f t="shared" si="5"/>
        <v>1.8620000000000001</v>
      </c>
      <c r="AG55" s="86"/>
      <c r="AH55" s="35">
        <f t="shared" si="73"/>
        <v>63</v>
      </c>
      <c r="AI55" s="25">
        <f t="shared" si="6"/>
        <v>22479</v>
      </c>
      <c r="AJ55" s="25">
        <f>IF($AH55&gt;RAM," ",IF($AH55&lt;RAM,SUM(AI55:INDEX(Dix,RAM-BeginnAlter))+INDEX(Nx,RAM-BeginnAlter+1),INDEX(Nx,RAM-BeginnAlter+1)))</f>
        <v>341188</v>
      </c>
      <c r="AK55" s="25">
        <f>IF($AH55&lt;RAM,SUM(AI55:INDEX(Dix,RAM-BeginnAlter))," ")</f>
        <v>43941</v>
      </c>
      <c r="AL55" s="24">
        <f t="shared" si="7"/>
        <v>15.178000000000001</v>
      </c>
      <c r="AM55" s="24">
        <f t="shared" si="8"/>
        <v>14.72</v>
      </c>
      <c r="AN55" s="24">
        <f t="shared" si="9"/>
        <v>1.9550000000000001</v>
      </c>
      <c r="AO55" s="24">
        <f t="shared" si="10"/>
        <v>1.9139999999999999</v>
      </c>
      <c r="AP55" s="86"/>
      <c r="AQ55" s="35">
        <f t="shared" si="74"/>
        <v>63</v>
      </c>
      <c r="AR55" s="25">
        <f t="shared" si="11"/>
        <v>21975</v>
      </c>
      <c r="AS55" s="25">
        <f>SUM(AR55:AR$94)</f>
        <v>340450</v>
      </c>
      <c r="AT55" s="25">
        <f>IF($AQ55&lt;RAM,SUM(AR55:INDEX(Dx,RAM-BeginnAlter))," ")</f>
        <v>43203</v>
      </c>
      <c r="AU55" s="24">
        <f t="shared" si="12"/>
        <v>15.493</v>
      </c>
      <c r="AV55" s="24">
        <f t="shared" si="13"/>
        <v>15.034000000000001</v>
      </c>
      <c r="AW55" s="24">
        <f t="shared" si="14"/>
        <v>1.966</v>
      </c>
      <c r="AX55" s="24">
        <f t="shared" si="15"/>
        <v>1.9350000000000001</v>
      </c>
      <c r="AY55" s="86"/>
      <c r="AZ55" s="35">
        <f t="shared" si="75"/>
        <v>63</v>
      </c>
      <c r="BA55" s="25">
        <f t="shared" si="16"/>
        <v>21434</v>
      </c>
      <c r="BB55" s="25">
        <f>SUM(BA55:BA$94)</f>
        <v>299343</v>
      </c>
      <c r="BC55" s="24">
        <f t="shared" si="17"/>
        <v>13.965999999999999</v>
      </c>
      <c r="BD55" s="24">
        <f t="shared" si="18"/>
        <v>13.507</v>
      </c>
      <c r="BE55" s="86"/>
      <c r="BF55" s="35">
        <f t="shared" si="48"/>
        <v>46</v>
      </c>
      <c r="BG55" s="24" t="str">
        <f t="shared" si="19"/>
        <v/>
      </c>
      <c r="BH55" s="24" t="str">
        <f t="shared" si="20"/>
        <v/>
      </c>
      <c r="BI55" s="86"/>
      <c r="BJ55" s="35">
        <f t="shared" si="76"/>
        <v>63</v>
      </c>
      <c r="BK55" s="25">
        <f t="shared" si="21"/>
        <v>10649</v>
      </c>
      <c r="BL55" s="25">
        <f>IF(BJ55&lt;RAM,SUM(BK55:INDEX(Daix,RAM-BeginnAlter))," ")</f>
        <v>21420</v>
      </c>
      <c r="BM55" s="25">
        <f>IF(BJ55&lt;RAM,SUM(BL55:INDEX(Naix,RAM-BeginnAlter))," ")</f>
        <v>32191</v>
      </c>
      <c r="BN55" s="24">
        <f t="shared" si="22"/>
        <v>12.022</v>
      </c>
      <c r="BO55" s="24">
        <f t="shared" si="23"/>
        <v>1.24</v>
      </c>
      <c r="BP55" s="86"/>
      <c r="BQ55" s="35">
        <f t="shared" si="77"/>
        <v>63</v>
      </c>
      <c r="BR55" s="25">
        <f t="shared" si="51"/>
        <v>1062</v>
      </c>
      <c r="BS55" s="25">
        <f>IF(BQ55&lt;RAM,SUM(BR55:INDEX(Daixs,RAM-BeginnAlter))," ")</f>
        <v>1436</v>
      </c>
      <c r="BT55" s="25">
        <f>IF(BQ55&lt;RAM,SUM(BS55:INDEX(Naixs,RAM-BeginnAlter))," ")</f>
        <v>1810</v>
      </c>
      <c r="BU55" s="24">
        <f t="shared" si="52"/>
        <v>13.179</v>
      </c>
      <c r="BV55" s="24">
        <f t="shared" si="53"/>
        <v>8.3000000000000004E-2</v>
      </c>
      <c r="BW55" s="86"/>
      <c r="BX55" s="35">
        <f t="shared" si="78"/>
        <v>63</v>
      </c>
      <c r="BY55" s="10">
        <f t="shared" si="24"/>
        <v>4.9135582663642889</v>
      </c>
      <c r="BZ55" s="11">
        <f t="shared" si="25"/>
        <v>59</v>
      </c>
      <c r="CA55" s="25">
        <f>IF(S56&lt;=RAK,IF($BX55&lt;RAM,SUM(BZ55:INDEX(Dazx,RAM-BeginnAlter)),""),"")</f>
        <v>117</v>
      </c>
      <c r="CB55" s="24">
        <f t="shared" si="26"/>
        <v>7.0000000000000001E-3</v>
      </c>
      <c r="CC55" s="25">
        <f t="shared" si="27"/>
        <v>17806</v>
      </c>
      <c r="CD55" s="24">
        <f t="shared" si="28"/>
        <v>12.323</v>
      </c>
      <c r="CE55" s="24">
        <f t="shared" si="29"/>
        <v>5.8999999999999997E-2</v>
      </c>
      <c r="CF55" s="86"/>
      <c r="CG55" s="35">
        <f t="shared" si="79"/>
        <v>63</v>
      </c>
      <c r="CH55" s="25">
        <f>IF(CG55&lt;RAM,ROUND(v^($CG55+FaktorAlter)*$H55*($B55*0.5*($P55+$P56)*(VLOOKUP(TRUNC(0.5*($Q55+$Q56),0),Frauen!$AZ$9:$BD$95,5)+(0.5*($Q55+$Q56)-TRUNC(0.5*($Q55+$Q56),0))*(VLOOKUP(TRUNC(0.5*($Q55+$Q56)+1,0),Frauen!$AZ$9:$BD$95,5)-VLOOKUP(TRUNC(0.5*($Q55+$Q56),0),Frauen!$AZ$9:$BD$95,5)))+$C55*0.5*($CN55+$CN56)),RundDx),"")</f>
        <v>6139</v>
      </c>
      <c r="CI55" s="25">
        <f>IF(CG55&lt;RAM,ROUND(SUM(CH55:INDEX(Dawx,RAM-BeginnAlter))+INDEX(Dax,RAM-BeginnAlter+1)*INDEX(äwx,1),RundDx),"")</f>
        <v>90163</v>
      </c>
      <c r="CJ55" s="25">
        <f>IF(CG55&lt;RAM,ROUND(SUM(CI55:INDEX(Nawx,RAM-BeginnAlter))+INDEX(Dax,RAM-BeginnAlter+1)*INDEX(äwx,1),RundDx),"")</f>
        <v>252018</v>
      </c>
      <c r="CK55" s="24">
        <f t="shared" si="56"/>
        <v>5.218</v>
      </c>
      <c r="CL55" s="25">
        <f>IF(CG55&lt;RAM,ROUND(v^($CG55+FaktorAlter)*$L55*$D55*0.5*($P55+$P56)*(VLOOKUP(TRUNC(0.5*($Q55+$Q56),0),Frauen!$AZ$9:$BD$95,5)+(0.5*($Q55+$Q56)-TRUNC(0.5*($Q55+$Q56),0))*(VLOOKUP(TRUNC(0.5*($Q55+$Q56)+1,0),Frauen!$AZ$9:$BD$95,5)-VLOOKUP(TRUNC(0.5*($Q55+$Q56),0),Frauen!$AZ$9:$BD$95,5))),RundDx),"")</f>
        <v>7792</v>
      </c>
      <c r="CM55" s="25">
        <f>IF(CG55&lt;RAM,SUM(CL55:INDEX(Diwx,RAM-BeginnAlter))+INDEX(Dix,RAM-BeginnAlter+1)*INDEX(äwx,1),"")</f>
        <v>123073.414</v>
      </c>
      <c r="CN55" s="24">
        <f t="shared" si="57"/>
        <v>5.4749999999999996</v>
      </c>
      <c r="CO55" s="86"/>
      <c r="CP55" s="35">
        <f t="shared" si="58"/>
        <v>111</v>
      </c>
      <c r="CQ55" s="25"/>
      <c r="CR55" s="25"/>
      <c r="CS55" s="24"/>
      <c r="CT55" s="86"/>
      <c r="CU55" s="35">
        <f t="shared" si="80"/>
        <v>63</v>
      </c>
      <c r="CV55" s="25">
        <f>IF($CU55&gt;=RAM,"",IF($CU55-CV$103&lt;BeginnAlter,"",ROUND(v^($CU55+FaktorAlter)*$L55*$D55*0.5*(VLOOKUP($CU55-CV$103,Frauen!$G$9:$J$102,4)+VLOOKUP($CU55-CV$103+1,Frauen!$G$9:$J$102,4))*0.5*(VLOOKUP($CU55-CV$103,Frauen!$AZ$9:$BD$102,5)+VLOOKUP($CU55-CV$103+1,Frauen!$AZ$9:$BD$102,5)),RundDx)))</f>
        <v>345143946</v>
      </c>
      <c r="CW55" s="25">
        <f>IF($CU55&gt;=RAM,"",IF($CU55-CW$103&lt;BeginnAlter,"",ROUND(v^($CU55+FaktorAlter)*$L55*$D55*0.5*(VLOOKUP($CU55-CW$103,Frauen!$G$9:$J$102,4)+VLOOKUP($CU55-CW$103+1,Frauen!$G$9:$J$102,4))*0.5*(VLOOKUP($CU55-CW$103,Frauen!$AZ$9:$BD$102,5)+VLOOKUP($CU55-CW$103+1,Frauen!$AZ$9:$BD$102,5)),RundDx)))</f>
        <v>375181742</v>
      </c>
      <c r="CX55" s="25">
        <f>IF($CU55&gt;=RAM,"",IF($CU55-CX$103&lt;BeginnAlter,"",ROUND(v^($CU55+FaktorAlter)*$L55*$D55*0.5*(VLOOKUP($CU55-CX$103,Frauen!$G$9:$J$102,4)+VLOOKUP($CU55-CX$103+1,Frauen!$G$9:$J$102,4))*0.5*(VLOOKUP($CU55-CX$103,Frauen!$AZ$9:$BD$102,5)+VLOOKUP($CU55-CX$103+1,Frauen!$AZ$9:$BD$102,5)),RundDx)))</f>
        <v>405673856</v>
      </c>
      <c r="CY55" s="25">
        <f>IF($CU55&gt;=RAM,"",IF($CU55-CY$103&lt;BeginnAlter,"",ROUND(v^($CU55+FaktorAlter)*$L55*$D55*0.5*(VLOOKUP($CU55-CY$103,Frauen!$G$9:$J$102,4)+VLOOKUP($CU55-CY$103+1,Frauen!$G$9:$J$102,4))*0.5*(VLOOKUP($CU55-CY$103,Frauen!$AZ$9:$BD$102,5)+VLOOKUP($CU55-CY$103+1,Frauen!$AZ$9:$BD$102,5)),RundDx)))</f>
        <v>436649975</v>
      </c>
      <c r="CZ55" s="25">
        <f>IF($CU55&gt;=RAM,"",IF($CU55-CZ$103&lt;BeginnAlter,"",ROUND(v^($CU55+FaktorAlter)*$L55*$D55*0.5*(VLOOKUP($CU55-CZ$103,Frauen!$G$9:$J$102,4)+VLOOKUP($CU55-CZ$103+1,Frauen!$G$9:$J$102,4))*0.5*(VLOOKUP($CU55-CZ$103,Frauen!$AZ$9:$BD$102,5)+VLOOKUP($CU55-CZ$103+1,Frauen!$AZ$9:$BD$102,5)),RundDx)))</f>
        <v>468205920</v>
      </c>
      <c r="DA55" s="25">
        <f>IF($CU55&gt;=RAM,"",IF($CU55-DA$103&lt;BeginnAlter,"",ROUND(v^($CU55+FaktorAlter)*$L55*$D55*0.5*(VLOOKUP($CU55-DA$103,Frauen!$G$9:$J$102,4)+VLOOKUP($CU55-DA$103+1,Frauen!$G$9:$J$102,4))*0.5*(VLOOKUP($CU55-DA$103,Frauen!$AZ$9:$BD$102,5)+VLOOKUP($CU55-DA$103+1,Frauen!$AZ$9:$BD$102,5)),RundDx)))</f>
        <v>500359430</v>
      </c>
      <c r="DB55" s="25">
        <f>IF($CU55&gt;=RAM,"",IF($CU55-DB$103&lt;BeginnAlter,"",ROUND(v^($CU55+FaktorAlter)*$L55*$D55*0.5*(VLOOKUP($CU55-DB$103,Frauen!$G$9:$J$102,4)+VLOOKUP($CU55-DB$103+1,Frauen!$G$9:$J$102,4))*0.5*(VLOOKUP($CU55-DB$103,Frauen!$AZ$9:$BD$102,5)+VLOOKUP($CU55-DB$103+1,Frauen!$AZ$9:$BD$102,5)),RundDx)))</f>
        <v>533036587</v>
      </c>
      <c r="DC55" s="25">
        <f>IF($CU55&gt;=RAM,"",IF($CU55-DC$103&lt;BeginnAlter,"",ROUND(v^($CU55+FaktorAlter)*$L55*$D55*0.5*(VLOOKUP($CU55-DC$103,Frauen!$G$9:$J$102,4)+VLOOKUP($CU55-DC$103+1,Frauen!$G$9:$J$102,4))*0.5*(VLOOKUP($CU55-DC$103,Frauen!$AZ$9:$BD$102,5)+VLOOKUP($CU55-DC$103+1,Frauen!$AZ$9:$BD$102,5)),RundDx)))</f>
        <v>566094554</v>
      </c>
      <c r="DD55" s="25">
        <f>IF($CU55&gt;=RAM,"",IF($CU55-DD$103&lt;BeginnAlter,"",ROUND(v^($CU55+FaktorAlter)*$L55*$D55*0.5*(VLOOKUP($CU55-DD$103,Frauen!$G$9:$J$102,4)+VLOOKUP($CU55-DD$103+1,Frauen!$G$9:$J$102,4))*0.5*(VLOOKUP($CU55-DD$103,Frauen!$AZ$9:$BD$102,5)+VLOOKUP($CU55-DD$103+1,Frauen!$AZ$9:$BD$102,5)),RundDx)))</f>
        <v>599296004</v>
      </c>
      <c r="DE55" s="25">
        <f>IF($CU55&gt;=RAM,"",IF($CU55-DE$103&lt;BeginnAlter,"",ROUND(v^($CU55+FaktorAlter)*$L55*$D55*0.5*(VLOOKUP($CU55-DE$103,Frauen!$G$9:$J$102,4)+VLOOKUP($CU55-DE$103+1,Frauen!$G$9:$J$102,4))*0.5*(VLOOKUP($CU55-DE$103,Frauen!$AZ$9:$BD$102,5)+VLOOKUP($CU55-DE$103+1,Frauen!$AZ$9:$BD$102,5)),RundDx)))</f>
        <v>632548486</v>
      </c>
      <c r="DF55" s="25">
        <f>IF($CU55&gt;=RAM,"",IF($CU55-DF$103&lt;BeginnAlter,"",ROUND(v^($CU55+FaktorAlter)*$L55*$D55*0.5*(VLOOKUP($CU55-DF$103,Frauen!$G$9:$J$102,4)+VLOOKUP($CU55-DF$103+1,Frauen!$G$9:$J$102,4))*0.5*(VLOOKUP($CU55-DF$103,Frauen!$AZ$9:$BD$102,5)+VLOOKUP($CU55-DF$103+1,Frauen!$AZ$9:$BD$102,5)),RundDx)))</f>
        <v>665790863</v>
      </c>
      <c r="DG55" s="25">
        <f>IF($CU55&gt;=RAM,"",IF($CU55-DG$103&lt;BeginnAlter,"",ROUND(v^($CU55+FaktorAlter)*$L55*$D55*0.5*(VLOOKUP($CU55-DG$103,Frauen!$G$9:$J$102,4)+VLOOKUP($CU55-DG$103+1,Frauen!$G$9:$J$102,4))*0.5*(VLOOKUP($CU55-DG$103,Frauen!$AZ$9:$BD$102,5)+VLOOKUP($CU55-DG$103+1,Frauen!$AZ$9:$BD$102,5)),RundDx)))</f>
        <v>698797559</v>
      </c>
      <c r="DH55" s="25">
        <f>IF($CU55&gt;=RAM,"",IF($CU55-DH$103&lt;BeginnAlter,"",ROUND(v^($CU55+FaktorAlter)*$L55*$D55*0.5*(VLOOKUP($CU55-DH$103,Frauen!$G$9:$J$102,4)+VLOOKUP($CU55-DH$103+1,Frauen!$G$9:$J$102,4))*0.5*(VLOOKUP($CU55-DH$103,Frauen!$AZ$9:$BD$102,5)+VLOOKUP($CU55-DH$103+1,Frauen!$AZ$9:$BD$102,5)),RundDx)))</f>
        <v>731438066</v>
      </c>
      <c r="DI55" s="25">
        <f>IF($CU55&gt;=RAM,"",IF($CU55-DI$103&lt;BeginnAlter,"",ROUND(v^($CU55+FaktorAlter)*$L55*$D55*0.5*(VLOOKUP($CU55-DI$103,Frauen!$G$9:$J$102,4)+VLOOKUP($CU55-DI$103+1,Frauen!$G$9:$J$102,4))*0.5*(VLOOKUP($CU55-DI$103,Frauen!$AZ$9:$BD$102,5)+VLOOKUP($CU55-DI$103+1,Frauen!$AZ$9:$BD$102,5)),RundDx)))</f>
        <v>763766794</v>
      </c>
      <c r="DJ55" s="25">
        <f>IF($CU55&gt;=RAM,"",IF($CU55-DJ$103&lt;BeginnAlter,"",ROUND(v^($CU55+FaktorAlter)*$L55*$D55*0.5*(VLOOKUP($CU55-DJ$103,Frauen!$G$9:$J$102,4)+VLOOKUP($CU55-DJ$103+1,Frauen!$G$9:$J$102,4))*0.5*(VLOOKUP($CU55-DJ$103,Frauen!$AZ$9:$BD$102,5)+VLOOKUP($CU55-DJ$103+1,Frauen!$AZ$9:$BD$102,5)),RundDx)))</f>
        <v>795707651</v>
      </c>
      <c r="DK55" s="25">
        <f>IF($CU55&gt;=RAM,"",IF($CU55-DK$103&lt;BeginnAlter,"",ROUND(v^($CU55+FaktorAlter)*$L55*$D55*0.5*(VLOOKUP($CU55-DK$103,Frauen!$G$9:$J$102,4)+VLOOKUP($CU55-DK$103+1,Frauen!$G$9:$J$102,4))*0.5*(VLOOKUP($CU55-DK$103,Frauen!$AZ$9:$BD$102,5)+VLOOKUP($CU55-DK$103+1,Frauen!$AZ$9:$BD$102,5)),RundDx)))</f>
        <v>827071979</v>
      </c>
      <c r="DL55" s="25">
        <f>IF($CU55&gt;=RAM,"",IF($CU55-DL$103&lt;BeginnAlter,"",ROUND(v^($CU55+FaktorAlter)*$L55*$D55*0.5*(VLOOKUP($CU55-DL$103,Frauen!$G$9:$J$102,4)+VLOOKUP($CU55-DL$103+1,Frauen!$G$9:$J$102,4))*0.5*(VLOOKUP($CU55-DL$103,Frauen!$AZ$9:$BD$102,5)+VLOOKUP($CU55-DL$103+1,Frauen!$AZ$9:$BD$102,5)),RundDx)))</f>
        <v>857842782</v>
      </c>
      <c r="DM55" s="25">
        <f>IF($CU55&gt;=RAM,"",IF($CU55-DM$103&lt;BeginnAlter,"",ROUND(v^($CU55+FaktorAlter)*$L55*$D55*0.5*(VLOOKUP($CU55-DM$103,Frauen!$G$9:$J$102,4)+VLOOKUP($CU55-DM$103+1,Frauen!$G$9:$J$102,4))*0.5*(VLOOKUP($CU55-DM$103,Frauen!$AZ$9:$BD$102,5)+VLOOKUP($CU55-DM$103+1,Frauen!$AZ$9:$BD$102,5)),RundDx)))</f>
        <v>888099553</v>
      </c>
      <c r="DN55" s="25">
        <f>IF($CU55&gt;=RAM,"",IF($CU55-DN$103&lt;BeginnAlter,"",ROUND(v^($CU55+FaktorAlter)*$L55*$D55*0.5*(VLOOKUP($CU55-DN$103,Frauen!$G$9:$J$102,4)+VLOOKUP($CU55-DN$103+1,Frauen!$G$9:$J$102,4))*0.5*(VLOOKUP($CU55-DN$103,Frauen!$AZ$9:$BD$102,5)+VLOOKUP($CU55-DN$103+1,Frauen!$AZ$9:$BD$102,5)),RundDx)))</f>
        <v>917801926</v>
      </c>
      <c r="DO55" s="25">
        <f>IF($CU55&gt;=RAM,"",IF($CU55-DO$103&lt;BeginnAlter,"",ROUND(v^($CU55+FaktorAlter)*$L55*$D55*0.5*(VLOOKUP($CU55-DO$103,Frauen!$G$9:$J$102,4)+VLOOKUP($CU55-DO$103+1,Frauen!$G$9:$J$102,4))*0.5*(VLOOKUP($CU55-DO$103,Frauen!$AZ$9:$BD$102,5)+VLOOKUP($CU55-DO$103+1,Frauen!$AZ$9:$BD$102,5)),RundDx)))</f>
        <v>946941869</v>
      </c>
      <c r="DP55" s="25">
        <f>IF($CU55&gt;=RAM,"",IF($CU55-DP$103&lt;BeginnAlter,"",ROUND(v^($CU55+FaktorAlter)*$L55*$D55*0.5*(VLOOKUP($CU55-DP$103,Frauen!$G$9:$J$102,4)+VLOOKUP($CU55-DP$103+1,Frauen!$G$9:$J$102,4))*0.5*(VLOOKUP($CU55-DP$103,Frauen!$AZ$9:$BD$102,5)+VLOOKUP($CU55-DP$103+1,Frauen!$AZ$9:$BD$102,5)),RundDx)))</f>
        <v>975579911</v>
      </c>
      <c r="DQ55" s="25">
        <f>IF($CU55&gt;=RAM,"",IF($CU55-DQ$103&lt;BeginnAlter,"",ROUND(v^($CU55+FaktorAlter)*$L55*$D55*0.5*(VLOOKUP($CU55-DQ$103,Frauen!$G$9:$J$102,4)+VLOOKUP($CU55-DQ$103+1,Frauen!$G$9:$J$102,4))*0.5*(VLOOKUP($CU55-DQ$103,Frauen!$AZ$9:$BD$102,5)+VLOOKUP($CU55-DQ$103+1,Frauen!$AZ$9:$BD$102,5)),RundDx)))</f>
        <v>1003805581</v>
      </c>
      <c r="DR55" s="25">
        <f>IF($CU55&gt;=RAM,"",IF($CU55-DR$103&lt;BeginnAlter,"",ROUND(v^($CU55+FaktorAlter)*$L55*$D55*0.5*(VLOOKUP($CU55-DR$103,Frauen!$G$9:$J$102,4)+VLOOKUP($CU55-DR$103+1,Frauen!$G$9:$J$102,4))*0.5*(VLOOKUP($CU55-DR$103,Frauen!$AZ$9:$BD$102,5)+VLOOKUP($CU55-DR$103+1,Frauen!$AZ$9:$BD$102,5)),RundDx)))</f>
        <v>1031692966</v>
      </c>
      <c r="DS55" s="25">
        <f>IF($CU55&gt;=RAM,"",IF($CU55-DS$103&lt;BeginnAlter,"",ROUND(v^($CU55+FaktorAlter)*$L55*$D55*0.5*(VLOOKUP($CU55-DS$103,Frauen!$G$9:$J$102,4)+VLOOKUP($CU55-DS$103+1,Frauen!$G$9:$J$102,4))*0.5*(VLOOKUP($CU55-DS$103,Frauen!$AZ$9:$BD$102,5)+VLOOKUP($CU55-DS$103+1,Frauen!$AZ$9:$BD$102,5)),RundDx)))</f>
        <v>1059308460</v>
      </c>
      <c r="DT55" s="25">
        <f>IF($CU55&gt;=RAM,"",IF($CU55-DT$103&lt;BeginnAlter,"",ROUND(v^($CU55+FaktorAlter)*$L55*$D55*0.5*(VLOOKUP($CU55-DT$103,Frauen!$G$9:$J$102,4)+VLOOKUP($CU55-DT$103+1,Frauen!$G$9:$J$102,4))*0.5*(VLOOKUP($CU55-DT$103,Frauen!$AZ$9:$BD$102,5)+VLOOKUP($CU55-DT$103+1,Frauen!$AZ$9:$BD$102,5)),RundDx)))</f>
        <v>1086683460</v>
      </c>
      <c r="DU55" s="25">
        <f>IF($CU55&gt;=RAM,"",IF($CU55-DU$103&lt;BeginnAlter,"",ROUND(v^($CU55+FaktorAlter)*$L55*$D55*0.5*(VLOOKUP($CU55-DU$103,Frauen!$G$9:$J$102,4)+VLOOKUP($CU55-DU$103+1,Frauen!$G$9:$J$102,4))*0.5*(VLOOKUP($CU55-DU$103,Frauen!$AZ$9:$BD$102,5)+VLOOKUP($CU55-DU$103+1,Frauen!$AZ$9:$BD$102,5)),RundDx)))</f>
        <v>1113766928</v>
      </c>
      <c r="DV55" s="25">
        <f>IF($CU55&gt;=RAM,"",IF($CU55-DV$103&lt;BeginnAlter,"",ROUND(v^($CU55+FaktorAlter)*$L55*$D55*0.5*(VLOOKUP($CU55-DV$103,Frauen!$G$9:$J$102,4)+VLOOKUP($CU55-DV$103+1,Frauen!$G$9:$J$102,4))*0.5*(VLOOKUP($CU55-DV$103,Frauen!$AZ$9:$BD$102,5)+VLOOKUP($CU55-DV$103+1,Frauen!$AZ$9:$BD$102,5)),RundDx)))</f>
        <v>1140581851</v>
      </c>
      <c r="DW55" s="25">
        <f>IF($CU55&gt;=RAM,"",IF($CU55-DW$103&lt;BeginnAlter,"",ROUND(v^($CU55+FaktorAlter)*$L55*$D55*0.5*(VLOOKUP($CU55-DW$103,Frauen!$G$9:$J$102,4)+VLOOKUP($CU55-DW$103+1,Frauen!$G$9:$J$102,4))*0.5*(VLOOKUP($CU55-DW$103,Frauen!$AZ$9:$BD$102,5)+VLOOKUP($CU55-DW$103+1,Frauen!$AZ$9:$BD$102,5)),RundDx)))</f>
        <v>1167072489</v>
      </c>
      <c r="DX55" s="25">
        <f>IF($CU55&gt;=RAM,"",IF($CU55-DX$103&lt;BeginnAlter,"",ROUND(v^($CU55+FaktorAlter)*$L55*$D55*0.5*(VLOOKUP($CU55-DX$103,Frauen!$G$9:$J$102,4)+VLOOKUP($CU55-DX$103+1,Frauen!$G$9:$J$102,4))*0.5*(VLOOKUP($CU55-DX$103,Frauen!$AZ$9:$BD$102,5)+VLOOKUP($CU55-DX$103+1,Frauen!$AZ$9:$BD$102,5)),RundDx)))</f>
        <v>1193116054</v>
      </c>
      <c r="DY55" s="25">
        <f>IF($CU55&gt;=RAM,"",IF($CU55-DY$103&lt;BeginnAlter,"",ROUND(v^($CU55+FaktorAlter)*$L55*$D55*0.5*(VLOOKUP($CU55-DY$103,Frauen!$G$9:$J$102,4)+VLOOKUP($CU55-DY$103+1,Frauen!$G$9:$J$102,4))*0.5*(VLOOKUP($CU55-DY$103,Frauen!$AZ$9:$BD$102,5)+VLOOKUP($CU55-DY$103+1,Frauen!$AZ$9:$BD$102,5)),RundDx)))</f>
        <v>1218635784</v>
      </c>
      <c r="DZ55" s="25">
        <f>IF($CU55&gt;=RAM,"",IF($CU55-DZ$103&lt;BeginnAlter,"",ROUND(v^($CU55+FaktorAlter)*$L55*$D55*0.5*(VLOOKUP($CU55-DZ$103,Frauen!$G$9:$J$102,4)+VLOOKUP($CU55-DZ$103+1,Frauen!$G$9:$J$102,4))*0.5*(VLOOKUP($CU55-DZ$103,Frauen!$AZ$9:$BD$102,5)+VLOOKUP($CU55-DZ$103+1,Frauen!$AZ$9:$BD$102,5)),RundDx)))</f>
        <v>1243607548</v>
      </c>
      <c r="EA55" s="43">
        <f>IF($CU55&gt;=RAM,"",IF($CU55-EA$103&lt;BeginnAlter,"",ROUND((SUM(CV55:CV$56)+SUM(FN$9:FN$56))/VLOOKUP($CU55,$AH$9:$AI$102,2)/VLOOKUP($CU55-EA$103,Frauen!$G$9:$J$102,4),Rundäx)))</f>
        <v>1.2370000000000001</v>
      </c>
      <c r="EB55" s="43">
        <f>IF($CU55&gt;=RAM,"",IF($CU55-EB$103&lt;BeginnAlter,"",ROUND((SUM(CW55:CW$56)+SUM(FO$9:FO$56))/VLOOKUP($CU55,$AH$9:$AI$102,2)/VLOOKUP($CU55-EB$103,Frauen!$G$9:$J$102,4),Rundäx)))</f>
        <v>1.389</v>
      </c>
      <c r="EC55" s="43">
        <f>IF($CU55&gt;=RAM,"",IF($CU55-EC$103&lt;BeginnAlter,"",ROUND((SUM(CX55:CX$56)+SUM(FP$9:FP$56))/VLOOKUP($CU55,$AH$9:$AI$102,2)/VLOOKUP($CU55-EC$103,Frauen!$G$9:$J$102,4),Rundäx)))</f>
        <v>1.5529999999999999</v>
      </c>
      <c r="ED55" s="43">
        <f>IF($CU55&gt;=RAM,"",IF($CU55-ED$103&lt;BeginnAlter,"",ROUND((SUM(CY55:CY$56)+SUM(FQ$9:FQ$56))/VLOOKUP($CU55,$AH$9:$AI$102,2)/VLOOKUP($CU55-ED$103,Frauen!$G$9:$J$102,4),Rundäx)))</f>
        <v>1.7290000000000001</v>
      </c>
      <c r="EE55" s="43">
        <f>IF($CU55&gt;=RAM,"",IF($CU55-EE$103&lt;BeginnAlter,"",ROUND((SUM(CZ55:CZ$56)+SUM(FR$9:FR$56))/VLOOKUP($CU55,$AH$9:$AI$102,2)/VLOOKUP($CU55-EE$103,Frauen!$G$9:$J$102,4),Rundäx)))</f>
        <v>1.917</v>
      </c>
      <c r="EF55" s="43">
        <f>IF($CU55&gt;=RAM,"",IF($CU55-EF$103&lt;BeginnAlter,"",ROUND((SUM(DA55:DA$56)+SUM(FS$9:FS$56))/VLOOKUP($CU55,$AH$9:$AI$102,2)/VLOOKUP($CU55-EF$103,Frauen!$G$9:$J$102,4),Rundäx)))</f>
        <v>2.1150000000000002</v>
      </c>
      <c r="EG55" s="43">
        <f>IF($CU55&gt;=RAM,"",IF($CU55-EG$103&lt;BeginnAlter,"",ROUND((SUM(DB55:DB$56)+SUM(FT$9:FT$56))/VLOOKUP($CU55,$AH$9:$AI$102,2)/VLOOKUP($CU55-EG$103,Frauen!$G$9:$J$102,4),Rundäx)))</f>
        <v>2.3250000000000002</v>
      </c>
      <c r="EH55" s="43">
        <f>IF($CU55&gt;=RAM,"",IF($CU55-EH$103&lt;BeginnAlter,"",ROUND((SUM(DC55:DC$56)+SUM(FU$9:FU$56))/VLOOKUP($CU55,$AH$9:$AI$102,2)/VLOOKUP($CU55-EH$103,Frauen!$G$9:$J$102,4),Rundäx)))</f>
        <v>2.5459999999999998</v>
      </c>
      <c r="EI55" s="86"/>
      <c r="EJ55" s="35">
        <f t="shared" si="60"/>
        <v>63</v>
      </c>
      <c r="EK55" s="43">
        <f>IF($CU55&gt;=RAM,"",IF($CU55-EK$103&lt;BeginnAlter,"",ROUND((SUM(DD55:DD$56)+SUM(FV$9:FV$56))/VLOOKUP($CU55,$AH$9:$AI$102,2)/VLOOKUP($CU55-EK$103,Frauen!$G$9:$J$102,4),Rundäx)))</f>
        <v>2.778</v>
      </c>
      <c r="EL55" s="43">
        <f>IF($CU55&gt;=RAM,"",IF($CU55-EL$103&lt;BeginnAlter,"",ROUND((SUM(DE55:DE$56)+SUM(FW$9:FW$56))/VLOOKUP($CU55,$AH$9:$AI$102,2)/VLOOKUP($CU55-EL$103,Frauen!$G$9:$J$102,4),Rundäx)))</f>
        <v>3.0219999999999998</v>
      </c>
      <c r="EM55" s="43">
        <f>IF($CU55&gt;=RAM,"",IF($CU55-EM$103&lt;BeginnAlter,"",ROUND((SUM(DF55:DF$56)+SUM(FX$9:FX$56))/VLOOKUP($CU55,$AH$9:$AI$102,2)/VLOOKUP($CU55-EM$103,Frauen!$G$9:$J$102,4),Rundäx)))</f>
        <v>3.2759999999999998</v>
      </c>
      <c r="EN55" s="43">
        <f>IF($CU55&gt;=RAM,"",IF($CU55-EN$103&lt;BeginnAlter,"",ROUND((SUM(DG55:DG$56)+SUM(FY$9:FY$56))/VLOOKUP($CU55,$AH$9:$AI$102,2)/VLOOKUP($CU55-EN$103,Frauen!$G$9:$J$102,4),Rundäx)))</f>
        <v>3.5419999999999998</v>
      </c>
      <c r="EO55" s="43">
        <f>IF($CU55&gt;=RAM,"",IF($CU55-EO$103&lt;BeginnAlter,"",ROUND((SUM(DH55:DH$56)+SUM(FZ$9:FZ$56))/VLOOKUP($CU55,$AH$9:$AI$102,2)/VLOOKUP($CU55-EO$103,Frauen!$G$9:$J$102,4),Rundäx)))</f>
        <v>3.82</v>
      </c>
      <c r="EP55" s="43">
        <f>IF($CU55&gt;=RAM,"",IF($CU55-EP$103&lt;BeginnAlter,"",ROUND((SUM(DI55:DI$56)+SUM(GA$9:GA$56))/VLOOKUP($CU55,$AH$9:$AI$102,2)/VLOOKUP($CU55-EP$103,Frauen!$G$9:$J$102,4),Rundäx)))</f>
        <v>4.1059999999999999</v>
      </c>
      <c r="EQ55" s="43">
        <f>IF($CU55&gt;=RAM,"",IF($CU55-EQ$103&lt;BeginnAlter,"",ROUND((SUM(DJ55:DJ$56)+SUM(GB$9:GB$56))/VLOOKUP($CU55,$AH$9:$AI$102,2)/VLOOKUP($CU55-EQ$103,Frauen!$G$9:$J$102,4),Rundäx)))</f>
        <v>4.4039999999999999</v>
      </c>
      <c r="ER55" s="43">
        <f>IF($CU55&gt;=RAM,"",IF($CU55-ER$103&lt;BeginnAlter,"",ROUND((SUM(DK55:DK$56)+SUM(GC$9:GC$56))/VLOOKUP($CU55,$AH$9:$AI$102,2)/VLOOKUP($CU55-ER$103,Frauen!$G$9:$J$102,4),Rundäx)))</f>
        <v>4.7119999999999997</v>
      </c>
      <c r="ES55" s="86"/>
      <c r="ET55" s="35">
        <f t="shared" si="61"/>
        <v>63</v>
      </c>
      <c r="EU55" s="43">
        <f>IF($CU55&gt;=RAM,"",IF($CU55-EU$103&lt;BeginnAlter,"",ROUND((SUM(DL55:DL$56)+SUM(GD$9:GD$56))/VLOOKUP($CU55,$AH$9:$AI$102,2)/VLOOKUP($CU55-EU$103,Frauen!$G$9:$J$102,4),Rundäx)))</f>
        <v>5.03</v>
      </c>
      <c r="EV55" s="43">
        <f>IF($CU55&gt;=RAM,"",IF($CU55-EV$103&lt;BeginnAlter,"",ROUND((SUM(DM55:DM$56)+SUM(GE$9:GE$56))/VLOOKUP($CU55,$AH$9:$AI$102,2)/VLOOKUP($CU55-EV$103,Frauen!$G$9:$J$102,4),Rundäx)))</f>
        <v>5.3570000000000002</v>
      </c>
      <c r="EW55" s="43">
        <f>IF($CU55&gt;=RAM,"",IF($CU55-EW$103&lt;BeginnAlter,"",ROUND((SUM(DN55:DN$56)+SUM(GF$9:GF$56))/VLOOKUP($CU55,$AH$9:$AI$102,2)/VLOOKUP($CU55-EW$103,Frauen!$G$9:$J$102,4),Rundäx)))</f>
        <v>5.6920000000000002</v>
      </c>
      <c r="EX55" s="43">
        <f>IF($CU55&gt;=RAM,"",IF($CU55-EX$103&lt;BeginnAlter,"",ROUND((SUM(DO55:DO$56)+SUM(GG$9:GG$56))/VLOOKUP($CU55,$AH$9:$AI$102,2)/VLOOKUP($CU55-EX$103,Frauen!$G$9:$J$102,4),Rundäx)))</f>
        <v>6.0359999999999996</v>
      </c>
      <c r="EY55" s="43">
        <f>IF($CU55&gt;=RAM,"",IF($CU55-EY$103&lt;BeginnAlter,"",ROUND((SUM(DP55:DP$56)+SUM(GH$9:GH$56))/VLOOKUP($CU55,$AH$9:$AI$102,2)/VLOOKUP($CU55-EY$103,Frauen!$G$9:$J$102,4),Rundäx)))</f>
        <v>6.3860000000000001</v>
      </c>
      <c r="EZ55" s="43">
        <f>IF($CU55&gt;=RAM,"",IF($CU55-EZ$103&lt;BeginnAlter,"",ROUND((SUM(DQ55:DQ$56)+SUM(GI$9:GI$56))/VLOOKUP($CU55,$AH$9:$AI$102,2)/VLOOKUP($CU55-EZ$103,Frauen!$G$9:$J$102,4),Rundäx)))</f>
        <v>6.7430000000000003</v>
      </c>
      <c r="FA55" s="43">
        <f>IF($CU55&gt;=RAM,"",IF($CU55-FA$103&lt;BeginnAlter,"",ROUND((SUM(DR55:DR$56)+SUM(GJ$9:GJ$56))/VLOOKUP($CU55,$AH$9:$AI$102,2)/VLOOKUP($CU55-FA$103,Frauen!$G$9:$J$102,4),Rundäx)))</f>
        <v>7.1050000000000004</v>
      </c>
      <c r="FB55" s="43">
        <f>IF($CU55&gt;=RAM,"",IF($CU55-FB$103&lt;BeginnAlter,"",ROUND((SUM(DS55:DS$56)+SUM(GK$9:GK$56))/VLOOKUP($CU55,$AH$9:$AI$102,2)/VLOOKUP($CU55-FB$103,Frauen!$G$9:$J$102,4),Rundäx)))</f>
        <v>7.4710000000000001</v>
      </c>
      <c r="FC55" s="86"/>
      <c r="FD55" s="35">
        <f t="shared" si="62"/>
        <v>63</v>
      </c>
      <c r="FE55" s="43">
        <f>IF($CU55&gt;=RAM,"",IF($CU55-FE$103&lt;BeginnAlter,"",ROUND((SUM(DT55:DT$56)+SUM(GL$9:GL$56))/VLOOKUP($CU55,$AH$9:$AI$102,2)/VLOOKUP($CU55-FE$103,Frauen!$G$9:$J$102,4),Rundäx)))</f>
        <v>7.84</v>
      </c>
      <c r="FF55" s="43">
        <f>IF($CU55&gt;=RAM,"",IF($CU55-FF$103&lt;BeginnAlter,"",ROUND((SUM(DU55:DU$56)+SUM(GM$9:GM$56))/VLOOKUP($CU55,$AH$9:$AI$102,2)/VLOOKUP($CU55-FF$103,Frauen!$G$9:$J$102,4),Rundäx)))</f>
        <v>8.2110000000000003</v>
      </c>
      <c r="FG55" s="43">
        <f>IF($CU55&gt;=RAM,"",IF($CU55-FG$103&lt;BeginnAlter,"",ROUND((SUM(DV55:DV$56)+SUM(GN$9:GN$56))/VLOOKUP($CU55,$AH$9:$AI$102,2)/VLOOKUP($CU55-FG$103,Frauen!$G$9:$J$102,4),Rundäx)))</f>
        <v>8.5830000000000002</v>
      </c>
      <c r="FH55" s="43">
        <f>IF($CU55&gt;=RAM,"",IF($CU55-FH$103&lt;BeginnAlter,"",ROUND((SUM(DW55:DW$56)+SUM(GO$9:GO$56))/VLOOKUP($CU55,$AH$9:$AI$102,2)/VLOOKUP($CU55-FH$103,Frauen!$G$9:$J$102,4),Rundäx)))</f>
        <v>8.9570000000000007</v>
      </c>
      <c r="FI55" s="43">
        <f>IF($CU55&gt;=RAM,"",IF($CU55-FI$103&lt;BeginnAlter,"",ROUND((SUM(DX55:DX$56)+SUM(GP$9:GP$56))/VLOOKUP($CU55,$AH$9:$AI$102,2)/VLOOKUP($CU55-FI$103,Frauen!$G$9:$J$102,4),Rundäx)))</f>
        <v>9.33</v>
      </c>
      <c r="FJ55" s="43">
        <f>IF($CU55&gt;=RAM,"",IF($CU55-FJ$103&lt;BeginnAlter,"",ROUND((SUM(DY55:DY$56)+SUM(GQ$9:GQ$56))/VLOOKUP($CU55,$AH$9:$AI$102,2)/VLOOKUP($CU55-FJ$103,Frauen!$G$9:$J$102,4),Rundäx)))</f>
        <v>9.7029999999999994</v>
      </c>
      <c r="FK55" s="43">
        <f>IF($CU55&gt;=RAM,"",IF($CU55-FK$103&lt;BeginnAlter,"",ROUND((SUM(DZ55:DZ$56)+SUM(GR$9:GR$56))/VLOOKUP($CU55,$AH$9:$AI$102,2)/VLOOKUP($CU55-FK$103,Frauen!$G$9:$J$102,4),Rundäx)))</f>
        <v>10.074999999999999</v>
      </c>
      <c r="FL55" s="86"/>
      <c r="FM55" s="35">
        <f t="shared" si="68"/>
        <v>111</v>
      </c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4"/>
      <c r="GT55" s="24"/>
      <c r="GU55" s="24"/>
      <c r="GV55" s="24"/>
      <c r="GW55" s="24"/>
      <c r="GX55" s="24"/>
      <c r="GY55" s="24" t="str">
        <f>IF(FM55&gt;=RAM," ",#REF!/$AI55/Frauen!$J55)</f>
        <v xml:space="preserve"> </v>
      </c>
      <c r="GZ55" s="24"/>
      <c r="HA55" s="86"/>
      <c r="HB55" s="35">
        <f t="shared" si="63"/>
        <v>111</v>
      </c>
      <c r="HC55" s="24"/>
      <c r="HD55" s="24"/>
      <c r="HE55" s="24"/>
      <c r="HF55" s="24"/>
      <c r="HG55" s="24"/>
      <c r="HH55" s="24"/>
      <c r="HI55" s="24"/>
      <c r="HJ55" s="24"/>
      <c r="HK55" s="86"/>
      <c r="HL55" s="35">
        <f t="shared" si="64"/>
        <v>111</v>
      </c>
      <c r="HM55" s="24"/>
      <c r="HN55" s="24"/>
      <c r="HO55" s="24"/>
      <c r="HP55" s="24"/>
      <c r="HQ55" s="24"/>
      <c r="HR55" s="24"/>
      <c r="HS55" s="24"/>
      <c r="HT55" s="24"/>
      <c r="HU55" s="86"/>
      <c r="HV55" s="35">
        <f t="shared" si="65"/>
        <v>111</v>
      </c>
      <c r="HW55" s="24"/>
      <c r="HX55" s="24"/>
      <c r="HY55" s="24"/>
      <c r="HZ55" s="24"/>
      <c r="IA55" s="24"/>
      <c r="IB55" s="24"/>
      <c r="IC55" s="24"/>
      <c r="ID55" s="89"/>
      <c r="IE55" s="35">
        <f t="shared" si="81"/>
        <v>63</v>
      </c>
      <c r="IF55" s="25">
        <f t="shared" si="31"/>
        <v>20</v>
      </c>
      <c r="IG55" s="25">
        <f>IF($IE55&lt;RAM,IF(S56&lt;=RAK,ROUND(SUM(IF55:INDEX(Dakx,RAM-BeginnAlter))+INDEX(Dax,RAM-BeginnAlter+1)*INDEX(äkx,1),RundDx),0),"")</f>
        <v>156</v>
      </c>
      <c r="IH55" s="25">
        <f>IF($IE55&lt;RAM,IF(S56&lt;=RAK,ROUND(SUM(IG55:INDEX(Nakx,RAM-BeginnAlter))+INDEX(Dax,RAM-BeginnAlter+1)*INDEX(äkx,1),RundDx),0),"")</f>
        <v>410</v>
      </c>
      <c r="II55" s="24">
        <f t="shared" si="32"/>
        <v>8.9999999999999993E-3</v>
      </c>
      <c r="IJ55" s="25">
        <f t="shared" si="33"/>
        <v>45</v>
      </c>
      <c r="IK55" s="25">
        <f>IF($IE55&lt;RAM,IF(S56&lt;=RAK,SUM(IJ55:INDEX(Dikx,RAM-BeginnAlter))+INDEX(Dix,RAM-BeginnAlter+1)*INDEX(äkx,1),0),"")</f>
        <v>247.83199999999999</v>
      </c>
      <c r="IL55" s="24">
        <f t="shared" si="34"/>
        <v>1.0999999999999999E-2</v>
      </c>
      <c r="IM55" s="86"/>
      <c r="IN55" s="35">
        <f t="shared" si="67"/>
        <v>111</v>
      </c>
      <c r="IO55" s="25"/>
      <c r="IP55" s="25"/>
      <c r="IQ55" s="24"/>
      <c r="IR55" s="86"/>
    </row>
    <row r="56" spans="1:252" ht="15.75" customHeight="1" thickBot="1" x14ac:dyDescent="0.3">
      <c r="A56" s="36">
        <f t="shared" si="69"/>
        <v>64</v>
      </c>
      <c r="B56" s="79">
        <v>9.4672000000000003E-3</v>
      </c>
      <c r="C56" s="79">
        <v>4.7767200000000003E-2</v>
      </c>
      <c r="D56" s="79">
        <v>2.4296692510239415E-2</v>
      </c>
      <c r="E56" s="79">
        <v>1.3540946051691538E-2</v>
      </c>
      <c r="F56" s="87"/>
      <c r="G56" s="36">
        <f t="shared" si="70"/>
        <v>64</v>
      </c>
      <c r="H56" s="27">
        <f t="shared" si="37"/>
        <v>66588</v>
      </c>
      <c r="I56" s="27">
        <f t="shared" si="38"/>
        <v>21589</v>
      </c>
      <c r="J56" s="27">
        <f t="shared" si="39"/>
        <v>88177</v>
      </c>
      <c r="K56" s="31">
        <f>IF(J56&gt;0,ROUND(SUM(J56:J$102)/J56-0.5,Rundex),"")</f>
        <v>18.32</v>
      </c>
      <c r="L56" s="27">
        <f t="shared" si="0"/>
        <v>89149</v>
      </c>
      <c r="M56" s="31">
        <f>IF(L56&gt;0,ROUND(SUM(L56:L$102)/L56-0.5,Rundex),"")</f>
        <v>18.12</v>
      </c>
      <c r="N56" s="87"/>
      <c r="O56" s="36">
        <f t="shared" si="71"/>
        <v>64</v>
      </c>
      <c r="P56" s="37">
        <v>0.77866818228139278</v>
      </c>
      <c r="Q56" s="80">
        <v>60.381643841184726</v>
      </c>
      <c r="R56" s="37">
        <v>1.6E-2</v>
      </c>
      <c r="S56" s="80">
        <v>19.697476510907727</v>
      </c>
      <c r="T56" s="16">
        <v>2.2929707761316909E-2</v>
      </c>
      <c r="U56" s="14">
        <f t="shared" si="40"/>
        <v>85279</v>
      </c>
      <c r="V56" s="31">
        <f>IF(U56&gt;0,ROUND(SUM(U56:U$102)/U56-0.5,Rundex),"")</f>
        <v>16.27</v>
      </c>
      <c r="W56" s="87"/>
      <c r="X56" s="35">
        <f t="shared" si="72"/>
        <v>64</v>
      </c>
      <c r="Y56" s="25">
        <f t="shared" si="1"/>
        <v>16030</v>
      </c>
      <c r="Z56" s="25">
        <f>IF($X56&lt;RAM,SUM(Y56:INDEX(Dax,RAM-BeginnAlter))," ")</f>
        <v>16030</v>
      </c>
      <c r="AA56" s="25">
        <f t="shared" si="2"/>
        <v>150</v>
      </c>
      <c r="AB56" s="25">
        <f>IF($X56&lt;RAM,SUM(AA56:INDEX(Cax,RAM-BeginnAlter))," ")</f>
        <v>150</v>
      </c>
      <c r="AC56" s="25">
        <f t="shared" si="3"/>
        <v>757</v>
      </c>
      <c r="AD56" s="25">
        <f>IF($X56&lt;RAM,SUM(AC56:INDEX(Caix,RAM-BeginnAlter))," ")</f>
        <v>757</v>
      </c>
      <c r="AE56" s="24">
        <f t="shared" si="4"/>
        <v>1</v>
      </c>
      <c r="AF56" s="24">
        <f t="shared" si="5"/>
        <v>0.96399999999999997</v>
      </c>
      <c r="AG56" s="86"/>
      <c r="AH56" s="35">
        <f t="shared" si="73"/>
        <v>64</v>
      </c>
      <c r="AI56" s="25">
        <f t="shared" si="6"/>
        <v>21462</v>
      </c>
      <c r="AJ56" s="25">
        <f>IF($AH56&gt;RAM," ",IF($AH56&lt;RAM,SUM(AI56:INDEX(Dix,RAM-BeginnAlter))+INDEX(Nx,RAM-BeginnAlter+1),INDEX(Nx,RAM-BeginnAlter+1)))</f>
        <v>318709</v>
      </c>
      <c r="AK56" s="25">
        <f>IF($AH56&lt;RAM,SUM(AI56:INDEX(Dix,RAM-BeginnAlter))," ")</f>
        <v>21462</v>
      </c>
      <c r="AL56" s="24">
        <f t="shared" si="7"/>
        <v>14.85</v>
      </c>
      <c r="AM56" s="24">
        <f t="shared" si="8"/>
        <v>14.391999999999999</v>
      </c>
      <c r="AN56" s="24">
        <f t="shared" si="9"/>
        <v>1</v>
      </c>
      <c r="AO56" s="24">
        <f t="shared" si="10"/>
        <v>0.97899999999999998</v>
      </c>
      <c r="AP56" s="86"/>
      <c r="AQ56" s="36">
        <f t="shared" si="74"/>
        <v>64</v>
      </c>
      <c r="AR56" s="27">
        <f t="shared" si="11"/>
        <v>21228</v>
      </c>
      <c r="AS56" s="27">
        <f>SUM(AR56:AR$94)</f>
        <v>318475</v>
      </c>
      <c r="AT56" s="27">
        <f>IF($AQ56&lt;RAM,SUM(AR56:INDEX(Dx,RAM-BeginnAlter))," ")</f>
        <v>21228</v>
      </c>
      <c r="AU56" s="26">
        <f t="shared" si="12"/>
        <v>15.003</v>
      </c>
      <c r="AV56" s="26">
        <f t="shared" si="13"/>
        <v>14.544</v>
      </c>
      <c r="AW56" s="26">
        <f t="shared" si="14"/>
        <v>1</v>
      </c>
      <c r="AX56" s="26">
        <f t="shared" si="15"/>
        <v>0.98399999999999999</v>
      </c>
      <c r="AY56" s="87"/>
      <c r="AZ56" s="36">
        <f t="shared" si="75"/>
        <v>64</v>
      </c>
      <c r="BA56" s="27">
        <f t="shared" si="16"/>
        <v>20530</v>
      </c>
      <c r="BB56" s="27">
        <f>SUM(BA56:BA$94)</f>
        <v>277909</v>
      </c>
      <c r="BC56" s="26">
        <f t="shared" si="17"/>
        <v>13.537000000000001</v>
      </c>
      <c r="BD56" s="26">
        <f t="shared" si="18"/>
        <v>13.077999999999999</v>
      </c>
      <c r="BE56" s="87"/>
      <c r="BF56" s="36">
        <f t="shared" si="48"/>
        <v>47</v>
      </c>
      <c r="BG56" s="26" t="str">
        <f t="shared" si="19"/>
        <v/>
      </c>
      <c r="BH56" s="26" t="str">
        <f t="shared" si="20"/>
        <v/>
      </c>
      <c r="BI56" s="87"/>
      <c r="BJ56" s="36">
        <f t="shared" si="76"/>
        <v>64</v>
      </c>
      <c r="BK56" s="27">
        <f t="shared" si="21"/>
        <v>10771</v>
      </c>
      <c r="BL56" s="27">
        <f>IF(BJ56&lt;RAM,SUM(BK56:INDEX(Daix,RAM-BeginnAlter))," ")</f>
        <v>10771</v>
      </c>
      <c r="BM56" s="27">
        <f>IF(BJ56&lt;RAM,SUM(BL56:INDEX(Naix,RAM-BeginnAlter))," ")</f>
        <v>10771</v>
      </c>
      <c r="BN56" s="26">
        <f t="shared" si="22"/>
        <v>12.96</v>
      </c>
      <c r="BO56" s="26">
        <f t="shared" si="23"/>
        <v>0.67200000000000004</v>
      </c>
      <c r="BP56" s="87"/>
      <c r="BQ56" s="36">
        <f t="shared" si="77"/>
        <v>64</v>
      </c>
      <c r="BR56" s="27">
        <f t="shared" si="51"/>
        <v>374</v>
      </c>
      <c r="BS56" s="27">
        <f>IF(BQ56&lt;RAM,SUM(BR56:INDEX(Daixs,RAM-BeginnAlter))," ")</f>
        <v>374</v>
      </c>
      <c r="BT56" s="27">
        <f>IF(BQ56&lt;RAM,SUM(BS56:INDEX(Naixs,RAM-BeginnAlter))," ")</f>
        <v>374</v>
      </c>
      <c r="BU56" s="26">
        <f t="shared" si="52"/>
        <v>13.608000000000001</v>
      </c>
      <c r="BV56" s="26">
        <f t="shared" si="53"/>
        <v>2.3E-2</v>
      </c>
      <c r="BW56" s="87"/>
      <c r="BX56" s="35">
        <f t="shared" si="78"/>
        <v>64</v>
      </c>
      <c r="BY56" s="10">
        <f t="shared" si="24"/>
        <v>4.9391020591344255</v>
      </c>
      <c r="BZ56" s="11">
        <f t="shared" si="25"/>
        <v>58</v>
      </c>
      <c r="CA56" s="25">
        <f>IF(S57&lt;=RAK,IF($BX56&lt;RAM,SUM(BZ56:INDEX(Dazx,RAM-BeginnAlter)),""),"")</f>
        <v>58</v>
      </c>
      <c r="CB56" s="24">
        <f t="shared" si="26"/>
        <v>4.0000000000000001E-3</v>
      </c>
      <c r="CC56" s="25">
        <f t="shared" si="27"/>
        <v>17256</v>
      </c>
      <c r="CD56" s="24">
        <f t="shared" si="28"/>
        <v>11.968999999999999</v>
      </c>
      <c r="CE56" s="24">
        <f t="shared" si="29"/>
        <v>6.3E-2</v>
      </c>
      <c r="CF56" s="86"/>
      <c r="CG56" s="35">
        <f t="shared" si="79"/>
        <v>64</v>
      </c>
      <c r="CH56" s="25">
        <f>IF(CG56&lt;RAM,ROUND(v^($CG56+FaktorAlter)*$H56*($B56*0.5*($P56+$P57)*(VLOOKUP(TRUNC(0.5*($Q56+$Q57),0),Frauen!$AZ$9:$BD$95,5)+(0.5*($Q56+$Q57)-TRUNC(0.5*($Q56+$Q57),0))*(VLOOKUP(TRUNC(0.5*($Q56+$Q57)+1,0),Frauen!$AZ$9:$BD$95,5)-VLOOKUP(TRUNC(0.5*($Q56+$Q57),0),Frauen!$AZ$9:$BD$95,5)))+$C56*0.5*($CN56+$CN57)),RundDx),"")</f>
        <v>6193</v>
      </c>
      <c r="CI56" s="25">
        <f>IF(CG56&lt;RAM,ROUND(SUM(CH56:INDEX(Dawx,RAM-BeginnAlter))+INDEX(Dax,RAM-BeginnAlter+1)*INDEX(äwx,1),RundDx),"")</f>
        <v>84024</v>
      </c>
      <c r="CJ56" s="25">
        <f>IF(CG56&lt;RAM,ROUND(SUM(CI56:INDEX(Nawx,RAM-BeginnAlter))+INDEX(Dax,RAM-BeginnAlter+1)*INDEX(äwx,1),RundDx),"")</f>
        <v>161855</v>
      </c>
      <c r="CK56" s="24">
        <f t="shared" si="56"/>
        <v>5.242</v>
      </c>
      <c r="CL56" s="25">
        <f>IF(CG56&lt;RAM,ROUND(v^($CG56+FaktorAlter)*$L56*$D56*0.5*($P56+$P57)*(VLOOKUP(TRUNC(0.5*($Q56+$Q57),0),Frauen!$AZ$9:$BD$95,5)+(0.5*($Q56+$Q57)-TRUNC(0.5*($Q56+$Q57),0))*(VLOOKUP(TRUNC(0.5*($Q56+$Q57)+1,0),Frauen!$AZ$9:$BD$95,5)-VLOOKUP(TRUNC(0.5*($Q56+$Q57),0),Frauen!$AZ$9:$BD$95,5))),RundDx),"")</f>
        <v>7439</v>
      </c>
      <c r="CM56" s="25">
        <f>IF(CG56&lt;RAM,SUM(CL56:INDEX(Diwx,RAM-BeginnAlter))+INDEX(Dix,RAM-BeginnAlter+1)*INDEX(äwx,1),"")</f>
        <v>115281.414</v>
      </c>
      <c r="CN56" s="24">
        <f t="shared" si="57"/>
        <v>5.3710000000000004</v>
      </c>
      <c r="CO56" s="86"/>
      <c r="CP56" s="36">
        <f t="shared" si="58"/>
        <v>112</v>
      </c>
      <c r="CQ56" s="27"/>
      <c r="CR56" s="27"/>
      <c r="CS56" s="26"/>
      <c r="CT56" s="87"/>
      <c r="CU56" s="36">
        <f t="shared" si="80"/>
        <v>64</v>
      </c>
      <c r="CV56" s="27">
        <f>IF($CU56&gt;=RAM,"",IF($CU56-CV$103&lt;BeginnAlter,"",ROUND(v^($CU56+FaktorAlter)*$L56*$D56*0.5*(VLOOKUP($CU56-CV$103,Frauen!$G$9:$J$102,4)+VLOOKUP($CU56-CV$103+1,Frauen!$G$9:$J$102,4))*0.5*(VLOOKUP($CU56-CV$103,Frauen!$AZ$9:$BD$102,5)+VLOOKUP($CU56-CV$103+1,Frauen!$AZ$9:$BD$102,5)),RundDx)))</f>
        <v>308169262</v>
      </c>
      <c r="CW56" s="27">
        <f>IF($CU56&gt;=RAM,"",IF($CU56-CW$103&lt;BeginnAlter,"",ROUND(v^($CU56+FaktorAlter)*$L56*$D56*0.5*(VLOOKUP($CU56-CW$103,Frauen!$G$9:$J$102,4)+VLOOKUP($CU56-CW$103+1,Frauen!$G$9:$J$102,4))*0.5*(VLOOKUP($CU56-CW$103,Frauen!$AZ$9:$BD$102,5)+VLOOKUP($CU56-CW$103+1,Frauen!$AZ$9:$BD$102,5)),RundDx)))</f>
        <v>337138154</v>
      </c>
      <c r="CX56" s="27">
        <f>IF($CU56&gt;=RAM,"",IF($CU56-CX$103&lt;BeginnAlter,"",ROUND(v^($CU56+FaktorAlter)*$L56*$D56*0.5*(VLOOKUP($CU56-CX$103,Frauen!$G$9:$J$102,4)+VLOOKUP($CU56-CX$103+1,Frauen!$G$9:$J$102,4))*0.5*(VLOOKUP($CU56-CX$103,Frauen!$AZ$9:$BD$102,5)+VLOOKUP($CU56-CX$103+1,Frauen!$AZ$9:$BD$102,5)),RundDx)))</f>
        <v>366479207</v>
      </c>
      <c r="CY56" s="27">
        <f>IF($CU56&gt;=RAM,"",IF($CU56-CY$103&lt;BeginnAlter,"",ROUND(v^($CU56+FaktorAlter)*$L56*$D56*0.5*(VLOOKUP($CU56-CY$103,Frauen!$G$9:$J$102,4)+VLOOKUP($CU56-CY$103+1,Frauen!$G$9:$J$102,4))*0.5*(VLOOKUP($CU56-CY$103,Frauen!$AZ$9:$BD$102,5)+VLOOKUP($CU56-CY$103+1,Frauen!$AZ$9:$BD$102,5)),RundDx)))</f>
        <v>396264041</v>
      </c>
      <c r="CZ56" s="27">
        <f>IF($CU56&gt;=RAM,"",IF($CU56-CZ$103&lt;BeginnAlter,"",ROUND(v^($CU56+FaktorAlter)*$L56*$D56*0.5*(VLOOKUP($CU56-CZ$103,Frauen!$G$9:$J$102,4)+VLOOKUP($CU56-CZ$103+1,Frauen!$G$9:$J$102,4))*0.5*(VLOOKUP($CU56-CZ$103,Frauen!$AZ$9:$BD$102,5)+VLOOKUP($CU56-CZ$103+1,Frauen!$AZ$9:$BD$102,5)),RundDx)))</f>
        <v>426521653</v>
      </c>
      <c r="DA56" s="27">
        <f>IF($CU56&gt;=RAM,"",IF($CU56-DA$103&lt;BeginnAlter,"",ROUND(v^($CU56+FaktorAlter)*$L56*$D56*0.5*(VLOOKUP($CU56-DA$103,Frauen!$G$9:$J$102,4)+VLOOKUP($CU56-DA$103+1,Frauen!$G$9:$J$102,4))*0.5*(VLOOKUP($CU56-DA$103,Frauen!$AZ$9:$BD$102,5)+VLOOKUP($CU56-DA$103+1,Frauen!$AZ$9:$BD$102,5)),RundDx)))</f>
        <v>457345641</v>
      </c>
      <c r="DB56" s="27">
        <f>IF($CU56&gt;=RAM,"",IF($CU56-DB$103&lt;BeginnAlter,"",ROUND(v^($CU56+FaktorAlter)*$L56*$D56*0.5*(VLOOKUP($CU56-DB$103,Frauen!$G$9:$J$102,4)+VLOOKUP($CU56-DB$103+1,Frauen!$G$9:$J$102,4))*0.5*(VLOOKUP($CU56-DB$103,Frauen!$AZ$9:$BD$102,5)+VLOOKUP($CU56-DB$103+1,Frauen!$AZ$9:$BD$102,5)),RundDx)))</f>
        <v>488753334</v>
      </c>
      <c r="DC56" s="27">
        <f>IF($CU56&gt;=RAM,"",IF($CU56-DC$103&lt;BeginnAlter,"",ROUND(v^($CU56+FaktorAlter)*$L56*$D56*0.5*(VLOOKUP($CU56-DC$103,Frauen!$G$9:$J$102,4)+VLOOKUP($CU56-DC$103+1,Frauen!$G$9:$J$102,4))*0.5*(VLOOKUP($CU56-DC$103,Frauen!$AZ$9:$BD$102,5)+VLOOKUP($CU56-DC$103+1,Frauen!$AZ$9:$BD$102,5)),RundDx)))</f>
        <v>520672528</v>
      </c>
      <c r="DD56" s="27">
        <f>IF($CU56&gt;=RAM,"",IF($CU56-DD$103&lt;BeginnAlter,"",ROUND(v^($CU56+FaktorAlter)*$L56*$D56*0.5*(VLOOKUP($CU56-DD$103,Frauen!$G$9:$J$102,4)+VLOOKUP($CU56-DD$103+1,Frauen!$G$9:$J$102,4))*0.5*(VLOOKUP($CU56-DD$103,Frauen!$AZ$9:$BD$102,5)+VLOOKUP($CU56-DD$103+1,Frauen!$AZ$9:$BD$102,5)),RundDx)))</f>
        <v>552963698</v>
      </c>
      <c r="DE56" s="27">
        <f>IF($CU56&gt;=RAM,"",IF($CU56-DE$103&lt;BeginnAlter,"",ROUND(v^($CU56+FaktorAlter)*$L56*$D56*0.5*(VLOOKUP($CU56-DE$103,Frauen!$G$9:$J$102,4)+VLOOKUP($CU56-DE$103+1,Frauen!$G$9:$J$102,4))*0.5*(VLOOKUP($CU56-DE$103,Frauen!$AZ$9:$BD$102,5)+VLOOKUP($CU56-DE$103+1,Frauen!$AZ$9:$BD$102,5)),RundDx)))</f>
        <v>585395024</v>
      </c>
      <c r="DF56" s="27">
        <f>IF($CU56&gt;=RAM,"",IF($CU56-DF$103&lt;BeginnAlter,"",ROUND(v^($CU56+FaktorAlter)*$L56*$D56*0.5*(VLOOKUP($CU56-DF$103,Frauen!$G$9:$J$102,4)+VLOOKUP($CU56-DF$103+1,Frauen!$G$9:$J$102,4))*0.5*(VLOOKUP($CU56-DF$103,Frauen!$AZ$9:$BD$102,5)+VLOOKUP($CU56-DF$103+1,Frauen!$AZ$9:$BD$102,5)),RundDx)))</f>
        <v>617876197</v>
      </c>
      <c r="DG56" s="27">
        <f>IF($CU56&gt;=RAM,"",IF($CU56-DG$103&lt;BeginnAlter,"",ROUND(v^($CU56+FaktorAlter)*$L56*$D56*0.5*(VLOOKUP($CU56-DG$103,Frauen!$G$9:$J$102,4)+VLOOKUP($CU56-DG$103+1,Frauen!$G$9:$J$102,4))*0.5*(VLOOKUP($CU56-DG$103,Frauen!$AZ$9:$BD$102,5)+VLOOKUP($CU56-DG$103+1,Frauen!$AZ$9:$BD$102,5)),RundDx)))</f>
        <v>650347499</v>
      </c>
      <c r="DH56" s="27">
        <f>IF($CU56&gt;=RAM,"",IF($CU56-DH$103&lt;BeginnAlter,"",ROUND(v^($CU56+FaktorAlter)*$L56*$D56*0.5*(VLOOKUP($CU56-DH$103,Frauen!$G$9:$J$102,4)+VLOOKUP($CU56-DH$103+1,Frauen!$G$9:$J$102,4))*0.5*(VLOOKUP($CU56-DH$103,Frauen!$AZ$9:$BD$102,5)+VLOOKUP($CU56-DH$103+1,Frauen!$AZ$9:$BD$102,5)),RundDx)))</f>
        <v>682588588</v>
      </c>
      <c r="DI56" s="27">
        <f>IF($CU56&gt;=RAM,"",IF($CU56-DI$103&lt;BeginnAlter,"",ROUND(v^($CU56+FaktorAlter)*$L56*$D56*0.5*(VLOOKUP($CU56-DI$103,Frauen!$G$9:$J$102,4)+VLOOKUP($CU56-DI$103+1,Frauen!$G$9:$J$102,4))*0.5*(VLOOKUP($CU56-DI$103,Frauen!$AZ$9:$BD$102,5)+VLOOKUP($CU56-DI$103+1,Frauen!$AZ$9:$BD$102,5)),RundDx)))</f>
        <v>714471982</v>
      </c>
      <c r="DJ56" s="27">
        <f>IF($CU56&gt;=RAM,"",IF($CU56-DJ$103&lt;BeginnAlter,"",ROUND(v^($CU56+FaktorAlter)*$L56*$D56*0.5*(VLOOKUP($CU56-DJ$103,Frauen!$G$9:$J$102,4)+VLOOKUP($CU56-DJ$103+1,Frauen!$G$9:$J$102,4))*0.5*(VLOOKUP($CU56-DJ$103,Frauen!$AZ$9:$BD$102,5)+VLOOKUP($CU56-DJ$103+1,Frauen!$AZ$9:$BD$102,5)),RundDx)))</f>
        <v>746050829</v>
      </c>
      <c r="DK56" s="27">
        <f>IF($CU56&gt;=RAM,"",IF($CU56-DK$103&lt;BeginnAlter,"",ROUND(v^($CU56+FaktorAlter)*$L56*$D56*0.5*(VLOOKUP($CU56-DK$103,Frauen!$G$9:$J$102,4)+VLOOKUP($CU56-DK$103+1,Frauen!$G$9:$J$102,4))*0.5*(VLOOKUP($CU56-DK$103,Frauen!$AZ$9:$BD$102,5)+VLOOKUP($CU56-DK$103+1,Frauen!$AZ$9:$BD$102,5)),RundDx)))</f>
        <v>777250801</v>
      </c>
      <c r="DL56" s="27">
        <f>IF($CU56&gt;=RAM,"",IF($CU56-DL$103&lt;BeginnAlter,"",ROUND(v^($CU56+FaktorAlter)*$L56*$D56*0.5*(VLOOKUP($CU56-DL$103,Frauen!$G$9:$J$102,4)+VLOOKUP($CU56-DL$103+1,Frauen!$G$9:$J$102,4))*0.5*(VLOOKUP($CU56-DL$103,Frauen!$AZ$9:$BD$102,5)+VLOOKUP($CU56-DL$103+1,Frauen!$AZ$9:$BD$102,5)),RundDx)))</f>
        <v>807887617</v>
      </c>
      <c r="DM56" s="27">
        <f>IF($CU56&gt;=RAM,"",IF($CU56-DM$103&lt;BeginnAlter,"",ROUND(v^($CU56+FaktorAlter)*$L56*$D56*0.5*(VLOOKUP($CU56-DM$103,Frauen!$G$9:$J$102,4)+VLOOKUP($CU56-DM$103+1,Frauen!$G$9:$J$102,4))*0.5*(VLOOKUP($CU56-DM$103,Frauen!$AZ$9:$BD$102,5)+VLOOKUP($CU56-DM$103+1,Frauen!$AZ$9:$BD$102,5)),RundDx)))</f>
        <v>837944676</v>
      </c>
      <c r="DN56" s="27">
        <f>IF($CU56&gt;=RAM,"",IF($CU56-DN$103&lt;BeginnAlter,"",ROUND(v^($CU56+FaktorAlter)*$L56*$D56*0.5*(VLOOKUP($CU56-DN$103,Frauen!$G$9:$J$102,4)+VLOOKUP($CU56-DN$103+1,Frauen!$G$9:$J$102,4))*0.5*(VLOOKUP($CU56-DN$103,Frauen!$AZ$9:$BD$102,5)+VLOOKUP($CU56-DN$103+1,Frauen!$AZ$9:$BD$102,5)),RundDx)))</f>
        <v>867499625</v>
      </c>
      <c r="DO56" s="27">
        <f>IF($CU56&gt;=RAM,"",IF($CU56-DO$103&lt;BeginnAlter,"",ROUND(v^($CU56+FaktorAlter)*$L56*$D56*0.5*(VLOOKUP($CU56-DO$103,Frauen!$G$9:$J$102,4)+VLOOKUP($CU56-DO$103+1,Frauen!$G$9:$J$102,4))*0.5*(VLOOKUP($CU56-DO$103,Frauen!$AZ$9:$BD$102,5)+VLOOKUP($CU56-DO$103+1,Frauen!$AZ$9:$BD$102,5)),RundDx)))</f>
        <v>896513036</v>
      </c>
      <c r="DP56" s="27">
        <f>IF($CU56&gt;=RAM,"",IF($CU56-DP$103&lt;BeginnAlter,"",ROUND(v^($CU56+FaktorAlter)*$L56*$D56*0.5*(VLOOKUP($CU56-DP$103,Frauen!$G$9:$J$102,4)+VLOOKUP($CU56-DP$103+1,Frauen!$G$9:$J$102,4))*0.5*(VLOOKUP($CU56-DP$103,Frauen!$AZ$9:$BD$102,5)+VLOOKUP($CU56-DP$103+1,Frauen!$AZ$9:$BD$102,5)),RundDx)))</f>
        <v>924977063</v>
      </c>
      <c r="DQ56" s="27">
        <f>IF($CU56&gt;=RAM,"",IF($CU56-DQ$103&lt;BeginnAlter,"",ROUND(v^($CU56+FaktorAlter)*$L56*$D56*0.5*(VLOOKUP($CU56-DQ$103,Frauen!$G$9:$J$102,4)+VLOOKUP($CU56-DQ$103+1,Frauen!$G$9:$J$102,4))*0.5*(VLOOKUP($CU56-DQ$103,Frauen!$AZ$9:$BD$102,5)+VLOOKUP($CU56-DQ$103+1,Frauen!$AZ$9:$BD$102,5)),RundDx)))</f>
        <v>952950831</v>
      </c>
      <c r="DR56" s="27">
        <f>IF($CU56&gt;=RAM,"",IF($CU56-DR$103&lt;BeginnAlter,"",ROUND(v^($CU56+FaktorAlter)*$L56*$D56*0.5*(VLOOKUP($CU56-DR$103,Frauen!$G$9:$J$102,4)+VLOOKUP($CU56-DR$103+1,Frauen!$G$9:$J$102,4))*0.5*(VLOOKUP($CU56-DR$103,Frauen!$AZ$9:$BD$102,5)+VLOOKUP($CU56-DR$103+1,Frauen!$AZ$9:$BD$102,5)),RundDx)))</f>
        <v>980521791</v>
      </c>
      <c r="DS56" s="27">
        <f>IF($CU56&gt;=RAM,"",IF($CU56-DS$103&lt;BeginnAlter,"",ROUND(v^($CU56+FaktorAlter)*$L56*$D56*0.5*(VLOOKUP($CU56-DS$103,Frauen!$G$9:$J$102,4)+VLOOKUP($CU56-DS$103+1,Frauen!$G$9:$J$102,4))*0.5*(VLOOKUP($CU56-DS$103,Frauen!$AZ$9:$BD$102,5)+VLOOKUP($CU56-DS$103+1,Frauen!$AZ$9:$BD$102,5)),RundDx)))</f>
        <v>1007762314</v>
      </c>
      <c r="DT56" s="27">
        <f>IF($CU56&gt;=RAM,"",IF($CU56-DT$103&lt;BeginnAlter,"",ROUND(v^($CU56+FaktorAlter)*$L56*$D56*0.5*(VLOOKUP($CU56-DT$103,Frauen!$G$9:$J$102,4)+VLOOKUP($CU56-DT$103+1,Frauen!$G$9:$J$102,4))*0.5*(VLOOKUP($CU56-DT$103,Frauen!$AZ$9:$BD$102,5)+VLOOKUP($CU56-DT$103+1,Frauen!$AZ$9:$BD$102,5)),RundDx)))</f>
        <v>1034737253</v>
      </c>
      <c r="DU56" s="27">
        <f>IF($CU56&gt;=RAM,"",IF($CU56-DU$103&lt;BeginnAlter,"",ROUND(v^($CU56+FaktorAlter)*$L56*$D56*0.5*(VLOOKUP($CU56-DU$103,Frauen!$G$9:$J$102,4)+VLOOKUP($CU56-DU$103+1,Frauen!$G$9:$J$102,4))*0.5*(VLOOKUP($CU56-DU$103,Frauen!$AZ$9:$BD$102,5)+VLOOKUP($CU56-DU$103+1,Frauen!$AZ$9:$BD$102,5)),RundDx)))</f>
        <v>1061477275</v>
      </c>
      <c r="DV56" s="27">
        <f>IF($CU56&gt;=RAM,"",IF($CU56-DV$103&lt;BeginnAlter,"",ROUND(v^($CU56+FaktorAlter)*$L56*$D56*0.5*(VLOOKUP($CU56-DV$103,Frauen!$G$9:$J$102,4)+VLOOKUP($CU56-DV$103+1,Frauen!$G$9:$J$102,4))*0.5*(VLOOKUP($CU56-DV$103,Frauen!$AZ$9:$BD$102,5)+VLOOKUP($CU56-DV$103+1,Frauen!$AZ$9:$BD$102,5)),RundDx)))</f>
        <v>1087932529</v>
      </c>
      <c r="DW56" s="27">
        <f>IF($CU56&gt;=RAM,"",IF($CU56-DW$103&lt;BeginnAlter,"",ROUND(v^($CU56+FaktorAlter)*$L56*$D56*0.5*(VLOOKUP($CU56-DW$103,Frauen!$G$9:$J$102,4)+VLOOKUP($CU56-DW$103+1,Frauen!$G$9:$J$102,4))*0.5*(VLOOKUP($CU56-DW$103,Frauen!$AZ$9:$BD$102,5)+VLOOKUP($CU56-DW$103+1,Frauen!$AZ$9:$BD$102,5)),RundDx)))</f>
        <v>1114125466</v>
      </c>
      <c r="DX56" s="27">
        <f>IF($CU56&gt;=RAM,"",IF($CU56-DX$103&lt;BeginnAlter,"",ROUND(v^($CU56+FaktorAlter)*$L56*$D56*0.5*(VLOOKUP($CU56-DX$103,Frauen!$G$9:$J$102,4)+VLOOKUP($CU56-DX$103+1,Frauen!$G$9:$J$102,4))*0.5*(VLOOKUP($CU56-DX$103,Frauen!$AZ$9:$BD$102,5)+VLOOKUP($CU56-DX$103+1,Frauen!$AZ$9:$BD$102,5)),RundDx)))</f>
        <v>1140001640</v>
      </c>
      <c r="DY56" s="27">
        <f>IF($CU56&gt;=RAM,"",IF($CU56-DY$103&lt;BeginnAlter,"",ROUND(v^($CU56+FaktorAlter)*$L56*$D56*0.5*(VLOOKUP($CU56-DY$103,Frauen!$G$9:$J$102,4)+VLOOKUP($CU56-DY$103+1,Frauen!$G$9:$J$102,4))*0.5*(VLOOKUP($CU56-DY$103,Frauen!$AZ$9:$BD$102,5)+VLOOKUP($CU56-DY$103+1,Frauen!$AZ$9:$BD$102,5)),RundDx)))</f>
        <v>1165441111</v>
      </c>
      <c r="DZ56" s="27">
        <f>IF($CU56&gt;=RAM,"",IF($CU56-DZ$103&lt;BeginnAlter,"",ROUND(v^($CU56+FaktorAlter)*$L56*$D56*0.5*(VLOOKUP($CU56-DZ$103,Frauen!$G$9:$J$102,4)+VLOOKUP($CU56-DZ$103+1,Frauen!$G$9:$J$102,4))*0.5*(VLOOKUP($CU56-DZ$103,Frauen!$AZ$9:$BD$102,5)+VLOOKUP($CU56-DZ$103+1,Frauen!$AZ$9:$BD$102,5)),RundDx)))</f>
        <v>1190368897</v>
      </c>
      <c r="EA56" s="37">
        <f>IF($CU56&gt;=RAM,"",IF($CU56-EA$103&lt;BeginnAlter,"",ROUND((SUM(CV56:CV$56)+SUM(FN$9:FN$56))/VLOOKUP($CU56,$AH$9:$AI$102,2)/VLOOKUP($CU56-EA$103,Frauen!$G$9:$J$102,4),Rundäx)))</f>
        <v>1.101</v>
      </c>
      <c r="EB56" s="37">
        <f>IF($CU56&gt;=RAM,"",IF($CU56-EB$103&lt;BeginnAlter,"",ROUND((SUM(CW56:CW$56)+SUM(FO$9:FO$56))/VLOOKUP($CU56,$AH$9:$AI$102,2)/VLOOKUP($CU56-EB$103,Frauen!$G$9:$J$102,4),Rundäx)))</f>
        <v>1.2470000000000001</v>
      </c>
      <c r="EC56" s="37">
        <f>IF($CU56&gt;=RAM,"",IF($CU56-EC$103&lt;BeginnAlter,"",ROUND((SUM(CX56:CX$56)+SUM(FP$9:FP$56))/VLOOKUP($CU56,$AH$9:$AI$102,2)/VLOOKUP($CU56-EC$103,Frauen!$G$9:$J$102,4),Rundäx)))</f>
        <v>1.4059999999999999</v>
      </c>
      <c r="ED56" s="37">
        <f>IF($CU56&gt;=RAM,"",IF($CU56-ED$103&lt;BeginnAlter,"",ROUND((SUM(CY56:CY$56)+SUM(FQ$9:FQ$56))/VLOOKUP($CU56,$AH$9:$AI$102,2)/VLOOKUP($CU56-ED$103,Frauen!$G$9:$J$102,4),Rundäx)))</f>
        <v>1.577</v>
      </c>
      <c r="EE56" s="37">
        <f>IF($CU56&gt;=RAM,"",IF($CU56-EE$103&lt;BeginnAlter,"",ROUND((SUM(CZ56:CZ$56)+SUM(FR$9:FR$56))/VLOOKUP($CU56,$AH$9:$AI$102,2)/VLOOKUP($CU56-EE$103,Frauen!$G$9:$J$102,4),Rundäx)))</f>
        <v>1.762</v>
      </c>
      <c r="EF56" s="37">
        <f>IF($CU56&gt;=RAM,"",IF($CU56-EF$103&lt;BeginnAlter,"",ROUND((SUM(DA56:DA$56)+SUM(FS$9:FS$56))/VLOOKUP($CU56,$AH$9:$AI$102,2)/VLOOKUP($CU56-EF$103,Frauen!$G$9:$J$102,4),Rundäx)))</f>
        <v>1.958</v>
      </c>
      <c r="EG56" s="37">
        <f>IF($CU56&gt;=RAM,"",IF($CU56-EG$103&lt;BeginnAlter,"",ROUND((SUM(DB56:DB$56)+SUM(FT$9:FT$56))/VLOOKUP($CU56,$AH$9:$AI$102,2)/VLOOKUP($CU56-EG$103,Frauen!$G$9:$J$102,4),Rundäx)))</f>
        <v>2.1659999999999999</v>
      </c>
      <c r="EH56" s="37">
        <f>IF($CU56&gt;=RAM,"",IF($CU56-EH$103&lt;BeginnAlter,"",ROUND((SUM(DC56:DC$56)+SUM(FU$9:FU$56))/VLOOKUP($CU56,$AH$9:$AI$102,2)/VLOOKUP($CU56-EH$103,Frauen!$G$9:$J$102,4),Rundäx)))</f>
        <v>2.3849999999999998</v>
      </c>
      <c r="EI56" s="87"/>
      <c r="EJ56" s="36">
        <f t="shared" si="60"/>
        <v>64</v>
      </c>
      <c r="EK56" s="37">
        <f>IF($CU56&gt;=RAM,"",IF($CU56-EK$103&lt;BeginnAlter,"",ROUND((SUM(DD56:DD$56)+SUM(FV$9:FV$56))/VLOOKUP($CU56,$AH$9:$AI$102,2)/VLOOKUP($CU56-EK$103,Frauen!$G$9:$J$102,4),Rundäx)))</f>
        <v>2.617</v>
      </c>
      <c r="EL56" s="37">
        <f>IF($CU56&gt;=RAM,"",IF($CU56-EL$103&lt;BeginnAlter,"",ROUND((SUM(DE56:DE$56)+SUM(FW$9:FW$56))/VLOOKUP($CU56,$AH$9:$AI$102,2)/VLOOKUP($CU56-EL$103,Frauen!$G$9:$J$102,4),Rundäx)))</f>
        <v>2.86</v>
      </c>
      <c r="EM56" s="37">
        <f>IF($CU56&gt;=RAM,"",IF($CU56-EM$103&lt;BeginnAlter,"",ROUND((SUM(DF56:DF$56)+SUM(FX$9:FX$56))/VLOOKUP($CU56,$AH$9:$AI$102,2)/VLOOKUP($CU56-EM$103,Frauen!$G$9:$J$102,4),Rundäx)))</f>
        <v>3.1150000000000002</v>
      </c>
      <c r="EN56" s="37">
        <f>IF($CU56&gt;=RAM,"",IF($CU56-EN$103&lt;BeginnAlter,"",ROUND((SUM(DG56:DG$56)+SUM(FY$9:FY$56))/VLOOKUP($CU56,$AH$9:$AI$102,2)/VLOOKUP($CU56-EN$103,Frauen!$G$9:$J$102,4),Rundäx)))</f>
        <v>3.3809999999999998</v>
      </c>
      <c r="EO56" s="37">
        <f>IF($CU56&gt;=RAM,"",IF($CU56-EO$103&lt;BeginnAlter,"",ROUND((SUM(DH56:DH$56)+SUM(FZ$9:FZ$56))/VLOOKUP($CU56,$AH$9:$AI$102,2)/VLOOKUP($CU56-EO$103,Frauen!$G$9:$J$102,4),Rundäx)))</f>
        <v>3.6589999999999998</v>
      </c>
      <c r="EP56" s="37">
        <f>IF($CU56&gt;=RAM,"",IF($CU56-EP$103&lt;BeginnAlter,"",ROUND((SUM(DI56:DI$56)+SUM(GA$9:GA$56))/VLOOKUP($CU56,$AH$9:$AI$102,2)/VLOOKUP($CU56-EP$103,Frauen!$G$9:$J$102,4),Rundäx)))</f>
        <v>3.948</v>
      </c>
      <c r="EQ56" s="37">
        <f>IF($CU56&gt;=RAM,"",IF($CU56-EQ$103&lt;BeginnAlter,"",ROUND((SUM(DJ56:DJ$56)+SUM(GB$9:GB$56))/VLOOKUP($CU56,$AH$9:$AI$102,2)/VLOOKUP($CU56-EQ$103,Frauen!$G$9:$J$102,4),Rundäx)))</f>
        <v>4.2469999999999999</v>
      </c>
      <c r="ER56" s="37">
        <f>IF($CU56&gt;=RAM,"",IF($CU56-ER$103&lt;BeginnAlter,"",ROUND((SUM(DK56:DK$56)+SUM(GC$9:GC$56))/VLOOKUP($CU56,$AH$9:$AI$102,2)/VLOOKUP($CU56-ER$103,Frauen!$G$9:$J$102,4),Rundäx)))</f>
        <v>4.556</v>
      </c>
      <c r="ES56" s="87"/>
      <c r="ET56" s="36">
        <f t="shared" si="61"/>
        <v>64</v>
      </c>
      <c r="EU56" s="37">
        <f>IF($CU56&gt;=RAM,"",IF($CU56-EU$103&lt;BeginnAlter,"",ROUND((SUM(DL56:DL$56)+SUM(GD$9:GD$56))/VLOOKUP($CU56,$AH$9:$AI$102,2)/VLOOKUP($CU56-EU$103,Frauen!$G$9:$J$102,4),Rundäx)))</f>
        <v>4.8760000000000003</v>
      </c>
      <c r="EV56" s="37">
        <f>IF($CU56&gt;=RAM,"",IF($CU56-EV$103&lt;BeginnAlter,"",ROUND((SUM(DM56:DM$56)+SUM(GE$9:GE$56))/VLOOKUP($CU56,$AH$9:$AI$102,2)/VLOOKUP($CU56-EV$103,Frauen!$G$9:$J$102,4),Rundäx)))</f>
        <v>5.2050000000000001</v>
      </c>
      <c r="EW56" s="37">
        <f>IF($CU56&gt;=RAM,"",IF($CU56-EW$103&lt;BeginnAlter,"",ROUND((SUM(DN56:DN$56)+SUM(GF$9:GF$56))/VLOOKUP($CU56,$AH$9:$AI$102,2)/VLOOKUP($CU56-EW$103,Frauen!$G$9:$J$102,4),Rundäx)))</f>
        <v>5.5430000000000001</v>
      </c>
      <c r="EX56" s="37">
        <f>IF($CU56&gt;=RAM,"",IF($CU56-EX$103&lt;BeginnAlter,"",ROUND((SUM(DO56:DO$56)+SUM(GG$9:GG$56))/VLOOKUP($CU56,$AH$9:$AI$102,2)/VLOOKUP($CU56-EX$103,Frauen!$G$9:$J$102,4),Rundäx)))</f>
        <v>5.8890000000000002</v>
      </c>
      <c r="EY56" s="37">
        <f>IF($CU56&gt;=RAM,"",IF($CU56-EY$103&lt;BeginnAlter,"",ROUND((SUM(DP56:DP$56)+SUM(GH$9:GH$56))/VLOOKUP($CU56,$AH$9:$AI$102,2)/VLOOKUP($CU56-EY$103,Frauen!$G$9:$J$102,4),Rundäx)))</f>
        <v>6.2430000000000003</v>
      </c>
      <c r="EZ56" s="37">
        <f>IF($CU56&gt;=RAM,"",IF($CU56-EZ$103&lt;BeginnAlter,"",ROUND((SUM(DQ56:DQ$56)+SUM(GI$9:GI$56))/VLOOKUP($CU56,$AH$9:$AI$102,2)/VLOOKUP($CU56-EZ$103,Frauen!$G$9:$J$102,4),Rundäx)))</f>
        <v>6.6029999999999998</v>
      </c>
      <c r="FA56" s="37">
        <f>IF($CU56&gt;=RAM,"",IF($CU56-FA$103&lt;BeginnAlter,"",ROUND((SUM(DR56:DR$56)+SUM(GJ$9:GJ$56))/VLOOKUP($CU56,$AH$9:$AI$102,2)/VLOOKUP($CU56-FA$103,Frauen!$G$9:$J$102,4),Rundäx)))</f>
        <v>6.9690000000000003</v>
      </c>
      <c r="FB56" s="37">
        <f>IF($CU56&gt;=RAM,"",IF($CU56-FB$103&lt;BeginnAlter,"",ROUND((SUM(DS56:DS$56)+SUM(GK$9:GK$56))/VLOOKUP($CU56,$AH$9:$AI$102,2)/VLOOKUP($CU56-FB$103,Frauen!$G$9:$J$102,4),Rundäx)))</f>
        <v>7.3390000000000004</v>
      </c>
      <c r="FC56" s="87"/>
      <c r="FD56" s="36">
        <f t="shared" si="62"/>
        <v>64</v>
      </c>
      <c r="FE56" s="37">
        <f>IF($CU56&gt;=RAM,"",IF($CU56-FE$103&lt;BeginnAlter,"",ROUND((SUM(DT56:DT$56)+SUM(GL$9:GL$56))/VLOOKUP($CU56,$AH$9:$AI$102,2)/VLOOKUP($CU56-FE$103,Frauen!$G$9:$J$102,4),Rundäx)))</f>
        <v>7.7130000000000001</v>
      </c>
      <c r="FF56" s="37">
        <f>IF($CU56&gt;=RAM,"",IF($CU56-FF$103&lt;BeginnAlter,"",ROUND((SUM(DU56:DU$56)+SUM(GM$9:GM$56))/VLOOKUP($CU56,$AH$9:$AI$102,2)/VLOOKUP($CU56-FF$103,Frauen!$G$9:$J$102,4),Rundäx)))</f>
        <v>8.0890000000000004</v>
      </c>
      <c r="FG56" s="37">
        <f>IF($CU56&gt;=RAM,"",IF($CU56-FG$103&lt;BeginnAlter,"",ROUND((SUM(DV56:DV$56)+SUM(GN$9:GN$56))/VLOOKUP($CU56,$AH$9:$AI$102,2)/VLOOKUP($CU56-FG$103,Frauen!$G$9:$J$102,4),Rundäx)))</f>
        <v>8.4670000000000005</v>
      </c>
      <c r="FH56" s="37">
        <f>IF($CU56&gt;=RAM,"",IF($CU56-FH$103&lt;BeginnAlter,"",ROUND((SUM(DW56:DW$56)+SUM(GO$9:GO$56))/VLOOKUP($CU56,$AH$9:$AI$102,2)/VLOOKUP($CU56-FH$103,Frauen!$G$9:$J$102,4),Rundäx)))</f>
        <v>8.8460000000000001</v>
      </c>
      <c r="FI56" s="37">
        <f>IF($CU56&gt;=RAM,"",IF($CU56-FI$103&lt;BeginnAlter,"",ROUND((SUM(DX56:DX$56)+SUM(GP$9:GP$56))/VLOOKUP($CU56,$AH$9:$AI$102,2)/VLOOKUP($CU56-FI$103,Frauen!$G$9:$J$102,4),Rundäx)))</f>
        <v>9.2249999999999996</v>
      </c>
      <c r="FJ56" s="37">
        <f>IF($CU56&gt;=RAM,"",IF($CU56-FJ$103&lt;BeginnAlter,"",ROUND((SUM(DY56:DY$56)+SUM(GQ$9:GQ$56))/VLOOKUP($CU56,$AH$9:$AI$102,2)/VLOOKUP($CU56-FJ$103,Frauen!$G$9:$J$102,4),Rundäx)))</f>
        <v>9.6039999999999992</v>
      </c>
      <c r="FK56" s="37">
        <f>IF($CU56&gt;=RAM,"",IF($CU56-FK$103&lt;BeginnAlter,"",ROUND((SUM(DZ56:DZ$56)+SUM(GR$9:GR$56))/VLOOKUP($CU56,$AH$9:$AI$102,2)/VLOOKUP($CU56-FK$103,Frauen!$G$9:$J$102,4),Rundäx)))</f>
        <v>9.9819999999999993</v>
      </c>
      <c r="FL56" s="87"/>
      <c r="FM56" s="36">
        <f t="shared" si="68"/>
        <v>112</v>
      </c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6"/>
      <c r="GT56" s="26"/>
      <c r="GU56" s="26"/>
      <c r="GV56" s="26"/>
      <c r="GW56" s="26"/>
      <c r="GX56" s="26"/>
      <c r="GY56" s="26" t="str">
        <f>IF(FM56&gt;=RAM," ",#REF!/$AI56/Frauen!$J56)</f>
        <v xml:space="preserve"> </v>
      </c>
      <c r="GZ56" s="26"/>
      <c r="HA56" s="87"/>
      <c r="HB56" s="36">
        <f t="shared" si="63"/>
        <v>112</v>
      </c>
      <c r="HC56" s="26"/>
      <c r="HD56" s="26"/>
      <c r="HE56" s="26"/>
      <c r="HF56" s="26"/>
      <c r="HG56" s="26"/>
      <c r="HH56" s="26"/>
      <c r="HI56" s="26"/>
      <c r="HJ56" s="26"/>
      <c r="HK56" s="87"/>
      <c r="HL56" s="36">
        <f t="shared" si="64"/>
        <v>112</v>
      </c>
      <c r="HM56" s="26"/>
      <c r="HN56" s="26"/>
      <c r="HO56" s="26"/>
      <c r="HP56" s="26"/>
      <c r="HQ56" s="26"/>
      <c r="HR56" s="26"/>
      <c r="HS56" s="26"/>
      <c r="HT56" s="26"/>
      <c r="HU56" s="87"/>
      <c r="HV56" s="36">
        <f t="shared" si="65"/>
        <v>112</v>
      </c>
      <c r="HW56" s="26"/>
      <c r="HX56" s="26"/>
      <c r="HY56" s="26"/>
      <c r="HZ56" s="26"/>
      <c r="IA56" s="26"/>
      <c r="IB56" s="26"/>
      <c r="IC56" s="26"/>
      <c r="ID56" s="90"/>
      <c r="IE56" s="35">
        <f>1+IE55</f>
        <v>64</v>
      </c>
      <c r="IF56" s="25">
        <f t="shared" si="31"/>
        <v>18</v>
      </c>
      <c r="IG56" s="25">
        <f>IF($IE56&lt;RAM,IF(S57&lt;=RAK,ROUND(SUM(IF56:INDEX(Dakx,RAM-BeginnAlter))+INDEX(Dax,RAM-BeginnAlter+1)*INDEX(äkx,1),RundDx),0),"")</f>
        <v>136</v>
      </c>
      <c r="IH56" s="25">
        <f>IF($IE56&lt;RAM,IF(S57&lt;=RAK,ROUND(SUM(IG56:INDEX(Nakx,RAM-BeginnAlter))+INDEX(Dax,RAM-BeginnAlter+1)*INDEX(äkx,1),RundDx),0),"")</f>
        <v>254</v>
      </c>
      <c r="II56" s="24">
        <f t="shared" si="32"/>
        <v>8.0000000000000002E-3</v>
      </c>
      <c r="IJ56" s="25">
        <f t="shared" si="33"/>
        <v>39</v>
      </c>
      <c r="IK56" s="25">
        <f>IF($IE56&lt;RAM,IF(S57&lt;=RAK,SUM(IJ56:INDEX(Dikx,RAM-BeginnAlter))+INDEX(Dix,RAM-BeginnAlter+1)*INDEX(äkx,1),0),"")</f>
        <v>202.83199999999999</v>
      </c>
      <c r="IL56" s="24">
        <f t="shared" si="34"/>
        <v>8.9999999999999993E-3</v>
      </c>
      <c r="IM56" s="86"/>
      <c r="IN56" s="36">
        <f t="shared" si="67"/>
        <v>112</v>
      </c>
      <c r="IO56" s="27"/>
      <c r="IP56" s="27"/>
      <c r="IQ56" s="26"/>
      <c r="IR56" s="87"/>
    </row>
    <row r="57" spans="1:252" ht="15.75" customHeight="1" thickBot="1" x14ac:dyDescent="0.3">
      <c r="A57" s="35">
        <f t="shared" si="69"/>
        <v>65</v>
      </c>
      <c r="B57" s="77"/>
      <c r="C57" s="77"/>
      <c r="D57" s="77"/>
      <c r="E57" s="77">
        <v>1.4800000000000001E-2</v>
      </c>
      <c r="F57" s="86"/>
      <c r="G57" s="35">
        <f t="shared" si="70"/>
        <v>65</v>
      </c>
      <c r="H57" s="25">
        <f t="shared" si="37"/>
        <v>62777</v>
      </c>
      <c r="I57" s="25">
        <f t="shared" si="38"/>
        <v>24206</v>
      </c>
      <c r="J57" s="25">
        <f t="shared" si="39"/>
        <v>86983</v>
      </c>
      <c r="K57" s="30">
        <f>IF(J57&gt;0,ROUND(SUM(J57:J$102)/J57-0.5,Rundex),"")</f>
        <v>17.559999999999999</v>
      </c>
      <c r="L57" s="25">
        <f t="shared" si="0"/>
        <v>86983</v>
      </c>
      <c r="M57" s="30">
        <f>IF(L57&gt;0,ROUND(SUM(L57:L$102)/L57-0.5,Rundex),"")</f>
        <v>17.559999999999999</v>
      </c>
      <c r="N57" s="86"/>
      <c r="O57" s="35">
        <f t="shared" si="71"/>
        <v>65</v>
      </c>
      <c r="P57" s="43">
        <v>0.77833163411705852</v>
      </c>
      <c r="Q57" s="78">
        <v>61.278363272931529</v>
      </c>
      <c r="R57" s="43">
        <v>1.4999999999999999E-2</v>
      </c>
      <c r="S57" s="78">
        <v>19.951811381054469</v>
      </c>
      <c r="T57" s="15">
        <v>2.5202621732931516E-2</v>
      </c>
      <c r="U57" s="11">
        <f t="shared" si="40"/>
        <v>83324</v>
      </c>
      <c r="V57" s="30">
        <f>IF(U57&gt;0,ROUND(SUM(U57:U$102)/U57-0.5,Rundex),"")</f>
        <v>15.64</v>
      </c>
      <c r="W57" s="86"/>
      <c r="X57" s="36">
        <f t="shared" si="72"/>
        <v>65</v>
      </c>
      <c r="Y57" s="27">
        <f t="shared" si="1"/>
        <v>14780</v>
      </c>
      <c r="Z57" s="27" t="str">
        <f>IF($X57&lt;RAM,SUM(Y57:INDEX(Dax,RAM-BeginnAlter))," ")</f>
        <v xml:space="preserve"> </v>
      </c>
      <c r="AA57" s="27" t="str">
        <f t="shared" si="2"/>
        <v xml:space="preserve"> </v>
      </c>
      <c r="AB57" s="27" t="str">
        <f>IF($X57&lt;RAM,SUM(AA57:INDEX(Cax,RAM-BeginnAlter))," ")</f>
        <v xml:space="preserve"> </v>
      </c>
      <c r="AC57" s="27" t="str">
        <f t="shared" si="3"/>
        <v xml:space="preserve"> </v>
      </c>
      <c r="AD57" s="27" t="str">
        <f>IF($X57&lt;RAM,SUM(AC57:INDEX(Caix,RAM-BeginnAlter))," ")</f>
        <v xml:space="preserve"> </v>
      </c>
      <c r="AE57" s="26" t="str">
        <f t="shared" si="4"/>
        <v xml:space="preserve"> </v>
      </c>
      <c r="AF57" s="26" t="str">
        <f t="shared" si="5"/>
        <v xml:space="preserve"> </v>
      </c>
      <c r="AG57" s="87"/>
      <c r="AH57" s="36">
        <f t="shared" si="73"/>
        <v>65</v>
      </c>
      <c r="AI57" s="27">
        <f t="shared" si="6"/>
        <v>20479</v>
      </c>
      <c r="AJ57" s="27">
        <f>IF($AH57&gt;RAM," ",IF($AH57&lt;RAM,SUM(AI57:INDEX(Dix,RAM-BeginnAlter))+INDEX(Nx,RAM-BeginnAlter+1),INDEX(Nx,RAM-BeginnAlter+1)))</f>
        <v>297247</v>
      </c>
      <c r="AK57" s="27" t="str">
        <f>IF($AH57&lt;RAM,SUM(AI57:INDEX(Dix,RAM-BeginnAlter))," ")</f>
        <v xml:space="preserve"> </v>
      </c>
      <c r="AL57" s="26">
        <f t="shared" si="7"/>
        <v>14.515000000000001</v>
      </c>
      <c r="AM57" s="26">
        <f t="shared" si="8"/>
        <v>14.055999999999999</v>
      </c>
      <c r="AN57" s="26" t="str">
        <f t="shared" si="9"/>
        <v xml:space="preserve"> </v>
      </c>
      <c r="AO57" s="26" t="str">
        <f t="shared" si="10"/>
        <v xml:space="preserve"> </v>
      </c>
      <c r="AP57" s="87"/>
      <c r="AQ57" s="35">
        <f t="shared" si="74"/>
        <v>65</v>
      </c>
      <c r="AR57" s="25">
        <f t="shared" si="11"/>
        <v>20479</v>
      </c>
      <c r="AS57" s="25">
        <f>SUM(AR57:AR$94)</f>
        <v>297247</v>
      </c>
      <c r="AT57" s="25" t="str">
        <f>IF($AQ57&lt;RAM,SUM(AR57:INDEX(Dx,RAM-BeginnAlter))," ")</f>
        <v xml:space="preserve"> </v>
      </c>
      <c r="AU57" s="24">
        <f t="shared" si="12"/>
        <v>14.515000000000001</v>
      </c>
      <c r="AV57" s="24">
        <f t="shared" si="13"/>
        <v>14.055999999999999</v>
      </c>
      <c r="AW57" s="24" t="str">
        <f t="shared" si="14"/>
        <v xml:space="preserve"> </v>
      </c>
      <c r="AX57" s="24" t="str">
        <f t="shared" si="15"/>
        <v xml:space="preserve"> </v>
      </c>
      <c r="AY57" s="86"/>
      <c r="AZ57" s="35">
        <f t="shared" si="75"/>
        <v>65</v>
      </c>
      <c r="BA57" s="25">
        <f t="shared" si="16"/>
        <v>19618</v>
      </c>
      <c r="BB57" s="25">
        <f>SUM(BA57:BA$94)</f>
        <v>257379</v>
      </c>
      <c r="BC57" s="24">
        <f t="shared" si="17"/>
        <v>13.12</v>
      </c>
      <c r="BD57" s="24">
        <f t="shared" si="18"/>
        <v>12.661</v>
      </c>
      <c r="BE57" s="86"/>
      <c r="BF57" s="35">
        <f t="shared" si="48"/>
        <v>48</v>
      </c>
      <c r="BG57" s="24" t="str">
        <f t="shared" si="19"/>
        <v/>
      </c>
      <c r="BH57" s="24" t="str">
        <f t="shared" si="20"/>
        <v/>
      </c>
      <c r="BI57" s="86"/>
      <c r="BJ57" s="35">
        <f t="shared" si="76"/>
        <v>65</v>
      </c>
      <c r="BK57" s="25" t="str">
        <f t="shared" si="21"/>
        <v xml:space="preserve"> </v>
      </c>
      <c r="BL57" s="25" t="str">
        <f>IF(BJ57&lt;RAM,SUM(BK57:INDEX(Daix,RAM-BeginnAlter))," ")</f>
        <v xml:space="preserve"> </v>
      </c>
      <c r="BM57" s="25" t="str">
        <f>IF(BJ57&lt;RAM,SUM(BL57:INDEX(Naix,RAM-BeginnAlter))," ")</f>
        <v xml:space="preserve"> </v>
      </c>
      <c r="BN57" s="24" t="str">
        <f t="shared" si="22"/>
        <v xml:space="preserve"> </v>
      </c>
      <c r="BO57" s="24" t="str">
        <f t="shared" si="23"/>
        <v xml:space="preserve"> </v>
      </c>
      <c r="BP57" s="86"/>
      <c r="BQ57" s="35">
        <f t="shared" si="77"/>
        <v>65</v>
      </c>
      <c r="BR57" s="25" t="str">
        <f t="shared" si="51"/>
        <v xml:space="preserve"> </v>
      </c>
      <c r="BS57" s="25" t="str">
        <f>IF(BQ57&lt;RAM,SUM(BR57:INDEX(Daixs,RAM-BeginnAlter))," ")</f>
        <v xml:space="preserve"> </v>
      </c>
      <c r="BT57" s="25" t="str">
        <f>IF(BQ57&lt;RAM,SUM(BS57:INDEX(Naixs,RAM-BeginnAlter))," ")</f>
        <v xml:space="preserve"> </v>
      </c>
      <c r="BU57" s="24" t="str">
        <f t="shared" si="52"/>
        <v xml:space="preserve"> </v>
      </c>
      <c r="BV57" s="24" t="str">
        <f t="shared" si="53"/>
        <v xml:space="preserve"> </v>
      </c>
      <c r="BW57" s="86"/>
      <c r="BX57" s="36">
        <f t="shared" si="78"/>
        <v>65</v>
      </c>
      <c r="BY57" s="13" t="str">
        <f t="shared" si="24"/>
        <v/>
      </c>
      <c r="BZ57" s="14" t="str">
        <f t="shared" si="25"/>
        <v/>
      </c>
      <c r="CA57" s="27" t="str">
        <f>IF(S58&lt;=RAK,IF($BX57&lt;RAM,SUM(BZ57:INDEX(Dazx,RAM-BeginnAlter)),""),"")</f>
        <v/>
      </c>
      <c r="CB57" s="26" t="str">
        <f t="shared" si="26"/>
        <v/>
      </c>
      <c r="CC57" s="27">
        <f t="shared" si="27"/>
        <v>16698</v>
      </c>
      <c r="CD57" s="26">
        <f t="shared" si="28"/>
        <v>11.61</v>
      </c>
      <c r="CE57" s="26">
        <f t="shared" si="29"/>
        <v>6.9000000000000006E-2</v>
      </c>
      <c r="CF57" s="87"/>
      <c r="CG57" s="36">
        <f t="shared" si="79"/>
        <v>65</v>
      </c>
      <c r="CH57" s="27" t="str">
        <f>IF(CG57&lt;RAM,ROUND(v^($CG57+FaktorAlter)*$H57*($B57*0.5*($P57+$P58)*(VLOOKUP(TRUNC(0.5*($Q57+$Q58),0),Frauen!$AZ$9:$BD$95,5)+(0.5*($Q57+$Q58)-TRUNC(0.5*($Q57+$Q58),0))*(VLOOKUP(TRUNC(0.5*($Q57+$Q58)+1,0),Frauen!$AZ$9:$BD$95,5)-VLOOKUP(TRUNC(0.5*($Q57+$Q58),0),Frauen!$AZ$9:$BD$95,5)))+$C57*0.5*($CN57+$CN58)),RundDx),"")</f>
        <v/>
      </c>
      <c r="CI57" s="27" t="str">
        <f>IF(CG57&lt;RAM,ROUND(SUM(CH57:INDEX(Dawx,RAM-BeginnAlter))+INDEX(Dax,RAM-BeginnAlter+1)*INDEX(äwx,1),RundDx),"")</f>
        <v/>
      </c>
      <c r="CJ57" s="27" t="str">
        <f>IF(CG57&lt;RAM,ROUND(SUM(CI57:INDEX(Nawx,RAM-BeginnAlter))+INDEX(Dax,RAM-BeginnAlter+1)*INDEX(äwx,1),RundDx),"")</f>
        <v/>
      </c>
      <c r="CK57" s="26" t="str">
        <f t="shared" si="56"/>
        <v/>
      </c>
      <c r="CL57" s="27" t="str">
        <f>IF(CG57&lt;RAM,ROUND(v^($CG57+FaktorAlter)*$L57*$D57*0.5*($P57+$P58)*(VLOOKUP(TRUNC(0.5*($Q57+$Q58),0),Frauen!$AZ$9:$BD$95,5)+(0.5*($Q57+$Q58)-TRUNC(0.5*($Q57+$Q58),0))*(VLOOKUP(TRUNC(0.5*($Q57+$Q58)+1,0),Frauen!$AZ$9:$BD$95,5)-VLOOKUP(TRUNC(0.5*($Q57+$Q58),0),Frauen!$AZ$9:$BD$95,5))),RundDx),"")</f>
        <v/>
      </c>
      <c r="CM57" s="27" t="str">
        <f>IF(CG57&lt;RAM,SUM(CL57:INDEX(Diwx,RAM-BeginnAlter))+INDEX(Dix,RAM-BeginnAlter+1)*INDEX(äwx,1),"")</f>
        <v/>
      </c>
      <c r="CN57" s="26">
        <f t="shared" si="57"/>
        <v>5.266</v>
      </c>
      <c r="CO57" s="87"/>
      <c r="CP57" s="35">
        <f t="shared" si="58"/>
        <v>113</v>
      </c>
      <c r="CQ57" s="25"/>
      <c r="CR57" s="25"/>
      <c r="CS57" s="63"/>
      <c r="CT57" s="86"/>
      <c r="CU57" s="35">
        <f t="shared" si="80"/>
        <v>65</v>
      </c>
      <c r="CV57" s="25" t="str">
        <f>IF($CU57&gt;=RAM,"",IF($CU57-CV$103&lt;BeginnAlter,"",ROUND(v^($CU57+FaktorAlter)*$L57*$D57*0.5*(VLOOKUP($CU57-CV$103,Frauen!$G$9:$J$102,4)+VLOOKUP($CU57-CV$103+1,Frauen!$G$9:$J$102,4))*0.5*(VLOOKUP($CU57-CV$103,Frauen!$AZ$9:$BD$102,5)+VLOOKUP($CU57-CV$103+1,Frauen!$AZ$9:$BD$102,5)),RundDx)))</f>
        <v/>
      </c>
      <c r="CW57" s="25" t="str">
        <f>IF($CU57&gt;=RAM,"",IF($CU57-CW$103&lt;BeginnAlter,"",ROUND(v^($CU57+FaktorAlter)*$L57*$D57*0.5*(VLOOKUP($CU57-CW$103,Frauen!$G$9:$J$102,4)+VLOOKUP($CU57-CW$103+1,Frauen!$G$9:$J$102,4))*0.5*(VLOOKUP($CU57-CW$103,Frauen!$AZ$9:$BD$102,5)+VLOOKUP($CU57-CW$103+1,Frauen!$AZ$9:$BD$102,5)),RundDx)))</f>
        <v/>
      </c>
      <c r="CX57" s="25" t="str">
        <f>IF($CU57&gt;=RAM,"",IF($CU57-CX$103&lt;BeginnAlter,"",ROUND(v^($CU57+FaktorAlter)*$L57*$D57*0.5*(VLOOKUP($CU57-CX$103,Frauen!$G$9:$J$102,4)+VLOOKUP($CU57-CX$103+1,Frauen!$G$9:$J$102,4))*0.5*(VLOOKUP($CU57-CX$103,Frauen!$AZ$9:$BD$102,5)+VLOOKUP($CU57-CX$103+1,Frauen!$AZ$9:$BD$102,5)),RundDx)))</f>
        <v/>
      </c>
      <c r="CY57" s="25" t="str">
        <f>IF($CU57&gt;=RAM,"",IF($CU57-CY$103&lt;BeginnAlter,"",ROUND(v^($CU57+FaktorAlter)*$L57*$D57*0.5*(VLOOKUP($CU57-CY$103,Frauen!$G$9:$J$102,4)+VLOOKUP($CU57-CY$103+1,Frauen!$G$9:$J$102,4))*0.5*(VLOOKUP($CU57-CY$103,Frauen!$AZ$9:$BD$102,5)+VLOOKUP($CU57-CY$103+1,Frauen!$AZ$9:$BD$102,5)),RundDx)))</f>
        <v/>
      </c>
      <c r="CZ57" s="25" t="str">
        <f>IF($CU57&gt;=RAM,"",IF($CU57-CZ$103&lt;BeginnAlter,"",ROUND(v^($CU57+FaktorAlter)*$L57*$D57*0.5*(VLOOKUP($CU57-CZ$103,Frauen!$G$9:$J$102,4)+VLOOKUP($CU57-CZ$103+1,Frauen!$G$9:$J$102,4))*0.5*(VLOOKUP($CU57-CZ$103,Frauen!$AZ$9:$BD$102,5)+VLOOKUP($CU57-CZ$103+1,Frauen!$AZ$9:$BD$102,5)),RundDx)))</f>
        <v/>
      </c>
      <c r="DA57" s="25" t="str">
        <f>IF($CU57&gt;=RAM,"",IF($CU57-DA$103&lt;BeginnAlter,"",ROUND(v^($CU57+FaktorAlter)*$L57*$D57*0.5*(VLOOKUP($CU57-DA$103,Frauen!$G$9:$J$102,4)+VLOOKUP($CU57-DA$103+1,Frauen!$G$9:$J$102,4))*0.5*(VLOOKUP($CU57-DA$103,Frauen!$AZ$9:$BD$102,5)+VLOOKUP($CU57-DA$103+1,Frauen!$AZ$9:$BD$102,5)),RundDx)))</f>
        <v/>
      </c>
      <c r="DB57" s="25" t="str">
        <f>IF($CU57&gt;=RAM,"",IF($CU57-DB$103&lt;BeginnAlter,"",ROUND(v^($CU57+FaktorAlter)*$L57*$D57*0.5*(VLOOKUP($CU57-DB$103,Frauen!$G$9:$J$102,4)+VLOOKUP($CU57-DB$103+1,Frauen!$G$9:$J$102,4))*0.5*(VLOOKUP($CU57-DB$103,Frauen!$AZ$9:$BD$102,5)+VLOOKUP($CU57-DB$103+1,Frauen!$AZ$9:$BD$102,5)),RundDx)))</f>
        <v/>
      </c>
      <c r="DC57" s="25" t="str">
        <f>IF($CU57&gt;=RAM,"",IF($CU57-DC$103&lt;BeginnAlter,"",ROUND(v^($CU57+FaktorAlter)*$L57*$D57*0.5*(VLOOKUP($CU57-DC$103,Frauen!$G$9:$J$102,4)+VLOOKUP($CU57-DC$103+1,Frauen!$G$9:$J$102,4))*0.5*(VLOOKUP($CU57-DC$103,Frauen!$AZ$9:$BD$102,5)+VLOOKUP($CU57-DC$103+1,Frauen!$AZ$9:$BD$102,5)),RundDx)))</f>
        <v/>
      </c>
      <c r="DD57" s="25" t="str">
        <f>IF($CU57&gt;=RAM,"",IF($CU57-DD$103&lt;BeginnAlter,"",ROUND(v^($CU57+FaktorAlter)*$L57*$D57*0.5*(VLOOKUP($CU57-DD$103,Frauen!$G$9:$J$102,4)+VLOOKUP($CU57-DD$103+1,Frauen!$G$9:$J$102,4))*0.5*(VLOOKUP($CU57-DD$103,Frauen!$AZ$9:$BD$102,5)+VLOOKUP($CU57-DD$103+1,Frauen!$AZ$9:$BD$102,5)),RundDx)))</f>
        <v/>
      </c>
      <c r="DE57" s="25" t="str">
        <f>IF($CU57&gt;=RAM,"",IF($CU57-DE$103&lt;BeginnAlter,"",ROUND(v^($CU57+FaktorAlter)*$L57*$D57*0.5*(VLOOKUP($CU57-DE$103,Frauen!$G$9:$J$102,4)+VLOOKUP($CU57-DE$103+1,Frauen!$G$9:$J$102,4))*0.5*(VLOOKUP($CU57-DE$103,Frauen!$AZ$9:$BD$102,5)+VLOOKUP($CU57-DE$103+1,Frauen!$AZ$9:$BD$102,5)),RundDx)))</f>
        <v/>
      </c>
      <c r="DF57" s="25" t="str">
        <f>IF($CU57&gt;=RAM,"",IF($CU57-DF$103&lt;BeginnAlter,"",ROUND(v^($CU57+FaktorAlter)*$L57*$D57*0.5*(VLOOKUP($CU57-DF$103,Frauen!$G$9:$J$102,4)+VLOOKUP($CU57-DF$103+1,Frauen!$G$9:$J$102,4))*0.5*(VLOOKUP($CU57-DF$103,Frauen!$AZ$9:$BD$102,5)+VLOOKUP($CU57-DF$103+1,Frauen!$AZ$9:$BD$102,5)),RundDx)))</f>
        <v/>
      </c>
      <c r="DG57" s="25" t="str">
        <f>IF($CU57&gt;=RAM,"",IF($CU57-DG$103&lt;BeginnAlter,"",ROUND(v^($CU57+FaktorAlter)*$L57*$D57*0.5*(VLOOKUP($CU57-DG$103,Frauen!$G$9:$J$102,4)+VLOOKUP($CU57-DG$103+1,Frauen!$G$9:$J$102,4))*0.5*(VLOOKUP($CU57-DG$103,Frauen!$AZ$9:$BD$102,5)+VLOOKUP($CU57-DG$103+1,Frauen!$AZ$9:$BD$102,5)),RundDx)))</f>
        <v/>
      </c>
      <c r="DH57" s="25" t="str">
        <f>IF($CU57&gt;=RAM,"",IF($CU57-DH$103&lt;BeginnAlter,"",ROUND(v^($CU57+FaktorAlter)*$L57*$D57*0.5*(VLOOKUP($CU57-DH$103,Frauen!$G$9:$J$102,4)+VLOOKUP($CU57-DH$103+1,Frauen!$G$9:$J$102,4))*0.5*(VLOOKUP($CU57-DH$103,Frauen!$AZ$9:$BD$102,5)+VLOOKUP($CU57-DH$103+1,Frauen!$AZ$9:$BD$102,5)),RundDx)))</f>
        <v/>
      </c>
      <c r="DI57" s="25" t="str">
        <f>IF($CU57&gt;=RAM,"",IF($CU57-DI$103&lt;BeginnAlter,"",ROUND(v^($CU57+FaktorAlter)*$L57*$D57*0.5*(VLOOKUP($CU57-DI$103,Frauen!$G$9:$J$102,4)+VLOOKUP($CU57-DI$103+1,Frauen!$G$9:$J$102,4))*0.5*(VLOOKUP($CU57-DI$103,Frauen!$AZ$9:$BD$102,5)+VLOOKUP($CU57-DI$103+1,Frauen!$AZ$9:$BD$102,5)),RundDx)))</f>
        <v/>
      </c>
      <c r="DJ57" s="25" t="str">
        <f>IF($CU57&gt;=RAM,"",IF($CU57-DJ$103&lt;BeginnAlter,"",ROUND(v^($CU57+FaktorAlter)*$L57*$D57*0.5*(VLOOKUP($CU57-DJ$103,Frauen!$G$9:$J$102,4)+VLOOKUP($CU57-DJ$103+1,Frauen!$G$9:$J$102,4))*0.5*(VLOOKUP($CU57-DJ$103,Frauen!$AZ$9:$BD$102,5)+VLOOKUP($CU57-DJ$103+1,Frauen!$AZ$9:$BD$102,5)),RundDx)))</f>
        <v/>
      </c>
      <c r="DK57" s="25" t="str">
        <f>IF($CU57&gt;=RAM,"",IF($CU57-DK$103&lt;BeginnAlter,"",ROUND(v^($CU57+FaktorAlter)*$L57*$D57*0.5*(VLOOKUP($CU57-DK$103,Frauen!$G$9:$J$102,4)+VLOOKUP($CU57-DK$103+1,Frauen!$G$9:$J$102,4))*0.5*(VLOOKUP($CU57-DK$103,Frauen!$AZ$9:$BD$102,5)+VLOOKUP($CU57-DK$103+1,Frauen!$AZ$9:$BD$102,5)),RundDx)))</f>
        <v/>
      </c>
      <c r="DL57" s="25" t="str">
        <f>IF($CU57&gt;=RAM,"",IF($CU57-DL$103&lt;BeginnAlter,"",ROUND(v^($CU57+FaktorAlter)*$L57*$D57*0.5*(VLOOKUP($CU57-DL$103,Frauen!$G$9:$J$102,4)+VLOOKUP($CU57-DL$103+1,Frauen!$G$9:$J$102,4))*0.5*(VLOOKUP($CU57-DL$103,Frauen!$AZ$9:$BD$102,5)+VLOOKUP($CU57-DL$103+1,Frauen!$AZ$9:$BD$102,5)),RundDx)))</f>
        <v/>
      </c>
      <c r="DM57" s="25" t="str">
        <f>IF($CU57&gt;=RAM,"",IF($CU57-DM$103&lt;BeginnAlter,"",ROUND(v^($CU57+FaktorAlter)*$L57*$D57*0.5*(VLOOKUP($CU57-DM$103,Frauen!$G$9:$J$102,4)+VLOOKUP($CU57-DM$103+1,Frauen!$G$9:$J$102,4))*0.5*(VLOOKUP($CU57-DM$103,Frauen!$AZ$9:$BD$102,5)+VLOOKUP($CU57-DM$103+1,Frauen!$AZ$9:$BD$102,5)),RundDx)))</f>
        <v/>
      </c>
      <c r="DN57" s="25" t="str">
        <f>IF($CU57&gt;=RAM,"",IF($CU57-DN$103&lt;BeginnAlter,"",ROUND(v^($CU57+FaktorAlter)*$L57*$D57*0.5*(VLOOKUP($CU57-DN$103,Frauen!$G$9:$J$102,4)+VLOOKUP($CU57-DN$103+1,Frauen!$G$9:$J$102,4))*0.5*(VLOOKUP($CU57-DN$103,Frauen!$AZ$9:$BD$102,5)+VLOOKUP($CU57-DN$103+1,Frauen!$AZ$9:$BD$102,5)),RundDx)))</f>
        <v/>
      </c>
      <c r="DO57" s="25" t="str">
        <f>IF($CU57&gt;=RAM,"",IF($CU57-DO$103&lt;BeginnAlter,"",ROUND(v^($CU57+FaktorAlter)*$L57*$D57*0.5*(VLOOKUP($CU57-DO$103,Frauen!$G$9:$J$102,4)+VLOOKUP($CU57-DO$103+1,Frauen!$G$9:$J$102,4))*0.5*(VLOOKUP($CU57-DO$103,Frauen!$AZ$9:$BD$102,5)+VLOOKUP($CU57-DO$103+1,Frauen!$AZ$9:$BD$102,5)),RundDx)))</f>
        <v/>
      </c>
      <c r="DP57" s="25" t="str">
        <f>IF($CU57&gt;=RAM,"",IF($CU57-DP$103&lt;BeginnAlter,"",ROUND(v^($CU57+FaktorAlter)*$L57*$D57*0.5*(VLOOKUP($CU57-DP$103,Frauen!$G$9:$J$102,4)+VLOOKUP($CU57-DP$103+1,Frauen!$G$9:$J$102,4))*0.5*(VLOOKUP($CU57-DP$103,Frauen!$AZ$9:$BD$102,5)+VLOOKUP($CU57-DP$103+1,Frauen!$AZ$9:$BD$102,5)),RundDx)))</f>
        <v/>
      </c>
      <c r="DQ57" s="25" t="str">
        <f>IF($CU57&gt;=RAM,"",IF($CU57-DQ$103&lt;BeginnAlter,"",ROUND(v^($CU57+FaktorAlter)*$L57*$D57*0.5*(VLOOKUP($CU57-DQ$103,Frauen!$G$9:$J$102,4)+VLOOKUP($CU57-DQ$103+1,Frauen!$G$9:$J$102,4))*0.5*(VLOOKUP($CU57-DQ$103,Frauen!$AZ$9:$BD$102,5)+VLOOKUP($CU57-DQ$103+1,Frauen!$AZ$9:$BD$102,5)),RundDx)))</f>
        <v/>
      </c>
      <c r="DR57" s="25" t="str">
        <f>IF($CU57&gt;=RAM,"",IF($CU57-DR$103&lt;BeginnAlter,"",ROUND(v^($CU57+FaktorAlter)*$L57*$D57*0.5*(VLOOKUP($CU57-DR$103,Frauen!$G$9:$J$102,4)+VLOOKUP($CU57-DR$103+1,Frauen!$G$9:$J$102,4))*0.5*(VLOOKUP($CU57-DR$103,Frauen!$AZ$9:$BD$102,5)+VLOOKUP($CU57-DR$103+1,Frauen!$AZ$9:$BD$102,5)),RundDx)))</f>
        <v/>
      </c>
      <c r="DS57" s="25" t="str">
        <f>IF($CU57&gt;=RAM,"",IF($CU57-DS$103&lt;BeginnAlter,"",ROUND(v^($CU57+FaktorAlter)*$L57*$D57*0.5*(VLOOKUP($CU57-DS$103,Frauen!$G$9:$J$102,4)+VLOOKUP($CU57-DS$103+1,Frauen!$G$9:$J$102,4))*0.5*(VLOOKUP($CU57-DS$103,Frauen!$AZ$9:$BD$102,5)+VLOOKUP($CU57-DS$103+1,Frauen!$AZ$9:$BD$102,5)),RundDx)))</f>
        <v/>
      </c>
      <c r="DT57" s="25" t="str">
        <f>IF($CU57&gt;=RAM,"",IF($CU57-DT$103&lt;BeginnAlter,"",ROUND(v^($CU57+FaktorAlter)*$L57*$D57*0.5*(VLOOKUP($CU57-DT$103,Frauen!$G$9:$J$102,4)+VLOOKUP($CU57-DT$103+1,Frauen!$G$9:$J$102,4))*0.5*(VLOOKUP($CU57-DT$103,Frauen!$AZ$9:$BD$102,5)+VLOOKUP($CU57-DT$103+1,Frauen!$AZ$9:$BD$102,5)),RundDx)))</f>
        <v/>
      </c>
      <c r="DU57" s="25" t="str">
        <f>IF($CU57&gt;=RAM,"",IF($CU57-DU$103&lt;BeginnAlter,"",ROUND(v^($CU57+FaktorAlter)*$L57*$D57*0.5*(VLOOKUP($CU57-DU$103,Frauen!$G$9:$J$102,4)+VLOOKUP($CU57-DU$103+1,Frauen!$G$9:$J$102,4))*0.5*(VLOOKUP($CU57-DU$103,Frauen!$AZ$9:$BD$102,5)+VLOOKUP($CU57-DU$103+1,Frauen!$AZ$9:$BD$102,5)),RundDx)))</f>
        <v/>
      </c>
      <c r="DV57" s="25" t="str">
        <f>IF($CU57&gt;=RAM,"",IF($CU57-DV$103&lt;BeginnAlter,"",ROUND(v^($CU57+FaktorAlter)*$L57*$D57*0.5*(VLOOKUP($CU57-DV$103,Frauen!$G$9:$J$102,4)+VLOOKUP($CU57-DV$103+1,Frauen!$G$9:$J$102,4))*0.5*(VLOOKUP($CU57-DV$103,Frauen!$AZ$9:$BD$102,5)+VLOOKUP($CU57-DV$103+1,Frauen!$AZ$9:$BD$102,5)),RundDx)))</f>
        <v/>
      </c>
      <c r="DW57" s="25" t="str">
        <f>IF($CU57&gt;=RAM,"",IF($CU57-DW$103&lt;BeginnAlter,"",ROUND(v^($CU57+FaktorAlter)*$L57*$D57*0.5*(VLOOKUP($CU57-DW$103,Frauen!$G$9:$J$102,4)+VLOOKUP($CU57-DW$103+1,Frauen!$G$9:$J$102,4))*0.5*(VLOOKUP($CU57-DW$103,Frauen!$AZ$9:$BD$102,5)+VLOOKUP($CU57-DW$103+1,Frauen!$AZ$9:$BD$102,5)),RundDx)))</f>
        <v/>
      </c>
      <c r="DX57" s="25" t="str">
        <f>IF($CU57&gt;=RAM,"",IF($CU57-DX$103&lt;BeginnAlter,"",ROUND(v^($CU57+FaktorAlter)*$L57*$D57*0.5*(VLOOKUP($CU57-DX$103,Frauen!$G$9:$J$102,4)+VLOOKUP($CU57-DX$103+1,Frauen!$G$9:$J$102,4))*0.5*(VLOOKUP($CU57-DX$103,Frauen!$AZ$9:$BD$102,5)+VLOOKUP($CU57-DX$103+1,Frauen!$AZ$9:$BD$102,5)),RundDx)))</f>
        <v/>
      </c>
      <c r="DY57" s="25" t="str">
        <f>IF($CU57&gt;=RAM,"",IF($CU57-DY$103&lt;BeginnAlter,"",ROUND(v^($CU57+FaktorAlter)*$L57*$D57*0.5*(VLOOKUP($CU57-DY$103,Frauen!$G$9:$J$102,4)+VLOOKUP($CU57-DY$103+1,Frauen!$G$9:$J$102,4))*0.5*(VLOOKUP($CU57-DY$103,Frauen!$AZ$9:$BD$102,5)+VLOOKUP($CU57-DY$103+1,Frauen!$AZ$9:$BD$102,5)),RundDx)))</f>
        <v/>
      </c>
      <c r="DZ57" s="25" t="str">
        <f>IF($CU57&gt;=RAM,"",IF($CU57-DZ$103&lt;BeginnAlter,"",ROUND(v^($CU57+FaktorAlter)*$L57*$D57*0.5*(VLOOKUP($CU57-DZ$103,Frauen!$G$9:$J$102,4)+VLOOKUP($CU57-DZ$103+1,Frauen!$G$9:$J$102,4))*0.5*(VLOOKUP($CU57-DZ$103,Frauen!$AZ$9:$BD$102,5)+VLOOKUP($CU57-DZ$103+1,Frauen!$AZ$9:$BD$102,5)),RundDx)))</f>
        <v/>
      </c>
      <c r="EA57" s="43" t="str">
        <f>IF($CU57&gt;=RAM,"",IF($CU57-EA$103&lt;BeginnAlter,"",ROUND((SUM(CV$56:CV57)+SUM(FN$9:FN$56))/VLOOKUP($CU57,$AH$9:$AI$102,2)/VLOOKUP($CU57-EA$103,Frauen!$G$9:$J$102,4),Rundäx)))</f>
        <v/>
      </c>
      <c r="EB57" s="43" t="str">
        <f>IF($CU57&gt;=RAM,"",IF($CU57-EB$103&lt;BeginnAlter,"",ROUND((SUM(CW$56:CW57)+SUM(FO$9:FO$56))/VLOOKUP($CU57,$AH$9:$AI$102,2)/VLOOKUP($CU57-EB$103,Frauen!$G$9:$J$102,4),Rundäx)))</f>
        <v/>
      </c>
      <c r="EC57" s="43" t="str">
        <f>IF($CU57&gt;=RAM,"",IF($CU57-EC$103&lt;BeginnAlter,"",ROUND((SUM(CX$56:CX57)+SUM(FP$9:FP$56))/VLOOKUP($CU57,$AH$9:$AI$102,2)/VLOOKUP($CU57-EC$103,Frauen!$G$9:$J$102,4),Rundäx)))</f>
        <v/>
      </c>
      <c r="ED57" s="43" t="str">
        <f>IF($CU57&gt;=RAM,"",IF($CU57-ED$103&lt;BeginnAlter,"",ROUND((SUM(CY$56:CY57)+SUM(FQ$9:FQ$56))/VLOOKUP($CU57,$AH$9:$AI$102,2)/VLOOKUP($CU57-ED$103,Frauen!$G$9:$J$102,4),Rundäx)))</f>
        <v/>
      </c>
      <c r="EE57" s="43" t="str">
        <f>IF($CU57&gt;=RAM,"",IF($CU57-EE$103&lt;BeginnAlter,"",ROUND((SUM(CZ$56:CZ57)+SUM(FR$9:FR$56))/VLOOKUP($CU57,$AH$9:$AI$102,2)/VLOOKUP($CU57-EE$103,Frauen!$G$9:$J$102,4),Rundäx)))</f>
        <v/>
      </c>
      <c r="EF57" s="43" t="str">
        <f>IF($CU57&gt;=RAM,"",IF($CU57-EF$103&lt;BeginnAlter,"",ROUND((SUM(DA$56:DA57)+SUM(FS$9:FS$56))/VLOOKUP($CU57,$AH$9:$AI$102,2)/VLOOKUP($CU57-EF$103,Frauen!$G$9:$J$102,4),Rundäx)))</f>
        <v/>
      </c>
      <c r="EG57" s="43" t="str">
        <f>IF($CU57&gt;=RAM,"",IF($CU57-EG$103&lt;BeginnAlter,"",ROUND((SUM(DB$56:DB57)+SUM(FT$9:FT$56))/VLOOKUP($CU57,$AH$9:$AI$102,2)/VLOOKUP($CU57-EG$103,Frauen!$G$9:$J$102,4),Rundäx)))</f>
        <v/>
      </c>
      <c r="EH57" s="43" t="str">
        <f>IF($CU57&gt;=RAM,"",IF($CU57-EH$103&lt;BeginnAlter,"",ROUND((SUM(DC$56:DC57)+SUM(FU$9:FU$56))/VLOOKUP($CU57,$AH$9:$AI$102,2)/VLOOKUP($CU57-EH$103,Frauen!$G$9:$J$102,4),Rundäx)))</f>
        <v/>
      </c>
      <c r="EI57" s="86"/>
      <c r="EJ57" s="35">
        <f t="shared" si="60"/>
        <v>65</v>
      </c>
      <c r="EK57" s="43" t="str">
        <f>IF($CU57&gt;=RAM,"",IF($CU57-EK$103&lt;BeginnAlter,"",ROUND((SUM(DD$56:DD57)+SUM(FV$9:FV$56))/VLOOKUP($CU57,$AH$9:$AI$102,2)/VLOOKUP($CU57-EK$103,Frauen!$G$9:$J$102,4),Rundäx)))</f>
        <v/>
      </c>
      <c r="EL57" s="43" t="str">
        <f>IF($CU57&gt;=RAM,"",IF($CU57-EL$103&lt;BeginnAlter,"",ROUND((SUM(DE$56:DE57)+SUM(FW$9:FW$56))/VLOOKUP($CU57,$AH$9:$AI$102,2)/VLOOKUP($CU57-EL$103,Frauen!$G$9:$J$102,4),Rundäx)))</f>
        <v/>
      </c>
      <c r="EM57" s="43" t="str">
        <f>IF($CU57&gt;=RAM,"",IF($CU57-EM$103&lt;BeginnAlter,"",ROUND((SUM(DF$56:DF57)+SUM(FX$9:FX$56))/VLOOKUP($CU57,$AH$9:$AI$102,2)/VLOOKUP($CU57-EM$103,Frauen!$G$9:$J$102,4),Rundäx)))</f>
        <v/>
      </c>
      <c r="EN57" s="43" t="str">
        <f>IF($CU57&gt;=RAM,"",IF($CU57-EN$103&lt;BeginnAlter,"",ROUND((SUM(DG$56:DG57)+SUM(FY$9:FY$56))/VLOOKUP($CU57,$AH$9:$AI$102,2)/VLOOKUP($CU57-EN$103,Frauen!$G$9:$J$102,4),Rundäx)))</f>
        <v/>
      </c>
      <c r="EO57" s="43" t="str">
        <f>IF($CU57&gt;=RAM,"",IF($CU57-EO$103&lt;BeginnAlter,"",ROUND((SUM(DH$56:DH57)+SUM(FZ$9:FZ$56))/VLOOKUP($CU57,$AH$9:$AI$102,2)/VLOOKUP($CU57-EO$103,Frauen!$G$9:$J$102,4),Rundäx)))</f>
        <v/>
      </c>
      <c r="EP57" s="43" t="str">
        <f>IF($CU57&gt;=RAM,"",IF($CU57-EP$103&lt;BeginnAlter,"",ROUND((SUM(DI$56:DI57)+SUM(GA$9:GA$56))/VLOOKUP($CU57,$AH$9:$AI$102,2)/VLOOKUP($CU57-EP$103,Frauen!$G$9:$J$102,4),Rundäx)))</f>
        <v/>
      </c>
      <c r="EQ57" s="43" t="str">
        <f>IF($CU57&gt;=RAM,"",IF($CU57-EQ$103&lt;BeginnAlter,"",ROUND((SUM(DJ$56:DJ57)+SUM(GB$9:GB$56))/VLOOKUP($CU57,$AH$9:$AI$102,2)/VLOOKUP($CU57-EQ$103,Frauen!$G$9:$J$102,4),Rundäx)))</f>
        <v/>
      </c>
      <c r="ER57" s="43" t="str">
        <f>IF($CU57&gt;=RAM,"",IF($CU57-ER$103&lt;BeginnAlter,"",ROUND((SUM(DK$56:DK57)+SUM(GC$9:GC$56))/VLOOKUP($CU57,$AH$9:$AI$102,2)/VLOOKUP($CU57-ER$103,Frauen!$G$9:$J$102,4),Rundäx)))</f>
        <v/>
      </c>
      <c r="ES57" s="86"/>
      <c r="ET57" s="35">
        <f t="shared" si="61"/>
        <v>65</v>
      </c>
      <c r="EU57" s="43" t="str">
        <f>IF($CU57&gt;=RAM,"",IF($CU57-EU$103&lt;BeginnAlter,"",ROUND((SUM(DL$56:DL57)+SUM(GD$9:GD$56))/VLOOKUP($CU57,$AH$9:$AI$102,2)/VLOOKUP($CU57-EU$103,Frauen!$G$9:$J$102,4),Rundäx)))</f>
        <v/>
      </c>
      <c r="EV57" s="43" t="str">
        <f>IF($CU57&gt;=RAM,"",IF($CU57-EV$103&lt;BeginnAlter,"",ROUND((SUM(DM$56:DM57)+SUM(GE$9:GE$56))/VLOOKUP($CU57,$AH$9:$AI$102,2)/VLOOKUP($CU57-EV$103,Frauen!$G$9:$J$102,4),Rundäx)))</f>
        <v/>
      </c>
      <c r="EW57" s="43" t="str">
        <f>IF($CU57&gt;=RAM,"",IF($CU57-EW$103&lt;BeginnAlter,"",ROUND((SUM(DN$56:DN57)+SUM(GF$9:GF$56))/VLOOKUP($CU57,$AH$9:$AI$102,2)/VLOOKUP($CU57-EW$103,Frauen!$G$9:$J$102,4),Rundäx)))</f>
        <v/>
      </c>
      <c r="EX57" s="43" t="str">
        <f>IF($CU57&gt;=RAM,"",IF($CU57-EX$103&lt;BeginnAlter,"",ROUND((SUM(DO$56:DO57)+SUM(GG$9:GG$56))/VLOOKUP($CU57,$AH$9:$AI$102,2)/VLOOKUP($CU57-EX$103,Frauen!$G$9:$J$102,4),Rundäx)))</f>
        <v/>
      </c>
      <c r="EY57" s="43" t="str">
        <f>IF($CU57&gt;=RAM,"",IF($CU57-EY$103&lt;BeginnAlter,"",ROUND((SUM(DP$56:DP57)+SUM(GH$9:GH$56))/VLOOKUP($CU57,$AH$9:$AI$102,2)/VLOOKUP($CU57-EY$103,Frauen!$G$9:$J$102,4),Rundäx)))</f>
        <v/>
      </c>
      <c r="EZ57" s="43" t="str">
        <f>IF($CU57&gt;=RAM,"",IF($CU57-EZ$103&lt;BeginnAlter,"",ROUND((SUM(DQ$56:DQ57)+SUM(GI$9:GI$56))/VLOOKUP($CU57,$AH$9:$AI$102,2)/VLOOKUP($CU57-EZ$103,Frauen!$G$9:$J$102,4),Rundäx)))</f>
        <v/>
      </c>
      <c r="FA57" s="43" t="str">
        <f>IF($CU57&gt;=RAM,"",IF($CU57-FA$103&lt;BeginnAlter,"",ROUND((SUM(DR$56:DR57)+SUM(GJ$9:GJ$56))/VLOOKUP($CU57,$AH$9:$AI$102,2)/VLOOKUP($CU57-FA$103,Frauen!$G$9:$J$102,4),Rundäx)))</f>
        <v/>
      </c>
      <c r="FB57" s="43" t="str">
        <f>IF($CU57&gt;=RAM,"",IF($CU57-FB$103&lt;BeginnAlter,"",ROUND((SUM(DS$56:DS57)+SUM(GK$9:GK$56))/VLOOKUP($CU57,$AH$9:$AI$102,2)/VLOOKUP($CU57-FB$103,Frauen!$G$9:$J$102,4),Rundäx)))</f>
        <v/>
      </c>
      <c r="FC57" s="86"/>
      <c r="FD57" s="35">
        <f t="shared" si="62"/>
        <v>65</v>
      </c>
      <c r="FE57" s="43" t="str">
        <f>IF($CU57&gt;=RAM,"",IF($CU57-FE$103&lt;BeginnAlter,"",ROUND((SUM(DT$56:DT57)+SUM(GL$9:GL$56))/VLOOKUP($CU57,$AH$9:$AI$102,2)/VLOOKUP($CU57-FE$103,Frauen!$G$9:$J$102,4),Rundäx)))</f>
        <v/>
      </c>
      <c r="FF57" s="43" t="str">
        <f>IF($CU57&gt;=RAM,"",IF($CU57-FF$103&lt;BeginnAlter,"",ROUND((SUM(DU$56:DU57)+SUM(GM$9:GM$56))/VLOOKUP($CU57,$AH$9:$AI$102,2)/VLOOKUP($CU57-FF$103,Frauen!$G$9:$J$102,4),Rundäx)))</f>
        <v/>
      </c>
      <c r="FG57" s="43" t="str">
        <f>IF($CU57&gt;=RAM,"",IF($CU57-FG$103&lt;BeginnAlter,"",ROUND((SUM(DV$56:DV57)+SUM(GN$9:GN$56))/VLOOKUP($CU57,$AH$9:$AI$102,2)/VLOOKUP($CU57-FG$103,Frauen!$G$9:$J$102,4),Rundäx)))</f>
        <v/>
      </c>
      <c r="FH57" s="43" t="str">
        <f>IF($CU57&gt;=RAM,"",IF($CU57-FH$103&lt;BeginnAlter,"",ROUND((SUM(DW$56:DW57)+SUM(GO$9:GO$56))/VLOOKUP($CU57,$AH$9:$AI$102,2)/VLOOKUP($CU57-FH$103,Frauen!$G$9:$J$102,4),Rundäx)))</f>
        <v/>
      </c>
      <c r="FI57" s="43" t="str">
        <f>IF($CU57&gt;=RAM,"",IF($CU57-FI$103&lt;BeginnAlter,"",ROUND((SUM(DX$56:DX57)+SUM(GP$9:GP$56))/VLOOKUP($CU57,$AH$9:$AI$102,2)/VLOOKUP($CU57-FI$103,Frauen!$G$9:$J$102,4),Rundäx)))</f>
        <v/>
      </c>
      <c r="FJ57" s="43" t="str">
        <f>IF($CU57&gt;=RAM,"",IF($CU57-FJ$103&lt;BeginnAlter,"",ROUND((SUM(DY$56:DY57)+SUM(GQ$9:GQ$56))/VLOOKUP($CU57,$AH$9:$AI$102,2)/VLOOKUP($CU57-FJ$103,Frauen!$G$9:$J$102,4),Rundäx)))</f>
        <v/>
      </c>
      <c r="FK57" s="43" t="str">
        <f>IF($CU57&gt;=RAM,"",IF($CU57-FK$103&lt;BeginnAlter,"",ROUND((SUM(DZ$56:DZ57)+SUM(GR$9:GR$56))/VLOOKUP($CU57,$AH$9:$AI$102,2)/VLOOKUP($CU57-FK$103,Frauen!$G$9:$J$102,4),Rundäx)))</f>
        <v/>
      </c>
      <c r="FL57" s="86"/>
      <c r="FM57" s="35">
        <f t="shared" si="68"/>
        <v>113</v>
      </c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4"/>
      <c r="GT57" s="24"/>
      <c r="GU57" s="24" t="str">
        <f>IF(FM57&gt;=RAM," ",#REF!/$AI57/Frauen!$J45)</f>
        <v xml:space="preserve"> </v>
      </c>
      <c r="GV57" s="24" t="str">
        <f>IF(FM57&gt;=RAM," ",#REF!/$AI57/Frauen!$J48)</f>
        <v xml:space="preserve"> </v>
      </c>
      <c r="GW57" s="24" t="str">
        <f>IF(FM57&gt;=RAM," ",#REF!/$AI57/Frauen!$J51)</f>
        <v xml:space="preserve"> </v>
      </c>
      <c r="GX57" s="24" t="str">
        <f>IF(FM57&gt;=RAM," ",#REF!/$AI57/Frauen!$J54)</f>
        <v xml:space="preserve"> </v>
      </c>
      <c r="GY57" s="24" t="str">
        <f>IF(FM57&gt;=RAM," ",#REF!/$AI57/Frauen!$J57)</f>
        <v xml:space="preserve"> </v>
      </c>
      <c r="GZ57" s="24" t="str">
        <f>IF(FM57&gt;=RAM," ",#REF!/$AI57/Frauen!$J60)</f>
        <v xml:space="preserve"> </v>
      </c>
      <c r="HA57" s="86"/>
      <c r="HB57" s="35">
        <f t="shared" si="63"/>
        <v>113</v>
      </c>
      <c r="HC57" s="24"/>
      <c r="HD57" s="24"/>
      <c r="HE57" s="24"/>
      <c r="HF57" s="24"/>
      <c r="HG57" s="24"/>
      <c r="HH57" s="24"/>
      <c r="HI57" s="24"/>
      <c r="HJ57" s="24"/>
      <c r="HK57" s="86"/>
      <c r="HL57" s="35">
        <f t="shared" si="64"/>
        <v>113</v>
      </c>
      <c r="HM57" s="24"/>
      <c r="HN57" s="24"/>
      <c r="HO57" s="24"/>
      <c r="HP57" s="24"/>
      <c r="HQ57" s="24"/>
      <c r="HR57" s="24"/>
      <c r="HS57" s="24"/>
      <c r="HT57" s="24"/>
      <c r="HU57" s="86"/>
      <c r="HV57" s="35">
        <f t="shared" si="65"/>
        <v>113</v>
      </c>
      <c r="HW57" s="24"/>
      <c r="HX57" s="24"/>
      <c r="HY57" s="24"/>
      <c r="HZ57" s="24"/>
      <c r="IA57" s="24"/>
      <c r="IB57" s="24"/>
      <c r="IC57" s="24"/>
      <c r="ID57" s="89"/>
      <c r="IE57" s="36">
        <f t="shared" si="81"/>
        <v>65</v>
      </c>
      <c r="IF57" s="27" t="str">
        <f t="shared" si="31"/>
        <v/>
      </c>
      <c r="IG57" s="27" t="str">
        <f>IF($IE57&lt;RAM,IF(S58&lt;=RAK,ROUND(SUM(IF57:INDEX(Dakx,RAM-BeginnAlter))+INDEX(Dax,RAM-BeginnAlter+1)*INDEX(äkx,1),RundDx),0),"")</f>
        <v/>
      </c>
      <c r="IH57" s="27" t="str">
        <f>IF($IE57&lt;RAM,IF(S58&lt;=RAK,ROUND(SUM(IG57:INDEX(Nakx,RAM-BeginnAlter))+INDEX(Dax,RAM-BeginnAlter+1)*INDEX(äkx,1),RundDx),0),"")</f>
        <v/>
      </c>
      <c r="II57" s="26" t="str">
        <f t="shared" si="32"/>
        <v/>
      </c>
      <c r="IJ57" s="27" t="str">
        <f t="shared" si="33"/>
        <v/>
      </c>
      <c r="IK57" s="27" t="str">
        <f>IF($IE57&lt;RAM,IF(S58&lt;=RAK,SUM(IJ57:INDEX(Dikx,RAM-BeginnAlter))+INDEX(Dix,RAM-BeginnAlter+1)*INDEX(äkx,1),0),"")</f>
        <v/>
      </c>
      <c r="IL57" s="26">
        <f t="shared" si="34"/>
        <v>8.0000000000000002E-3</v>
      </c>
      <c r="IM57" s="87"/>
      <c r="IN57" s="35">
        <f t="shared" si="67"/>
        <v>113</v>
      </c>
      <c r="IO57" s="25"/>
      <c r="IP57" s="25"/>
      <c r="IQ57" s="24"/>
      <c r="IR57" s="86"/>
    </row>
    <row r="58" spans="1:252" ht="15.75" customHeight="1" x14ac:dyDescent="0.25">
      <c r="A58" s="35">
        <f t="shared" si="69"/>
        <v>66</v>
      </c>
      <c r="B58" s="77"/>
      <c r="C58" s="77"/>
      <c r="D58" s="77"/>
      <c r="E58" s="77">
        <v>1.6199999999999999E-2</v>
      </c>
      <c r="F58" s="86"/>
      <c r="G58" s="35">
        <f t="shared" si="70"/>
        <v>66</v>
      </c>
      <c r="H58" s="25" t="str">
        <f t="shared" si="37"/>
        <v/>
      </c>
      <c r="I58" s="25" t="str">
        <f t="shared" si="38"/>
        <v/>
      </c>
      <c r="J58" s="25">
        <f t="shared" si="39"/>
        <v>85696</v>
      </c>
      <c r="K58" s="30">
        <f>IF(J58&gt;0,ROUND(SUM(J58:J$102)/J58-0.5,Rundex),"")</f>
        <v>16.82</v>
      </c>
      <c r="L58" s="25">
        <f t="shared" si="0"/>
        <v>85696</v>
      </c>
      <c r="M58" s="30">
        <f>IF(L58&gt;0,ROUND(SUM(L58:L$102)/L58-0.5,Rundex),"")</f>
        <v>16.82</v>
      </c>
      <c r="N58" s="86"/>
      <c r="O58" s="35">
        <f t="shared" si="71"/>
        <v>66</v>
      </c>
      <c r="P58" s="43">
        <v>0.77812453466539422</v>
      </c>
      <c r="Q58" s="78">
        <v>62.175082704678317</v>
      </c>
      <c r="R58" s="43">
        <v>1.4E-2</v>
      </c>
      <c r="S58" s="78">
        <v>20.19350832135051</v>
      </c>
      <c r="T58" s="15">
        <v>2.74218140202706E-2</v>
      </c>
      <c r="U58" s="11">
        <f t="shared" si="40"/>
        <v>81224</v>
      </c>
      <c r="V58" s="30">
        <f>IF(U58&gt;0,ROUND(SUM(U58:U$102)/U58-0.5,Rundex),"")</f>
        <v>15.03</v>
      </c>
      <c r="W58" s="86"/>
      <c r="X58" s="35">
        <f t="shared" si="72"/>
        <v>66</v>
      </c>
      <c r="Y58" s="25" t="str">
        <f t="shared" si="1"/>
        <v xml:space="preserve"> </v>
      </c>
      <c r="Z58" s="25" t="str">
        <f>IF($X58&lt;RAM,SUM(Y58:INDEX(Dax,RAM-BeginnAlter))," ")</f>
        <v xml:space="preserve"> </v>
      </c>
      <c r="AA58" s="25" t="str">
        <f t="shared" si="2"/>
        <v xml:space="preserve"> </v>
      </c>
      <c r="AB58" s="25" t="str">
        <f>IF($X58&lt;RAM,SUM(AA58:INDEX(Cax,RAM-BeginnAlter))," ")</f>
        <v xml:space="preserve"> </v>
      </c>
      <c r="AC58" s="25" t="str">
        <f t="shared" si="3"/>
        <v xml:space="preserve"> </v>
      </c>
      <c r="AD58" s="25" t="str">
        <f>IF($X58&lt;RAM,SUM(AC58:INDEX(Caix,RAM-BeginnAlter))," ")</f>
        <v xml:space="preserve"> </v>
      </c>
      <c r="AE58" s="24" t="str">
        <f t="shared" si="4"/>
        <v xml:space="preserve"> </v>
      </c>
      <c r="AF58" s="24" t="str">
        <f t="shared" si="5"/>
        <v xml:space="preserve"> </v>
      </c>
      <c r="AG58" s="86"/>
      <c r="AH58" s="35">
        <f t="shared" si="73"/>
        <v>66</v>
      </c>
      <c r="AI58" s="25" t="str">
        <f t="shared" si="6"/>
        <v xml:space="preserve"> </v>
      </c>
      <c r="AJ58" s="25" t="str">
        <f>IF($AH58&gt;RAM," ",IF($AH58&lt;RAM,SUM(AI58:INDEX(Dix,RAM-BeginnAlter))+INDEX(Nx,RAM-BeginnAlter+1),INDEX(Nx,RAM-BeginnAlter+1)))</f>
        <v xml:space="preserve"> </v>
      </c>
      <c r="AK58" s="25" t="str">
        <f>IF($AH58&lt;RAM,SUM(AI58:INDEX(Dix,RAM-BeginnAlter))," ")</f>
        <v xml:space="preserve"> </v>
      </c>
      <c r="AL58" s="24" t="str">
        <f t="shared" si="7"/>
        <v xml:space="preserve"> </v>
      </c>
      <c r="AM58" s="24" t="str">
        <f t="shared" si="8"/>
        <v xml:space="preserve"> </v>
      </c>
      <c r="AN58" s="24" t="str">
        <f t="shared" si="9"/>
        <v xml:space="preserve"> </v>
      </c>
      <c r="AO58" s="24" t="str">
        <f t="shared" si="10"/>
        <v xml:space="preserve"> </v>
      </c>
      <c r="AP58" s="86"/>
      <c r="AQ58" s="35">
        <f t="shared" si="74"/>
        <v>66</v>
      </c>
      <c r="AR58" s="25">
        <f t="shared" si="11"/>
        <v>19732</v>
      </c>
      <c r="AS58" s="25">
        <f>SUM(AR58:AR$94)</f>
        <v>276768</v>
      </c>
      <c r="AT58" s="25" t="str">
        <f>IF($AQ58&lt;RAM,SUM(AR58:INDEX(Dx,RAM-BeginnAlter))," ")</f>
        <v xml:space="preserve"> </v>
      </c>
      <c r="AU58" s="24">
        <f t="shared" si="12"/>
        <v>14.026</v>
      </c>
      <c r="AV58" s="24">
        <f t="shared" si="13"/>
        <v>13.568</v>
      </c>
      <c r="AW58" s="24" t="str">
        <f t="shared" si="14"/>
        <v xml:space="preserve"> </v>
      </c>
      <c r="AX58" s="24" t="str">
        <f t="shared" si="15"/>
        <v xml:space="preserve"> </v>
      </c>
      <c r="AY58" s="86"/>
      <c r="AZ58" s="35">
        <f t="shared" si="75"/>
        <v>66</v>
      </c>
      <c r="BA58" s="25">
        <f t="shared" si="16"/>
        <v>18703</v>
      </c>
      <c r="BB58" s="25">
        <f>SUM(BA58:BA$94)</f>
        <v>237761</v>
      </c>
      <c r="BC58" s="24">
        <f t="shared" si="17"/>
        <v>12.712</v>
      </c>
      <c r="BD58" s="24">
        <f t="shared" si="18"/>
        <v>12.254</v>
      </c>
      <c r="BE58" s="86"/>
      <c r="BF58" s="35">
        <f t="shared" si="48"/>
        <v>49</v>
      </c>
      <c r="BG58" s="24" t="str">
        <f t="shared" si="19"/>
        <v/>
      </c>
      <c r="BH58" s="24" t="str">
        <f t="shared" si="20"/>
        <v/>
      </c>
      <c r="BI58" s="86"/>
      <c r="BJ58" s="35">
        <f t="shared" si="76"/>
        <v>66</v>
      </c>
      <c r="BK58" s="25" t="str">
        <f t="shared" si="21"/>
        <v xml:space="preserve"> </v>
      </c>
      <c r="BL58" s="25" t="str">
        <f>IF(BJ58&lt;RAM,SUM(BK58:INDEX(Daix,RAM-BeginnAlter))," ")</f>
        <v xml:space="preserve"> </v>
      </c>
      <c r="BM58" s="25" t="str">
        <f>IF(BJ58&lt;RAM,SUM(BL58:INDEX(Naix,RAM-BeginnAlter))," ")</f>
        <v xml:space="preserve"> </v>
      </c>
      <c r="BN58" s="24" t="str">
        <f t="shared" si="22"/>
        <v xml:space="preserve"> </v>
      </c>
      <c r="BO58" s="24" t="str">
        <f t="shared" si="23"/>
        <v xml:space="preserve"> </v>
      </c>
      <c r="BP58" s="86"/>
      <c r="BQ58" s="35">
        <f t="shared" si="77"/>
        <v>66</v>
      </c>
      <c r="BR58" s="25" t="str">
        <f t="shared" si="51"/>
        <v xml:space="preserve"> </v>
      </c>
      <c r="BS58" s="25" t="str">
        <f>IF(BQ58&lt;RAM,SUM(BR58:INDEX(Daixs,RAM-BeginnAlter))," ")</f>
        <v xml:space="preserve"> </v>
      </c>
      <c r="BT58" s="25" t="str">
        <f>IF(BQ58&lt;RAM,SUM(BS58:INDEX(Naixs,RAM-BeginnAlter))," ")</f>
        <v xml:space="preserve"> </v>
      </c>
      <c r="BU58" s="24" t="str">
        <f t="shared" si="52"/>
        <v xml:space="preserve"> </v>
      </c>
      <c r="BV58" s="24" t="str">
        <f t="shared" si="53"/>
        <v xml:space="preserve"> </v>
      </c>
      <c r="BW58" s="86"/>
      <c r="BX58" s="35">
        <f t="shared" si="78"/>
        <v>66</v>
      </c>
      <c r="BY58" s="10" t="str">
        <f t="shared" si="24"/>
        <v/>
      </c>
      <c r="BZ58" s="11" t="str">
        <f t="shared" si="25"/>
        <v/>
      </c>
      <c r="CA58" s="25" t="str">
        <f>IF(S59&lt;=RAK,IF($BX58&lt;RAM,SUM(BZ58:INDEX(Dazx,RAM-BeginnAlter)),""),"")</f>
        <v/>
      </c>
      <c r="CB58" s="24" t="str">
        <f t="shared" si="26"/>
        <v/>
      </c>
      <c r="CC58" s="25">
        <f t="shared" si="27"/>
        <v>16128</v>
      </c>
      <c r="CD58" s="24">
        <f t="shared" si="28"/>
        <v>11.247</v>
      </c>
      <c r="CE58" s="24" t="str">
        <f t="shared" si="29"/>
        <v/>
      </c>
      <c r="CF58" s="86"/>
      <c r="CG58" s="35">
        <f t="shared" si="79"/>
        <v>66</v>
      </c>
      <c r="CH58" s="25" t="str">
        <f>IF(CG58&lt;RAM,ROUND(v^($CG58+FaktorAlter)*$H58*($B58*0.5*($P58+$P59)*(VLOOKUP(TRUNC(0.5*($Q58+$Q59),0),Frauen!$AZ$9:$BD$95,5)+(0.5*($Q58+$Q59)-TRUNC(0.5*($Q58+$Q59),0))*(VLOOKUP(TRUNC(0.5*($Q58+$Q59)+1,0),Frauen!$AZ$9:$BD$95,5)-VLOOKUP(TRUNC(0.5*($Q58+$Q59),0),Frauen!$AZ$9:$BD$95,5)))+$C58*0.5*($CN58+$CN59)),RundDx),"")</f>
        <v/>
      </c>
      <c r="CI58" s="25" t="str">
        <f>IF(CG58&lt;RAM,ROUND(SUM(CH58:INDEX(Dawx,RAM-BeginnAlter))+INDEX(Dax,RAM-BeginnAlter+1)*INDEX(äwx,1),RundDx),"")</f>
        <v/>
      </c>
      <c r="CJ58" s="25" t="str">
        <f>IF(CG58&lt;RAM,ROUND(SUM(CI58:INDEX(Nawx,RAM-BeginnAlter))+INDEX(Dax,RAM-BeginnAlter+1)*INDEX(äwx,1),RundDx),"")</f>
        <v/>
      </c>
      <c r="CK58" s="24" t="str">
        <f t="shared" si="56"/>
        <v/>
      </c>
      <c r="CL58" s="25" t="str">
        <f>IF(CG58&lt;RAM,ROUND(v^($CG58+FaktorAlter)*$L58*$D58*0.5*($P58+$P59)*(VLOOKUP(TRUNC(0.5*($Q58+$Q59),0),Frauen!$AZ$9:$BD$95,5)+(0.5*($Q58+$Q59)-TRUNC(0.5*($Q58+$Q59),0))*(VLOOKUP(TRUNC(0.5*($Q58+$Q59)+1,0),Frauen!$AZ$9:$BD$95,5)-VLOOKUP(TRUNC(0.5*($Q58+$Q59),0),Frauen!$AZ$9:$BD$95,5))),RundDx),"")</f>
        <v/>
      </c>
      <c r="CM58" s="25" t="str">
        <f>IF(CG58&lt;RAM,SUM(CL58:INDEX(Diwx,RAM-BeginnAlter))+INDEX(Dix,RAM-BeginnAlter+1)*INDEX(äwx,1),"")</f>
        <v/>
      </c>
      <c r="CN58" s="24" t="str">
        <f t="shared" si="57"/>
        <v/>
      </c>
      <c r="CO58" s="86"/>
      <c r="CP58" s="35">
        <f t="shared" si="58"/>
        <v>114</v>
      </c>
      <c r="CQ58" s="25"/>
      <c r="CR58" s="25"/>
      <c r="CS58" s="24"/>
      <c r="CT58" s="86"/>
      <c r="CU58" s="35">
        <f t="shared" si="80"/>
        <v>66</v>
      </c>
      <c r="CV58" s="25" t="str">
        <f>IF($CU58&gt;=RAM,"",IF($CU58-CV$103&lt;BeginnAlter,"",ROUND(v^($CU58+FaktorAlter)*$L58*$D58*0.5*(VLOOKUP($CU58-CV$103,Frauen!$G$9:$J$102,4)+VLOOKUP($CU58-CV$103+1,Frauen!$G$9:$J$102,4))*0.5*(VLOOKUP($CU58-CV$103,Frauen!$AZ$9:$BD$102,5)+VLOOKUP($CU58-CV$103+1,Frauen!$AZ$9:$BD$102,5)),RundDx)))</f>
        <v/>
      </c>
      <c r="CW58" s="25" t="str">
        <f>IF($CU58&gt;=RAM,"",IF($CU58-CW$103&lt;BeginnAlter,"",ROUND(v^($CU58+FaktorAlter)*$L58*$D58*0.5*(VLOOKUP($CU58-CW$103,Frauen!$G$9:$J$102,4)+VLOOKUP($CU58-CW$103+1,Frauen!$G$9:$J$102,4))*0.5*(VLOOKUP($CU58-CW$103,Frauen!$AZ$9:$BD$102,5)+VLOOKUP($CU58-CW$103+1,Frauen!$AZ$9:$BD$102,5)),RundDx)))</f>
        <v/>
      </c>
      <c r="CX58" s="25" t="str">
        <f>IF($CU58&gt;=RAM,"",IF($CU58-CX$103&lt;BeginnAlter,"",ROUND(v^($CU58+FaktorAlter)*$L58*$D58*0.5*(VLOOKUP($CU58-CX$103,Frauen!$G$9:$J$102,4)+VLOOKUP($CU58-CX$103+1,Frauen!$G$9:$J$102,4))*0.5*(VLOOKUP($CU58-CX$103,Frauen!$AZ$9:$BD$102,5)+VLOOKUP($CU58-CX$103+1,Frauen!$AZ$9:$BD$102,5)),RundDx)))</f>
        <v/>
      </c>
      <c r="CY58" s="25" t="str">
        <f>IF($CU58&gt;=RAM,"",IF($CU58-CY$103&lt;BeginnAlter,"",ROUND(v^($CU58+FaktorAlter)*$L58*$D58*0.5*(VLOOKUP($CU58-CY$103,Frauen!$G$9:$J$102,4)+VLOOKUP($CU58-CY$103+1,Frauen!$G$9:$J$102,4))*0.5*(VLOOKUP($CU58-CY$103,Frauen!$AZ$9:$BD$102,5)+VLOOKUP($CU58-CY$103+1,Frauen!$AZ$9:$BD$102,5)),RundDx)))</f>
        <v/>
      </c>
      <c r="CZ58" s="25" t="str">
        <f>IF($CU58&gt;=RAM,"",IF($CU58-CZ$103&lt;BeginnAlter,"",ROUND(v^($CU58+FaktorAlter)*$L58*$D58*0.5*(VLOOKUP($CU58-CZ$103,Frauen!$G$9:$J$102,4)+VLOOKUP($CU58-CZ$103+1,Frauen!$G$9:$J$102,4))*0.5*(VLOOKUP($CU58-CZ$103,Frauen!$AZ$9:$BD$102,5)+VLOOKUP($CU58-CZ$103+1,Frauen!$AZ$9:$BD$102,5)),RundDx)))</f>
        <v/>
      </c>
      <c r="DA58" s="25" t="str">
        <f>IF($CU58&gt;=RAM,"",IF($CU58-DA$103&lt;BeginnAlter,"",ROUND(v^($CU58+FaktorAlter)*$L58*$D58*0.5*(VLOOKUP($CU58-DA$103,Frauen!$G$9:$J$102,4)+VLOOKUP($CU58-DA$103+1,Frauen!$G$9:$J$102,4))*0.5*(VLOOKUP($CU58-DA$103,Frauen!$AZ$9:$BD$102,5)+VLOOKUP($CU58-DA$103+1,Frauen!$AZ$9:$BD$102,5)),RundDx)))</f>
        <v/>
      </c>
      <c r="DB58" s="25" t="str">
        <f>IF($CU58&gt;=RAM,"",IF($CU58-DB$103&lt;BeginnAlter,"",ROUND(v^($CU58+FaktorAlter)*$L58*$D58*0.5*(VLOOKUP($CU58-DB$103,Frauen!$G$9:$J$102,4)+VLOOKUP($CU58-DB$103+1,Frauen!$G$9:$J$102,4))*0.5*(VLOOKUP($CU58-DB$103,Frauen!$AZ$9:$BD$102,5)+VLOOKUP($CU58-DB$103+1,Frauen!$AZ$9:$BD$102,5)),RundDx)))</f>
        <v/>
      </c>
      <c r="DC58" s="25" t="str">
        <f>IF($CU58&gt;=RAM,"",IF($CU58-DC$103&lt;BeginnAlter,"",ROUND(v^($CU58+FaktorAlter)*$L58*$D58*0.5*(VLOOKUP($CU58-DC$103,Frauen!$G$9:$J$102,4)+VLOOKUP($CU58-DC$103+1,Frauen!$G$9:$J$102,4))*0.5*(VLOOKUP($CU58-DC$103,Frauen!$AZ$9:$BD$102,5)+VLOOKUP($CU58-DC$103+1,Frauen!$AZ$9:$BD$102,5)),RundDx)))</f>
        <v/>
      </c>
      <c r="DD58" s="25" t="str">
        <f>IF($CU58&gt;=RAM,"",IF($CU58-DD$103&lt;BeginnAlter,"",ROUND(v^($CU58+FaktorAlter)*$L58*$D58*0.5*(VLOOKUP($CU58-DD$103,Frauen!$G$9:$J$102,4)+VLOOKUP($CU58-DD$103+1,Frauen!$G$9:$J$102,4))*0.5*(VLOOKUP($CU58-DD$103,Frauen!$AZ$9:$BD$102,5)+VLOOKUP($CU58-DD$103+1,Frauen!$AZ$9:$BD$102,5)),RundDx)))</f>
        <v/>
      </c>
      <c r="DE58" s="25" t="str">
        <f>IF($CU58&gt;=RAM,"",IF($CU58-DE$103&lt;BeginnAlter,"",ROUND(v^($CU58+FaktorAlter)*$L58*$D58*0.5*(VLOOKUP($CU58-DE$103,Frauen!$G$9:$J$102,4)+VLOOKUP($CU58-DE$103+1,Frauen!$G$9:$J$102,4))*0.5*(VLOOKUP($CU58-DE$103,Frauen!$AZ$9:$BD$102,5)+VLOOKUP($CU58-DE$103+1,Frauen!$AZ$9:$BD$102,5)),RundDx)))</f>
        <v/>
      </c>
      <c r="DF58" s="25" t="str">
        <f>IF($CU58&gt;=RAM,"",IF($CU58-DF$103&lt;BeginnAlter,"",ROUND(v^($CU58+FaktorAlter)*$L58*$D58*0.5*(VLOOKUP($CU58-DF$103,Frauen!$G$9:$J$102,4)+VLOOKUP($CU58-DF$103+1,Frauen!$G$9:$J$102,4))*0.5*(VLOOKUP($CU58-DF$103,Frauen!$AZ$9:$BD$102,5)+VLOOKUP($CU58-DF$103+1,Frauen!$AZ$9:$BD$102,5)),RundDx)))</f>
        <v/>
      </c>
      <c r="DG58" s="25" t="str">
        <f>IF($CU58&gt;=RAM,"",IF($CU58-DG$103&lt;BeginnAlter,"",ROUND(v^($CU58+FaktorAlter)*$L58*$D58*0.5*(VLOOKUP($CU58-DG$103,Frauen!$G$9:$J$102,4)+VLOOKUP($CU58-DG$103+1,Frauen!$G$9:$J$102,4))*0.5*(VLOOKUP($CU58-DG$103,Frauen!$AZ$9:$BD$102,5)+VLOOKUP($CU58-DG$103+1,Frauen!$AZ$9:$BD$102,5)),RundDx)))</f>
        <v/>
      </c>
      <c r="DH58" s="25" t="str">
        <f>IF($CU58&gt;=RAM,"",IF($CU58-DH$103&lt;BeginnAlter,"",ROUND(v^($CU58+FaktorAlter)*$L58*$D58*0.5*(VLOOKUP($CU58-DH$103,Frauen!$G$9:$J$102,4)+VLOOKUP($CU58-DH$103+1,Frauen!$G$9:$J$102,4))*0.5*(VLOOKUP($CU58-DH$103,Frauen!$AZ$9:$BD$102,5)+VLOOKUP($CU58-DH$103+1,Frauen!$AZ$9:$BD$102,5)),RundDx)))</f>
        <v/>
      </c>
      <c r="DI58" s="25" t="str">
        <f>IF($CU58&gt;=RAM,"",IF($CU58-DI$103&lt;BeginnAlter,"",ROUND(v^($CU58+FaktorAlter)*$L58*$D58*0.5*(VLOOKUP($CU58-DI$103,Frauen!$G$9:$J$102,4)+VLOOKUP($CU58-DI$103+1,Frauen!$G$9:$J$102,4))*0.5*(VLOOKUP($CU58-DI$103,Frauen!$AZ$9:$BD$102,5)+VLOOKUP($CU58-DI$103+1,Frauen!$AZ$9:$BD$102,5)),RundDx)))</f>
        <v/>
      </c>
      <c r="DJ58" s="25" t="str">
        <f>IF($CU58&gt;=RAM,"",IF($CU58-DJ$103&lt;BeginnAlter,"",ROUND(v^($CU58+FaktorAlter)*$L58*$D58*0.5*(VLOOKUP($CU58-DJ$103,Frauen!$G$9:$J$102,4)+VLOOKUP($CU58-DJ$103+1,Frauen!$G$9:$J$102,4))*0.5*(VLOOKUP($CU58-DJ$103,Frauen!$AZ$9:$BD$102,5)+VLOOKUP($CU58-DJ$103+1,Frauen!$AZ$9:$BD$102,5)),RundDx)))</f>
        <v/>
      </c>
      <c r="DK58" s="25" t="str">
        <f>IF($CU58&gt;=RAM,"",IF($CU58-DK$103&lt;BeginnAlter,"",ROUND(v^($CU58+FaktorAlter)*$L58*$D58*0.5*(VLOOKUP($CU58-DK$103,Frauen!$G$9:$J$102,4)+VLOOKUP($CU58-DK$103+1,Frauen!$G$9:$J$102,4))*0.5*(VLOOKUP($CU58-DK$103,Frauen!$AZ$9:$BD$102,5)+VLOOKUP($CU58-DK$103+1,Frauen!$AZ$9:$BD$102,5)),RundDx)))</f>
        <v/>
      </c>
      <c r="DL58" s="25" t="str">
        <f>IF($CU58&gt;=RAM,"",IF($CU58-DL$103&lt;BeginnAlter,"",ROUND(v^($CU58+FaktorAlter)*$L58*$D58*0.5*(VLOOKUP($CU58-DL$103,Frauen!$G$9:$J$102,4)+VLOOKUP($CU58-DL$103+1,Frauen!$G$9:$J$102,4))*0.5*(VLOOKUP($CU58-DL$103,Frauen!$AZ$9:$BD$102,5)+VLOOKUP($CU58-DL$103+1,Frauen!$AZ$9:$BD$102,5)),RundDx)))</f>
        <v/>
      </c>
      <c r="DM58" s="25" t="str">
        <f>IF($CU58&gt;=RAM,"",IF($CU58-DM$103&lt;BeginnAlter,"",ROUND(v^($CU58+FaktorAlter)*$L58*$D58*0.5*(VLOOKUP($CU58-DM$103,Frauen!$G$9:$J$102,4)+VLOOKUP($CU58-DM$103+1,Frauen!$G$9:$J$102,4))*0.5*(VLOOKUP($CU58-DM$103,Frauen!$AZ$9:$BD$102,5)+VLOOKUP($CU58-DM$103+1,Frauen!$AZ$9:$BD$102,5)),RundDx)))</f>
        <v/>
      </c>
      <c r="DN58" s="25" t="str">
        <f>IF($CU58&gt;=RAM,"",IF($CU58-DN$103&lt;BeginnAlter,"",ROUND(v^($CU58+FaktorAlter)*$L58*$D58*0.5*(VLOOKUP($CU58-DN$103,Frauen!$G$9:$J$102,4)+VLOOKUP($CU58-DN$103+1,Frauen!$G$9:$J$102,4))*0.5*(VLOOKUP($CU58-DN$103,Frauen!$AZ$9:$BD$102,5)+VLOOKUP($CU58-DN$103+1,Frauen!$AZ$9:$BD$102,5)),RundDx)))</f>
        <v/>
      </c>
      <c r="DO58" s="25" t="str">
        <f>IF($CU58&gt;=RAM,"",IF($CU58-DO$103&lt;BeginnAlter,"",ROUND(v^($CU58+FaktorAlter)*$L58*$D58*0.5*(VLOOKUP($CU58-DO$103,Frauen!$G$9:$J$102,4)+VLOOKUP($CU58-DO$103+1,Frauen!$G$9:$J$102,4))*0.5*(VLOOKUP($CU58-DO$103,Frauen!$AZ$9:$BD$102,5)+VLOOKUP($CU58-DO$103+1,Frauen!$AZ$9:$BD$102,5)),RundDx)))</f>
        <v/>
      </c>
      <c r="DP58" s="25" t="str">
        <f>IF($CU58&gt;=RAM,"",IF($CU58-DP$103&lt;BeginnAlter,"",ROUND(v^($CU58+FaktorAlter)*$L58*$D58*0.5*(VLOOKUP($CU58-DP$103,Frauen!$G$9:$J$102,4)+VLOOKUP($CU58-DP$103+1,Frauen!$G$9:$J$102,4))*0.5*(VLOOKUP($CU58-DP$103,Frauen!$AZ$9:$BD$102,5)+VLOOKUP($CU58-DP$103+1,Frauen!$AZ$9:$BD$102,5)),RundDx)))</f>
        <v/>
      </c>
      <c r="DQ58" s="25" t="str">
        <f>IF($CU58&gt;=RAM,"",IF($CU58-DQ$103&lt;BeginnAlter,"",ROUND(v^($CU58+FaktorAlter)*$L58*$D58*0.5*(VLOOKUP($CU58-DQ$103,Frauen!$G$9:$J$102,4)+VLOOKUP($CU58-DQ$103+1,Frauen!$G$9:$J$102,4))*0.5*(VLOOKUP($CU58-DQ$103,Frauen!$AZ$9:$BD$102,5)+VLOOKUP($CU58-DQ$103+1,Frauen!$AZ$9:$BD$102,5)),RundDx)))</f>
        <v/>
      </c>
      <c r="DR58" s="25" t="str">
        <f>IF($CU58&gt;=RAM,"",IF($CU58-DR$103&lt;BeginnAlter,"",ROUND(v^($CU58+FaktorAlter)*$L58*$D58*0.5*(VLOOKUP($CU58-DR$103,Frauen!$G$9:$J$102,4)+VLOOKUP($CU58-DR$103+1,Frauen!$G$9:$J$102,4))*0.5*(VLOOKUP($CU58-DR$103,Frauen!$AZ$9:$BD$102,5)+VLOOKUP($CU58-DR$103+1,Frauen!$AZ$9:$BD$102,5)),RundDx)))</f>
        <v/>
      </c>
      <c r="DS58" s="25" t="str">
        <f>IF($CU58&gt;=RAM,"",IF($CU58-DS$103&lt;BeginnAlter,"",ROUND(v^($CU58+FaktorAlter)*$L58*$D58*0.5*(VLOOKUP($CU58-DS$103,Frauen!$G$9:$J$102,4)+VLOOKUP($CU58-DS$103+1,Frauen!$G$9:$J$102,4))*0.5*(VLOOKUP($CU58-DS$103,Frauen!$AZ$9:$BD$102,5)+VLOOKUP($CU58-DS$103+1,Frauen!$AZ$9:$BD$102,5)),RundDx)))</f>
        <v/>
      </c>
      <c r="DT58" s="25" t="str">
        <f>IF($CU58&gt;=RAM,"",IF($CU58-DT$103&lt;BeginnAlter,"",ROUND(v^($CU58+FaktorAlter)*$L58*$D58*0.5*(VLOOKUP($CU58-DT$103,Frauen!$G$9:$J$102,4)+VLOOKUP($CU58-DT$103+1,Frauen!$G$9:$J$102,4))*0.5*(VLOOKUP($CU58-DT$103,Frauen!$AZ$9:$BD$102,5)+VLOOKUP($CU58-DT$103+1,Frauen!$AZ$9:$BD$102,5)),RundDx)))</f>
        <v/>
      </c>
      <c r="DU58" s="25" t="str">
        <f>IF($CU58&gt;=RAM,"",IF($CU58-DU$103&lt;BeginnAlter,"",ROUND(v^($CU58+FaktorAlter)*$L58*$D58*0.5*(VLOOKUP($CU58-DU$103,Frauen!$G$9:$J$102,4)+VLOOKUP($CU58-DU$103+1,Frauen!$G$9:$J$102,4))*0.5*(VLOOKUP($CU58-DU$103,Frauen!$AZ$9:$BD$102,5)+VLOOKUP($CU58-DU$103+1,Frauen!$AZ$9:$BD$102,5)),RundDx)))</f>
        <v/>
      </c>
      <c r="DV58" s="25" t="str">
        <f>IF($CU58&gt;=RAM,"",IF($CU58-DV$103&lt;BeginnAlter,"",ROUND(v^($CU58+FaktorAlter)*$L58*$D58*0.5*(VLOOKUP($CU58-DV$103,Frauen!$G$9:$J$102,4)+VLOOKUP($CU58-DV$103+1,Frauen!$G$9:$J$102,4))*0.5*(VLOOKUP($CU58-DV$103,Frauen!$AZ$9:$BD$102,5)+VLOOKUP($CU58-DV$103+1,Frauen!$AZ$9:$BD$102,5)),RundDx)))</f>
        <v/>
      </c>
      <c r="DW58" s="25" t="str">
        <f>IF($CU58&gt;=RAM,"",IF($CU58-DW$103&lt;BeginnAlter,"",ROUND(v^($CU58+FaktorAlter)*$L58*$D58*0.5*(VLOOKUP($CU58-DW$103,Frauen!$G$9:$J$102,4)+VLOOKUP($CU58-DW$103+1,Frauen!$G$9:$J$102,4))*0.5*(VLOOKUP($CU58-DW$103,Frauen!$AZ$9:$BD$102,5)+VLOOKUP($CU58-DW$103+1,Frauen!$AZ$9:$BD$102,5)),RundDx)))</f>
        <v/>
      </c>
      <c r="DX58" s="25" t="str">
        <f>IF($CU58&gt;=RAM,"",IF($CU58-DX$103&lt;BeginnAlter,"",ROUND(v^($CU58+FaktorAlter)*$L58*$D58*0.5*(VLOOKUP($CU58-DX$103,Frauen!$G$9:$J$102,4)+VLOOKUP($CU58-DX$103+1,Frauen!$G$9:$J$102,4))*0.5*(VLOOKUP($CU58-DX$103,Frauen!$AZ$9:$BD$102,5)+VLOOKUP($CU58-DX$103+1,Frauen!$AZ$9:$BD$102,5)),RundDx)))</f>
        <v/>
      </c>
      <c r="DY58" s="25" t="str">
        <f>IF($CU58&gt;=RAM,"",IF($CU58-DY$103&lt;BeginnAlter,"",ROUND(v^($CU58+FaktorAlter)*$L58*$D58*0.5*(VLOOKUP($CU58-DY$103,Frauen!$G$9:$J$102,4)+VLOOKUP($CU58-DY$103+1,Frauen!$G$9:$J$102,4))*0.5*(VLOOKUP($CU58-DY$103,Frauen!$AZ$9:$BD$102,5)+VLOOKUP($CU58-DY$103+1,Frauen!$AZ$9:$BD$102,5)),RundDx)))</f>
        <v/>
      </c>
      <c r="DZ58" s="25" t="str">
        <f>IF($CU58&gt;=RAM,"",IF($CU58-DZ$103&lt;BeginnAlter,"",ROUND(v^($CU58+FaktorAlter)*$L58*$D58*0.5*(VLOOKUP($CU58-DZ$103,Frauen!$G$9:$J$102,4)+VLOOKUP($CU58-DZ$103+1,Frauen!$G$9:$J$102,4))*0.5*(VLOOKUP($CU58-DZ$103,Frauen!$AZ$9:$BD$102,5)+VLOOKUP($CU58-DZ$103+1,Frauen!$AZ$9:$BD$102,5)),RundDx)))</f>
        <v/>
      </c>
      <c r="EA58" s="43" t="str">
        <f>IF($CU58&gt;=RAM,"",IF($CU58-EA$103&lt;BeginnAlter,"",ROUND((SUM(CV$56:CV58)+SUM(FN$9:FN$56))/VLOOKUP($CU58,$AH$9:$AI$102,2)/VLOOKUP($CU58-EA$103,Frauen!$G$9:$J$102,4),Rundäx)))</f>
        <v/>
      </c>
      <c r="EB58" s="43" t="str">
        <f>IF($CU58&gt;=RAM,"",IF($CU58-EB$103&lt;BeginnAlter,"",ROUND((SUM(CW$56:CW58)+SUM(FO$9:FO$56))/VLOOKUP($CU58,$AH$9:$AI$102,2)/VLOOKUP($CU58-EB$103,Frauen!$G$9:$J$102,4),Rundäx)))</f>
        <v/>
      </c>
      <c r="EC58" s="43" t="str">
        <f>IF($CU58&gt;=RAM,"",IF($CU58-EC$103&lt;BeginnAlter,"",ROUND((SUM(CX$56:CX58)+SUM(FP$9:FP$56))/VLOOKUP($CU58,$AH$9:$AI$102,2)/VLOOKUP($CU58-EC$103,Frauen!$G$9:$J$102,4),Rundäx)))</f>
        <v/>
      </c>
      <c r="ED58" s="43" t="str">
        <f>IF($CU58&gt;=RAM,"",IF($CU58-ED$103&lt;BeginnAlter,"",ROUND((SUM(CY$56:CY58)+SUM(FQ$9:FQ$56))/VLOOKUP($CU58,$AH$9:$AI$102,2)/VLOOKUP($CU58-ED$103,Frauen!$G$9:$J$102,4),Rundäx)))</f>
        <v/>
      </c>
      <c r="EE58" s="43" t="str">
        <f>IF($CU58&gt;=RAM,"",IF($CU58-EE$103&lt;BeginnAlter,"",ROUND((SUM(CZ$56:CZ58)+SUM(FR$9:FR$56))/VLOOKUP($CU58,$AH$9:$AI$102,2)/VLOOKUP($CU58-EE$103,Frauen!$G$9:$J$102,4),Rundäx)))</f>
        <v/>
      </c>
      <c r="EF58" s="43" t="str">
        <f>IF($CU58&gt;=RAM,"",IF($CU58-EF$103&lt;BeginnAlter,"",ROUND((SUM(DA$56:DA58)+SUM(FS$9:FS$56))/VLOOKUP($CU58,$AH$9:$AI$102,2)/VLOOKUP($CU58-EF$103,Frauen!$G$9:$J$102,4),Rundäx)))</f>
        <v/>
      </c>
      <c r="EG58" s="43" t="str">
        <f>IF($CU58&gt;=RAM,"",IF($CU58-EG$103&lt;BeginnAlter,"",ROUND((SUM(DB$56:DB58)+SUM(FT$9:FT$56))/VLOOKUP($CU58,$AH$9:$AI$102,2)/VLOOKUP($CU58-EG$103,Frauen!$G$9:$J$102,4),Rundäx)))</f>
        <v/>
      </c>
      <c r="EH58" s="43" t="str">
        <f>IF($CU58&gt;=RAM,"",IF($CU58-EH$103&lt;BeginnAlter,"",ROUND((SUM(DC$56:DC58)+SUM(FU$9:FU$56))/VLOOKUP($CU58,$AH$9:$AI$102,2)/VLOOKUP($CU58-EH$103,Frauen!$G$9:$J$102,4),Rundäx)))</f>
        <v/>
      </c>
      <c r="EI58" s="86"/>
      <c r="EJ58" s="35">
        <f t="shared" si="60"/>
        <v>66</v>
      </c>
      <c r="EK58" s="43" t="str">
        <f>IF($CU58&gt;=RAM,"",IF($CU58-EK$103&lt;BeginnAlter,"",ROUND((SUM(DD$56:DD58)+SUM(FV$9:FV$56))/VLOOKUP($CU58,$AH$9:$AI$102,2)/VLOOKUP($CU58-EK$103,Frauen!$G$9:$J$102,4),Rundäx)))</f>
        <v/>
      </c>
      <c r="EL58" s="43" t="str">
        <f>IF($CU58&gt;=RAM,"",IF($CU58-EL$103&lt;BeginnAlter,"",ROUND((SUM(DE$56:DE58)+SUM(FW$9:FW$56))/VLOOKUP($CU58,$AH$9:$AI$102,2)/VLOOKUP($CU58-EL$103,Frauen!$G$9:$J$102,4),Rundäx)))</f>
        <v/>
      </c>
      <c r="EM58" s="43" t="str">
        <f>IF($CU58&gt;=RAM,"",IF($CU58-EM$103&lt;BeginnAlter,"",ROUND((SUM(DF$56:DF58)+SUM(FX$9:FX$56))/VLOOKUP($CU58,$AH$9:$AI$102,2)/VLOOKUP($CU58-EM$103,Frauen!$G$9:$J$102,4),Rundäx)))</f>
        <v/>
      </c>
      <c r="EN58" s="43" t="str">
        <f>IF($CU58&gt;=RAM,"",IF($CU58-EN$103&lt;BeginnAlter,"",ROUND((SUM(DG$56:DG58)+SUM(FY$9:FY$56))/VLOOKUP($CU58,$AH$9:$AI$102,2)/VLOOKUP($CU58-EN$103,Frauen!$G$9:$J$102,4),Rundäx)))</f>
        <v/>
      </c>
      <c r="EO58" s="43" t="str">
        <f>IF($CU58&gt;=RAM,"",IF($CU58-EO$103&lt;BeginnAlter,"",ROUND((SUM(DH$56:DH58)+SUM(FZ$9:FZ$56))/VLOOKUP($CU58,$AH$9:$AI$102,2)/VLOOKUP($CU58-EO$103,Frauen!$G$9:$J$102,4),Rundäx)))</f>
        <v/>
      </c>
      <c r="EP58" s="43" t="str">
        <f>IF($CU58&gt;=RAM,"",IF($CU58-EP$103&lt;BeginnAlter,"",ROUND((SUM(DI$56:DI58)+SUM(GA$9:GA$56))/VLOOKUP($CU58,$AH$9:$AI$102,2)/VLOOKUP($CU58-EP$103,Frauen!$G$9:$J$102,4),Rundäx)))</f>
        <v/>
      </c>
      <c r="EQ58" s="43" t="str">
        <f>IF($CU58&gt;=RAM,"",IF($CU58-EQ$103&lt;BeginnAlter,"",ROUND((SUM(DJ$56:DJ58)+SUM(GB$9:GB$56))/VLOOKUP($CU58,$AH$9:$AI$102,2)/VLOOKUP($CU58-EQ$103,Frauen!$G$9:$J$102,4),Rundäx)))</f>
        <v/>
      </c>
      <c r="ER58" s="43" t="str">
        <f>IF($CU58&gt;=RAM,"",IF($CU58-ER$103&lt;BeginnAlter,"",ROUND((SUM(DK$56:DK58)+SUM(GC$9:GC$56))/VLOOKUP($CU58,$AH$9:$AI$102,2)/VLOOKUP($CU58-ER$103,Frauen!$G$9:$J$102,4),Rundäx)))</f>
        <v/>
      </c>
      <c r="ES58" s="86"/>
      <c r="ET58" s="35">
        <f t="shared" si="61"/>
        <v>66</v>
      </c>
      <c r="EU58" s="43" t="str">
        <f>IF($CU58&gt;=RAM,"",IF($CU58-EU$103&lt;BeginnAlter,"",ROUND((SUM(DL$56:DL58)+SUM(GD$9:GD$56))/VLOOKUP($CU58,$AH$9:$AI$102,2)/VLOOKUP($CU58-EU$103,Frauen!$G$9:$J$102,4),Rundäx)))</f>
        <v/>
      </c>
      <c r="EV58" s="43" t="str">
        <f>IF($CU58&gt;=RAM,"",IF($CU58-EV$103&lt;BeginnAlter,"",ROUND((SUM(DM$56:DM58)+SUM(GE$9:GE$56))/VLOOKUP($CU58,$AH$9:$AI$102,2)/VLOOKUP($CU58-EV$103,Frauen!$G$9:$J$102,4),Rundäx)))</f>
        <v/>
      </c>
      <c r="EW58" s="43" t="str">
        <f>IF($CU58&gt;=RAM,"",IF($CU58-EW$103&lt;BeginnAlter,"",ROUND((SUM(DN$56:DN58)+SUM(GF$9:GF$56))/VLOOKUP($CU58,$AH$9:$AI$102,2)/VLOOKUP($CU58-EW$103,Frauen!$G$9:$J$102,4),Rundäx)))</f>
        <v/>
      </c>
      <c r="EX58" s="43" t="str">
        <f>IF($CU58&gt;=RAM,"",IF($CU58-EX$103&lt;BeginnAlter,"",ROUND((SUM(DO$56:DO58)+SUM(GG$9:GG$56))/VLOOKUP($CU58,$AH$9:$AI$102,2)/VLOOKUP($CU58-EX$103,Frauen!$G$9:$J$102,4),Rundäx)))</f>
        <v/>
      </c>
      <c r="EY58" s="43" t="str">
        <f>IF($CU58&gt;=RAM,"",IF($CU58-EY$103&lt;BeginnAlter,"",ROUND((SUM(DP$56:DP58)+SUM(GH$9:GH$56))/VLOOKUP($CU58,$AH$9:$AI$102,2)/VLOOKUP($CU58-EY$103,Frauen!$G$9:$J$102,4),Rundäx)))</f>
        <v/>
      </c>
      <c r="EZ58" s="43" t="str">
        <f>IF($CU58&gt;=RAM,"",IF($CU58-EZ$103&lt;BeginnAlter,"",ROUND((SUM(DQ$56:DQ58)+SUM(GI$9:GI$56))/VLOOKUP($CU58,$AH$9:$AI$102,2)/VLOOKUP($CU58-EZ$103,Frauen!$G$9:$J$102,4),Rundäx)))</f>
        <v/>
      </c>
      <c r="FA58" s="43" t="str">
        <f>IF($CU58&gt;=RAM,"",IF($CU58-FA$103&lt;BeginnAlter,"",ROUND((SUM(DR$56:DR58)+SUM(GJ$9:GJ$56))/VLOOKUP($CU58,$AH$9:$AI$102,2)/VLOOKUP($CU58-FA$103,Frauen!$G$9:$J$102,4),Rundäx)))</f>
        <v/>
      </c>
      <c r="FB58" s="43" t="str">
        <f>IF($CU58&gt;=RAM,"",IF($CU58-FB$103&lt;BeginnAlter,"",ROUND((SUM(DS$56:DS58)+SUM(GK$9:GK$56))/VLOOKUP($CU58,$AH$9:$AI$102,2)/VLOOKUP($CU58-FB$103,Frauen!$G$9:$J$102,4),Rundäx)))</f>
        <v/>
      </c>
      <c r="FC58" s="86"/>
      <c r="FD58" s="35">
        <f t="shared" si="62"/>
        <v>66</v>
      </c>
      <c r="FE58" s="43" t="str">
        <f>IF($CU58&gt;=RAM,"",IF($CU58-FE$103&lt;BeginnAlter,"",ROUND((SUM(DT$56:DT58)+SUM(GL$9:GL$56))/VLOOKUP($CU58,$AH$9:$AI$102,2)/VLOOKUP($CU58-FE$103,Frauen!$G$9:$J$102,4),Rundäx)))</f>
        <v/>
      </c>
      <c r="FF58" s="43" t="str">
        <f>IF($CU58&gt;=RAM,"",IF($CU58-FF$103&lt;BeginnAlter,"",ROUND((SUM(DU$56:DU58)+SUM(GM$9:GM$56))/VLOOKUP($CU58,$AH$9:$AI$102,2)/VLOOKUP($CU58-FF$103,Frauen!$G$9:$J$102,4),Rundäx)))</f>
        <v/>
      </c>
      <c r="FG58" s="43" t="str">
        <f>IF($CU58&gt;=RAM,"",IF($CU58-FG$103&lt;BeginnAlter,"",ROUND((SUM(DV$56:DV58)+SUM(GN$9:GN$56))/VLOOKUP($CU58,$AH$9:$AI$102,2)/VLOOKUP($CU58-FG$103,Frauen!$G$9:$J$102,4),Rundäx)))</f>
        <v/>
      </c>
      <c r="FH58" s="43" t="str">
        <f>IF($CU58&gt;=RAM,"",IF($CU58-FH$103&lt;BeginnAlter,"",ROUND((SUM(DW$56:DW58)+SUM(GO$9:GO$56))/VLOOKUP($CU58,$AH$9:$AI$102,2)/VLOOKUP($CU58-FH$103,Frauen!$G$9:$J$102,4),Rundäx)))</f>
        <v/>
      </c>
      <c r="FI58" s="43" t="str">
        <f>IF($CU58&gt;=RAM,"",IF($CU58-FI$103&lt;BeginnAlter,"",ROUND((SUM(DX$56:DX58)+SUM(GP$9:GP$56))/VLOOKUP($CU58,$AH$9:$AI$102,2)/VLOOKUP($CU58-FI$103,Frauen!$G$9:$J$102,4),Rundäx)))</f>
        <v/>
      </c>
      <c r="FJ58" s="43" t="str">
        <f>IF($CU58&gt;=RAM,"",IF($CU58-FJ$103&lt;BeginnAlter,"",ROUND((SUM(DY$56:DY58)+SUM(GQ$9:GQ$56))/VLOOKUP($CU58,$AH$9:$AI$102,2)/VLOOKUP($CU58-FJ$103,Frauen!$G$9:$J$102,4),Rundäx)))</f>
        <v/>
      </c>
      <c r="FK58" s="43" t="str">
        <f>IF($CU58&gt;=RAM,"",IF($CU58-FK$103&lt;BeginnAlter,"",ROUND((SUM(DZ$56:DZ58)+SUM(GR$9:GR$56))/VLOOKUP($CU58,$AH$9:$AI$102,2)/VLOOKUP($CU58-FK$103,Frauen!$G$9:$J$102,4),Rundäx)))</f>
        <v/>
      </c>
      <c r="FL58" s="86"/>
      <c r="FM58" s="35">
        <f t="shared" si="68"/>
        <v>114</v>
      </c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4"/>
      <c r="GT58" s="24"/>
      <c r="GU58" s="24" t="str">
        <f>IF(FM58&gt;=RAM," ",#REF!/$AI58/Frauen!$J46)</f>
        <v xml:space="preserve"> </v>
      </c>
      <c r="GV58" s="24" t="str">
        <f>IF(FM58&gt;=RAM," ",#REF!/$AI58/Frauen!$J49)</f>
        <v xml:space="preserve"> </v>
      </c>
      <c r="GW58" s="24" t="str">
        <f>IF(FM58&gt;=RAM," ",#REF!/$AI58/Frauen!$J52)</f>
        <v xml:space="preserve"> </v>
      </c>
      <c r="GX58" s="24" t="str">
        <f>IF(FM58&gt;=RAM," ",#REF!/$AI58/Frauen!$J55)</f>
        <v xml:space="preserve"> </v>
      </c>
      <c r="GY58" s="24" t="str">
        <f>IF(FM58&gt;=RAM," ",#REF!/$AI58/Frauen!$J58)</f>
        <v xml:space="preserve"> </v>
      </c>
      <c r="GZ58" s="24" t="str">
        <f>IF(FM58&gt;=RAM," ",#REF!/$AI58/Frauen!$J61)</f>
        <v xml:space="preserve"> </v>
      </c>
      <c r="HA58" s="86"/>
      <c r="HB58" s="35">
        <f t="shared" si="63"/>
        <v>114</v>
      </c>
      <c r="HC58" s="24"/>
      <c r="HD58" s="24"/>
      <c r="HE58" s="24"/>
      <c r="HF58" s="24"/>
      <c r="HG58" s="24"/>
      <c r="HH58" s="24"/>
      <c r="HI58" s="24"/>
      <c r="HJ58" s="24"/>
      <c r="HK58" s="86"/>
      <c r="HL58" s="35">
        <f t="shared" si="64"/>
        <v>114</v>
      </c>
      <c r="HM58" s="24"/>
      <c r="HN58" s="24"/>
      <c r="HO58" s="24"/>
      <c r="HP58" s="24"/>
      <c r="HQ58" s="24"/>
      <c r="HR58" s="24"/>
      <c r="HS58" s="24"/>
      <c r="HT58" s="24"/>
      <c r="HU58" s="86"/>
      <c r="HV58" s="35">
        <f t="shared" si="65"/>
        <v>114</v>
      </c>
      <c r="HW58" s="24"/>
      <c r="HX58" s="24"/>
      <c r="HY58" s="24"/>
      <c r="HZ58" s="24"/>
      <c r="IA58" s="24"/>
      <c r="IB58" s="24"/>
      <c r="IC58" s="24"/>
      <c r="ID58" s="89"/>
      <c r="IE58" s="35">
        <f t="shared" si="81"/>
        <v>66</v>
      </c>
      <c r="IF58" s="25" t="str">
        <f t="shared" si="31"/>
        <v/>
      </c>
      <c r="IG58" s="25" t="str">
        <f>IF($IE58&lt;RAM,IF(S59&lt;=RAK,ROUND(SUM(IF58:INDEX(Dakx,RAM-BeginnAlter))+INDEX(Dax,RAM-BeginnAlter+1)*INDEX(äkx,1),RundDx),0),"")</f>
        <v/>
      </c>
      <c r="IH58" s="25" t="str">
        <f>IF($IE58&lt;RAM,IF(S59&lt;=RAK,ROUND(SUM(IG58:INDEX(Nakx,RAM-BeginnAlter))+INDEX(Dax,RAM-BeginnAlter+1)*INDEX(äkx,1),RundDx),0),"")</f>
        <v/>
      </c>
      <c r="II58" s="24" t="str">
        <f t="shared" si="32"/>
        <v/>
      </c>
      <c r="IJ58" s="25" t="str">
        <f t="shared" si="33"/>
        <v/>
      </c>
      <c r="IK58" s="25" t="str">
        <f>IF($IE58&lt;RAM,IF(S59&lt;=RAK,SUM(IJ58:INDEX(Dikx,RAM-BeginnAlter))+INDEX(Dix,RAM-BeginnAlter+1)*INDEX(äkx,1),0),"")</f>
        <v/>
      </c>
      <c r="IL58" s="24" t="str">
        <f t="shared" si="34"/>
        <v/>
      </c>
      <c r="IM58" s="86"/>
      <c r="IN58" s="35">
        <f t="shared" si="67"/>
        <v>114</v>
      </c>
      <c r="IO58" s="25"/>
      <c r="IP58" s="25"/>
      <c r="IQ58" s="24"/>
      <c r="IR58" s="86"/>
    </row>
    <row r="59" spans="1:252" ht="15.75" customHeight="1" x14ac:dyDescent="0.25">
      <c r="A59" s="35">
        <f t="shared" si="69"/>
        <v>67</v>
      </c>
      <c r="B59" s="77"/>
      <c r="C59" s="77"/>
      <c r="D59" s="77"/>
      <c r="E59" s="77">
        <v>1.7999999999999999E-2</v>
      </c>
      <c r="F59" s="86"/>
      <c r="G59" s="35">
        <f t="shared" si="70"/>
        <v>67</v>
      </c>
      <c r="H59" s="25" t="str">
        <f t="shared" si="37"/>
        <v/>
      </c>
      <c r="I59" s="25" t="str">
        <f t="shared" si="38"/>
        <v/>
      </c>
      <c r="J59" s="25">
        <f t="shared" si="39"/>
        <v>84308</v>
      </c>
      <c r="K59" s="30">
        <f>IF(J59&gt;0,ROUND(SUM(J59:J$102)/J59-0.5,Rundex),"")</f>
        <v>16.09</v>
      </c>
      <c r="L59" s="25">
        <f t="shared" si="0"/>
        <v>84308</v>
      </c>
      <c r="M59" s="30">
        <f>IF(L59&gt;0,ROUND(SUM(L59:L$102)/L59-0.5,Rundex),"")</f>
        <v>16.09</v>
      </c>
      <c r="N59" s="86"/>
      <c r="O59" s="35">
        <f t="shared" si="71"/>
        <v>67</v>
      </c>
      <c r="P59" s="43">
        <v>0.77799860802290111</v>
      </c>
      <c r="Q59" s="78">
        <v>63.071802136425106</v>
      </c>
      <c r="R59" s="43">
        <v>1.2999999999999999E-2</v>
      </c>
      <c r="S59" s="78">
        <v>20.422567331795868</v>
      </c>
      <c r="T59" s="15">
        <v>2.9592257372084228E-2</v>
      </c>
      <c r="U59" s="11">
        <f t="shared" si="40"/>
        <v>78997</v>
      </c>
      <c r="V59" s="30">
        <f>IF(U59&gt;0,ROUND(SUM(U59:U$102)/U59-0.5,Rundex),"")</f>
        <v>14.44</v>
      </c>
      <c r="W59" s="86"/>
      <c r="X59" s="35">
        <f t="shared" si="72"/>
        <v>67</v>
      </c>
      <c r="Y59" s="25" t="str">
        <f t="shared" si="1"/>
        <v xml:space="preserve"> </v>
      </c>
      <c r="Z59" s="25" t="str">
        <f>IF($X59&lt;RAM,SUM(Y59:INDEX(Dax,RAM-BeginnAlter))," ")</f>
        <v xml:space="preserve"> </v>
      </c>
      <c r="AA59" s="25" t="str">
        <f t="shared" si="2"/>
        <v xml:space="preserve"> </v>
      </c>
      <c r="AB59" s="25" t="str">
        <f>IF($X59&lt;RAM,SUM(AA59:INDEX(Cax,RAM-BeginnAlter))," ")</f>
        <v xml:space="preserve"> </v>
      </c>
      <c r="AC59" s="25" t="str">
        <f t="shared" si="3"/>
        <v xml:space="preserve"> </v>
      </c>
      <c r="AD59" s="25" t="str">
        <f>IF($X59&lt;RAM,SUM(AC59:INDEX(Caix,RAM-BeginnAlter))," ")</f>
        <v xml:space="preserve"> </v>
      </c>
      <c r="AE59" s="24" t="str">
        <f t="shared" si="4"/>
        <v xml:space="preserve"> </v>
      </c>
      <c r="AF59" s="24" t="str">
        <f t="shared" si="5"/>
        <v xml:space="preserve"> </v>
      </c>
      <c r="AG59" s="86"/>
      <c r="AH59" s="35">
        <f t="shared" si="73"/>
        <v>67</v>
      </c>
      <c r="AI59" s="25" t="str">
        <f t="shared" si="6"/>
        <v xml:space="preserve"> </v>
      </c>
      <c r="AJ59" s="25" t="str">
        <f>IF($AH59&gt;RAM," ",IF($AH59&lt;RAM,SUM(AI59:INDEX(Dix,RAM-BeginnAlter))+INDEX(Nx,RAM-BeginnAlter+1),INDEX(Nx,RAM-BeginnAlter+1)))</f>
        <v xml:space="preserve"> </v>
      </c>
      <c r="AK59" s="25" t="str">
        <f>IF($AH59&lt;RAM,SUM(AI59:INDEX(Dix,RAM-BeginnAlter))," ")</f>
        <v xml:space="preserve"> </v>
      </c>
      <c r="AL59" s="24" t="str">
        <f t="shared" si="7"/>
        <v xml:space="preserve"> </v>
      </c>
      <c r="AM59" s="24" t="str">
        <f t="shared" si="8"/>
        <v xml:space="preserve"> </v>
      </c>
      <c r="AN59" s="24" t="str">
        <f t="shared" si="9"/>
        <v xml:space="preserve"> </v>
      </c>
      <c r="AO59" s="24" t="str">
        <f t="shared" si="10"/>
        <v xml:space="preserve"> </v>
      </c>
      <c r="AP59" s="86"/>
      <c r="AQ59" s="35">
        <f t="shared" si="74"/>
        <v>67</v>
      </c>
      <c r="AR59" s="25">
        <f t="shared" si="11"/>
        <v>18986</v>
      </c>
      <c r="AS59" s="25">
        <f>SUM(AR59:AR$94)</f>
        <v>257036</v>
      </c>
      <c r="AT59" s="25" t="str">
        <f>IF($AQ59&lt;RAM,SUM(AR59:INDEX(Dx,RAM-BeginnAlter))," ")</f>
        <v xml:space="preserve"> </v>
      </c>
      <c r="AU59" s="24">
        <f t="shared" si="12"/>
        <v>13.538</v>
      </c>
      <c r="AV59" s="24">
        <f t="shared" si="13"/>
        <v>13.08</v>
      </c>
      <c r="AW59" s="24" t="str">
        <f t="shared" si="14"/>
        <v xml:space="preserve"> </v>
      </c>
      <c r="AX59" s="24" t="str">
        <f t="shared" si="15"/>
        <v xml:space="preserve"> </v>
      </c>
      <c r="AY59" s="86"/>
      <c r="AZ59" s="35">
        <f t="shared" si="75"/>
        <v>67</v>
      </c>
      <c r="BA59" s="25">
        <f t="shared" si="16"/>
        <v>17790</v>
      </c>
      <c r="BB59" s="25">
        <f>SUM(BA59:BA$94)</f>
        <v>219058</v>
      </c>
      <c r="BC59" s="24">
        <f t="shared" si="17"/>
        <v>12.314</v>
      </c>
      <c r="BD59" s="24">
        <f t="shared" si="18"/>
        <v>11.855</v>
      </c>
      <c r="BE59" s="86"/>
      <c r="BF59" s="35">
        <f t="shared" si="48"/>
        <v>50</v>
      </c>
      <c r="BG59" s="24" t="str">
        <f t="shared" si="19"/>
        <v/>
      </c>
      <c r="BH59" s="24" t="str">
        <f t="shared" si="20"/>
        <v/>
      </c>
      <c r="BI59" s="86"/>
      <c r="BJ59" s="35">
        <f t="shared" si="76"/>
        <v>67</v>
      </c>
      <c r="BK59" s="25" t="str">
        <f t="shared" si="21"/>
        <v xml:space="preserve"> </v>
      </c>
      <c r="BL59" s="25" t="str">
        <f>IF(BJ59&lt;RAM,SUM(BK59:INDEX(Daix,RAM-BeginnAlter))," ")</f>
        <v xml:space="preserve"> </v>
      </c>
      <c r="BM59" s="25" t="str">
        <f>IF(BJ59&lt;RAM,SUM(BL59:INDEX(Naix,RAM-BeginnAlter))," ")</f>
        <v xml:space="preserve"> </v>
      </c>
      <c r="BN59" s="24" t="str">
        <f t="shared" si="22"/>
        <v xml:space="preserve"> </v>
      </c>
      <c r="BO59" s="24" t="str">
        <f t="shared" si="23"/>
        <v xml:space="preserve"> </v>
      </c>
      <c r="BP59" s="86"/>
      <c r="BQ59" s="35">
        <f t="shared" si="77"/>
        <v>67</v>
      </c>
      <c r="BR59" s="25" t="str">
        <f t="shared" si="51"/>
        <v xml:space="preserve"> </v>
      </c>
      <c r="BS59" s="25" t="str">
        <f>IF(BQ59&lt;RAM,SUM(BR59:INDEX(Daixs,RAM-BeginnAlter))," ")</f>
        <v xml:space="preserve"> </v>
      </c>
      <c r="BT59" s="25" t="str">
        <f>IF(BQ59&lt;RAM,SUM(BS59:INDEX(Naixs,RAM-BeginnAlter))," ")</f>
        <v xml:space="preserve"> </v>
      </c>
      <c r="BU59" s="24" t="str">
        <f t="shared" si="52"/>
        <v xml:space="preserve"> </v>
      </c>
      <c r="BV59" s="24" t="str">
        <f t="shared" si="53"/>
        <v xml:space="preserve"> </v>
      </c>
      <c r="BW59" s="86"/>
      <c r="BX59" s="35">
        <f t="shared" si="78"/>
        <v>67</v>
      </c>
      <c r="BY59" s="10" t="str">
        <f t="shared" si="24"/>
        <v/>
      </c>
      <c r="BZ59" s="11" t="str">
        <f t="shared" si="25"/>
        <v/>
      </c>
      <c r="CA59" s="25" t="str">
        <f>IF(S60&lt;=RAK,IF($BX59&lt;RAM,SUM(BZ59:INDEX(Dazx,RAM-BeginnAlter)),""),"")</f>
        <v/>
      </c>
      <c r="CB59" s="24" t="str">
        <f t="shared" si="26"/>
        <v/>
      </c>
      <c r="CC59" s="25">
        <f t="shared" si="27"/>
        <v>15547</v>
      </c>
      <c r="CD59" s="24">
        <f t="shared" si="28"/>
        <v>10.88</v>
      </c>
      <c r="CE59" s="24" t="str">
        <f t="shared" si="29"/>
        <v/>
      </c>
      <c r="CF59" s="86"/>
      <c r="CG59" s="35">
        <f t="shared" si="79"/>
        <v>67</v>
      </c>
      <c r="CH59" s="25" t="str">
        <f>IF(CG59&lt;RAM,ROUND(v^($CG59+FaktorAlter)*$H59*($B59*0.5*($P59+$P60)*(VLOOKUP(TRUNC(0.5*($Q59+$Q60),0),Frauen!$AZ$9:$BD$95,5)+(0.5*($Q59+$Q60)-TRUNC(0.5*($Q59+$Q60),0))*(VLOOKUP(TRUNC(0.5*($Q59+$Q60)+1,0),Frauen!$AZ$9:$BD$95,5)-VLOOKUP(TRUNC(0.5*($Q59+$Q60),0),Frauen!$AZ$9:$BD$95,5)))+$C59*0.5*($CN59+$CN60)),RundDx),"")</f>
        <v/>
      </c>
      <c r="CI59" s="25" t="str">
        <f>IF(CG59&lt;RAM,ROUND(SUM(CH59:INDEX(Dawx,RAM-BeginnAlter))+INDEX(Dax,RAM-BeginnAlter+1)*INDEX(äwx,1),RundDx),"")</f>
        <v/>
      </c>
      <c r="CJ59" s="25" t="str">
        <f>IF(CG59&lt;RAM,ROUND(SUM(CI59:INDEX(Nawx,RAM-BeginnAlter))+INDEX(Dax,RAM-BeginnAlter+1)*INDEX(äwx,1),RundDx),"")</f>
        <v/>
      </c>
      <c r="CK59" s="24" t="str">
        <f t="shared" si="56"/>
        <v/>
      </c>
      <c r="CL59" s="25" t="str">
        <f>IF(CG59&lt;RAM,ROUND(v^($CG59+FaktorAlter)*$L59*$D59*0.5*($P59+$P60)*(VLOOKUP(TRUNC(0.5*($Q59+$Q60),0),Frauen!$AZ$9:$BD$95,5)+(0.5*($Q59+$Q60)-TRUNC(0.5*($Q59+$Q60),0))*(VLOOKUP(TRUNC(0.5*($Q59+$Q60)+1,0),Frauen!$AZ$9:$BD$95,5)-VLOOKUP(TRUNC(0.5*($Q59+$Q60),0),Frauen!$AZ$9:$BD$95,5))),RundDx),"")</f>
        <v/>
      </c>
      <c r="CM59" s="25" t="str">
        <f>IF(CG59&lt;RAM,SUM(CL59:INDEX(Diwx,RAM-BeginnAlter))+INDEX(Dix,RAM-BeginnAlter+1)*INDEX(äwx,1),"")</f>
        <v/>
      </c>
      <c r="CN59" s="24" t="str">
        <f t="shared" si="57"/>
        <v/>
      </c>
      <c r="CO59" s="86"/>
      <c r="CP59" s="35">
        <f t="shared" si="58"/>
        <v>115</v>
      </c>
      <c r="CQ59" s="25"/>
      <c r="CR59" s="25"/>
      <c r="CS59" s="24"/>
      <c r="CT59" s="86"/>
      <c r="CU59" s="35">
        <f t="shared" si="80"/>
        <v>67</v>
      </c>
      <c r="CV59" s="25" t="str">
        <f>IF($CU59&gt;=RAM,"",IF($CU59-CV$103&lt;BeginnAlter,"",ROUND(v^($CU59+FaktorAlter)*$L59*$D59*0.5*(VLOOKUP($CU59-CV$103,Frauen!$G$9:$J$102,4)+VLOOKUP($CU59-CV$103+1,Frauen!$G$9:$J$102,4))*0.5*(VLOOKUP($CU59-CV$103,Frauen!$AZ$9:$BD$102,5)+VLOOKUP($CU59-CV$103+1,Frauen!$AZ$9:$BD$102,5)),RundDx)))</f>
        <v/>
      </c>
      <c r="CW59" s="25" t="str">
        <f>IF($CU59&gt;=RAM,"",IF($CU59-CW$103&lt;BeginnAlter,"",ROUND(v^($CU59+FaktorAlter)*$L59*$D59*0.5*(VLOOKUP($CU59-CW$103,Frauen!$G$9:$J$102,4)+VLOOKUP($CU59-CW$103+1,Frauen!$G$9:$J$102,4))*0.5*(VLOOKUP($CU59-CW$103,Frauen!$AZ$9:$BD$102,5)+VLOOKUP($CU59-CW$103+1,Frauen!$AZ$9:$BD$102,5)),RundDx)))</f>
        <v/>
      </c>
      <c r="CX59" s="25" t="str">
        <f>IF($CU59&gt;=RAM,"",IF($CU59-CX$103&lt;BeginnAlter,"",ROUND(v^($CU59+FaktorAlter)*$L59*$D59*0.5*(VLOOKUP($CU59-CX$103,Frauen!$G$9:$J$102,4)+VLOOKUP($CU59-CX$103+1,Frauen!$G$9:$J$102,4))*0.5*(VLOOKUP($CU59-CX$103,Frauen!$AZ$9:$BD$102,5)+VLOOKUP($CU59-CX$103+1,Frauen!$AZ$9:$BD$102,5)),RundDx)))</f>
        <v/>
      </c>
      <c r="CY59" s="25" t="str">
        <f>IF($CU59&gt;=RAM,"",IF($CU59-CY$103&lt;BeginnAlter,"",ROUND(v^($CU59+FaktorAlter)*$L59*$D59*0.5*(VLOOKUP($CU59-CY$103,Frauen!$G$9:$J$102,4)+VLOOKUP($CU59-CY$103+1,Frauen!$G$9:$J$102,4))*0.5*(VLOOKUP($CU59-CY$103,Frauen!$AZ$9:$BD$102,5)+VLOOKUP($CU59-CY$103+1,Frauen!$AZ$9:$BD$102,5)),RundDx)))</f>
        <v/>
      </c>
      <c r="CZ59" s="25" t="str">
        <f>IF($CU59&gt;=RAM,"",IF($CU59-CZ$103&lt;BeginnAlter,"",ROUND(v^($CU59+FaktorAlter)*$L59*$D59*0.5*(VLOOKUP($CU59-CZ$103,Frauen!$G$9:$J$102,4)+VLOOKUP($CU59-CZ$103+1,Frauen!$G$9:$J$102,4))*0.5*(VLOOKUP($CU59-CZ$103,Frauen!$AZ$9:$BD$102,5)+VLOOKUP($CU59-CZ$103+1,Frauen!$AZ$9:$BD$102,5)),RundDx)))</f>
        <v/>
      </c>
      <c r="DA59" s="25" t="str">
        <f>IF($CU59&gt;=RAM,"",IF($CU59-DA$103&lt;BeginnAlter,"",ROUND(v^($CU59+FaktorAlter)*$L59*$D59*0.5*(VLOOKUP($CU59-DA$103,Frauen!$G$9:$J$102,4)+VLOOKUP($CU59-DA$103+1,Frauen!$G$9:$J$102,4))*0.5*(VLOOKUP($CU59-DA$103,Frauen!$AZ$9:$BD$102,5)+VLOOKUP($CU59-DA$103+1,Frauen!$AZ$9:$BD$102,5)),RundDx)))</f>
        <v/>
      </c>
      <c r="DB59" s="25" t="str">
        <f>IF($CU59&gt;=RAM,"",IF($CU59-DB$103&lt;BeginnAlter,"",ROUND(v^($CU59+FaktorAlter)*$L59*$D59*0.5*(VLOOKUP($CU59-DB$103,Frauen!$G$9:$J$102,4)+VLOOKUP($CU59-DB$103+1,Frauen!$G$9:$J$102,4))*0.5*(VLOOKUP($CU59-DB$103,Frauen!$AZ$9:$BD$102,5)+VLOOKUP($CU59-DB$103+1,Frauen!$AZ$9:$BD$102,5)),RundDx)))</f>
        <v/>
      </c>
      <c r="DC59" s="25" t="str">
        <f>IF($CU59&gt;=RAM,"",IF($CU59-DC$103&lt;BeginnAlter,"",ROUND(v^($CU59+FaktorAlter)*$L59*$D59*0.5*(VLOOKUP($CU59-DC$103,Frauen!$G$9:$J$102,4)+VLOOKUP($CU59-DC$103+1,Frauen!$G$9:$J$102,4))*0.5*(VLOOKUP($CU59-DC$103,Frauen!$AZ$9:$BD$102,5)+VLOOKUP($CU59-DC$103+1,Frauen!$AZ$9:$BD$102,5)),RundDx)))</f>
        <v/>
      </c>
      <c r="DD59" s="25" t="str">
        <f>IF($CU59&gt;=RAM,"",IF($CU59-DD$103&lt;BeginnAlter,"",ROUND(v^($CU59+FaktorAlter)*$L59*$D59*0.5*(VLOOKUP($CU59-DD$103,Frauen!$G$9:$J$102,4)+VLOOKUP($CU59-DD$103+1,Frauen!$G$9:$J$102,4))*0.5*(VLOOKUP($CU59-DD$103,Frauen!$AZ$9:$BD$102,5)+VLOOKUP($CU59-DD$103+1,Frauen!$AZ$9:$BD$102,5)),RundDx)))</f>
        <v/>
      </c>
      <c r="DE59" s="25" t="str">
        <f>IF($CU59&gt;=RAM,"",IF($CU59-DE$103&lt;BeginnAlter,"",ROUND(v^($CU59+FaktorAlter)*$L59*$D59*0.5*(VLOOKUP($CU59-DE$103,Frauen!$G$9:$J$102,4)+VLOOKUP($CU59-DE$103+1,Frauen!$G$9:$J$102,4))*0.5*(VLOOKUP($CU59-DE$103,Frauen!$AZ$9:$BD$102,5)+VLOOKUP($CU59-DE$103+1,Frauen!$AZ$9:$BD$102,5)),RundDx)))</f>
        <v/>
      </c>
      <c r="DF59" s="25" t="str">
        <f>IF($CU59&gt;=RAM,"",IF($CU59-DF$103&lt;BeginnAlter,"",ROUND(v^($CU59+FaktorAlter)*$L59*$D59*0.5*(VLOOKUP($CU59-DF$103,Frauen!$G$9:$J$102,4)+VLOOKUP($CU59-DF$103+1,Frauen!$G$9:$J$102,4))*0.5*(VLOOKUP($CU59-DF$103,Frauen!$AZ$9:$BD$102,5)+VLOOKUP($CU59-DF$103+1,Frauen!$AZ$9:$BD$102,5)),RundDx)))</f>
        <v/>
      </c>
      <c r="DG59" s="25" t="str">
        <f>IF($CU59&gt;=RAM,"",IF($CU59-DG$103&lt;BeginnAlter,"",ROUND(v^($CU59+FaktorAlter)*$L59*$D59*0.5*(VLOOKUP($CU59-DG$103,Frauen!$G$9:$J$102,4)+VLOOKUP($CU59-DG$103+1,Frauen!$G$9:$J$102,4))*0.5*(VLOOKUP($CU59-DG$103,Frauen!$AZ$9:$BD$102,5)+VLOOKUP($CU59-DG$103+1,Frauen!$AZ$9:$BD$102,5)),RundDx)))</f>
        <v/>
      </c>
      <c r="DH59" s="25" t="str">
        <f>IF($CU59&gt;=RAM,"",IF($CU59-DH$103&lt;BeginnAlter,"",ROUND(v^($CU59+FaktorAlter)*$L59*$D59*0.5*(VLOOKUP($CU59-DH$103,Frauen!$G$9:$J$102,4)+VLOOKUP($CU59-DH$103+1,Frauen!$G$9:$J$102,4))*0.5*(VLOOKUP($CU59-DH$103,Frauen!$AZ$9:$BD$102,5)+VLOOKUP($CU59-DH$103+1,Frauen!$AZ$9:$BD$102,5)),RundDx)))</f>
        <v/>
      </c>
      <c r="DI59" s="25" t="str">
        <f>IF($CU59&gt;=RAM,"",IF($CU59-DI$103&lt;BeginnAlter,"",ROUND(v^($CU59+FaktorAlter)*$L59*$D59*0.5*(VLOOKUP($CU59-DI$103,Frauen!$G$9:$J$102,4)+VLOOKUP($CU59-DI$103+1,Frauen!$G$9:$J$102,4))*0.5*(VLOOKUP($CU59-DI$103,Frauen!$AZ$9:$BD$102,5)+VLOOKUP($CU59-DI$103+1,Frauen!$AZ$9:$BD$102,5)),RundDx)))</f>
        <v/>
      </c>
      <c r="DJ59" s="25" t="str">
        <f>IF($CU59&gt;=RAM,"",IF($CU59-DJ$103&lt;BeginnAlter,"",ROUND(v^($CU59+FaktorAlter)*$L59*$D59*0.5*(VLOOKUP($CU59-DJ$103,Frauen!$G$9:$J$102,4)+VLOOKUP($CU59-DJ$103+1,Frauen!$G$9:$J$102,4))*0.5*(VLOOKUP($CU59-DJ$103,Frauen!$AZ$9:$BD$102,5)+VLOOKUP($CU59-DJ$103+1,Frauen!$AZ$9:$BD$102,5)),RundDx)))</f>
        <v/>
      </c>
      <c r="DK59" s="25" t="str">
        <f>IF($CU59&gt;=RAM,"",IF($CU59-DK$103&lt;BeginnAlter,"",ROUND(v^($CU59+FaktorAlter)*$L59*$D59*0.5*(VLOOKUP($CU59-DK$103,Frauen!$G$9:$J$102,4)+VLOOKUP($CU59-DK$103+1,Frauen!$G$9:$J$102,4))*0.5*(VLOOKUP($CU59-DK$103,Frauen!$AZ$9:$BD$102,5)+VLOOKUP($CU59-DK$103+1,Frauen!$AZ$9:$BD$102,5)),RundDx)))</f>
        <v/>
      </c>
      <c r="DL59" s="25" t="str">
        <f>IF($CU59&gt;=RAM,"",IF($CU59-DL$103&lt;BeginnAlter,"",ROUND(v^($CU59+FaktorAlter)*$L59*$D59*0.5*(VLOOKUP($CU59-DL$103,Frauen!$G$9:$J$102,4)+VLOOKUP($CU59-DL$103+1,Frauen!$G$9:$J$102,4))*0.5*(VLOOKUP($CU59-DL$103,Frauen!$AZ$9:$BD$102,5)+VLOOKUP($CU59-DL$103+1,Frauen!$AZ$9:$BD$102,5)),RundDx)))</f>
        <v/>
      </c>
      <c r="DM59" s="25" t="str">
        <f>IF($CU59&gt;=RAM,"",IF($CU59-DM$103&lt;BeginnAlter,"",ROUND(v^($CU59+FaktorAlter)*$L59*$D59*0.5*(VLOOKUP($CU59-DM$103,Frauen!$G$9:$J$102,4)+VLOOKUP($CU59-DM$103+1,Frauen!$G$9:$J$102,4))*0.5*(VLOOKUP($CU59-DM$103,Frauen!$AZ$9:$BD$102,5)+VLOOKUP($CU59-DM$103+1,Frauen!$AZ$9:$BD$102,5)),RundDx)))</f>
        <v/>
      </c>
      <c r="DN59" s="25" t="str">
        <f>IF($CU59&gt;=RAM,"",IF($CU59-DN$103&lt;BeginnAlter,"",ROUND(v^($CU59+FaktorAlter)*$L59*$D59*0.5*(VLOOKUP($CU59-DN$103,Frauen!$G$9:$J$102,4)+VLOOKUP($CU59-DN$103+1,Frauen!$G$9:$J$102,4))*0.5*(VLOOKUP($CU59-DN$103,Frauen!$AZ$9:$BD$102,5)+VLOOKUP($CU59-DN$103+1,Frauen!$AZ$9:$BD$102,5)),RundDx)))</f>
        <v/>
      </c>
      <c r="DO59" s="25" t="str">
        <f>IF($CU59&gt;=RAM,"",IF($CU59-DO$103&lt;BeginnAlter,"",ROUND(v^($CU59+FaktorAlter)*$L59*$D59*0.5*(VLOOKUP($CU59-DO$103,Frauen!$G$9:$J$102,4)+VLOOKUP($CU59-DO$103+1,Frauen!$G$9:$J$102,4))*0.5*(VLOOKUP($CU59-DO$103,Frauen!$AZ$9:$BD$102,5)+VLOOKUP($CU59-DO$103+1,Frauen!$AZ$9:$BD$102,5)),RundDx)))</f>
        <v/>
      </c>
      <c r="DP59" s="25" t="str">
        <f>IF($CU59&gt;=RAM,"",IF($CU59-DP$103&lt;BeginnAlter,"",ROUND(v^($CU59+FaktorAlter)*$L59*$D59*0.5*(VLOOKUP($CU59-DP$103,Frauen!$G$9:$J$102,4)+VLOOKUP($CU59-DP$103+1,Frauen!$G$9:$J$102,4))*0.5*(VLOOKUP($CU59-DP$103,Frauen!$AZ$9:$BD$102,5)+VLOOKUP($CU59-DP$103+1,Frauen!$AZ$9:$BD$102,5)),RundDx)))</f>
        <v/>
      </c>
      <c r="DQ59" s="25" t="str">
        <f>IF($CU59&gt;=RAM,"",IF($CU59-DQ$103&lt;BeginnAlter,"",ROUND(v^($CU59+FaktorAlter)*$L59*$D59*0.5*(VLOOKUP($CU59-DQ$103,Frauen!$G$9:$J$102,4)+VLOOKUP($CU59-DQ$103+1,Frauen!$G$9:$J$102,4))*0.5*(VLOOKUP($CU59-DQ$103,Frauen!$AZ$9:$BD$102,5)+VLOOKUP($CU59-DQ$103+1,Frauen!$AZ$9:$BD$102,5)),RundDx)))</f>
        <v/>
      </c>
      <c r="DR59" s="25" t="str">
        <f>IF($CU59&gt;=RAM,"",IF($CU59-DR$103&lt;BeginnAlter,"",ROUND(v^($CU59+FaktorAlter)*$L59*$D59*0.5*(VLOOKUP($CU59-DR$103,Frauen!$G$9:$J$102,4)+VLOOKUP($CU59-DR$103+1,Frauen!$G$9:$J$102,4))*0.5*(VLOOKUP($CU59-DR$103,Frauen!$AZ$9:$BD$102,5)+VLOOKUP($CU59-DR$103+1,Frauen!$AZ$9:$BD$102,5)),RundDx)))</f>
        <v/>
      </c>
      <c r="DS59" s="25" t="str">
        <f>IF($CU59&gt;=RAM,"",IF($CU59-DS$103&lt;BeginnAlter,"",ROUND(v^($CU59+FaktorAlter)*$L59*$D59*0.5*(VLOOKUP($CU59-DS$103,Frauen!$G$9:$J$102,4)+VLOOKUP($CU59-DS$103+1,Frauen!$G$9:$J$102,4))*0.5*(VLOOKUP($CU59-DS$103,Frauen!$AZ$9:$BD$102,5)+VLOOKUP($CU59-DS$103+1,Frauen!$AZ$9:$BD$102,5)),RundDx)))</f>
        <v/>
      </c>
      <c r="DT59" s="25" t="str">
        <f>IF($CU59&gt;=RAM,"",IF($CU59-DT$103&lt;BeginnAlter,"",ROUND(v^($CU59+FaktorAlter)*$L59*$D59*0.5*(VLOOKUP($CU59-DT$103,Frauen!$G$9:$J$102,4)+VLOOKUP($CU59-DT$103+1,Frauen!$G$9:$J$102,4))*0.5*(VLOOKUP($CU59-DT$103,Frauen!$AZ$9:$BD$102,5)+VLOOKUP($CU59-DT$103+1,Frauen!$AZ$9:$BD$102,5)),RundDx)))</f>
        <v/>
      </c>
      <c r="DU59" s="25" t="str">
        <f>IF($CU59&gt;=RAM,"",IF($CU59-DU$103&lt;BeginnAlter,"",ROUND(v^($CU59+FaktorAlter)*$L59*$D59*0.5*(VLOOKUP($CU59-DU$103,Frauen!$G$9:$J$102,4)+VLOOKUP($CU59-DU$103+1,Frauen!$G$9:$J$102,4))*0.5*(VLOOKUP($CU59-DU$103,Frauen!$AZ$9:$BD$102,5)+VLOOKUP($CU59-DU$103+1,Frauen!$AZ$9:$BD$102,5)),RundDx)))</f>
        <v/>
      </c>
      <c r="DV59" s="25" t="str">
        <f>IF($CU59&gt;=RAM,"",IF($CU59-DV$103&lt;BeginnAlter,"",ROUND(v^($CU59+FaktorAlter)*$L59*$D59*0.5*(VLOOKUP($CU59-DV$103,Frauen!$G$9:$J$102,4)+VLOOKUP($CU59-DV$103+1,Frauen!$G$9:$J$102,4))*0.5*(VLOOKUP($CU59-DV$103,Frauen!$AZ$9:$BD$102,5)+VLOOKUP($CU59-DV$103+1,Frauen!$AZ$9:$BD$102,5)),RundDx)))</f>
        <v/>
      </c>
      <c r="DW59" s="25" t="str">
        <f>IF($CU59&gt;=RAM,"",IF($CU59-DW$103&lt;BeginnAlter,"",ROUND(v^($CU59+FaktorAlter)*$L59*$D59*0.5*(VLOOKUP($CU59-DW$103,Frauen!$G$9:$J$102,4)+VLOOKUP($CU59-DW$103+1,Frauen!$G$9:$J$102,4))*0.5*(VLOOKUP($CU59-DW$103,Frauen!$AZ$9:$BD$102,5)+VLOOKUP($CU59-DW$103+1,Frauen!$AZ$9:$BD$102,5)),RundDx)))</f>
        <v/>
      </c>
      <c r="DX59" s="25" t="str">
        <f>IF($CU59&gt;=RAM,"",IF($CU59-DX$103&lt;BeginnAlter,"",ROUND(v^($CU59+FaktorAlter)*$L59*$D59*0.5*(VLOOKUP($CU59-DX$103,Frauen!$G$9:$J$102,4)+VLOOKUP($CU59-DX$103+1,Frauen!$G$9:$J$102,4))*0.5*(VLOOKUP($CU59-DX$103,Frauen!$AZ$9:$BD$102,5)+VLOOKUP($CU59-DX$103+1,Frauen!$AZ$9:$BD$102,5)),RundDx)))</f>
        <v/>
      </c>
      <c r="DY59" s="25" t="str">
        <f>IF($CU59&gt;=RAM,"",IF($CU59-DY$103&lt;BeginnAlter,"",ROUND(v^($CU59+FaktorAlter)*$L59*$D59*0.5*(VLOOKUP($CU59-DY$103,Frauen!$G$9:$J$102,4)+VLOOKUP($CU59-DY$103+1,Frauen!$G$9:$J$102,4))*0.5*(VLOOKUP($CU59-DY$103,Frauen!$AZ$9:$BD$102,5)+VLOOKUP($CU59-DY$103+1,Frauen!$AZ$9:$BD$102,5)),RundDx)))</f>
        <v/>
      </c>
      <c r="DZ59" s="25" t="str">
        <f>IF($CU59&gt;=RAM,"",IF($CU59-DZ$103&lt;BeginnAlter,"",ROUND(v^($CU59+FaktorAlter)*$L59*$D59*0.5*(VLOOKUP($CU59-DZ$103,Frauen!$G$9:$J$102,4)+VLOOKUP($CU59-DZ$103+1,Frauen!$G$9:$J$102,4))*0.5*(VLOOKUP($CU59-DZ$103,Frauen!$AZ$9:$BD$102,5)+VLOOKUP($CU59-DZ$103+1,Frauen!$AZ$9:$BD$102,5)),RundDx)))</f>
        <v/>
      </c>
      <c r="EA59" s="43" t="str">
        <f>IF($CU59&gt;=RAM,"",IF($CU59-EA$103&lt;BeginnAlter,"",ROUND((SUM(CV$56:CV59)+SUM(FN$9:FN$56))/VLOOKUP($CU59,$AH$9:$AI$102,2)/VLOOKUP($CU59-EA$103,Frauen!$G$9:$J$102,4),Rundäx)))</f>
        <v/>
      </c>
      <c r="EB59" s="43" t="str">
        <f>IF($CU59&gt;=RAM,"",IF($CU59-EB$103&lt;BeginnAlter,"",ROUND((SUM(CW$56:CW59)+SUM(FO$9:FO$56))/VLOOKUP($CU59,$AH$9:$AI$102,2)/VLOOKUP($CU59-EB$103,Frauen!$G$9:$J$102,4),Rundäx)))</f>
        <v/>
      </c>
      <c r="EC59" s="43" t="str">
        <f>IF($CU59&gt;=RAM,"",IF($CU59-EC$103&lt;BeginnAlter,"",ROUND((SUM(CX$56:CX59)+SUM(FP$9:FP$56))/VLOOKUP($CU59,$AH$9:$AI$102,2)/VLOOKUP($CU59-EC$103,Frauen!$G$9:$J$102,4),Rundäx)))</f>
        <v/>
      </c>
      <c r="ED59" s="43" t="str">
        <f>IF($CU59&gt;=RAM,"",IF($CU59-ED$103&lt;BeginnAlter,"",ROUND((SUM(CY$56:CY59)+SUM(FQ$9:FQ$56))/VLOOKUP($CU59,$AH$9:$AI$102,2)/VLOOKUP($CU59-ED$103,Frauen!$G$9:$J$102,4),Rundäx)))</f>
        <v/>
      </c>
      <c r="EE59" s="43" t="str">
        <f>IF($CU59&gt;=RAM,"",IF($CU59-EE$103&lt;BeginnAlter,"",ROUND((SUM(CZ$56:CZ59)+SUM(FR$9:FR$56))/VLOOKUP($CU59,$AH$9:$AI$102,2)/VLOOKUP($CU59-EE$103,Frauen!$G$9:$J$102,4),Rundäx)))</f>
        <v/>
      </c>
      <c r="EF59" s="43" t="str">
        <f>IF($CU59&gt;=RAM,"",IF($CU59-EF$103&lt;BeginnAlter,"",ROUND((SUM(DA$56:DA59)+SUM(FS$9:FS$56))/VLOOKUP($CU59,$AH$9:$AI$102,2)/VLOOKUP($CU59-EF$103,Frauen!$G$9:$J$102,4),Rundäx)))</f>
        <v/>
      </c>
      <c r="EG59" s="43" t="str">
        <f>IF($CU59&gt;=RAM,"",IF($CU59-EG$103&lt;BeginnAlter,"",ROUND((SUM(DB$56:DB59)+SUM(FT$9:FT$56))/VLOOKUP($CU59,$AH$9:$AI$102,2)/VLOOKUP($CU59-EG$103,Frauen!$G$9:$J$102,4),Rundäx)))</f>
        <v/>
      </c>
      <c r="EH59" s="43" t="str">
        <f>IF($CU59&gt;=RAM,"",IF($CU59-EH$103&lt;BeginnAlter,"",ROUND((SUM(DC$56:DC59)+SUM(FU$9:FU$56))/VLOOKUP($CU59,$AH$9:$AI$102,2)/VLOOKUP($CU59-EH$103,Frauen!$G$9:$J$102,4),Rundäx)))</f>
        <v/>
      </c>
      <c r="EI59" s="86"/>
      <c r="EJ59" s="35">
        <f t="shared" si="60"/>
        <v>67</v>
      </c>
      <c r="EK59" s="43" t="str">
        <f>IF($CU59&gt;=RAM,"",IF($CU59-EK$103&lt;BeginnAlter,"",ROUND((SUM(DD$56:DD59)+SUM(FV$9:FV$56))/VLOOKUP($CU59,$AH$9:$AI$102,2)/VLOOKUP($CU59-EK$103,Frauen!$G$9:$J$102,4),Rundäx)))</f>
        <v/>
      </c>
      <c r="EL59" s="43" t="str">
        <f>IF($CU59&gt;=RAM,"",IF($CU59-EL$103&lt;BeginnAlter,"",ROUND((SUM(DE$56:DE59)+SUM(FW$9:FW$56))/VLOOKUP($CU59,$AH$9:$AI$102,2)/VLOOKUP($CU59-EL$103,Frauen!$G$9:$J$102,4),Rundäx)))</f>
        <v/>
      </c>
      <c r="EM59" s="43" t="str">
        <f>IF($CU59&gt;=RAM,"",IF($CU59-EM$103&lt;BeginnAlter,"",ROUND((SUM(DF$56:DF59)+SUM(FX$9:FX$56))/VLOOKUP($CU59,$AH$9:$AI$102,2)/VLOOKUP($CU59-EM$103,Frauen!$G$9:$J$102,4),Rundäx)))</f>
        <v/>
      </c>
      <c r="EN59" s="43" t="str">
        <f>IF($CU59&gt;=RAM,"",IF($CU59-EN$103&lt;BeginnAlter,"",ROUND((SUM(DG$56:DG59)+SUM(FY$9:FY$56))/VLOOKUP($CU59,$AH$9:$AI$102,2)/VLOOKUP($CU59-EN$103,Frauen!$G$9:$J$102,4),Rundäx)))</f>
        <v/>
      </c>
      <c r="EO59" s="43" t="str">
        <f>IF($CU59&gt;=RAM,"",IF($CU59-EO$103&lt;BeginnAlter,"",ROUND((SUM(DH$56:DH59)+SUM(FZ$9:FZ$56))/VLOOKUP($CU59,$AH$9:$AI$102,2)/VLOOKUP($CU59-EO$103,Frauen!$G$9:$J$102,4),Rundäx)))</f>
        <v/>
      </c>
      <c r="EP59" s="43" t="str">
        <f>IF($CU59&gt;=RAM,"",IF($CU59-EP$103&lt;BeginnAlter,"",ROUND((SUM(DI$56:DI59)+SUM(GA$9:GA$56))/VLOOKUP($CU59,$AH$9:$AI$102,2)/VLOOKUP($CU59-EP$103,Frauen!$G$9:$J$102,4),Rundäx)))</f>
        <v/>
      </c>
      <c r="EQ59" s="43" t="str">
        <f>IF($CU59&gt;=RAM,"",IF($CU59-EQ$103&lt;BeginnAlter,"",ROUND((SUM(DJ$56:DJ59)+SUM(GB$9:GB$56))/VLOOKUP($CU59,$AH$9:$AI$102,2)/VLOOKUP($CU59-EQ$103,Frauen!$G$9:$J$102,4),Rundäx)))</f>
        <v/>
      </c>
      <c r="ER59" s="43" t="str">
        <f>IF($CU59&gt;=RAM,"",IF($CU59-ER$103&lt;BeginnAlter,"",ROUND((SUM(DK$56:DK59)+SUM(GC$9:GC$56))/VLOOKUP($CU59,$AH$9:$AI$102,2)/VLOOKUP($CU59-ER$103,Frauen!$G$9:$J$102,4),Rundäx)))</f>
        <v/>
      </c>
      <c r="ES59" s="86"/>
      <c r="ET59" s="35">
        <f t="shared" si="61"/>
        <v>67</v>
      </c>
      <c r="EU59" s="43" t="str">
        <f>IF($CU59&gt;=RAM,"",IF($CU59-EU$103&lt;BeginnAlter,"",ROUND((SUM(DL$56:DL59)+SUM(GD$9:GD$56))/VLOOKUP($CU59,$AH$9:$AI$102,2)/VLOOKUP($CU59-EU$103,Frauen!$G$9:$J$102,4),Rundäx)))</f>
        <v/>
      </c>
      <c r="EV59" s="43" t="str">
        <f>IF($CU59&gt;=RAM,"",IF($CU59-EV$103&lt;BeginnAlter,"",ROUND((SUM(DM$56:DM59)+SUM(GE$9:GE$56))/VLOOKUP($CU59,$AH$9:$AI$102,2)/VLOOKUP($CU59-EV$103,Frauen!$G$9:$J$102,4),Rundäx)))</f>
        <v/>
      </c>
      <c r="EW59" s="43" t="str">
        <f>IF($CU59&gt;=RAM,"",IF($CU59-EW$103&lt;BeginnAlter,"",ROUND((SUM(DN$56:DN59)+SUM(GF$9:GF$56))/VLOOKUP($CU59,$AH$9:$AI$102,2)/VLOOKUP($CU59-EW$103,Frauen!$G$9:$J$102,4),Rundäx)))</f>
        <v/>
      </c>
      <c r="EX59" s="43" t="str">
        <f>IF($CU59&gt;=RAM,"",IF($CU59-EX$103&lt;BeginnAlter,"",ROUND((SUM(DO$56:DO59)+SUM(GG$9:GG$56))/VLOOKUP($CU59,$AH$9:$AI$102,2)/VLOOKUP($CU59-EX$103,Frauen!$G$9:$J$102,4),Rundäx)))</f>
        <v/>
      </c>
      <c r="EY59" s="43" t="str">
        <f>IF($CU59&gt;=RAM,"",IF($CU59-EY$103&lt;BeginnAlter,"",ROUND((SUM(DP$56:DP59)+SUM(GH$9:GH$56))/VLOOKUP($CU59,$AH$9:$AI$102,2)/VLOOKUP($CU59-EY$103,Frauen!$G$9:$J$102,4),Rundäx)))</f>
        <v/>
      </c>
      <c r="EZ59" s="43" t="str">
        <f>IF($CU59&gt;=RAM,"",IF($CU59-EZ$103&lt;BeginnAlter,"",ROUND((SUM(DQ$56:DQ59)+SUM(GI$9:GI$56))/VLOOKUP($CU59,$AH$9:$AI$102,2)/VLOOKUP($CU59-EZ$103,Frauen!$G$9:$J$102,4),Rundäx)))</f>
        <v/>
      </c>
      <c r="FA59" s="43" t="str">
        <f>IF($CU59&gt;=RAM,"",IF($CU59-FA$103&lt;BeginnAlter,"",ROUND((SUM(DR$56:DR59)+SUM(GJ$9:GJ$56))/VLOOKUP($CU59,$AH$9:$AI$102,2)/VLOOKUP($CU59-FA$103,Frauen!$G$9:$J$102,4),Rundäx)))</f>
        <v/>
      </c>
      <c r="FB59" s="43" t="str">
        <f>IF($CU59&gt;=RAM,"",IF($CU59-FB$103&lt;BeginnAlter,"",ROUND((SUM(DS$56:DS59)+SUM(GK$9:GK$56))/VLOOKUP($CU59,$AH$9:$AI$102,2)/VLOOKUP($CU59-FB$103,Frauen!$G$9:$J$102,4),Rundäx)))</f>
        <v/>
      </c>
      <c r="FC59" s="86"/>
      <c r="FD59" s="35">
        <f t="shared" si="62"/>
        <v>67</v>
      </c>
      <c r="FE59" s="43" t="str">
        <f>IF($CU59&gt;=RAM,"",IF($CU59-FE$103&lt;BeginnAlter,"",ROUND((SUM(DT$56:DT59)+SUM(GL$9:GL$56))/VLOOKUP($CU59,$AH$9:$AI$102,2)/VLOOKUP($CU59-FE$103,Frauen!$G$9:$J$102,4),Rundäx)))</f>
        <v/>
      </c>
      <c r="FF59" s="43" t="str">
        <f>IF($CU59&gt;=RAM,"",IF($CU59-FF$103&lt;BeginnAlter,"",ROUND((SUM(DU$56:DU59)+SUM(GM$9:GM$56))/VLOOKUP($CU59,$AH$9:$AI$102,2)/VLOOKUP($CU59-FF$103,Frauen!$G$9:$J$102,4),Rundäx)))</f>
        <v/>
      </c>
      <c r="FG59" s="43" t="str">
        <f>IF($CU59&gt;=RAM,"",IF($CU59-FG$103&lt;BeginnAlter,"",ROUND((SUM(DV$56:DV59)+SUM(GN$9:GN$56))/VLOOKUP($CU59,$AH$9:$AI$102,2)/VLOOKUP($CU59-FG$103,Frauen!$G$9:$J$102,4),Rundäx)))</f>
        <v/>
      </c>
      <c r="FH59" s="43" t="str">
        <f>IF($CU59&gt;=RAM,"",IF($CU59-FH$103&lt;BeginnAlter,"",ROUND((SUM(DW$56:DW59)+SUM(GO$9:GO$56))/VLOOKUP($CU59,$AH$9:$AI$102,2)/VLOOKUP($CU59-FH$103,Frauen!$G$9:$J$102,4),Rundäx)))</f>
        <v/>
      </c>
      <c r="FI59" s="43" t="str">
        <f>IF($CU59&gt;=RAM,"",IF($CU59-FI$103&lt;BeginnAlter,"",ROUND((SUM(DX$56:DX59)+SUM(GP$9:GP$56))/VLOOKUP($CU59,$AH$9:$AI$102,2)/VLOOKUP($CU59-FI$103,Frauen!$G$9:$J$102,4),Rundäx)))</f>
        <v/>
      </c>
      <c r="FJ59" s="43" t="str">
        <f>IF($CU59&gt;=RAM,"",IF($CU59-FJ$103&lt;BeginnAlter,"",ROUND((SUM(DY$56:DY59)+SUM(GQ$9:GQ$56))/VLOOKUP($CU59,$AH$9:$AI$102,2)/VLOOKUP($CU59-FJ$103,Frauen!$G$9:$J$102,4),Rundäx)))</f>
        <v/>
      </c>
      <c r="FK59" s="43" t="str">
        <f>IF($CU59&gt;=RAM,"",IF($CU59-FK$103&lt;BeginnAlter,"",ROUND((SUM(DZ$56:DZ59)+SUM(GR$9:GR$56))/VLOOKUP($CU59,$AH$9:$AI$102,2)/VLOOKUP($CU59-FK$103,Frauen!$G$9:$J$102,4),Rundäx)))</f>
        <v/>
      </c>
      <c r="FL59" s="86"/>
      <c r="FM59" s="35">
        <f t="shared" si="68"/>
        <v>115</v>
      </c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4"/>
      <c r="GT59" s="24"/>
      <c r="GU59" s="24" t="str">
        <f>IF(FM59&gt;=RAM," ",#REF!/$AI59/Frauen!$J47)</f>
        <v xml:space="preserve"> </v>
      </c>
      <c r="GV59" s="24" t="str">
        <f>IF(FM59&gt;=RAM," ",#REF!/$AI59/Frauen!$J50)</f>
        <v xml:space="preserve"> </v>
      </c>
      <c r="GW59" s="24" t="str">
        <f>IF(FM59&gt;=RAM," ",#REF!/$AI59/Frauen!$J53)</f>
        <v xml:space="preserve"> </v>
      </c>
      <c r="GX59" s="24" t="str">
        <f>IF(FM59&gt;=RAM," ",#REF!/$AI59/Frauen!$J56)</f>
        <v xml:space="preserve"> </v>
      </c>
      <c r="GY59" s="24" t="str">
        <f>IF(FM59&gt;=RAM," ",#REF!/$AI59/Frauen!$J59)</f>
        <v xml:space="preserve"> </v>
      </c>
      <c r="GZ59" s="24" t="str">
        <f>IF(FM59&gt;=RAM," ",#REF!/$AI59/Frauen!$J62)</f>
        <v xml:space="preserve"> </v>
      </c>
      <c r="HA59" s="86"/>
      <c r="HB59" s="35">
        <f t="shared" si="63"/>
        <v>115</v>
      </c>
      <c r="HC59" s="24"/>
      <c r="HD59" s="24"/>
      <c r="HE59" s="24"/>
      <c r="HF59" s="24"/>
      <c r="HG59" s="24"/>
      <c r="HH59" s="24"/>
      <c r="HI59" s="24"/>
      <c r="HJ59" s="24"/>
      <c r="HK59" s="86"/>
      <c r="HL59" s="35">
        <f t="shared" si="64"/>
        <v>115</v>
      </c>
      <c r="HM59" s="24"/>
      <c r="HN59" s="24"/>
      <c r="HO59" s="24"/>
      <c r="HP59" s="24"/>
      <c r="HQ59" s="24"/>
      <c r="HR59" s="24"/>
      <c r="HS59" s="24"/>
      <c r="HT59" s="24"/>
      <c r="HU59" s="86"/>
      <c r="HV59" s="35">
        <f t="shared" si="65"/>
        <v>115</v>
      </c>
      <c r="HW59" s="24"/>
      <c r="HX59" s="24"/>
      <c r="HY59" s="24"/>
      <c r="HZ59" s="24"/>
      <c r="IA59" s="24"/>
      <c r="IB59" s="24"/>
      <c r="IC59" s="24"/>
      <c r="ID59" s="89"/>
      <c r="IE59" s="35">
        <f t="shared" si="81"/>
        <v>67</v>
      </c>
      <c r="IF59" s="25" t="str">
        <f t="shared" si="31"/>
        <v/>
      </c>
      <c r="IG59" s="25" t="str">
        <f>IF($IE59&lt;RAM,IF(S60&lt;=RAK,ROUND(SUM(IF59:INDEX(Dakx,RAM-BeginnAlter))+INDEX(Dax,RAM-BeginnAlter+1)*INDEX(äkx,1),RundDx),0),"")</f>
        <v/>
      </c>
      <c r="IH59" s="25" t="str">
        <f>IF($IE59&lt;RAM,IF(S60&lt;=RAK,ROUND(SUM(IG59:INDEX(Nakx,RAM-BeginnAlter))+INDEX(Dax,RAM-BeginnAlter+1)*INDEX(äkx,1),RundDx),0),"")</f>
        <v/>
      </c>
      <c r="II59" s="24" t="str">
        <f t="shared" si="32"/>
        <v/>
      </c>
      <c r="IJ59" s="25" t="str">
        <f t="shared" si="33"/>
        <v/>
      </c>
      <c r="IK59" s="25" t="str">
        <f>IF($IE59&lt;RAM,IF(S60&lt;=RAK,SUM(IJ59:INDEX(Dikx,RAM-BeginnAlter))+INDEX(Dix,RAM-BeginnAlter+1)*INDEX(äkx,1),0),"")</f>
        <v/>
      </c>
      <c r="IL59" s="24" t="str">
        <f t="shared" si="34"/>
        <v/>
      </c>
      <c r="IM59" s="86"/>
      <c r="IN59" s="35">
        <f t="shared" si="67"/>
        <v>115</v>
      </c>
      <c r="IO59" s="25"/>
      <c r="IP59" s="25"/>
      <c r="IQ59" s="24"/>
      <c r="IR59" s="86"/>
    </row>
    <row r="60" spans="1:252" ht="15.75" customHeight="1" x14ac:dyDescent="0.25">
      <c r="A60" s="35">
        <f t="shared" si="69"/>
        <v>68</v>
      </c>
      <c r="B60" s="77"/>
      <c r="C60" s="77"/>
      <c r="D60" s="77"/>
      <c r="E60" s="77">
        <v>1.9599999999999999E-2</v>
      </c>
      <c r="F60" s="86"/>
      <c r="G60" s="35">
        <f t="shared" si="70"/>
        <v>68</v>
      </c>
      <c r="H60" s="25" t="str">
        <f t="shared" si="37"/>
        <v/>
      </c>
      <c r="I60" s="25" t="str">
        <f t="shared" si="38"/>
        <v/>
      </c>
      <c r="J60" s="25">
        <f t="shared" si="39"/>
        <v>82790</v>
      </c>
      <c r="K60" s="30">
        <f>IF(J60&gt;0,ROUND(SUM(J60:J$102)/J60-0.5,Rundex),"")</f>
        <v>15.37</v>
      </c>
      <c r="L60" s="25">
        <f t="shared" si="0"/>
        <v>82790</v>
      </c>
      <c r="M60" s="30">
        <f>IF(L60&gt;0,ROUND(SUM(L60:L$102)/L60-0.5,Rundex),"")</f>
        <v>15.37</v>
      </c>
      <c r="N60" s="86"/>
      <c r="O60" s="35">
        <f t="shared" si="71"/>
        <v>68</v>
      </c>
      <c r="P60" s="43">
        <v>0.77788737321345591</v>
      </c>
      <c r="Q60" s="78">
        <v>63.968521568171909</v>
      </c>
      <c r="R60" s="43">
        <v>1.2E-2</v>
      </c>
      <c r="S60" s="78">
        <v>20.638988412390532</v>
      </c>
      <c r="T60" s="15">
        <v>3.1727329169067398E-2</v>
      </c>
      <c r="U60" s="11">
        <f t="shared" si="40"/>
        <v>76659</v>
      </c>
      <c r="V60" s="30">
        <f>IF(U60&gt;0,ROUND(SUM(U60:U$102)/U60-0.5,Rundex),"")</f>
        <v>13.86</v>
      </c>
      <c r="W60" s="86"/>
      <c r="X60" s="35">
        <f t="shared" si="72"/>
        <v>68</v>
      </c>
      <c r="Y60" s="25" t="str">
        <f t="shared" si="1"/>
        <v xml:space="preserve"> </v>
      </c>
      <c r="Z60" s="25" t="str">
        <f>IF($X60&lt;RAM,SUM(Y60:INDEX(Dax,RAM-BeginnAlter))," ")</f>
        <v xml:space="preserve"> </v>
      </c>
      <c r="AA60" s="25" t="str">
        <f t="shared" si="2"/>
        <v xml:space="preserve"> </v>
      </c>
      <c r="AB60" s="25" t="str">
        <f>IF($X60&lt;RAM,SUM(AA60:INDEX(Cax,RAM-BeginnAlter))," ")</f>
        <v xml:space="preserve"> </v>
      </c>
      <c r="AC60" s="25" t="str">
        <f t="shared" si="3"/>
        <v xml:space="preserve"> </v>
      </c>
      <c r="AD60" s="25" t="str">
        <f>IF($X60&lt;RAM,SUM(AC60:INDEX(Caix,RAM-BeginnAlter))," ")</f>
        <v xml:space="preserve"> </v>
      </c>
      <c r="AE60" s="24" t="str">
        <f t="shared" si="4"/>
        <v xml:space="preserve"> </v>
      </c>
      <c r="AF60" s="24" t="str">
        <f t="shared" si="5"/>
        <v xml:space="preserve"> </v>
      </c>
      <c r="AG60" s="86"/>
      <c r="AH60" s="35">
        <f t="shared" si="73"/>
        <v>68</v>
      </c>
      <c r="AI60" s="25" t="str">
        <f t="shared" si="6"/>
        <v xml:space="preserve"> </v>
      </c>
      <c r="AJ60" s="25" t="str">
        <f>IF($AH60&gt;RAM," ",IF($AH60&lt;RAM,SUM(AI60:INDEX(Dix,RAM-BeginnAlter))+INDEX(Nx,RAM-BeginnAlter+1),INDEX(Nx,RAM-BeginnAlter+1)))</f>
        <v xml:space="preserve"> </v>
      </c>
      <c r="AK60" s="25" t="str">
        <f>IF($AH60&lt;RAM,SUM(AI60:INDEX(Dix,RAM-BeginnAlter))," ")</f>
        <v xml:space="preserve"> </v>
      </c>
      <c r="AL60" s="24" t="str">
        <f t="shared" si="7"/>
        <v xml:space="preserve"> </v>
      </c>
      <c r="AM60" s="24" t="str">
        <f t="shared" si="8"/>
        <v xml:space="preserve"> </v>
      </c>
      <c r="AN60" s="24" t="str">
        <f t="shared" si="9"/>
        <v xml:space="preserve"> </v>
      </c>
      <c r="AO60" s="24" t="str">
        <f t="shared" si="10"/>
        <v xml:space="preserve"> </v>
      </c>
      <c r="AP60" s="86"/>
      <c r="AQ60" s="35">
        <f t="shared" si="74"/>
        <v>68</v>
      </c>
      <c r="AR60" s="25">
        <f t="shared" si="11"/>
        <v>18234</v>
      </c>
      <c r="AS60" s="25">
        <f>SUM(AR60:AR$94)</f>
        <v>238050</v>
      </c>
      <c r="AT60" s="25" t="str">
        <f>IF($AQ60&lt;RAM,SUM(AR60:INDEX(Dx,RAM-BeginnAlter))," ")</f>
        <v xml:space="preserve"> </v>
      </c>
      <c r="AU60" s="24">
        <f t="shared" si="12"/>
        <v>13.055</v>
      </c>
      <c r="AV60" s="24">
        <f t="shared" si="13"/>
        <v>12.597</v>
      </c>
      <c r="AW60" s="24" t="str">
        <f t="shared" si="14"/>
        <v xml:space="preserve"> </v>
      </c>
      <c r="AX60" s="24" t="str">
        <f t="shared" si="15"/>
        <v xml:space="preserve"> </v>
      </c>
      <c r="AY60" s="86"/>
      <c r="AZ60" s="35">
        <f t="shared" si="75"/>
        <v>68</v>
      </c>
      <c r="BA60" s="25">
        <f t="shared" si="16"/>
        <v>16883</v>
      </c>
      <c r="BB60" s="25">
        <f>SUM(BA60:BA$94)</f>
        <v>201268</v>
      </c>
      <c r="BC60" s="24">
        <f t="shared" si="17"/>
        <v>11.920999999999999</v>
      </c>
      <c r="BD60" s="24">
        <f t="shared" si="18"/>
        <v>11.462999999999999</v>
      </c>
      <c r="BE60" s="86"/>
      <c r="BF60" s="35">
        <f t="shared" si="48"/>
        <v>51</v>
      </c>
      <c r="BG60" s="24" t="str">
        <f t="shared" si="19"/>
        <v/>
      </c>
      <c r="BH60" s="24" t="str">
        <f t="shared" si="20"/>
        <v/>
      </c>
      <c r="BI60" s="86"/>
      <c r="BJ60" s="35">
        <f t="shared" si="76"/>
        <v>68</v>
      </c>
      <c r="BK60" s="25" t="str">
        <f t="shared" si="21"/>
        <v xml:space="preserve"> </v>
      </c>
      <c r="BL60" s="25" t="str">
        <f>IF(BJ60&lt;RAM,SUM(BK60:INDEX(Daix,RAM-BeginnAlter))," ")</f>
        <v xml:space="preserve"> </v>
      </c>
      <c r="BM60" s="25" t="str">
        <f>IF(BJ60&lt;RAM,SUM(BL60:INDEX(Naix,RAM-BeginnAlter))," ")</f>
        <v xml:space="preserve"> </v>
      </c>
      <c r="BN60" s="24" t="str">
        <f t="shared" si="22"/>
        <v xml:space="preserve"> </v>
      </c>
      <c r="BO60" s="24" t="str">
        <f t="shared" si="23"/>
        <v xml:space="preserve"> </v>
      </c>
      <c r="BP60" s="86"/>
      <c r="BQ60" s="35">
        <f t="shared" si="77"/>
        <v>68</v>
      </c>
      <c r="BR60" s="25" t="str">
        <f t="shared" si="51"/>
        <v xml:space="preserve"> </v>
      </c>
      <c r="BS60" s="25" t="str">
        <f>IF(BQ60&lt;RAM,SUM(BR60:INDEX(Daixs,RAM-BeginnAlter))," ")</f>
        <v xml:space="preserve"> </v>
      </c>
      <c r="BT60" s="25" t="str">
        <f>IF(BQ60&lt;RAM,SUM(BS60:INDEX(Naixs,RAM-BeginnAlter))," ")</f>
        <v xml:space="preserve"> </v>
      </c>
      <c r="BU60" s="24" t="str">
        <f t="shared" si="52"/>
        <v xml:space="preserve"> </v>
      </c>
      <c r="BV60" s="24" t="str">
        <f t="shared" si="53"/>
        <v xml:space="preserve"> </v>
      </c>
      <c r="BW60" s="86"/>
      <c r="BX60" s="35">
        <f t="shared" si="78"/>
        <v>68</v>
      </c>
      <c r="BY60" s="10" t="str">
        <f t="shared" si="24"/>
        <v/>
      </c>
      <c r="BZ60" s="11" t="str">
        <f t="shared" si="25"/>
        <v/>
      </c>
      <c r="CA60" s="25" t="str">
        <f>IF(S61&lt;=RAK,IF($BX60&lt;RAM,SUM(BZ60:INDEX(Dazx,RAM-BeginnAlter)),""),"")</f>
        <v/>
      </c>
      <c r="CB60" s="24" t="str">
        <f t="shared" si="26"/>
        <v/>
      </c>
      <c r="CC60" s="25">
        <f t="shared" si="27"/>
        <v>14954</v>
      </c>
      <c r="CD60" s="24">
        <f t="shared" si="28"/>
        <v>10.510999999999999</v>
      </c>
      <c r="CE60" s="24" t="str">
        <f t="shared" si="29"/>
        <v/>
      </c>
      <c r="CF60" s="86"/>
      <c r="CG60" s="35">
        <f t="shared" si="79"/>
        <v>68</v>
      </c>
      <c r="CH60" s="25" t="str">
        <f>IF(CG60&lt;RAM,ROUND(v^($CG60+FaktorAlter)*$H60*($B60*0.5*($P60+$P61)*(VLOOKUP(TRUNC(0.5*($Q60+$Q61),0),Frauen!$AZ$9:$BD$95,5)+(0.5*($Q60+$Q61)-TRUNC(0.5*($Q60+$Q61),0))*(VLOOKUP(TRUNC(0.5*($Q60+$Q61)+1,0),Frauen!$AZ$9:$BD$95,5)-VLOOKUP(TRUNC(0.5*($Q60+$Q61),0),Frauen!$AZ$9:$BD$95,5)))+$C60*0.5*($CN60+$CN61)),RundDx),"")</f>
        <v/>
      </c>
      <c r="CI60" s="25" t="str">
        <f>IF(CG60&lt;RAM,ROUND(SUM(CH60:INDEX(Dawx,RAM-BeginnAlter))+INDEX(Dax,RAM-BeginnAlter+1)*INDEX(äwx,1),RundDx),"")</f>
        <v/>
      </c>
      <c r="CJ60" s="25" t="str">
        <f>IF(CG60&lt;RAM,ROUND(SUM(CI60:INDEX(Nawx,RAM-BeginnAlter))+INDEX(Dax,RAM-BeginnAlter+1)*INDEX(äwx,1),RundDx),"")</f>
        <v/>
      </c>
      <c r="CK60" s="24" t="str">
        <f t="shared" si="56"/>
        <v/>
      </c>
      <c r="CL60" s="25" t="str">
        <f>IF(CG60&lt;RAM,ROUND(v^($CG60+FaktorAlter)*$L60*$D60*0.5*($P60+$P61)*(VLOOKUP(TRUNC(0.5*($Q60+$Q61),0),Frauen!$AZ$9:$BD$95,5)+(0.5*($Q60+$Q61)-TRUNC(0.5*($Q60+$Q61),0))*(VLOOKUP(TRUNC(0.5*($Q60+$Q61)+1,0),Frauen!$AZ$9:$BD$95,5)-VLOOKUP(TRUNC(0.5*($Q60+$Q61),0),Frauen!$AZ$9:$BD$95,5))),RundDx),"")</f>
        <v/>
      </c>
      <c r="CM60" s="25" t="str">
        <f>IF(CG60&lt;RAM,SUM(CL60:INDEX(Diwx,RAM-BeginnAlter))+INDEX(Dix,RAM-BeginnAlter+1)*INDEX(äwx,1),"")</f>
        <v/>
      </c>
      <c r="CN60" s="24" t="str">
        <f t="shared" si="57"/>
        <v/>
      </c>
      <c r="CO60" s="86"/>
      <c r="CP60" s="35">
        <f t="shared" si="58"/>
        <v>116</v>
      </c>
      <c r="CQ60" s="25"/>
      <c r="CR60" s="25"/>
      <c r="CS60" s="24"/>
      <c r="CT60" s="86"/>
      <c r="CU60" s="35">
        <f t="shared" si="80"/>
        <v>68</v>
      </c>
      <c r="CV60" s="25" t="str">
        <f>IF($CU60&gt;=RAM,"",IF($CU60-CV$103&lt;BeginnAlter,"",ROUND(v^($CU60+FaktorAlter)*$L60*$D60*0.5*(VLOOKUP($CU60-CV$103,Frauen!$G$9:$J$102,4)+VLOOKUP($CU60-CV$103+1,Frauen!$G$9:$J$102,4))*0.5*(VLOOKUP($CU60-CV$103,Frauen!$AZ$9:$BD$102,5)+VLOOKUP($CU60-CV$103+1,Frauen!$AZ$9:$BD$102,5)),RundDx)))</f>
        <v/>
      </c>
      <c r="CW60" s="25" t="str">
        <f>IF($CU60&gt;=RAM,"",IF($CU60-CW$103&lt;BeginnAlter,"",ROUND(v^($CU60+FaktorAlter)*$L60*$D60*0.5*(VLOOKUP($CU60-CW$103,Frauen!$G$9:$J$102,4)+VLOOKUP($CU60-CW$103+1,Frauen!$G$9:$J$102,4))*0.5*(VLOOKUP($CU60-CW$103,Frauen!$AZ$9:$BD$102,5)+VLOOKUP($CU60-CW$103+1,Frauen!$AZ$9:$BD$102,5)),RundDx)))</f>
        <v/>
      </c>
      <c r="CX60" s="25" t="str">
        <f>IF($CU60&gt;=RAM,"",IF($CU60-CX$103&lt;BeginnAlter,"",ROUND(v^($CU60+FaktorAlter)*$L60*$D60*0.5*(VLOOKUP($CU60-CX$103,Frauen!$G$9:$J$102,4)+VLOOKUP($CU60-CX$103+1,Frauen!$G$9:$J$102,4))*0.5*(VLOOKUP($CU60-CX$103,Frauen!$AZ$9:$BD$102,5)+VLOOKUP($CU60-CX$103+1,Frauen!$AZ$9:$BD$102,5)),RundDx)))</f>
        <v/>
      </c>
      <c r="CY60" s="25" t="str">
        <f>IF($CU60&gt;=RAM,"",IF($CU60-CY$103&lt;BeginnAlter,"",ROUND(v^($CU60+FaktorAlter)*$L60*$D60*0.5*(VLOOKUP($CU60-CY$103,Frauen!$G$9:$J$102,4)+VLOOKUP($CU60-CY$103+1,Frauen!$G$9:$J$102,4))*0.5*(VLOOKUP($CU60-CY$103,Frauen!$AZ$9:$BD$102,5)+VLOOKUP($CU60-CY$103+1,Frauen!$AZ$9:$BD$102,5)),RundDx)))</f>
        <v/>
      </c>
      <c r="CZ60" s="25" t="str">
        <f>IF($CU60&gt;=RAM,"",IF($CU60-CZ$103&lt;BeginnAlter,"",ROUND(v^($CU60+FaktorAlter)*$L60*$D60*0.5*(VLOOKUP($CU60-CZ$103,Frauen!$G$9:$J$102,4)+VLOOKUP($CU60-CZ$103+1,Frauen!$G$9:$J$102,4))*0.5*(VLOOKUP($CU60-CZ$103,Frauen!$AZ$9:$BD$102,5)+VLOOKUP($CU60-CZ$103+1,Frauen!$AZ$9:$BD$102,5)),RundDx)))</f>
        <v/>
      </c>
      <c r="DA60" s="25" t="str">
        <f>IF($CU60&gt;=RAM,"",IF($CU60-DA$103&lt;BeginnAlter,"",ROUND(v^($CU60+FaktorAlter)*$L60*$D60*0.5*(VLOOKUP($CU60-DA$103,Frauen!$G$9:$J$102,4)+VLOOKUP($CU60-DA$103+1,Frauen!$G$9:$J$102,4))*0.5*(VLOOKUP($CU60-DA$103,Frauen!$AZ$9:$BD$102,5)+VLOOKUP($CU60-DA$103+1,Frauen!$AZ$9:$BD$102,5)),RundDx)))</f>
        <v/>
      </c>
      <c r="DB60" s="25" t="str">
        <f>IF($CU60&gt;=RAM,"",IF($CU60-DB$103&lt;BeginnAlter,"",ROUND(v^($CU60+FaktorAlter)*$L60*$D60*0.5*(VLOOKUP($CU60-DB$103,Frauen!$G$9:$J$102,4)+VLOOKUP($CU60-DB$103+1,Frauen!$G$9:$J$102,4))*0.5*(VLOOKUP($CU60-DB$103,Frauen!$AZ$9:$BD$102,5)+VLOOKUP($CU60-DB$103+1,Frauen!$AZ$9:$BD$102,5)),RundDx)))</f>
        <v/>
      </c>
      <c r="DC60" s="25" t="str">
        <f>IF($CU60&gt;=RAM,"",IF($CU60-DC$103&lt;BeginnAlter,"",ROUND(v^($CU60+FaktorAlter)*$L60*$D60*0.5*(VLOOKUP($CU60-DC$103,Frauen!$G$9:$J$102,4)+VLOOKUP($CU60-DC$103+1,Frauen!$G$9:$J$102,4))*0.5*(VLOOKUP($CU60-DC$103,Frauen!$AZ$9:$BD$102,5)+VLOOKUP($CU60-DC$103+1,Frauen!$AZ$9:$BD$102,5)),RundDx)))</f>
        <v/>
      </c>
      <c r="DD60" s="25" t="str">
        <f>IF($CU60&gt;=RAM,"",IF($CU60-DD$103&lt;BeginnAlter,"",ROUND(v^($CU60+FaktorAlter)*$L60*$D60*0.5*(VLOOKUP($CU60-DD$103,Frauen!$G$9:$J$102,4)+VLOOKUP($CU60-DD$103+1,Frauen!$G$9:$J$102,4))*0.5*(VLOOKUP($CU60-DD$103,Frauen!$AZ$9:$BD$102,5)+VLOOKUP($CU60-DD$103+1,Frauen!$AZ$9:$BD$102,5)),RundDx)))</f>
        <v/>
      </c>
      <c r="DE60" s="25" t="str">
        <f>IF($CU60&gt;=RAM,"",IF($CU60-DE$103&lt;BeginnAlter,"",ROUND(v^($CU60+FaktorAlter)*$L60*$D60*0.5*(VLOOKUP($CU60-DE$103,Frauen!$G$9:$J$102,4)+VLOOKUP($CU60-DE$103+1,Frauen!$G$9:$J$102,4))*0.5*(VLOOKUP($CU60-DE$103,Frauen!$AZ$9:$BD$102,5)+VLOOKUP($CU60-DE$103+1,Frauen!$AZ$9:$BD$102,5)),RundDx)))</f>
        <v/>
      </c>
      <c r="DF60" s="25" t="str">
        <f>IF($CU60&gt;=RAM,"",IF($CU60-DF$103&lt;BeginnAlter,"",ROUND(v^($CU60+FaktorAlter)*$L60*$D60*0.5*(VLOOKUP($CU60-DF$103,Frauen!$G$9:$J$102,4)+VLOOKUP($CU60-DF$103+1,Frauen!$G$9:$J$102,4))*0.5*(VLOOKUP($CU60-DF$103,Frauen!$AZ$9:$BD$102,5)+VLOOKUP($CU60-DF$103+1,Frauen!$AZ$9:$BD$102,5)),RundDx)))</f>
        <v/>
      </c>
      <c r="DG60" s="25" t="str">
        <f>IF($CU60&gt;=RAM,"",IF($CU60-DG$103&lt;BeginnAlter,"",ROUND(v^($CU60+FaktorAlter)*$L60*$D60*0.5*(VLOOKUP($CU60-DG$103,Frauen!$G$9:$J$102,4)+VLOOKUP($CU60-DG$103+1,Frauen!$G$9:$J$102,4))*0.5*(VLOOKUP($CU60-DG$103,Frauen!$AZ$9:$BD$102,5)+VLOOKUP($CU60-DG$103+1,Frauen!$AZ$9:$BD$102,5)),RundDx)))</f>
        <v/>
      </c>
      <c r="DH60" s="25" t="str">
        <f>IF($CU60&gt;=RAM,"",IF($CU60-DH$103&lt;BeginnAlter,"",ROUND(v^($CU60+FaktorAlter)*$L60*$D60*0.5*(VLOOKUP($CU60-DH$103,Frauen!$G$9:$J$102,4)+VLOOKUP($CU60-DH$103+1,Frauen!$G$9:$J$102,4))*0.5*(VLOOKUP($CU60-DH$103,Frauen!$AZ$9:$BD$102,5)+VLOOKUP($CU60-DH$103+1,Frauen!$AZ$9:$BD$102,5)),RundDx)))</f>
        <v/>
      </c>
      <c r="DI60" s="25" t="str">
        <f>IF($CU60&gt;=RAM,"",IF($CU60-DI$103&lt;BeginnAlter,"",ROUND(v^($CU60+FaktorAlter)*$L60*$D60*0.5*(VLOOKUP($CU60-DI$103,Frauen!$G$9:$J$102,4)+VLOOKUP($CU60-DI$103+1,Frauen!$G$9:$J$102,4))*0.5*(VLOOKUP($CU60-DI$103,Frauen!$AZ$9:$BD$102,5)+VLOOKUP($CU60-DI$103+1,Frauen!$AZ$9:$BD$102,5)),RundDx)))</f>
        <v/>
      </c>
      <c r="DJ60" s="25" t="str">
        <f>IF($CU60&gt;=RAM,"",IF($CU60-DJ$103&lt;BeginnAlter,"",ROUND(v^($CU60+FaktorAlter)*$L60*$D60*0.5*(VLOOKUP($CU60-DJ$103,Frauen!$G$9:$J$102,4)+VLOOKUP($CU60-DJ$103+1,Frauen!$G$9:$J$102,4))*0.5*(VLOOKUP($CU60-DJ$103,Frauen!$AZ$9:$BD$102,5)+VLOOKUP($CU60-DJ$103+1,Frauen!$AZ$9:$BD$102,5)),RundDx)))</f>
        <v/>
      </c>
      <c r="DK60" s="25" t="str">
        <f>IF($CU60&gt;=RAM,"",IF($CU60-DK$103&lt;BeginnAlter,"",ROUND(v^($CU60+FaktorAlter)*$L60*$D60*0.5*(VLOOKUP($CU60-DK$103,Frauen!$G$9:$J$102,4)+VLOOKUP($CU60-DK$103+1,Frauen!$G$9:$J$102,4))*0.5*(VLOOKUP($CU60-DK$103,Frauen!$AZ$9:$BD$102,5)+VLOOKUP($CU60-DK$103+1,Frauen!$AZ$9:$BD$102,5)),RundDx)))</f>
        <v/>
      </c>
      <c r="DL60" s="25" t="str">
        <f>IF($CU60&gt;=RAM,"",IF($CU60-DL$103&lt;BeginnAlter,"",ROUND(v^($CU60+FaktorAlter)*$L60*$D60*0.5*(VLOOKUP($CU60-DL$103,Frauen!$G$9:$J$102,4)+VLOOKUP($CU60-DL$103+1,Frauen!$G$9:$J$102,4))*0.5*(VLOOKUP($CU60-DL$103,Frauen!$AZ$9:$BD$102,5)+VLOOKUP($CU60-DL$103+1,Frauen!$AZ$9:$BD$102,5)),RundDx)))</f>
        <v/>
      </c>
      <c r="DM60" s="25" t="str">
        <f>IF($CU60&gt;=RAM,"",IF($CU60-DM$103&lt;BeginnAlter,"",ROUND(v^($CU60+FaktorAlter)*$L60*$D60*0.5*(VLOOKUP($CU60-DM$103,Frauen!$G$9:$J$102,4)+VLOOKUP($CU60-DM$103+1,Frauen!$G$9:$J$102,4))*0.5*(VLOOKUP($CU60-DM$103,Frauen!$AZ$9:$BD$102,5)+VLOOKUP($CU60-DM$103+1,Frauen!$AZ$9:$BD$102,5)),RundDx)))</f>
        <v/>
      </c>
      <c r="DN60" s="25" t="str">
        <f>IF($CU60&gt;=RAM,"",IF($CU60-DN$103&lt;BeginnAlter,"",ROUND(v^($CU60+FaktorAlter)*$L60*$D60*0.5*(VLOOKUP($CU60-DN$103,Frauen!$G$9:$J$102,4)+VLOOKUP($CU60-DN$103+1,Frauen!$G$9:$J$102,4))*0.5*(VLOOKUP($CU60-DN$103,Frauen!$AZ$9:$BD$102,5)+VLOOKUP($CU60-DN$103+1,Frauen!$AZ$9:$BD$102,5)),RundDx)))</f>
        <v/>
      </c>
      <c r="DO60" s="25" t="str">
        <f>IF($CU60&gt;=RAM,"",IF($CU60-DO$103&lt;BeginnAlter,"",ROUND(v^($CU60+FaktorAlter)*$L60*$D60*0.5*(VLOOKUP($CU60-DO$103,Frauen!$G$9:$J$102,4)+VLOOKUP($CU60-DO$103+1,Frauen!$G$9:$J$102,4))*0.5*(VLOOKUP($CU60-DO$103,Frauen!$AZ$9:$BD$102,5)+VLOOKUP($CU60-DO$103+1,Frauen!$AZ$9:$BD$102,5)),RundDx)))</f>
        <v/>
      </c>
      <c r="DP60" s="25" t="str">
        <f>IF($CU60&gt;=RAM,"",IF($CU60-DP$103&lt;BeginnAlter,"",ROUND(v^($CU60+FaktorAlter)*$L60*$D60*0.5*(VLOOKUP($CU60-DP$103,Frauen!$G$9:$J$102,4)+VLOOKUP($CU60-DP$103+1,Frauen!$G$9:$J$102,4))*0.5*(VLOOKUP($CU60-DP$103,Frauen!$AZ$9:$BD$102,5)+VLOOKUP($CU60-DP$103+1,Frauen!$AZ$9:$BD$102,5)),RundDx)))</f>
        <v/>
      </c>
      <c r="DQ60" s="25" t="str">
        <f>IF($CU60&gt;=RAM,"",IF($CU60-DQ$103&lt;BeginnAlter,"",ROUND(v^($CU60+FaktorAlter)*$L60*$D60*0.5*(VLOOKUP($CU60-DQ$103,Frauen!$G$9:$J$102,4)+VLOOKUP($CU60-DQ$103+1,Frauen!$G$9:$J$102,4))*0.5*(VLOOKUP($CU60-DQ$103,Frauen!$AZ$9:$BD$102,5)+VLOOKUP($CU60-DQ$103+1,Frauen!$AZ$9:$BD$102,5)),RundDx)))</f>
        <v/>
      </c>
      <c r="DR60" s="25" t="str">
        <f>IF($CU60&gt;=RAM,"",IF($CU60-DR$103&lt;BeginnAlter,"",ROUND(v^($CU60+FaktorAlter)*$L60*$D60*0.5*(VLOOKUP($CU60-DR$103,Frauen!$G$9:$J$102,4)+VLOOKUP($CU60-DR$103+1,Frauen!$G$9:$J$102,4))*0.5*(VLOOKUP($CU60-DR$103,Frauen!$AZ$9:$BD$102,5)+VLOOKUP($CU60-DR$103+1,Frauen!$AZ$9:$BD$102,5)),RundDx)))</f>
        <v/>
      </c>
      <c r="DS60" s="25" t="str">
        <f>IF($CU60&gt;=RAM,"",IF($CU60-DS$103&lt;BeginnAlter,"",ROUND(v^($CU60+FaktorAlter)*$L60*$D60*0.5*(VLOOKUP($CU60-DS$103,Frauen!$G$9:$J$102,4)+VLOOKUP($CU60-DS$103+1,Frauen!$G$9:$J$102,4))*0.5*(VLOOKUP($CU60-DS$103,Frauen!$AZ$9:$BD$102,5)+VLOOKUP($CU60-DS$103+1,Frauen!$AZ$9:$BD$102,5)),RundDx)))</f>
        <v/>
      </c>
      <c r="DT60" s="25" t="str">
        <f>IF($CU60&gt;=RAM,"",IF($CU60-DT$103&lt;BeginnAlter,"",ROUND(v^($CU60+FaktorAlter)*$L60*$D60*0.5*(VLOOKUP($CU60-DT$103,Frauen!$G$9:$J$102,4)+VLOOKUP($CU60-DT$103+1,Frauen!$G$9:$J$102,4))*0.5*(VLOOKUP($CU60-DT$103,Frauen!$AZ$9:$BD$102,5)+VLOOKUP($CU60-DT$103+1,Frauen!$AZ$9:$BD$102,5)),RundDx)))</f>
        <v/>
      </c>
      <c r="DU60" s="25" t="str">
        <f>IF($CU60&gt;=RAM,"",IF($CU60-DU$103&lt;BeginnAlter,"",ROUND(v^($CU60+FaktorAlter)*$L60*$D60*0.5*(VLOOKUP($CU60-DU$103,Frauen!$G$9:$J$102,4)+VLOOKUP($CU60-DU$103+1,Frauen!$G$9:$J$102,4))*0.5*(VLOOKUP($CU60-DU$103,Frauen!$AZ$9:$BD$102,5)+VLOOKUP($CU60-DU$103+1,Frauen!$AZ$9:$BD$102,5)),RundDx)))</f>
        <v/>
      </c>
      <c r="DV60" s="25" t="str">
        <f>IF($CU60&gt;=RAM,"",IF($CU60-DV$103&lt;BeginnAlter,"",ROUND(v^($CU60+FaktorAlter)*$L60*$D60*0.5*(VLOOKUP($CU60-DV$103,Frauen!$G$9:$J$102,4)+VLOOKUP($CU60-DV$103+1,Frauen!$G$9:$J$102,4))*0.5*(VLOOKUP($CU60-DV$103,Frauen!$AZ$9:$BD$102,5)+VLOOKUP($CU60-DV$103+1,Frauen!$AZ$9:$BD$102,5)),RundDx)))</f>
        <v/>
      </c>
      <c r="DW60" s="25" t="str">
        <f>IF($CU60&gt;=RAM,"",IF($CU60-DW$103&lt;BeginnAlter,"",ROUND(v^($CU60+FaktorAlter)*$L60*$D60*0.5*(VLOOKUP($CU60-DW$103,Frauen!$G$9:$J$102,4)+VLOOKUP($CU60-DW$103+1,Frauen!$G$9:$J$102,4))*0.5*(VLOOKUP($CU60-DW$103,Frauen!$AZ$9:$BD$102,5)+VLOOKUP($CU60-DW$103+1,Frauen!$AZ$9:$BD$102,5)),RundDx)))</f>
        <v/>
      </c>
      <c r="DX60" s="25" t="str">
        <f>IF($CU60&gt;=RAM,"",IF($CU60-DX$103&lt;BeginnAlter,"",ROUND(v^($CU60+FaktorAlter)*$L60*$D60*0.5*(VLOOKUP($CU60-DX$103,Frauen!$G$9:$J$102,4)+VLOOKUP($CU60-DX$103+1,Frauen!$G$9:$J$102,4))*0.5*(VLOOKUP($CU60-DX$103,Frauen!$AZ$9:$BD$102,5)+VLOOKUP($CU60-DX$103+1,Frauen!$AZ$9:$BD$102,5)),RundDx)))</f>
        <v/>
      </c>
      <c r="DY60" s="25" t="str">
        <f>IF($CU60&gt;=RAM,"",IF($CU60-DY$103&lt;BeginnAlter,"",ROUND(v^($CU60+FaktorAlter)*$L60*$D60*0.5*(VLOOKUP($CU60-DY$103,Frauen!$G$9:$J$102,4)+VLOOKUP($CU60-DY$103+1,Frauen!$G$9:$J$102,4))*0.5*(VLOOKUP($CU60-DY$103,Frauen!$AZ$9:$BD$102,5)+VLOOKUP($CU60-DY$103+1,Frauen!$AZ$9:$BD$102,5)),RundDx)))</f>
        <v/>
      </c>
      <c r="DZ60" s="25" t="str">
        <f>IF($CU60&gt;=RAM,"",IF($CU60-DZ$103&lt;BeginnAlter,"",ROUND(v^($CU60+FaktorAlter)*$L60*$D60*0.5*(VLOOKUP($CU60-DZ$103,Frauen!$G$9:$J$102,4)+VLOOKUP($CU60-DZ$103+1,Frauen!$G$9:$J$102,4))*0.5*(VLOOKUP($CU60-DZ$103,Frauen!$AZ$9:$BD$102,5)+VLOOKUP($CU60-DZ$103+1,Frauen!$AZ$9:$BD$102,5)),RundDx)))</f>
        <v/>
      </c>
      <c r="EA60" s="43" t="str">
        <f>IF($CU60&gt;=RAM,"",IF($CU60-EA$103&lt;BeginnAlter,"",ROUND((SUM(CV$56:CV60)+SUM(FN$9:FN$56))/VLOOKUP($CU60,$AH$9:$AI$102,2)/VLOOKUP($CU60-EA$103,Frauen!$G$9:$J$102,4),Rundäx)))</f>
        <v/>
      </c>
      <c r="EB60" s="43" t="str">
        <f>IF($CU60&gt;=RAM,"",IF($CU60-EB$103&lt;BeginnAlter,"",ROUND((SUM(CW$56:CW60)+SUM(FO$9:FO$56))/VLOOKUP($CU60,$AH$9:$AI$102,2)/VLOOKUP($CU60-EB$103,Frauen!$G$9:$J$102,4),Rundäx)))</f>
        <v/>
      </c>
      <c r="EC60" s="43" t="str">
        <f>IF($CU60&gt;=RAM,"",IF($CU60-EC$103&lt;BeginnAlter,"",ROUND((SUM(CX$56:CX60)+SUM(FP$9:FP$56))/VLOOKUP($CU60,$AH$9:$AI$102,2)/VLOOKUP($CU60-EC$103,Frauen!$G$9:$J$102,4),Rundäx)))</f>
        <v/>
      </c>
      <c r="ED60" s="43" t="str">
        <f>IF($CU60&gt;=RAM,"",IF($CU60-ED$103&lt;BeginnAlter,"",ROUND((SUM(CY$56:CY60)+SUM(FQ$9:FQ$56))/VLOOKUP($CU60,$AH$9:$AI$102,2)/VLOOKUP($CU60-ED$103,Frauen!$G$9:$J$102,4),Rundäx)))</f>
        <v/>
      </c>
      <c r="EE60" s="43" t="str">
        <f>IF($CU60&gt;=RAM,"",IF($CU60-EE$103&lt;BeginnAlter,"",ROUND((SUM(CZ$56:CZ60)+SUM(FR$9:FR$56))/VLOOKUP($CU60,$AH$9:$AI$102,2)/VLOOKUP($CU60-EE$103,Frauen!$G$9:$J$102,4),Rundäx)))</f>
        <v/>
      </c>
      <c r="EF60" s="43" t="str">
        <f>IF($CU60&gt;=RAM,"",IF($CU60-EF$103&lt;BeginnAlter,"",ROUND((SUM(DA$56:DA60)+SUM(FS$9:FS$56))/VLOOKUP($CU60,$AH$9:$AI$102,2)/VLOOKUP($CU60-EF$103,Frauen!$G$9:$J$102,4),Rundäx)))</f>
        <v/>
      </c>
      <c r="EG60" s="43" t="str">
        <f>IF($CU60&gt;=RAM,"",IF($CU60-EG$103&lt;BeginnAlter,"",ROUND((SUM(DB$56:DB60)+SUM(FT$9:FT$56))/VLOOKUP($CU60,$AH$9:$AI$102,2)/VLOOKUP($CU60-EG$103,Frauen!$G$9:$J$102,4),Rundäx)))</f>
        <v/>
      </c>
      <c r="EH60" s="43" t="str">
        <f>IF($CU60&gt;=RAM,"",IF($CU60-EH$103&lt;BeginnAlter,"",ROUND((SUM(DC$56:DC60)+SUM(FU$9:FU$56))/VLOOKUP($CU60,$AH$9:$AI$102,2)/VLOOKUP($CU60-EH$103,Frauen!$G$9:$J$102,4),Rundäx)))</f>
        <v/>
      </c>
      <c r="EI60" s="86"/>
      <c r="EJ60" s="35">
        <f t="shared" si="60"/>
        <v>68</v>
      </c>
      <c r="EK60" s="43" t="str">
        <f>IF($CU60&gt;=RAM,"",IF($CU60-EK$103&lt;BeginnAlter,"",ROUND((SUM(DD$56:DD60)+SUM(FV$9:FV$56))/VLOOKUP($CU60,$AH$9:$AI$102,2)/VLOOKUP($CU60-EK$103,Frauen!$G$9:$J$102,4),Rundäx)))</f>
        <v/>
      </c>
      <c r="EL60" s="43" t="str">
        <f>IF($CU60&gt;=RAM,"",IF($CU60-EL$103&lt;BeginnAlter,"",ROUND((SUM(DE$56:DE60)+SUM(FW$9:FW$56))/VLOOKUP($CU60,$AH$9:$AI$102,2)/VLOOKUP($CU60-EL$103,Frauen!$G$9:$J$102,4),Rundäx)))</f>
        <v/>
      </c>
      <c r="EM60" s="43" t="str">
        <f>IF($CU60&gt;=RAM,"",IF($CU60-EM$103&lt;BeginnAlter,"",ROUND((SUM(DF$56:DF60)+SUM(FX$9:FX$56))/VLOOKUP($CU60,$AH$9:$AI$102,2)/VLOOKUP($CU60-EM$103,Frauen!$G$9:$J$102,4),Rundäx)))</f>
        <v/>
      </c>
      <c r="EN60" s="43" t="str">
        <f>IF($CU60&gt;=RAM,"",IF($CU60-EN$103&lt;BeginnAlter,"",ROUND((SUM(DG$56:DG60)+SUM(FY$9:FY$56))/VLOOKUP($CU60,$AH$9:$AI$102,2)/VLOOKUP($CU60-EN$103,Frauen!$G$9:$J$102,4),Rundäx)))</f>
        <v/>
      </c>
      <c r="EO60" s="43" t="str">
        <f>IF($CU60&gt;=RAM,"",IF($CU60-EO$103&lt;BeginnAlter,"",ROUND((SUM(DH$56:DH60)+SUM(FZ$9:FZ$56))/VLOOKUP($CU60,$AH$9:$AI$102,2)/VLOOKUP($CU60-EO$103,Frauen!$G$9:$J$102,4),Rundäx)))</f>
        <v/>
      </c>
      <c r="EP60" s="43" t="str">
        <f>IF($CU60&gt;=RAM,"",IF($CU60-EP$103&lt;BeginnAlter,"",ROUND((SUM(DI$56:DI60)+SUM(GA$9:GA$56))/VLOOKUP($CU60,$AH$9:$AI$102,2)/VLOOKUP($CU60-EP$103,Frauen!$G$9:$J$102,4),Rundäx)))</f>
        <v/>
      </c>
      <c r="EQ60" s="43" t="str">
        <f>IF($CU60&gt;=RAM,"",IF($CU60-EQ$103&lt;BeginnAlter,"",ROUND((SUM(DJ$56:DJ60)+SUM(GB$9:GB$56))/VLOOKUP($CU60,$AH$9:$AI$102,2)/VLOOKUP($CU60-EQ$103,Frauen!$G$9:$J$102,4),Rundäx)))</f>
        <v/>
      </c>
      <c r="ER60" s="43" t="str">
        <f>IF($CU60&gt;=RAM,"",IF($CU60-ER$103&lt;BeginnAlter,"",ROUND((SUM(DK$56:DK60)+SUM(GC$9:GC$56))/VLOOKUP($CU60,$AH$9:$AI$102,2)/VLOOKUP($CU60-ER$103,Frauen!$G$9:$J$102,4),Rundäx)))</f>
        <v/>
      </c>
      <c r="ES60" s="86"/>
      <c r="ET60" s="35">
        <f t="shared" si="61"/>
        <v>68</v>
      </c>
      <c r="EU60" s="43" t="str">
        <f>IF($CU60&gt;=RAM,"",IF($CU60-EU$103&lt;BeginnAlter,"",ROUND((SUM(DL$56:DL60)+SUM(GD$9:GD$56))/VLOOKUP($CU60,$AH$9:$AI$102,2)/VLOOKUP($CU60-EU$103,Frauen!$G$9:$J$102,4),Rundäx)))</f>
        <v/>
      </c>
      <c r="EV60" s="43" t="str">
        <f>IF($CU60&gt;=RAM,"",IF($CU60-EV$103&lt;BeginnAlter,"",ROUND((SUM(DM$56:DM60)+SUM(GE$9:GE$56))/VLOOKUP($CU60,$AH$9:$AI$102,2)/VLOOKUP($CU60-EV$103,Frauen!$G$9:$J$102,4),Rundäx)))</f>
        <v/>
      </c>
      <c r="EW60" s="43" t="str">
        <f>IF($CU60&gt;=RAM,"",IF($CU60-EW$103&lt;BeginnAlter,"",ROUND((SUM(DN$56:DN60)+SUM(GF$9:GF$56))/VLOOKUP($CU60,$AH$9:$AI$102,2)/VLOOKUP($CU60-EW$103,Frauen!$G$9:$J$102,4),Rundäx)))</f>
        <v/>
      </c>
      <c r="EX60" s="43" t="str">
        <f>IF($CU60&gt;=RAM,"",IF($CU60-EX$103&lt;BeginnAlter,"",ROUND((SUM(DO$56:DO60)+SUM(GG$9:GG$56))/VLOOKUP($CU60,$AH$9:$AI$102,2)/VLOOKUP($CU60-EX$103,Frauen!$G$9:$J$102,4),Rundäx)))</f>
        <v/>
      </c>
      <c r="EY60" s="43" t="str">
        <f>IF($CU60&gt;=RAM,"",IF($CU60-EY$103&lt;BeginnAlter,"",ROUND((SUM(DP$56:DP60)+SUM(GH$9:GH$56))/VLOOKUP($CU60,$AH$9:$AI$102,2)/VLOOKUP($CU60-EY$103,Frauen!$G$9:$J$102,4),Rundäx)))</f>
        <v/>
      </c>
      <c r="EZ60" s="43" t="str">
        <f>IF($CU60&gt;=RAM,"",IF($CU60-EZ$103&lt;BeginnAlter,"",ROUND((SUM(DQ$56:DQ60)+SUM(GI$9:GI$56))/VLOOKUP($CU60,$AH$9:$AI$102,2)/VLOOKUP($CU60-EZ$103,Frauen!$G$9:$J$102,4),Rundäx)))</f>
        <v/>
      </c>
      <c r="FA60" s="43" t="str">
        <f>IF($CU60&gt;=RAM,"",IF($CU60-FA$103&lt;BeginnAlter,"",ROUND((SUM(DR$56:DR60)+SUM(GJ$9:GJ$56))/VLOOKUP($CU60,$AH$9:$AI$102,2)/VLOOKUP($CU60-FA$103,Frauen!$G$9:$J$102,4),Rundäx)))</f>
        <v/>
      </c>
      <c r="FB60" s="43" t="str">
        <f>IF($CU60&gt;=RAM,"",IF($CU60-FB$103&lt;BeginnAlter,"",ROUND((SUM(DS$56:DS60)+SUM(GK$9:GK$56))/VLOOKUP($CU60,$AH$9:$AI$102,2)/VLOOKUP($CU60-FB$103,Frauen!$G$9:$J$102,4),Rundäx)))</f>
        <v/>
      </c>
      <c r="FC60" s="86"/>
      <c r="FD60" s="35">
        <f t="shared" si="62"/>
        <v>68</v>
      </c>
      <c r="FE60" s="43" t="str">
        <f>IF($CU60&gt;=RAM,"",IF($CU60-FE$103&lt;BeginnAlter,"",ROUND((SUM(DT$56:DT60)+SUM(GL$9:GL$56))/VLOOKUP($CU60,$AH$9:$AI$102,2)/VLOOKUP($CU60-FE$103,Frauen!$G$9:$J$102,4),Rundäx)))</f>
        <v/>
      </c>
      <c r="FF60" s="43" t="str">
        <f>IF($CU60&gt;=RAM,"",IF($CU60-FF$103&lt;BeginnAlter,"",ROUND((SUM(DU$56:DU60)+SUM(GM$9:GM$56))/VLOOKUP($CU60,$AH$9:$AI$102,2)/VLOOKUP($CU60-FF$103,Frauen!$G$9:$J$102,4),Rundäx)))</f>
        <v/>
      </c>
      <c r="FG60" s="43" t="str">
        <f>IF($CU60&gt;=RAM,"",IF($CU60-FG$103&lt;BeginnAlter,"",ROUND((SUM(DV$56:DV60)+SUM(GN$9:GN$56))/VLOOKUP($CU60,$AH$9:$AI$102,2)/VLOOKUP($CU60-FG$103,Frauen!$G$9:$J$102,4),Rundäx)))</f>
        <v/>
      </c>
      <c r="FH60" s="43" t="str">
        <f>IF($CU60&gt;=RAM,"",IF($CU60-FH$103&lt;BeginnAlter,"",ROUND((SUM(DW$56:DW60)+SUM(GO$9:GO$56))/VLOOKUP($CU60,$AH$9:$AI$102,2)/VLOOKUP($CU60-FH$103,Frauen!$G$9:$J$102,4),Rundäx)))</f>
        <v/>
      </c>
      <c r="FI60" s="43" t="str">
        <f>IF($CU60&gt;=RAM,"",IF($CU60-FI$103&lt;BeginnAlter,"",ROUND((SUM(DX$56:DX60)+SUM(GP$9:GP$56))/VLOOKUP($CU60,$AH$9:$AI$102,2)/VLOOKUP($CU60-FI$103,Frauen!$G$9:$J$102,4),Rundäx)))</f>
        <v/>
      </c>
      <c r="FJ60" s="43" t="str">
        <f>IF($CU60&gt;=RAM,"",IF($CU60-FJ$103&lt;BeginnAlter,"",ROUND((SUM(DY$56:DY60)+SUM(GQ$9:GQ$56))/VLOOKUP($CU60,$AH$9:$AI$102,2)/VLOOKUP($CU60-FJ$103,Frauen!$G$9:$J$102,4),Rundäx)))</f>
        <v/>
      </c>
      <c r="FK60" s="43" t="str">
        <f>IF($CU60&gt;=RAM,"",IF($CU60-FK$103&lt;BeginnAlter,"",ROUND((SUM(DZ$56:DZ60)+SUM(GR$9:GR$56))/VLOOKUP($CU60,$AH$9:$AI$102,2)/VLOOKUP($CU60-FK$103,Frauen!$G$9:$J$102,4),Rundäx)))</f>
        <v/>
      </c>
      <c r="FL60" s="86"/>
      <c r="FM60" s="35">
        <f t="shared" si="68"/>
        <v>116</v>
      </c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4"/>
      <c r="GT60" s="24"/>
      <c r="GU60" s="24" t="str">
        <f>IF(FM60&gt;=RAM," ",#REF!/$AI60/Frauen!$J48)</f>
        <v xml:space="preserve"> </v>
      </c>
      <c r="GV60" s="24" t="str">
        <f>IF(FM60&gt;=RAM," ",#REF!/$AI60/Frauen!$J51)</f>
        <v xml:space="preserve"> </v>
      </c>
      <c r="GW60" s="24" t="str">
        <f>IF(FM60&gt;=RAM," ",#REF!/$AI60/Frauen!$J54)</f>
        <v xml:space="preserve"> </v>
      </c>
      <c r="GX60" s="24" t="str">
        <f>IF(FM60&gt;=RAM," ",#REF!/$AI60/Frauen!$J57)</f>
        <v xml:space="preserve"> </v>
      </c>
      <c r="GY60" s="24" t="str">
        <f>IF(FM60&gt;=RAM," ",#REF!/$AI60/Frauen!$J60)</f>
        <v xml:space="preserve"> </v>
      </c>
      <c r="GZ60" s="24" t="str">
        <f>IF(FM60&gt;=RAM," ",#REF!/$AI60/Frauen!$J63)</f>
        <v xml:space="preserve"> </v>
      </c>
      <c r="HA60" s="86"/>
      <c r="HB60" s="35">
        <f t="shared" si="63"/>
        <v>116</v>
      </c>
      <c r="HC60" s="24"/>
      <c r="HD60" s="24"/>
      <c r="HE60" s="24"/>
      <c r="HF60" s="24"/>
      <c r="HG60" s="24"/>
      <c r="HH60" s="24"/>
      <c r="HI60" s="24"/>
      <c r="HJ60" s="24"/>
      <c r="HK60" s="86"/>
      <c r="HL60" s="35">
        <f t="shared" si="64"/>
        <v>116</v>
      </c>
      <c r="HM60" s="24"/>
      <c r="HN60" s="24"/>
      <c r="HO60" s="24"/>
      <c r="HP60" s="24"/>
      <c r="HQ60" s="24"/>
      <c r="HR60" s="24"/>
      <c r="HS60" s="24"/>
      <c r="HT60" s="24"/>
      <c r="HU60" s="86"/>
      <c r="HV60" s="35">
        <f t="shared" si="65"/>
        <v>116</v>
      </c>
      <c r="HW60" s="24"/>
      <c r="HX60" s="24"/>
      <c r="HY60" s="24"/>
      <c r="HZ60" s="24"/>
      <c r="IA60" s="24"/>
      <c r="IB60" s="24"/>
      <c r="IC60" s="24"/>
      <c r="ID60" s="89"/>
      <c r="IE60" s="35">
        <f t="shared" si="81"/>
        <v>68</v>
      </c>
      <c r="IF60" s="25" t="str">
        <f t="shared" si="31"/>
        <v/>
      </c>
      <c r="IG60" s="25" t="str">
        <f>IF($IE60&lt;RAM,IF(S61&lt;=RAK,ROUND(SUM(IF60:INDEX(Dakx,RAM-BeginnAlter))+INDEX(Dax,RAM-BeginnAlter+1)*INDEX(äkx,1),RundDx),0),"")</f>
        <v/>
      </c>
      <c r="IH60" s="25" t="str">
        <f>IF($IE60&lt;RAM,IF(S61&lt;=RAK,ROUND(SUM(IG60:INDEX(Nakx,RAM-BeginnAlter))+INDEX(Dax,RAM-BeginnAlter+1)*INDEX(äkx,1),RundDx),0),"")</f>
        <v/>
      </c>
      <c r="II60" s="24" t="str">
        <f t="shared" si="32"/>
        <v/>
      </c>
      <c r="IJ60" s="25" t="str">
        <f t="shared" si="33"/>
        <v/>
      </c>
      <c r="IK60" s="25" t="str">
        <f>IF($IE60&lt;RAM,IF(S61&lt;=RAK,SUM(IJ60:INDEX(Dikx,RAM-BeginnAlter))+INDEX(Dix,RAM-BeginnAlter+1)*INDEX(äkx,1),0),"")</f>
        <v/>
      </c>
      <c r="IL60" s="24" t="str">
        <f t="shared" si="34"/>
        <v/>
      </c>
      <c r="IM60" s="86"/>
      <c r="IN60" s="35">
        <f t="shared" si="67"/>
        <v>116</v>
      </c>
      <c r="IO60" s="25"/>
      <c r="IP60" s="25"/>
      <c r="IQ60" s="24"/>
      <c r="IR60" s="86"/>
    </row>
    <row r="61" spans="1:252" ht="15.75" customHeight="1" x14ac:dyDescent="0.25">
      <c r="A61" s="35">
        <f t="shared" si="69"/>
        <v>69</v>
      </c>
      <c r="B61" s="77"/>
      <c r="C61" s="77"/>
      <c r="D61" s="77"/>
      <c r="E61" s="77">
        <v>2.1299999999999999E-2</v>
      </c>
      <c r="F61" s="86"/>
      <c r="G61" s="35">
        <f t="shared" si="70"/>
        <v>69</v>
      </c>
      <c r="H61" s="25" t="str">
        <f t="shared" si="37"/>
        <v/>
      </c>
      <c r="I61" s="25" t="str">
        <f t="shared" si="38"/>
        <v/>
      </c>
      <c r="J61" s="25">
        <f t="shared" si="39"/>
        <v>81167</v>
      </c>
      <c r="K61" s="30">
        <f>IF(J61&gt;0,ROUND(SUM(J61:J$102)/J61-0.5,Rundex),"")</f>
        <v>14.67</v>
      </c>
      <c r="L61" s="25">
        <f t="shared" si="0"/>
        <v>81167</v>
      </c>
      <c r="M61" s="30">
        <f>IF(L61&gt;0,ROUND(SUM(L61:L$102)/L61-0.5,Rundex),"")</f>
        <v>14.67</v>
      </c>
      <c r="N61" s="86"/>
      <c r="O61" s="35">
        <f t="shared" si="71"/>
        <v>69</v>
      </c>
      <c r="P61" s="43">
        <v>0.77770687257890669</v>
      </c>
      <c r="Q61" s="78">
        <v>64.865240999918697</v>
      </c>
      <c r="R61" s="43">
        <v>1.0999999999999999E-2</v>
      </c>
      <c r="S61" s="78">
        <v>20.842771563134509</v>
      </c>
      <c r="T61" s="15">
        <v>3.3848419340730289E-2</v>
      </c>
      <c r="U61" s="11">
        <f t="shared" si="40"/>
        <v>74227</v>
      </c>
      <c r="V61" s="30">
        <f>IF(U61&gt;0,ROUND(SUM(U61:U$102)/U61-0.5,Rundex),"")</f>
        <v>13.3</v>
      </c>
      <c r="W61" s="86"/>
      <c r="X61" s="35">
        <f t="shared" si="72"/>
        <v>69</v>
      </c>
      <c r="Y61" s="25" t="str">
        <f t="shared" si="1"/>
        <v xml:space="preserve"> </v>
      </c>
      <c r="Z61" s="25" t="str">
        <f>IF($X61&lt;RAM,SUM(Y61:INDEX(Dax,RAM-BeginnAlter))," ")</f>
        <v xml:space="preserve"> </v>
      </c>
      <c r="AA61" s="25" t="str">
        <f t="shared" si="2"/>
        <v xml:space="preserve"> </v>
      </c>
      <c r="AB61" s="25" t="str">
        <f>IF($X61&lt;RAM,SUM(AA61:INDEX(Cax,RAM-BeginnAlter))," ")</f>
        <v xml:space="preserve"> </v>
      </c>
      <c r="AC61" s="25" t="str">
        <f t="shared" si="3"/>
        <v xml:space="preserve"> </v>
      </c>
      <c r="AD61" s="25" t="str">
        <f>IF($X61&lt;RAM,SUM(AC61:INDEX(Caix,RAM-BeginnAlter))," ")</f>
        <v xml:space="preserve"> </v>
      </c>
      <c r="AE61" s="24" t="str">
        <f t="shared" si="4"/>
        <v xml:space="preserve"> </v>
      </c>
      <c r="AF61" s="24" t="str">
        <f t="shared" si="5"/>
        <v xml:space="preserve"> </v>
      </c>
      <c r="AG61" s="86"/>
      <c r="AH61" s="35">
        <f t="shared" si="73"/>
        <v>69</v>
      </c>
      <c r="AI61" s="25" t="str">
        <f t="shared" si="6"/>
        <v xml:space="preserve"> </v>
      </c>
      <c r="AJ61" s="25" t="str">
        <f>IF($AH61&gt;RAM," ",IF($AH61&lt;RAM,SUM(AI61:INDEX(Dix,RAM-BeginnAlter))+INDEX(Nx,RAM-BeginnAlter+1),INDEX(Nx,RAM-BeginnAlter+1)))</f>
        <v xml:space="preserve"> </v>
      </c>
      <c r="AK61" s="25" t="str">
        <f>IF($AH61&lt;RAM,SUM(AI61:INDEX(Dix,RAM-BeginnAlter))," ")</f>
        <v xml:space="preserve"> </v>
      </c>
      <c r="AL61" s="24" t="str">
        <f t="shared" si="7"/>
        <v xml:space="preserve"> </v>
      </c>
      <c r="AM61" s="24" t="str">
        <f t="shared" si="8"/>
        <v xml:space="preserve"> </v>
      </c>
      <c r="AN61" s="24" t="str">
        <f t="shared" si="9"/>
        <v xml:space="preserve"> </v>
      </c>
      <c r="AO61" s="24" t="str">
        <f t="shared" si="10"/>
        <v xml:space="preserve"> </v>
      </c>
      <c r="AP61" s="86"/>
      <c r="AQ61" s="35">
        <f t="shared" si="74"/>
        <v>69</v>
      </c>
      <c r="AR61" s="25">
        <f t="shared" si="11"/>
        <v>17483</v>
      </c>
      <c r="AS61" s="25">
        <f>SUM(AR61:AR$94)</f>
        <v>219816</v>
      </c>
      <c r="AT61" s="25" t="str">
        <f>IF($AQ61&lt;RAM,SUM(AR61:INDEX(Dx,RAM-BeginnAlter))," ")</f>
        <v xml:space="preserve"> </v>
      </c>
      <c r="AU61" s="24">
        <f t="shared" si="12"/>
        <v>12.573</v>
      </c>
      <c r="AV61" s="24">
        <f t="shared" si="13"/>
        <v>12.115</v>
      </c>
      <c r="AW61" s="24" t="str">
        <f t="shared" si="14"/>
        <v xml:space="preserve"> </v>
      </c>
      <c r="AX61" s="24" t="str">
        <f t="shared" si="15"/>
        <v xml:space="preserve"> </v>
      </c>
      <c r="AY61" s="86"/>
      <c r="AZ61" s="35">
        <f t="shared" si="75"/>
        <v>69</v>
      </c>
      <c r="BA61" s="25">
        <f t="shared" si="16"/>
        <v>15988</v>
      </c>
      <c r="BB61" s="25">
        <f>SUM(BA61:BA$94)</f>
        <v>184385</v>
      </c>
      <c r="BC61" s="24">
        <f t="shared" si="17"/>
        <v>11.532999999999999</v>
      </c>
      <c r="BD61" s="24">
        <f t="shared" si="18"/>
        <v>11.074</v>
      </c>
      <c r="BE61" s="86"/>
      <c r="BF61" s="35">
        <f t="shared" si="48"/>
        <v>52</v>
      </c>
      <c r="BG61" s="24" t="str">
        <f t="shared" si="19"/>
        <v/>
      </c>
      <c r="BH61" s="24" t="str">
        <f t="shared" si="20"/>
        <v/>
      </c>
      <c r="BI61" s="86"/>
      <c r="BJ61" s="35">
        <f t="shared" si="76"/>
        <v>69</v>
      </c>
      <c r="BK61" s="25" t="str">
        <f t="shared" si="21"/>
        <v xml:space="preserve"> </v>
      </c>
      <c r="BL61" s="25" t="str">
        <f>IF(BJ61&lt;RAM,SUM(BK61:INDEX(Daix,RAM-BeginnAlter))," ")</f>
        <v xml:space="preserve"> </v>
      </c>
      <c r="BM61" s="25" t="str">
        <f>IF(BJ61&lt;RAM,SUM(BL61:INDEX(Naix,RAM-BeginnAlter))," ")</f>
        <v xml:space="preserve"> </v>
      </c>
      <c r="BN61" s="24" t="str">
        <f t="shared" si="22"/>
        <v xml:space="preserve"> </v>
      </c>
      <c r="BO61" s="24" t="str">
        <f t="shared" si="23"/>
        <v xml:space="preserve"> </v>
      </c>
      <c r="BP61" s="86"/>
      <c r="BQ61" s="35">
        <f t="shared" si="77"/>
        <v>69</v>
      </c>
      <c r="BR61" s="25" t="str">
        <f t="shared" si="51"/>
        <v xml:space="preserve"> </v>
      </c>
      <c r="BS61" s="25" t="str">
        <f>IF(BQ61&lt;RAM,SUM(BR61:INDEX(Daixs,RAM-BeginnAlter))," ")</f>
        <v xml:space="preserve"> </v>
      </c>
      <c r="BT61" s="25" t="str">
        <f>IF(BQ61&lt;RAM,SUM(BS61:INDEX(Naixs,RAM-BeginnAlter))," ")</f>
        <v xml:space="preserve"> </v>
      </c>
      <c r="BU61" s="24" t="str">
        <f t="shared" si="52"/>
        <v xml:space="preserve"> </v>
      </c>
      <c r="BV61" s="24" t="str">
        <f t="shared" si="53"/>
        <v xml:space="preserve"> </v>
      </c>
      <c r="BW61" s="86"/>
      <c r="BX61" s="35">
        <f t="shared" si="78"/>
        <v>69</v>
      </c>
      <c r="BY61" s="10" t="str">
        <f t="shared" si="24"/>
        <v/>
      </c>
      <c r="BZ61" s="11" t="str">
        <f t="shared" si="25"/>
        <v/>
      </c>
      <c r="CA61" s="25" t="str">
        <f>IF(S62&lt;=RAK,IF($BX61&lt;RAM,SUM(BZ61:INDEX(Dazx,RAM-BeginnAlter)),""),"")</f>
        <v/>
      </c>
      <c r="CB61" s="24" t="str">
        <f t="shared" si="26"/>
        <v/>
      </c>
      <c r="CC61" s="25">
        <f t="shared" si="27"/>
        <v>14350</v>
      </c>
      <c r="CD61" s="24">
        <f t="shared" si="28"/>
        <v>10.138999999999999</v>
      </c>
      <c r="CE61" s="24" t="str">
        <f t="shared" si="29"/>
        <v/>
      </c>
      <c r="CF61" s="86"/>
      <c r="CG61" s="35">
        <f t="shared" si="79"/>
        <v>69</v>
      </c>
      <c r="CH61" s="25" t="str">
        <f>IF(CG61&lt;RAM,ROUND(v^($CG61+FaktorAlter)*$H61*($B61*0.5*($P61+$P62)*(VLOOKUP(TRUNC(0.5*($Q61+$Q62),0),Frauen!$AZ$9:$BD$95,5)+(0.5*($Q61+$Q62)-TRUNC(0.5*($Q61+$Q62),0))*(VLOOKUP(TRUNC(0.5*($Q61+$Q62)+1,0),Frauen!$AZ$9:$BD$95,5)-VLOOKUP(TRUNC(0.5*($Q61+$Q62),0),Frauen!$AZ$9:$BD$95,5)))+$C61*0.5*($CN61+$CN62)),RundDx),"")</f>
        <v/>
      </c>
      <c r="CI61" s="25" t="str">
        <f>IF(CG61&lt;RAM,ROUND(SUM(CH61:INDEX(Dawx,RAM-BeginnAlter))+INDEX(Dax,RAM-BeginnAlter+1)*INDEX(äwx,1),RundDx),"")</f>
        <v/>
      </c>
      <c r="CJ61" s="25" t="str">
        <f>IF(CG61&lt;RAM,ROUND(SUM(CI61:INDEX(Nawx,RAM-BeginnAlter))+INDEX(Dax,RAM-BeginnAlter+1)*INDEX(äwx,1),RundDx),"")</f>
        <v/>
      </c>
      <c r="CK61" s="24" t="str">
        <f t="shared" si="56"/>
        <v/>
      </c>
      <c r="CL61" s="25" t="str">
        <f>IF(CG61&lt;RAM,ROUND(v^($CG61+FaktorAlter)*$L61*$D61*0.5*($P61+$P62)*(VLOOKUP(TRUNC(0.5*($Q61+$Q62),0),Frauen!$AZ$9:$BD$95,5)+(0.5*($Q61+$Q62)-TRUNC(0.5*($Q61+$Q62),0))*(VLOOKUP(TRUNC(0.5*($Q61+$Q62)+1,0),Frauen!$AZ$9:$BD$95,5)-VLOOKUP(TRUNC(0.5*($Q61+$Q62),0),Frauen!$AZ$9:$BD$95,5))),RundDx),"")</f>
        <v/>
      </c>
      <c r="CM61" s="25" t="str">
        <f>IF(CG61&lt;RAM,SUM(CL61:INDEX(Diwx,RAM-BeginnAlter))+INDEX(Dix,RAM-BeginnAlter+1)*INDEX(äwx,1),"")</f>
        <v/>
      </c>
      <c r="CN61" s="24" t="str">
        <f t="shared" si="57"/>
        <v/>
      </c>
      <c r="CO61" s="86"/>
      <c r="CP61" s="35">
        <f t="shared" si="58"/>
        <v>117</v>
      </c>
      <c r="CQ61" s="25"/>
      <c r="CR61" s="25"/>
      <c r="CS61" s="24"/>
      <c r="CT61" s="86"/>
      <c r="CU61" s="35">
        <f t="shared" si="80"/>
        <v>69</v>
      </c>
      <c r="CV61" s="25" t="str">
        <f>IF($CU61&gt;=RAM,"",IF($CU61-CV$103&lt;BeginnAlter,"",ROUND(v^($CU61+FaktorAlter)*$L61*$D61*0.5*(VLOOKUP($CU61-CV$103,Frauen!$G$9:$J$102,4)+VLOOKUP($CU61-CV$103+1,Frauen!$G$9:$J$102,4))*0.5*(VLOOKUP($CU61-CV$103,Frauen!$AZ$9:$BD$102,5)+VLOOKUP($CU61-CV$103+1,Frauen!$AZ$9:$BD$102,5)),RundDx)))</f>
        <v/>
      </c>
      <c r="CW61" s="25" t="str">
        <f>IF($CU61&gt;=RAM,"",IF($CU61-CW$103&lt;BeginnAlter,"",ROUND(v^($CU61+FaktorAlter)*$L61*$D61*0.5*(VLOOKUP($CU61-CW$103,Frauen!$G$9:$J$102,4)+VLOOKUP($CU61-CW$103+1,Frauen!$G$9:$J$102,4))*0.5*(VLOOKUP($CU61-CW$103,Frauen!$AZ$9:$BD$102,5)+VLOOKUP($CU61-CW$103+1,Frauen!$AZ$9:$BD$102,5)),RundDx)))</f>
        <v/>
      </c>
      <c r="CX61" s="25" t="str">
        <f>IF($CU61&gt;=RAM,"",IF($CU61-CX$103&lt;BeginnAlter,"",ROUND(v^($CU61+FaktorAlter)*$L61*$D61*0.5*(VLOOKUP($CU61-CX$103,Frauen!$G$9:$J$102,4)+VLOOKUP($CU61-CX$103+1,Frauen!$G$9:$J$102,4))*0.5*(VLOOKUP($CU61-CX$103,Frauen!$AZ$9:$BD$102,5)+VLOOKUP($CU61-CX$103+1,Frauen!$AZ$9:$BD$102,5)),RundDx)))</f>
        <v/>
      </c>
      <c r="CY61" s="25" t="str">
        <f>IF($CU61&gt;=RAM,"",IF($CU61-CY$103&lt;BeginnAlter,"",ROUND(v^($CU61+FaktorAlter)*$L61*$D61*0.5*(VLOOKUP($CU61-CY$103,Frauen!$G$9:$J$102,4)+VLOOKUP($CU61-CY$103+1,Frauen!$G$9:$J$102,4))*0.5*(VLOOKUP($CU61-CY$103,Frauen!$AZ$9:$BD$102,5)+VLOOKUP($CU61-CY$103+1,Frauen!$AZ$9:$BD$102,5)),RundDx)))</f>
        <v/>
      </c>
      <c r="CZ61" s="25" t="str">
        <f>IF($CU61&gt;=RAM,"",IF($CU61-CZ$103&lt;BeginnAlter,"",ROUND(v^($CU61+FaktorAlter)*$L61*$D61*0.5*(VLOOKUP($CU61-CZ$103,Frauen!$G$9:$J$102,4)+VLOOKUP($CU61-CZ$103+1,Frauen!$G$9:$J$102,4))*0.5*(VLOOKUP($CU61-CZ$103,Frauen!$AZ$9:$BD$102,5)+VLOOKUP($CU61-CZ$103+1,Frauen!$AZ$9:$BD$102,5)),RundDx)))</f>
        <v/>
      </c>
      <c r="DA61" s="25" t="str">
        <f>IF($CU61&gt;=RAM,"",IF($CU61-DA$103&lt;BeginnAlter,"",ROUND(v^($CU61+FaktorAlter)*$L61*$D61*0.5*(VLOOKUP($CU61-DA$103,Frauen!$G$9:$J$102,4)+VLOOKUP($CU61-DA$103+1,Frauen!$G$9:$J$102,4))*0.5*(VLOOKUP($CU61-DA$103,Frauen!$AZ$9:$BD$102,5)+VLOOKUP($CU61-DA$103+1,Frauen!$AZ$9:$BD$102,5)),RundDx)))</f>
        <v/>
      </c>
      <c r="DB61" s="25" t="str">
        <f>IF($CU61&gt;=RAM,"",IF($CU61-DB$103&lt;BeginnAlter,"",ROUND(v^($CU61+FaktorAlter)*$L61*$D61*0.5*(VLOOKUP($CU61-DB$103,Frauen!$G$9:$J$102,4)+VLOOKUP($CU61-DB$103+1,Frauen!$G$9:$J$102,4))*0.5*(VLOOKUP($CU61-DB$103,Frauen!$AZ$9:$BD$102,5)+VLOOKUP($CU61-DB$103+1,Frauen!$AZ$9:$BD$102,5)),RundDx)))</f>
        <v/>
      </c>
      <c r="DC61" s="25" t="str">
        <f>IF($CU61&gt;=RAM,"",IF($CU61-DC$103&lt;BeginnAlter,"",ROUND(v^($CU61+FaktorAlter)*$L61*$D61*0.5*(VLOOKUP($CU61-DC$103,Frauen!$G$9:$J$102,4)+VLOOKUP($CU61-DC$103+1,Frauen!$G$9:$J$102,4))*0.5*(VLOOKUP($CU61-DC$103,Frauen!$AZ$9:$BD$102,5)+VLOOKUP($CU61-DC$103+1,Frauen!$AZ$9:$BD$102,5)),RundDx)))</f>
        <v/>
      </c>
      <c r="DD61" s="25" t="str">
        <f>IF($CU61&gt;=RAM,"",IF($CU61-DD$103&lt;BeginnAlter,"",ROUND(v^($CU61+FaktorAlter)*$L61*$D61*0.5*(VLOOKUP($CU61-DD$103,Frauen!$G$9:$J$102,4)+VLOOKUP($CU61-DD$103+1,Frauen!$G$9:$J$102,4))*0.5*(VLOOKUP($CU61-DD$103,Frauen!$AZ$9:$BD$102,5)+VLOOKUP($CU61-DD$103+1,Frauen!$AZ$9:$BD$102,5)),RundDx)))</f>
        <v/>
      </c>
      <c r="DE61" s="25" t="str">
        <f>IF($CU61&gt;=RAM,"",IF($CU61-DE$103&lt;BeginnAlter,"",ROUND(v^($CU61+FaktorAlter)*$L61*$D61*0.5*(VLOOKUP($CU61-DE$103,Frauen!$G$9:$J$102,4)+VLOOKUP($CU61-DE$103+1,Frauen!$G$9:$J$102,4))*0.5*(VLOOKUP($CU61-DE$103,Frauen!$AZ$9:$BD$102,5)+VLOOKUP($CU61-DE$103+1,Frauen!$AZ$9:$BD$102,5)),RundDx)))</f>
        <v/>
      </c>
      <c r="DF61" s="25" t="str">
        <f>IF($CU61&gt;=RAM,"",IF($CU61-DF$103&lt;BeginnAlter,"",ROUND(v^($CU61+FaktorAlter)*$L61*$D61*0.5*(VLOOKUP($CU61-DF$103,Frauen!$G$9:$J$102,4)+VLOOKUP($CU61-DF$103+1,Frauen!$G$9:$J$102,4))*0.5*(VLOOKUP($CU61-DF$103,Frauen!$AZ$9:$BD$102,5)+VLOOKUP($CU61-DF$103+1,Frauen!$AZ$9:$BD$102,5)),RundDx)))</f>
        <v/>
      </c>
      <c r="DG61" s="25" t="str">
        <f>IF($CU61&gt;=RAM,"",IF($CU61-DG$103&lt;BeginnAlter,"",ROUND(v^($CU61+FaktorAlter)*$L61*$D61*0.5*(VLOOKUP($CU61-DG$103,Frauen!$G$9:$J$102,4)+VLOOKUP($CU61-DG$103+1,Frauen!$G$9:$J$102,4))*0.5*(VLOOKUP($CU61-DG$103,Frauen!$AZ$9:$BD$102,5)+VLOOKUP($CU61-DG$103+1,Frauen!$AZ$9:$BD$102,5)),RundDx)))</f>
        <v/>
      </c>
      <c r="DH61" s="25" t="str">
        <f>IF($CU61&gt;=RAM,"",IF($CU61-DH$103&lt;BeginnAlter,"",ROUND(v^($CU61+FaktorAlter)*$L61*$D61*0.5*(VLOOKUP($CU61-DH$103,Frauen!$G$9:$J$102,4)+VLOOKUP($CU61-DH$103+1,Frauen!$G$9:$J$102,4))*0.5*(VLOOKUP($CU61-DH$103,Frauen!$AZ$9:$BD$102,5)+VLOOKUP($CU61-DH$103+1,Frauen!$AZ$9:$BD$102,5)),RundDx)))</f>
        <v/>
      </c>
      <c r="DI61" s="25" t="str">
        <f>IF($CU61&gt;=RAM,"",IF($CU61-DI$103&lt;BeginnAlter,"",ROUND(v^($CU61+FaktorAlter)*$L61*$D61*0.5*(VLOOKUP($CU61-DI$103,Frauen!$G$9:$J$102,4)+VLOOKUP($CU61-DI$103+1,Frauen!$G$9:$J$102,4))*0.5*(VLOOKUP($CU61-DI$103,Frauen!$AZ$9:$BD$102,5)+VLOOKUP($CU61-DI$103+1,Frauen!$AZ$9:$BD$102,5)),RundDx)))</f>
        <v/>
      </c>
      <c r="DJ61" s="25" t="str">
        <f>IF($CU61&gt;=RAM,"",IF($CU61-DJ$103&lt;BeginnAlter,"",ROUND(v^($CU61+FaktorAlter)*$L61*$D61*0.5*(VLOOKUP($CU61-DJ$103,Frauen!$G$9:$J$102,4)+VLOOKUP($CU61-DJ$103+1,Frauen!$G$9:$J$102,4))*0.5*(VLOOKUP($CU61-DJ$103,Frauen!$AZ$9:$BD$102,5)+VLOOKUP($CU61-DJ$103+1,Frauen!$AZ$9:$BD$102,5)),RundDx)))</f>
        <v/>
      </c>
      <c r="DK61" s="25" t="str">
        <f>IF($CU61&gt;=RAM,"",IF($CU61-DK$103&lt;BeginnAlter,"",ROUND(v^($CU61+FaktorAlter)*$L61*$D61*0.5*(VLOOKUP($CU61-DK$103,Frauen!$G$9:$J$102,4)+VLOOKUP($CU61-DK$103+1,Frauen!$G$9:$J$102,4))*0.5*(VLOOKUP($CU61-DK$103,Frauen!$AZ$9:$BD$102,5)+VLOOKUP($CU61-DK$103+1,Frauen!$AZ$9:$BD$102,5)),RundDx)))</f>
        <v/>
      </c>
      <c r="DL61" s="25" t="str">
        <f>IF($CU61&gt;=RAM,"",IF($CU61-DL$103&lt;BeginnAlter,"",ROUND(v^($CU61+FaktorAlter)*$L61*$D61*0.5*(VLOOKUP($CU61-DL$103,Frauen!$G$9:$J$102,4)+VLOOKUP($CU61-DL$103+1,Frauen!$G$9:$J$102,4))*0.5*(VLOOKUP($CU61-DL$103,Frauen!$AZ$9:$BD$102,5)+VLOOKUP($CU61-DL$103+1,Frauen!$AZ$9:$BD$102,5)),RundDx)))</f>
        <v/>
      </c>
      <c r="DM61" s="25" t="str">
        <f>IF($CU61&gt;=RAM,"",IF($CU61-DM$103&lt;BeginnAlter,"",ROUND(v^($CU61+FaktorAlter)*$L61*$D61*0.5*(VLOOKUP($CU61-DM$103,Frauen!$G$9:$J$102,4)+VLOOKUP($CU61-DM$103+1,Frauen!$G$9:$J$102,4))*0.5*(VLOOKUP($CU61-DM$103,Frauen!$AZ$9:$BD$102,5)+VLOOKUP($CU61-DM$103+1,Frauen!$AZ$9:$BD$102,5)),RundDx)))</f>
        <v/>
      </c>
      <c r="DN61" s="25" t="str">
        <f>IF($CU61&gt;=RAM,"",IF($CU61-DN$103&lt;BeginnAlter,"",ROUND(v^($CU61+FaktorAlter)*$L61*$D61*0.5*(VLOOKUP($CU61-DN$103,Frauen!$G$9:$J$102,4)+VLOOKUP($CU61-DN$103+1,Frauen!$G$9:$J$102,4))*0.5*(VLOOKUP($CU61-DN$103,Frauen!$AZ$9:$BD$102,5)+VLOOKUP($CU61-DN$103+1,Frauen!$AZ$9:$BD$102,5)),RundDx)))</f>
        <v/>
      </c>
      <c r="DO61" s="25" t="str">
        <f>IF($CU61&gt;=RAM,"",IF($CU61-DO$103&lt;BeginnAlter,"",ROUND(v^($CU61+FaktorAlter)*$L61*$D61*0.5*(VLOOKUP($CU61-DO$103,Frauen!$G$9:$J$102,4)+VLOOKUP($CU61-DO$103+1,Frauen!$G$9:$J$102,4))*0.5*(VLOOKUP($CU61-DO$103,Frauen!$AZ$9:$BD$102,5)+VLOOKUP($CU61-DO$103+1,Frauen!$AZ$9:$BD$102,5)),RundDx)))</f>
        <v/>
      </c>
      <c r="DP61" s="25" t="str">
        <f>IF($CU61&gt;=RAM,"",IF($CU61-DP$103&lt;BeginnAlter,"",ROUND(v^($CU61+FaktorAlter)*$L61*$D61*0.5*(VLOOKUP($CU61-DP$103,Frauen!$G$9:$J$102,4)+VLOOKUP($CU61-DP$103+1,Frauen!$G$9:$J$102,4))*0.5*(VLOOKUP($CU61-DP$103,Frauen!$AZ$9:$BD$102,5)+VLOOKUP($CU61-DP$103+1,Frauen!$AZ$9:$BD$102,5)),RundDx)))</f>
        <v/>
      </c>
      <c r="DQ61" s="25" t="str">
        <f>IF($CU61&gt;=RAM,"",IF($CU61-DQ$103&lt;BeginnAlter,"",ROUND(v^($CU61+FaktorAlter)*$L61*$D61*0.5*(VLOOKUP($CU61-DQ$103,Frauen!$G$9:$J$102,4)+VLOOKUP($CU61-DQ$103+1,Frauen!$G$9:$J$102,4))*0.5*(VLOOKUP($CU61-DQ$103,Frauen!$AZ$9:$BD$102,5)+VLOOKUP($CU61-DQ$103+1,Frauen!$AZ$9:$BD$102,5)),RundDx)))</f>
        <v/>
      </c>
      <c r="DR61" s="25" t="str">
        <f>IF($CU61&gt;=RAM,"",IF($CU61-DR$103&lt;BeginnAlter,"",ROUND(v^($CU61+FaktorAlter)*$L61*$D61*0.5*(VLOOKUP($CU61-DR$103,Frauen!$G$9:$J$102,4)+VLOOKUP($CU61-DR$103+1,Frauen!$G$9:$J$102,4))*0.5*(VLOOKUP($CU61-DR$103,Frauen!$AZ$9:$BD$102,5)+VLOOKUP($CU61-DR$103+1,Frauen!$AZ$9:$BD$102,5)),RundDx)))</f>
        <v/>
      </c>
      <c r="DS61" s="25" t="str">
        <f>IF($CU61&gt;=RAM,"",IF($CU61-DS$103&lt;BeginnAlter,"",ROUND(v^($CU61+FaktorAlter)*$L61*$D61*0.5*(VLOOKUP($CU61-DS$103,Frauen!$G$9:$J$102,4)+VLOOKUP($CU61-DS$103+1,Frauen!$G$9:$J$102,4))*0.5*(VLOOKUP($CU61-DS$103,Frauen!$AZ$9:$BD$102,5)+VLOOKUP($CU61-DS$103+1,Frauen!$AZ$9:$BD$102,5)),RundDx)))</f>
        <v/>
      </c>
      <c r="DT61" s="25" t="str">
        <f>IF($CU61&gt;=RAM,"",IF($CU61-DT$103&lt;BeginnAlter,"",ROUND(v^($CU61+FaktorAlter)*$L61*$D61*0.5*(VLOOKUP($CU61-DT$103,Frauen!$G$9:$J$102,4)+VLOOKUP($CU61-DT$103+1,Frauen!$G$9:$J$102,4))*0.5*(VLOOKUP($CU61-DT$103,Frauen!$AZ$9:$BD$102,5)+VLOOKUP($CU61-DT$103+1,Frauen!$AZ$9:$BD$102,5)),RundDx)))</f>
        <v/>
      </c>
      <c r="DU61" s="25" t="str">
        <f>IF($CU61&gt;=RAM,"",IF($CU61-DU$103&lt;BeginnAlter,"",ROUND(v^($CU61+FaktorAlter)*$L61*$D61*0.5*(VLOOKUP($CU61-DU$103,Frauen!$G$9:$J$102,4)+VLOOKUP($CU61-DU$103+1,Frauen!$G$9:$J$102,4))*0.5*(VLOOKUP($CU61-DU$103,Frauen!$AZ$9:$BD$102,5)+VLOOKUP($CU61-DU$103+1,Frauen!$AZ$9:$BD$102,5)),RundDx)))</f>
        <v/>
      </c>
      <c r="DV61" s="25" t="str">
        <f>IF($CU61&gt;=RAM,"",IF($CU61-DV$103&lt;BeginnAlter,"",ROUND(v^($CU61+FaktorAlter)*$L61*$D61*0.5*(VLOOKUP($CU61-DV$103,Frauen!$G$9:$J$102,4)+VLOOKUP($CU61-DV$103+1,Frauen!$G$9:$J$102,4))*0.5*(VLOOKUP($CU61-DV$103,Frauen!$AZ$9:$BD$102,5)+VLOOKUP($CU61-DV$103+1,Frauen!$AZ$9:$BD$102,5)),RundDx)))</f>
        <v/>
      </c>
      <c r="DW61" s="25" t="str">
        <f>IF($CU61&gt;=RAM,"",IF($CU61-DW$103&lt;BeginnAlter,"",ROUND(v^($CU61+FaktorAlter)*$L61*$D61*0.5*(VLOOKUP($CU61-DW$103,Frauen!$G$9:$J$102,4)+VLOOKUP($CU61-DW$103+1,Frauen!$G$9:$J$102,4))*0.5*(VLOOKUP($CU61-DW$103,Frauen!$AZ$9:$BD$102,5)+VLOOKUP($CU61-DW$103+1,Frauen!$AZ$9:$BD$102,5)),RundDx)))</f>
        <v/>
      </c>
      <c r="DX61" s="25" t="str">
        <f>IF($CU61&gt;=RAM,"",IF($CU61-DX$103&lt;BeginnAlter,"",ROUND(v^($CU61+FaktorAlter)*$L61*$D61*0.5*(VLOOKUP($CU61-DX$103,Frauen!$G$9:$J$102,4)+VLOOKUP($CU61-DX$103+1,Frauen!$G$9:$J$102,4))*0.5*(VLOOKUP($CU61-DX$103,Frauen!$AZ$9:$BD$102,5)+VLOOKUP($CU61-DX$103+1,Frauen!$AZ$9:$BD$102,5)),RundDx)))</f>
        <v/>
      </c>
      <c r="DY61" s="25" t="str">
        <f>IF($CU61&gt;=RAM,"",IF($CU61-DY$103&lt;BeginnAlter,"",ROUND(v^($CU61+FaktorAlter)*$L61*$D61*0.5*(VLOOKUP($CU61-DY$103,Frauen!$G$9:$J$102,4)+VLOOKUP($CU61-DY$103+1,Frauen!$G$9:$J$102,4))*0.5*(VLOOKUP($CU61-DY$103,Frauen!$AZ$9:$BD$102,5)+VLOOKUP($CU61-DY$103+1,Frauen!$AZ$9:$BD$102,5)),RundDx)))</f>
        <v/>
      </c>
      <c r="DZ61" s="25" t="str">
        <f>IF($CU61&gt;=RAM,"",IF($CU61-DZ$103&lt;BeginnAlter,"",ROUND(v^($CU61+FaktorAlter)*$L61*$D61*0.5*(VLOOKUP($CU61-DZ$103,Frauen!$G$9:$J$102,4)+VLOOKUP($CU61-DZ$103+1,Frauen!$G$9:$J$102,4))*0.5*(VLOOKUP($CU61-DZ$103,Frauen!$AZ$9:$BD$102,5)+VLOOKUP($CU61-DZ$103+1,Frauen!$AZ$9:$BD$102,5)),RundDx)))</f>
        <v/>
      </c>
      <c r="EA61" s="43" t="str">
        <f>IF($CU61&gt;=RAM,"",IF($CU61-EA$103&lt;BeginnAlter,"",ROUND((SUM(CV$56:CV61)+SUM(FN$9:FN$56))/VLOOKUP($CU61,$AH$9:$AI$102,2)/VLOOKUP($CU61-EA$103,Frauen!$G$9:$J$102,4),Rundäx)))</f>
        <v/>
      </c>
      <c r="EB61" s="43" t="str">
        <f>IF($CU61&gt;=RAM,"",IF($CU61-EB$103&lt;BeginnAlter,"",ROUND((SUM(CW$56:CW61)+SUM(FO$9:FO$56))/VLOOKUP($CU61,$AH$9:$AI$102,2)/VLOOKUP($CU61-EB$103,Frauen!$G$9:$J$102,4),Rundäx)))</f>
        <v/>
      </c>
      <c r="EC61" s="43" t="str">
        <f>IF($CU61&gt;=RAM,"",IF($CU61-EC$103&lt;BeginnAlter,"",ROUND((SUM(CX$56:CX61)+SUM(FP$9:FP$56))/VLOOKUP($CU61,$AH$9:$AI$102,2)/VLOOKUP($CU61-EC$103,Frauen!$G$9:$J$102,4),Rundäx)))</f>
        <v/>
      </c>
      <c r="ED61" s="43" t="str">
        <f>IF($CU61&gt;=RAM,"",IF($CU61-ED$103&lt;BeginnAlter,"",ROUND((SUM(CY$56:CY61)+SUM(FQ$9:FQ$56))/VLOOKUP($CU61,$AH$9:$AI$102,2)/VLOOKUP($CU61-ED$103,Frauen!$G$9:$J$102,4),Rundäx)))</f>
        <v/>
      </c>
      <c r="EE61" s="43" t="str">
        <f>IF($CU61&gt;=RAM,"",IF($CU61-EE$103&lt;BeginnAlter,"",ROUND((SUM(CZ$56:CZ61)+SUM(FR$9:FR$56))/VLOOKUP($CU61,$AH$9:$AI$102,2)/VLOOKUP($CU61-EE$103,Frauen!$G$9:$J$102,4),Rundäx)))</f>
        <v/>
      </c>
      <c r="EF61" s="43" t="str">
        <f>IF($CU61&gt;=RAM,"",IF($CU61-EF$103&lt;BeginnAlter,"",ROUND((SUM(DA$56:DA61)+SUM(FS$9:FS$56))/VLOOKUP($CU61,$AH$9:$AI$102,2)/VLOOKUP($CU61-EF$103,Frauen!$G$9:$J$102,4),Rundäx)))</f>
        <v/>
      </c>
      <c r="EG61" s="43" t="str">
        <f>IF($CU61&gt;=RAM,"",IF($CU61-EG$103&lt;BeginnAlter,"",ROUND((SUM(DB$56:DB61)+SUM(FT$9:FT$56))/VLOOKUP($CU61,$AH$9:$AI$102,2)/VLOOKUP($CU61-EG$103,Frauen!$G$9:$J$102,4),Rundäx)))</f>
        <v/>
      </c>
      <c r="EH61" s="43" t="str">
        <f>IF($CU61&gt;=RAM,"",IF($CU61-EH$103&lt;BeginnAlter,"",ROUND((SUM(DC$56:DC61)+SUM(FU$9:FU$56))/VLOOKUP($CU61,$AH$9:$AI$102,2)/VLOOKUP($CU61-EH$103,Frauen!$G$9:$J$102,4),Rundäx)))</f>
        <v/>
      </c>
      <c r="EI61" s="86"/>
      <c r="EJ61" s="35">
        <f t="shared" si="60"/>
        <v>69</v>
      </c>
      <c r="EK61" s="43" t="str">
        <f>IF($CU61&gt;=RAM,"",IF($CU61-EK$103&lt;BeginnAlter,"",ROUND((SUM(DD$56:DD61)+SUM(FV$9:FV$56))/VLOOKUP($CU61,$AH$9:$AI$102,2)/VLOOKUP($CU61-EK$103,Frauen!$G$9:$J$102,4),Rundäx)))</f>
        <v/>
      </c>
      <c r="EL61" s="43" t="str">
        <f>IF($CU61&gt;=RAM,"",IF($CU61-EL$103&lt;BeginnAlter,"",ROUND((SUM(DE$56:DE61)+SUM(FW$9:FW$56))/VLOOKUP($CU61,$AH$9:$AI$102,2)/VLOOKUP($CU61-EL$103,Frauen!$G$9:$J$102,4),Rundäx)))</f>
        <v/>
      </c>
      <c r="EM61" s="43" t="str">
        <f>IF($CU61&gt;=RAM,"",IF($CU61-EM$103&lt;BeginnAlter,"",ROUND((SUM(DF$56:DF61)+SUM(FX$9:FX$56))/VLOOKUP($CU61,$AH$9:$AI$102,2)/VLOOKUP($CU61-EM$103,Frauen!$G$9:$J$102,4),Rundäx)))</f>
        <v/>
      </c>
      <c r="EN61" s="43" t="str">
        <f>IF($CU61&gt;=RAM,"",IF($CU61-EN$103&lt;BeginnAlter,"",ROUND((SUM(DG$56:DG61)+SUM(FY$9:FY$56))/VLOOKUP($CU61,$AH$9:$AI$102,2)/VLOOKUP($CU61-EN$103,Frauen!$G$9:$J$102,4),Rundäx)))</f>
        <v/>
      </c>
      <c r="EO61" s="43" t="str">
        <f>IF($CU61&gt;=RAM,"",IF($CU61-EO$103&lt;BeginnAlter,"",ROUND((SUM(DH$56:DH61)+SUM(FZ$9:FZ$56))/VLOOKUP($CU61,$AH$9:$AI$102,2)/VLOOKUP($CU61-EO$103,Frauen!$G$9:$J$102,4),Rundäx)))</f>
        <v/>
      </c>
      <c r="EP61" s="43" t="str">
        <f>IF($CU61&gt;=RAM,"",IF($CU61-EP$103&lt;BeginnAlter,"",ROUND((SUM(DI$56:DI61)+SUM(GA$9:GA$56))/VLOOKUP($CU61,$AH$9:$AI$102,2)/VLOOKUP($CU61-EP$103,Frauen!$G$9:$J$102,4),Rundäx)))</f>
        <v/>
      </c>
      <c r="EQ61" s="43" t="str">
        <f>IF($CU61&gt;=RAM,"",IF($CU61-EQ$103&lt;BeginnAlter,"",ROUND((SUM(DJ$56:DJ61)+SUM(GB$9:GB$56))/VLOOKUP($CU61,$AH$9:$AI$102,2)/VLOOKUP($CU61-EQ$103,Frauen!$G$9:$J$102,4),Rundäx)))</f>
        <v/>
      </c>
      <c r="ER61" s="43" t="str">
        <f>IF($CU61&gt;=RAM,"",IF($CU61-ER$103&lt;BeginnAlter,"",ROUND((SUM(DK$56:DK61)+SUM(GC$9:GC$56))/VLOOKUP($CU61,$AH$9:$AI$102,2)/VLOOKUP($CU61-ER$103,Frauen!$G$9:$J$102,4),Rundäx)))</f>
        <v/>
      </c>
      <c r="ES61" s="86"/>
      <c r="ET61" s="35">
        <f t="shared" si="61"/>
        <v>69</v>
      </c>
      <c r="EU61" s="43" t="str">
        <f>IF($CU61&gt;=RAM,"",IF($CU61-EU$103&lt;BeginnAlter,"",ROUND((SUM(DL$56:DL61)+SUM(GD$9:GD$56))/VLOOKUP($CU61,$AH$9:$AI$102,2)/VLOOKUP($CU61-EU$103,Frauen!$G$9:$J$102,4),Rundäx)))</f>
        <v/>
      </c>
      <c r="EV61" s="43" t="str">
        <f>IF($CU61&gt;=RAM,"",IF($CU61-EV$103&lt;BeginnAlter,"",ROUND((SUM(DM$56:DM61)+SUM(GE$9:GE$56))/VLOOKUP($CU61,$AH$9:$AI$102,2)/VLOOKUP($CU61-EV$103,Frauen!$G$9:$J$102,4),Rundäx)))</f>
        <v/>
      </c>
      <c r="EW61" s="43" t="str">
        <f>IF($CU61&gt;=RAM,"",IF($CU61-EW$103&lt;BeginnAlter,"",ROUND((SUM(DN$56:DN61)+SUM(GF$9:GF$56))/VLOOKUP($CU61,$AH$9:$AI$102,2)/VLOOKUP($CU61-EW$103,Frauen!$G$9:$J$102,4),Rundäx)))</f>
        <v/>
      </c>
      <c r="EX61" s="43" t="str">
        <f>IF($CU61&gt;=RAM,"",IF($CU61-EX$103&lt;BeginnAlter,"",ROUND((SUM(DO$56:DO61)+SUM(GG$9:GG$56))/VLOOKUP($CU61,$AH$9:$AI$102,2)/VLOOKUP($CU61-EX$103,Frauen!$G$9:$J$102,4),Rundäx)))</f>
        <v/>
      </c>
      <c r="EY61" s="43" t="str">
        <f>IF($CU61&gt;=RAM,"",IF($CU61-EY$103&lt;BeginnAlter,"",ROUND((SUM(DP$56:DP61)+SUM(GH$9:GH$56))/VLOOKUP($CU61,$AH$9:$AI$102,2)/VLOOKUP($CU61-EY$103,Frauen!$G$9:$J$102,4),Rundäx)))</f>
        <v/>
      </c>
      <c r="EZ61" s="43" t="str">
        <f>IF($CU61&gt;=RAM,"",IF($CU61-EZ$103&lt;BeginnAlter,"",ROUND((SUM(DQ$56:DQ61)+SUM(GI$9:GI$56))/VLOOKUP($CU61,$AH$9:$AI$102,2)/VLOOKUP($CU61-EZ$103,Frauen!$G$9:$J$102,4),Rundäx)))</f>
        <v/>
      </c>
      <c r="FA61" s="43" t="str">
        <f>IF($CU61&gt;=RAM,"",IF($CU61-FA$103&lt;BeginnAlter,"",ROUND((SUM(DR$56:DR61)+SUM(GJ$9:GJ$56))/VLOOKUP($CU61,$AH$9:$AI$102,2)/VLOOKUP($CU61-FA$103,Frauen!$G$9:$J$102,4),Rundäx)))</f>
        <v/>
      </c>
      <c r="FB61" s="43" t="str">
        <f>IF($CU61&gt;=RAM,"",IF($CU61-FB$103&lt;BeginnAlter,"",ROUND((SUM(DS$56:DS61)+SUM(GK$9:GK$56))/VLOOKUP($CU61,$AH$9:$AI$102,2)/VLOOKUP($CU61-FB$103,Frauen!$G$9:$J$102,4),Rundäx)))</f>
        <v/>
      </c>
      <c r="FC61" s="86"/>
      <c r="FD61" s="35">
        <f t="shared" si="62"/>
        <v>69</v>
      </c>
      <c r="FE61" s="43" t="str">
        <f>IF($CU61&gt;=RAM,"",IF($CU61-FE$103&lt;BeginnAlter,"",ROUND((SUM(DT$56:DT61)+SUM(GL$9:GL$56))/VLOOKUP($CU61,$AH$9:$AI$102,2)/VLOOKUP($CU61-FE$103,Frauen!$G$9:$J$102,4),Rundäx)))</f>
        <v/>
      </c>
      <c r="FF61" s="43" t="str">
        <f>IF($CU61&gt;=RAM,"",IF($CU61-FF$103&lt;BeginnAlter,"",ROUND((SUM(DU$56:DU61)+SUM(GM$9:GM$56))/VLOOKUP($CU61,$AH$9:$AI$102,2)/VLOOKUP($CU61-FF$103,Frauen!$G$9:$J$102,4),Rundäx)))</f>
        <v/>
      </c>
      <c r="FG61" s="43" t="str">
        <f>IF($CU61&gt;=RAM,"",IF($CU61-FG$103&lt;BeginnAlter,"",ROUND((SUM(DV$56:DV61)+SUM(GN$9:GN$56))/VLOOKUP($CU61,$AH$9:$AI$102,2)/VLOOKUP($CU61-FG$103,Frauen!$G$9:$J$102,4),Rundäx)))</f>
        <v/>
      </c>
      <c r="FH61" s="43" t="str">
        <f>IF($CU61&gt;=RAM,"",IF($CU61-FH$103&lt;BeginnAlter,"",ROUND((SUM(DW$56:DW61)+SUM(GO$9:GO$56))/VLOOKUP($CU61,$AH$9:$AI$102,2)/VLOOKUP($CU61-FH$103,Frauen!$G$9:$J$102,4),Rundäx)))</f>
        <v/>
      </c>
      <c r="FI61" s="43" t="str">
        <f>IF($CU61&gt;=RAM,"",IF($CU61-FI$103&lt;BeginnAlter,"",ROUND((SUM(DX$56:DX61)+SUM(GP$9:GP$56))/VLOOKUP($CU61,$AH$9:$AI$102,2)/VLOOKUP($CU61-FI$103,Frauen!$G$9:$J$102,4),Rundäx)))</f>
        <v/>
      </c>
      <c r="FJ61" s="43" t="str">
        <f>IF($CU61&gt;=RAM,"",IF($CU61-FJ$103&lt;BeginnAlter,"",ROUND((SUM(DY$56:DY61)+SUM(GQ$9:GQ$56))/VLOOKUP($CU61,$AH$9:$AI$102,2)/VLOOKUP($CU61-FJ$103,Frauen!$G$9:$J$102,4),Rundäx)))</f>
        <v/>
      </c>
      <c r="FK61" s="43" t="str">
        <f>IF($CU61&gt;=RAM,"",IF($CU61-FK$103&lt;BeginnAlter,"",ROUND((SUM(DZ$56:DZ61)+SUM(GR$9:GR$56))/VLOOKUP($CU61,$AH$9:$AI$102,2)/VLOOKUP($CU61-FK$103,Frauen!$G$9:$J$102,4),Rundäx)))</f>
        <v/>
      </c>
      <c r="FL61" s="86"/>
      <c r="FM61" s="35">
        <f t="shared" si="68"/>
        <v>117</v>
      </c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4"/>
      <c r="GT61" s="24"/>
      <c r="GU61" s="24" t="str">
        <f>IF(FM61&gt;=RAM," ",#REF!/$AI61/Frauen!$J49)</f>
        <v xml:space="preserve"> </v>
      </c>
      <c r="GV61" s="24" t="str">
        <f>IF(FM61&gt;=RAM," ",#REF!/$AI61/Frauen!$J52)</f>
        <v xml:space="preserve"> </v>
      </c>
      <c r="GW61" s="24" t="str">
        <f>IF(FM61&gt;=RAM," ",#REF!/$AI61/Frauen!$J55)</f>
        <v xml:space="preserve"> </v>
      </c>
      <c r="GX61" s="24" t="str">
        <f>IF(FM61&gt;=RAM," ",#REF!/$AI61/Frauen!$J58)</f>
        <v xml:space="preserve"> </v>
      </c>
      <c r="GY61" s="24" t="str">
        <f>IF(FM61&gt;=RAM," ",#REF!/$AI61/Frauen!$J61)</f>
        <v xml:space="preserve"> </v>
      </c>
      <c r="GZ61" s="24" t="str">
        <f>IF(FM61&gt;=RAM," ",#REF!/$AI61/Frauen!$J64)</f>
        <v xml:space="preserve"> </v>
      </c>
      <c r="HA61" s="86"/>
      <c r="HB61" s="35">
        <f t="shared" si="63"/>
        <v>117</v>
      </c>
      <c r="HC61" s="24"/>
      <c r="HD61" s="24"/>
      <c r="HE61" s="24"/>
      <c r="HF61" s="24"/>
      <c r="HG61" s="24"/>
      <c r="HH61" s="24"/>
      <c r="HI61" s="24"/>
      <c r="HJ61" s="24"/>
      <c r="HK61" s="86"/>
      <c r="HL61" s="35">
        <f t="shared" si="64"/>
        <v>117</v>
      </c>
      <c r="HM61" s="24"/>
      <c r="HN61" s="24"/>
      <c r="HO61" s="24"/>
      <c r="HP61" s="24"/>
      <c r="HQ61" s="24"/>
      <c r="HR61" s="24"/>
      <c r="HS61" s="24"/>
      <c r="HT61" s="24"/>
      <c r="HU61" s="86"/>
      <c r="HV61" s="35">
        <f t="shared" si="65"/>
        <v>117</v>
      </c>
      <c r="HW61" s="24"/>
      <c r="HX61" s="24"/>
      <c r="HY61" s="24"/>
      <c r="HZ61" s="24"/>
      <c r="IA61" s="24"/>
      <c r="IB61" s="24"/>
      <c r="IC61" s="24"/>
      <c r="ID61" s="89"/>
      <c r="IE61" s="35">
        <f t="shared" si="81"/>
        <v>69</v>
      </c>
      <c r="IF61" s="25" t="str">
        <f t="shared" si="31"/>
        <v/>
      </c>
      <c r="IG61" s="25" t="str">
        <f>IF($IE61&lt;RAM,IF(S62&lt;=RAK,ROUND(SUM(IF61:INDEX(Dakx,RAM-BeginnAlter))+INDEX(Dax,RAM-BeginnAlter+1)*INDEX(äkx,1),RundDx),0),"")</f>
        <v/>
      </c>
      <c r="IH61" s="25" t="str">
        <f>IF($IE61&lt;RAM,IF(S62&lt;=RAK,ROUND(SUM(IG61:INDEX(Nakx,RAM-BeginnAlter))+INDEX(Dax,RAM-BeginnAlter+1)*INDEX(äkx,1),RundDx),0),"")</f>
        <v/>
      </c>
      <c r="II61" s="24" t="str">
        <f t="shared" si="32"/>
        <v/>
      </c>
      <c r="IJ61" s="25" t="str">
        <f t="shared" si="33"/>
        <v/>
      </c>
      <c r="IK61" s="25" t="str">
        <f>IF($IE61&lt;RAM,IF(S62&lt;=RAK,SUM(IJ61:INDEX(Dikx,RAM-BeginnAlter))+INDEX(Dix,RAM-BeginnAlter+1)*INDEX(äkx,1),0),"")</f>
        <v/>
      </c>
      <c r="IL61" s="24" t="str">
        <f t="shared" si="34"/>
        <v/>
      </c>
      <c r="IM61" s="86"/>
      <c r="IN61" s="35">
        <f t="shared" si="67"/>
        <v>117</v>
      </c>
      <c r="IO61" s="25"/>
      <c r="IP61" s="25"/>
      <c r="IQ61" s="24"/>
      <c r="IR61" s="86"/>
    </row>
    <row r="62" spans="1:252" ht="15.75" customHeight="1" x14ac:dyDescent="0.25">
      <c r="A62" s="35">
        <f t="shared" si="69"/>
        <v>70</v>
      </c>
      <c r="B62" s="77"/>
      <c r="C62" s="77"/>
      <c r="D62" s="77"/>
      <c r="E62" s="77">
        <v>2.3400000000000001E-2</v>
      </c>
      <c r="F62" s="86"/>
      <c r="G62" s="35">
        <f t="shared" si="70"/>
        <v>70</v>
      </c>
      <c r="H62" s="25" t="str">
        <f t="shared" si="37"/>
        <v/>
      </c>
      <c r="I62" s="25" t="str">
        <f t="shared" si="38"/>
        <v/>
      </c>
      <c r="J62" s="25">
        <f t="shared" si="39"/>
        <v>79438</v>
      </c>
      <c r="K62" s="30">
        <f>IF(J62&gt;0,ROUND(SUM(J62:J$102)/J62-0.5,Rundex),"")</f>
        <v>13.98</v>
      </c>
      <c r="L62" s="25">
        <f t="shared" si="0"/>
        <v>79438</v>
      </c>
      <c r="M62" s="30">
        <f>IF(L62&gt;0,ROUND(SUM(L62:L$102)/L62-0.5,Rundex),"")</f>
        <v>13.98</v>
      </c>
      <c r="N62" s="86"/>
      <c r="O62" s="35">
        <f t="shared" si="71"/>
        <v>70</v>
      </c>
      <c r="P62" s="43">
        <v>0.77735660084904223</v>
      </c>
      <c r="Q62" s="78">
        <v>65.7619604316655</v>
      </c>
      <c r="R62" s="43">
        <v>0.01</v>
      </c>
      <c r="S62" s="78">
        <v>21.033916784027788</v>
      </c>
      <c r="T62" s="15">
        <v>3.5984538282268538E-2</v>
      </c>
      <c r="U62" s="11">
        <f t="shared" si="40"/>
        <v>71715</v>
      </c>
      <c r="V62" s="30">
        <f>IF(U62&gt;0,ROUND(SUM(U62:U$102)/U62-0.5,Rundex),"")</f>
        <v>12.75</v>
      </c>
      <c r="W62" s="86"/>
      <c r="X62" s="35">
        <f t="shared" si="72"/>
        <v>70</v>
      </c>
      <c r="Y62" s="25" t="str">
        <f t="shared" si="1"/>
        <v xml:space="preserve"> </v>
      </c>
      <c r="Z62" s="25" t="str">
        <f>IF($X62&lt;RAM,SUM(Y62:INDEX(Dax,RAM-BeginnAlter))," ")</f>
        <v xml:space="preserve"> </v>
      </c>
      <c r="AA62" s="25" t="str">
        <f t="shared" si="2"/>
        <v xml:space="preserve"> </v>
      </c>
      <c r="AB62" s="25" t="str">
        <f>IF($X62&lt;RAM,SUM(AA62:INDEX(Cax,RAM-BeginnAlter))," ")</f>
        <v xml:space="preserve"> </v>
      </c>
      <c r="AC62" s="25" t="str">
        <f t="shared" si="3"/>
        <v xml:space="preserve"> </v>
      </c>
      <c r="AD62" s="25" t="str">
        <f>IF($X62&lt;RAM,SUM(AC62:INDEX(Caix,RAM-BeginnAlter))," ")</f>
        <v xml:space="preserve"> </v>
      </c>
      <c r="AE62" s="24" t="str">
        <f t="shared" si="4"/>
        <v xml:space="preserve"> </v>
      </c>
      <c r="AF62" s="24" t="str">
        <f t="shared" si="5"/>
        <v xml:space="preserve"> </v>
      </c>
      <c r="AG62" s="86"/>
      <c r="AH62" s="35">
        <f t="shared" si="73"/>
        <v>70</v>
      </c>
      <c r="AI62" s="25" t="str">
        <f t="shared" si="6"/>
        <v xml:space="preserve"> </v>
      </c>
      <c r="AJ62" s="25" t="str">
        <f>IF($AH62&gt;RAM," ",IF($AH62&lt;RAM,SUM(AI62:INDEX(Dix,RAM-BeginnAlter))+INDEX(Nx,RAM-BeginnAlter+1),INDEX(Nx,RAM-BeginnAlter+1)))</f>
        <v xml:space="preserve"> </v>
      </c>
      <c r="AK62" s="25" t="str">
        <f>IF($AH62&lt;RAM,SUM(AI62:INDEX(Dix,RAM-BeginnAlter))," ")</f>
        <v xml:space="preserve"> </v>
      </c>
      <c r="AL62" s="24" t="str">
        <f t="shared" si="7"/>
        <v xml:space="preserve"> </v>
      </c>
      <c r="AM62" s="24" t="str">
        <f t="shared" si="8"/>
        <v xml:space="preserve"> </v>
      </c>
      <c r="AN62" s="24" t="str">
        <f t="shared" si="9"/>
        <v xml:space="preserve"> </v>
      </c>
      <c r="AO62" s="24" t="str">
        <f t="shared" si="10"/>
        <v xml:space="preserve"> </v>
      </c>
      <c r="AP62" s="86"/>
      <c r="AQ62" s="35">
        <f t="shared" si="74"/>
        <v>70</v>
      </c>
      <c r="AR62" s="25">
        <f t="shared" si="11"/>
        <v>16734</v>
      </c>
      <c r="AS62" s="25">
        <f>SUM(AR62:AR$94)</f>
        <v>202333</v>
      </c>
      <c r="AT62" s="25" t="str">
        <f>IF($AQ62&lt;RAM,SUM(AR62:INDEX(Dx,RAM-BeginnAlter))," ")</f>
        <v xml:space="preserve"> </v>
      </c>
      <c r="AU62" s="24">
        <f t="shared" si="12"/>
        <v>12.090999999999999</v>
      </c>
      <c r="AV62" s="24">
        <f t="shared" si="13"/>
        <v>11.632999999999999</v>
      </c>
      <c r="AW62" s="24" t="str">
        <f t="shared" si="14"/>
        <v xml:space="preserve"> </v>
      </c>
      <c r="AX62" s="24" t="str">
        <f t="shared" si="15"/>
        <v xml:space="preserve"> </v>
      </c>
      <c r="AY62" s="86"/>
      <c r="AZ62" s="35">
        <f t="shared" si="75"/>
        <v>70</v>
      </c>
      <c r="BA62" s="25">
        <f t="shared" si="16"/>
        <v>15107</v>
      </c>
      <c r="BB62" s="25">
        <f>SUM(BA62:BA$94)</f>
        <v>168397</v>
      </c>
      <c r="BC62" s="24">
        <f t="shared" si="17"/>
        <v>11.147</v>
      </c>
      <c r="BD62" s="24">
        <f t="shared" si="18"/>
        <v>10.689</v>
      </c>
      <c r="BE62" s="86"/>
      <c r="BF62" s="35">
        <f t="shared" si="48"/>
        <v>53</v>
      </c>
      <c r="BG62" s="24" t="str">
        <f t="shared" si="19"/>
        <v/>
      </c>
      <c r="BH62" s="24" t="str">
        <f t="shared" si="20"/>
        <v/>
      </c>
      <c r="BI62" s="86"/>
      <c r="BJ62" s="35">
        <f t="shared" si="76"/>
        <v>70</v>
      </c>
      <c r="BK62" s="25" t="str">
        <f t="shared" si="21"/>
        <v xml:space="preserve"> </v>
      </c>
      <c r="BL62" s="25" t="str">
        <f>IF(BJ62&lt;RAM,SUM(BK62:INDEX(Daix,RAM-BeginnAlter))," ")</f>
        <v xml:space="preserve"> </v>
      </c>
      <c r="BM62" s="25" t="str">
        <f>IF(BJ62&lt;RAM,SUM(BL62:INDEX(Naix,RAM-BeginnAlter))," ")</f>
        <v xml:space="preserve"> </v>
      </c>
      <c r="BN62" s="24" t="str">
        <f t="shared" si="22"/>
        <v xml:space="preserve"> </v>
      </c>
      <c r="BO62" s="24" t="str">
        <f t="shared" si="23"/>
        <v xml:space="preserve"> </v>
      </c>
      <c r="BP62" s="86"/>
      <c r="BQ62" s="35">
        <f t="shared" si="77"/>
        <v>70</v>
      </c>
      <c r="BR62" s="25" t="str">
        <f t="shared" si="51"/>
        <v xml:space="preserve"> </v>
      </c>
      <c r="BS62" s="25" t="str">
        <f>IF(BQ62&lt;RAM,SUM(BR62:INDEX(Daixs,RAM-BeginnAlter))," ")</f>
        <v xml:space="preserve"> </v>
      </c>
      <c r="BT62" s="25" t="str">
        <f>IF(BQ62&lt;RAM,SUM(BS62:INDEX(Naixs,RAM-BeginnAlter))," ")</f>
        <v xml:space="preserve"> </v>
      </c>
      <c r="BU62" s="24" t="str">
        <f t="shared" si="52"/>
        <v xml:space="preserve"> </v>
      </c>
      <c r="BV62" s="24" t="str">
        <f t="shared" si="53"/>
        <v xml:space="preserve"> </v>
      </c>
      <c r="BW62" s="86"/>
      <c r="BX62" s="35">
        <f t="shared" si="78"/>
        <v>70</v>
      </c>
      <c r="BY62" s="10" t="str">
        <f t="shared" si="24"/>
        <v/>
      </c>
      <c r="BZ62" s="11" t="str">
        <f t="shared" si="25"/>
        <v/>
      </c>
      <c r="CA62" s="25" t="str">
        <f>IF(S63&lt;=RAK,IF($BX62&lt;RAM,SUM(BZ62:INDEX(Dazx,RAM-BeginnAlter)),""),"")</f>
        <v/>
      </c>
      <c r="CB62" s="24" t="str">
        <f t="shared" si="26"/>
        <v/>
      </c>
      <c r="CC62" s="25">
        <f t="shared" si="27"/>
        <v>13739</v>
      </c>
      <c r="CD62" s="24">
        <f t="shared" si="28"/>
        <v>9.7609999999999992</v>
      </c>
      <c r="CE62" s="24" t="str">
        <f t="shared" si="29"/>
        <v/>
      </c>
      <c r="CF62" s="86"/>
      <c r="CG62" s="35">
        <f t="shared" si="79"/>
        <v>70</v>
      </c>
      <c r="CH62" s="25" t="str">
        <f>IF(CG62&lt;RAM,ROUND(v^($CG62+FaktorAlter)*$H62*($B62*0.5*($P62+$P63)*(VLOOKUP(TRUNC(0.5*($Q62+$Q63),0),Frauen!$AZ$9:$BD$95,5)+(0.5*($Q62+$Q63)-TRUNC(0.5*($Q62+$Q63),0))*(VLOOKUP(TRUNC(0.5*($Q62+$Q63)+1,0),Frauen!$AZ$9:$BD$95,5)-VLOOKUP(TRUNC(0.5*($Q62+$Q63),0),Frauen!$AZ$9:$BD$95,5)))+$C62*0.5*($CN62+$CN63)),RundDx),"")</f>
        <v/>
      </c>
      <c r="CI62" s="25" t="str">
        <f>IF(CG62&lt;RAM,ROUND(SUM(CH62:INDEX(Dawx,RAM-BeginnAlter))+INDEX(Dax,RAM-BeginnAlter+1)*INDEX(äwx,1),RundDx),"")</f>
        <v/>
      </c>
      <c r="CJ62" s="25" t="str">
        <f>IF(CG62&lt;RAM,ROUND(SUM(CI62:INDEX(Nawx,RAM-BeginnAlter))+INDEX(Dax,RAM-BeginnAlter+1)*INDEX(äwx,1),RundDx),"")</f>
        <v/>
      </c>
      <c r="CK62" s="24" t="str">
        <f t="shared" si="56"/>
        <v/>
      </c>
      <c r="CL62" s="25" t="str">
        <f>IF(CG62&lt;RAM,ROUND(v^($CG62+FaktorAlter)*$L62*$D62*0.5*($P62+$P63)*(VLOOKUP(TRUNC(0.5*($Q62+$Q63),0),Frauen!$AZ$9:$BD$95,5)+(0.5*($Q62+$Q63)-TRUNC(0.5*($Q62+$Q63),0))*(VLOOKUP(TRUNC(0.5*($Q62+$Q63)+1,0),Frauen!$AZ$9:$BD$95,5)-VLOOKUP(TRUNC(0.5*($Q62+$Q63),0),Frauen!$AZ$9:$BD$95,5))),RundDx),"")</f>
        <v/>
      </c>
      <c r="CM62" s="25" t="str">
        <f>IF(CG62&lt;RAM,SUM(CL62:INDEX(Diwx,RAM-BeginnAlter))+INDEX(Dix,RAM-BeginnAlter+1)*INDEX(äwx,1),"")</f>
        <v/>
      </c>
      <c r="CN62" s="24" t="str">
        <f t="shared" si="57"/>
        <v/>
      </c>
      <c r="CO62" s="86"/>
      <c r="CP62" s="35">
        <f t="shared" si="58"/>
        <v>118</v>
      </c>
      <c r="CQ62" s="25"/>
      <c r="CR62" s="25"/>
      <c r="CS62" s="24"/>
      <c r="CT62" s="86"/>
      <c r="CU62" s="35">
        <f t="shared" si="80"/>
        <v>70</v>
      </c>
      <c r="CV62" s="25" t="str">
        <f>IF($CU62&gt;=RAM,"",IF($CU62-CV$103&lt;BeginnAlter,"",ROUND(v^($CU62+FaktorAlter)*$L62*$D62*0.5*(VLOOKUP($CU62-CV$103,Frauen!$G$9:$J$102,4)+VLOOKUP($CU62-CV$103+1,Frauen!$G$9:$J$102,4))*0.5*(VLOOKUP($CU62-CV$103,Frauen!$AZ$9:$BD$102,5)+VLOOKUP($CU62-CV$103+1,Frauen!$AZ$9:$BD$102,5)),RundDx)))</f>
        <v/>
      </c>
      <c r="CW62" s="25" t="str">
        <f>IF($CU62&gt;=RAM,"",IF($CU62-CW$103&lt;BeginnAlter,"",ROUND(v^($CU62+FaktorAlter)*$L62*$D62*0.5*(VLOOKUP($CU62-CW$103,Frauen!$G$9:$J$102,4)+VLOOKUP($CU62-CW$103+1,Frauen!$G$9:$J$102,4))*0.5*(VLOOKUP($CU62-CW$103,Frauen!$AZ$9:$BD$102,5)+VLOOKUP($CU62-CW$103+1,Frauen!$AZ$9:$BD$102,5)),RundDx)))</f>
        <v/>
      </c>
      <c r="CX62" s="25" t="str">
        <f>IF($CU62&gt;=RAM,"",IF($CU62-CX$103&lt;BeginnAlter,"",ROUND(v^($CU62+FaktorAlter)*$L62*$D62*0.5*(VLOOKUP($CU62-CX$103,Frauen!$G$9:$J$102,4)+VLOOKUP($CU62-CX$103+1,Frauen!$G$9:$J$102,4))*0.5*(VLOOKUP($CU62-CX$103,Frauen!$AZ$9:$BD$102,5)+VLOOKUP($CU62-CX$103+1,Frauen!$AZ$9:$BD$102,5)),RundDx)))</f>
        <v/>
      </c>
      <c r="CY62" s="25" t="str">
        <f>IF($CU62&gt;=RAM,"",IF($CU62-CY$103&lt;BeginnAlter,"",ROUND(v^($CU62+FaktorAlter)*$L62*$D62*0.5*(VLOOKUP($CU62-CY$103,Frauen!$G$9:$J$102,4)+VLOOKUP($CU62-CY$103+1,Frauen!$G$9:$J$102,4))*0.5*(VLOOKUP($CU62-CY$103,Frauen!$AZ$9:$BD$102,5)+VLOOKUP($CU62-CY$103+1,Frauen!$AZ$9:$BD$102,5)),RundDx)))</f>
        <v/>
      </c>
      <c r="CZ62" s="25" t="str">
        <f>IF($CU62&gt;=RAM,"",IF($CU62-CZ$103&lt;BeginnAlter,"",ROUND(v^($CU62+FaktorAlter)*$L62*$D62*0.5*(VLOOKUP($CU62-CZ$103,Frauen!$G$9:$J$102,4)+VLOOKUP($CU62-CZ$103+1,Frauen!$G$9:$J$102,4))*0.5*(VLOOKUP($CU62-CZ$103,Frauen!$AZ$9:$BD$102,5)+VLOOKUP($CU62-CZ$103+1,Frauen!$AZ$9:$BD$102,5)),RundDx)))</f>
        <v/>
      </c>
      <c r="DA62" s="25" t="str">
        <f>IF($CU62&gt;=RAM,"",IF($CU62-DA$103&lt;BeginnAlter,"",ROUND(v^($CU62+FaktorAlter)*$L62*$D62*0.5*(VLOOKUP($CU62-DA$103,Frauen!$G$9:$J$102,4)+VLOOKUP($CU62-DA$103+1,Frauen!$G$9:$J$102,4))*0.5*(VLOOKUP($CU62-DA$103,Frauen!$AZ$9:$BD$102,5)+VLOOKUP($CU62-DA$103+1,Frauen!$AZ$9:$BD$102,5)),RundDx)))</f>
        <v/>
      </c>
      <c r="DB62" s="25" t="str">
        <f>IF($CU62&gt;=RAM,"",IF($CU62-DB$103&lt;BeginnAlter,"",ROUND(v^($CU62+FaktorAlter)*$L62*$D62*0.5*(VLOOKUP($CU62-DB$103,Frauen!$G$9:$J$102,4)+VLOOKUP($CU62-DB$103+1,Frauen!$G$9:$J$102,4))*0.5*(VLOOKUP($CU62-DB$103,Frauen!$AZ$9:$BD$102,5)+VLOOKUP($CU62-DB$103+1,Frauen!$AZ$9:$BD$102,5)),RundDx)))</f>
        <v/>
      </c>
      <c r="DC62" s="25" t="str">
        <f>IF($CU62&gt;=RAM,"",IF($CU62-DC$103&lt;BeginnAlter,"",ROUND(v^($CU62+FaktorAlter)*$L62*$D62*0.5*(VLOOKUP($CU62-DC$103,Frauen!$G$9:$J$102,4)+VLOOKUP($CU62-DC$103+1,Frauen!$G$9:$J$102,4))*0.5*(VLOOKUP($CU62-DC$103,Frauen!$AZ$9:$BD$102,5)+VLOOKUP($CU62-DC$103+1,Frauen!$AZ$9:$BD$102,5)),RundDx)))</f>
        <v/>
      </c>
      <c r="DD62" s="25" t="str">
        <f>IF($CU62&gt;=RAM,"",IF($CU62-DD$103&lt;BeginnAlter,"",ROUND(v^($CU62+FaktorAlter)*$L62*$D62*0.5*(VLOOKUP($CU62-DD$103,Frauen!$G$9:$J$102,4)+VLOOKUP($CU62-DD$103+1,Frauen!$G$9:$J$102,4))*0.5*(VLOOKUP($CU62-DD$103,Frauen!$AZ$9:$BD$102,5)+VLOOKUP($CU62-DD$103+1,Frauen!$AZ$9:$BD$102,5)),RundDx)))</f>
        <v/>
      </c>
      <c r="DE62" s="25" t="str">
        <f>IF($CU62&gt;=RAM,"",IF($CU62-DE$103&lt;BeginnAlter,"",ROUND(v^($CU62+FaktorAlter)*$L62*$D62*0.5*(VLOOKUP($CU62-DE$103,Frauen!$G$9:$J$102,4)+VLOOKUP($CU62-DE$103+1,Frauen!$G$9:$J$102,4))*0.5*(VLOOKUP($CU62-DE$103,Frauen!$AZ$9:$BD$102,5)+VLOOKUP($CU62-DE$103+1,Frauen!$AZ$9:$BD$102,5)),RundDx)))</f>
        <v/>
      </c>
      <c r="DF62" s="25" t="str">
        <f>IF($CU62&gt;=RAM,"",IF($CU62-DF$103&lt;BeginnAlter,"",ROUND(v^($CU62+FaktorAlter)*$L62*$D62*0.5*(VLOOKUP($CU62-DF$103,Frauen!$G$9:$J$102,4)+VLOOKUP($CU62-DF$103+1,Frauen!$G$9:$J$102,4))*0.5*(VLOOKUP($CU62-DF$103,Frauen!$AZ$9:$BD$102,5)+VLOOKUP($CU62-DF$103+1,Frauen!$AZ$9:$BD$102,5)),RundDx)))</f>
        <v/>
      </c>
      <c r="DG62" s="25" t="str">
        <f>IF($CU62&gt;=RAM,"",IF($CU62-DG$103&lt;BeginnAlter,"",ROUND(v^($CU62+FaktorAlter)*$L62*$D62*0.5*(VLOOKUP($CU62-DG$103,Frauen!$G$9:$J$102,4)+VLOOKUP($CU62-DG$103+1,Frauen!$G$9:$J$102,4))*0.5*(VLOOKUP($CU62-DG$103,Frauen!$AZ$9:$BD$102,5)+VLOOKUP($CU62-DG$103+1,Frauen!$AZ$9:$BD$102,5)),RundDx)))</f>
        <v/>
      </c>
      <c r="DH62" s="25" t="str">
        <f>IF($CU62&gt;=RAM,"",IF($CU62-DH$103&lt;BeginnAlter,"",ROUND(v^($CU62+FaktorAlter)*$L62*$D62*0.5*(VLOOKUP($CU62-DH$103,Frauen!$G$9:$J$102,4)+VLOOKUP($CU62-DH$103+1,Frauen!$G$9:$J$102,4))*0.5*(VLOOKUP($CU62-DH$103,Frauen!$AZ$9:$BD$102,5)+VLOOKUP($CU62-DH$103+1,Frauen!$AZ$9:$BD$102,5)),RundDx)))</f>
        <v/>
      </c>
      <c r="DI62" s="25" t="str">
        <f>IF($CU62&gt;=RAM,"",IF($CU62-DI$103&lt;BeginnAlter,"",ROUND(v^($CU62+FaktorAlter)*$L62*$D62*0.5*(VLOOKUP($CU62-DI$103,Frauen!$G$9:$J$102,4)+VLOOKUP($CU62-DI$103+1,Frauen!$G$9:$J$102,4))*0.5*(VLOOKUP($CU62-DI$103,Frauen!$AZ$9:$BD$102,5)+VLOOKUP($CU62-DI$103+1,Frauen!$AZ$9:$BD$102,5)),RundDx)))</f>
        <v/>
      </c>
      <c r="DJ62" s="25" t="str">
        <f>IF($CU62&gt;=RAM,"",IF($CU62-DJ$103&lt;BeginnAlter,"",ROUND(v^($CU62+FaktorAlter)*$L62*$D62*0.5*(VLOOKUP($CU62-DJ$103,Frauen!$G$9:$J$102,4)+VLOOKUP($CU62-DJ$103+1,Frauen!$G$9:$J$102,4))*0.5*(VLOOKUP($CU62-DJ$103,Frauen!$AZ$9:$BD$102,5)+VLOOKUP($CU62-DJ$103+1,Frauen!$AZ$9:$BD$102,5)),RundDx)))</f>
        <v/>
      </c>
      <c r="DK62" s="25" t="str">
        <f>IF($CU62&gt;=RAM,"",IF($CU62-DK$103&lt;BeginnAlter,"",ROUND(v^($CU62+FaktorAlter)*$L62*$D62*0.5*(VLOOKUP($CU62-DK$103,Frauen!$G$9:$J$102,4)+VLOOKUP($CU62-DK$103+1,Frauen!$G$9:$J$102,4))*0.5*(VLOOKUP($CU62-DK$103,Frauen!$AZ$9:$BD$102,5)+VLOOKUP($CU62-DK$103+1,Frauen!$AZ$9:$BD$102,5)),RundDx)))</f>
        <v/>
      </c>
      <c r="DL62" s="25" t="str">
        <f>IF($CU62&gt;=RAM,"",IF($CU62-DL$103&lt;BeginnAlter,"",ROUND(v^($CU62+FaktorAlter)*$L62*$D62*0.5*(VLOOKUP($CU62-DL$103,Frauen!$G$9:$J$102,4)+VLOOKUP($CU62-DL$103+1,Frauen!$G$9:$J$102,4))*0.5*(VLOOKUP($CU62-DL$103,Frauen!$AZ$9:$BD$102,5)+VLOOKUP($CU62-DL$103+1,Frauen!$AZ$9:$BD$102,5)),RundDx)))</f>
        <v/>
      </c>
      <c r="DM62" s="25" t="str">
        <f>IF($CU62&gt;=RAM,"",IF($CU62-DM$103&lt;BeginnAlter,"",ROUND(v^($CU62+FaktorAlter)*$L62*$D62*0.5*(VLOOKUP($CU62-DM$103,Frauen!$G$9:$J$102,4)+VLOOKUP($CU62-DM$103+1,Frauen!$G$9:$J$102,4))*0.5*(VLOOKUP($CU62-DM$103,Frauen!$AZ$9:$BD$102,5)+VLOOKUP($CU62-DM$103+1,Frauen!$AZ$9:$BD$102,5)),RundDx)))</f>
        <v/>
      </c>
      <c r="DN62" s="25" t="str">
        <f>IF($CU62&gt;=RAM,"",IF($CU62-DN$103&lt;BeginnAlter,"",ROUND(v^($CU62+FaktorAlter)*$L62*$D62*0.5*(VLOOKUP($CU62-DN$103,Frauen!$G$9:$J$102,4)+VLOOKUP($CU62-DN$103+1,Frauen!$G$9:$J$102,4))*0.5*(VLOOKUP($CU62-DN$103,Frauen!$AZ$9:$BD$102,5)+VLOOKUP($CU62-DN$103+1,Frauen!$AZ$9:$BD$102,5)),RundDx)))</f>
        <v/>
      </c>
      <c r="DO62" s="25" t="str">
        <f>IF($CU62&gt;=RAM,"",IF($CU62-DO$103&lt;BeginnAlter,"",ROUND(v^($CU62+FaktorAlter)*$L62*$D62*0.5*(VLOOKUP($CU62-DO$103,Frauen!$G$9:$J$102,4)+VLOOKUP($CU62-DO$103+1,Frauen!$G$9:$J$102,4))*0.5*(VLOOKUP($CU62-DO$103,Frauen!$AZ$9:$BD$102,5)+VLOOKUP($CU62-DO$103+1,Frauen!$AZ$9:$BD$102,5)),RundDx)))</f>
        <v/>
      </c>
      <c r="DP62" s="25" t="str">
        <f>IF($CU62&gt;=RAM,"",IF($CU62-DP$103&lt;BeginnAlter,"",ROUND(v^($CU62+FaktorAlter)*$L62*$D62*0.5*(VLOOKUP($CU62-DP$103,Frauen!$G$9:$J$102,4)+VLOOKUP($CU62-DP$103+1,Frauen!$G$9:$J$102,4))*0.5*(VLOOKUP($CU62-DP$103,Frauen!$AZ$9:$BD$102,5)+VLOOKUP($CU62-DP$103+1,Frauen!$AZ$9:$BD$102,5)),RundDx)))</f>
        <v/>
      </c>
      <c r="DQ62" s="25" t="str">
        <f>IF($CU62&gt;=RAM,"",IF($CU62-DQ$103&lt;BeginnAlter,"",ROUND(v^($CU62+FaktorAlter)*$L62*$D62*0.5*(VLOOKUP($CU62-DQ$103,Frauen!$G$9:$J$102,4)+VLOOKUP($CU62-DQ$103+1,Frauen!$G$9:$J$102,4))*0.5*(VLOOKUP($CU62-DQ$103,Frauen!$AZ$9:$BD$102,5)+VLOOKUP($CU62-DQ$103+1,Frauen!$AZ$9:$BD$102,5)),RundDx)))</f>
        <v/>
      </c>
      <c r="DR62" s="25" t="str">
        <f>IF($CU62&gt;=RAM,"",IF($CU62-DR$103&lt;BeginnAlter,"",ROUND(v^($CU62+FaktorAlter)*$L62*$D62*0.5*(VLOOKUP($CU62-DR$103,Frauen!$G$9:$J$102,4)+VLOOKUP($CU62-DR$103+1,Frauen!$G$9:$J$102,4))*0.5*(VLOOKUP($CU62-DR$103,Frauen!$AZ$9:$BD$102,5)+VLOOKUP($CU62-DR$103+1,Frauen!$AZ$9:$BD$102,5)),RundDx)))</f>
        <v/>
      </c>
      <c r="DS62" s="25" t="str">
        <f>IF($CU62&gt;=RAM,"",IF($CU62-DS$103&lt;BeginnAlter,"",ROUND(v^($CU62+FaktorAlter)*$L62*$D62*0.5*(VLOOKUP($CU62-DS$103,Frauen!$G$9:$J$102,4)+VLOOKUP($CU62-DS$103+1,Frauen!$G$9:$J$102,4))*0.5*(VLOOKUP($CU62-DS$103,Frauen!$AZ$9:$BD$102,5)+VLOOKUP($CU62-DS$103+1,Frauen!$AZ$9:$BD$102,5)),RundDx)))</f>
        <v/>
      </c>
      <c r="DT62" s="25" t="str">
        <f>IF($CU62&gt;=RAM,"",IF($CU62-DT$103&lt;BeginnAlter,"",ROUND(v^($CU62+FaktorAlter)*$L62*$D62*0.5*(VLOOKUP($CU62-DT$103,Frauen!$G$9:$J$102,4)+VLOOKUP($CU62-DT$103+1,Frauen!$G$9:$J$102,4))*0.5*(VLOOKUP($CU62-DT$103,Frauen!$AZ$9:$BD$102,5)+VLOOKUP($CU62-DT$103+1,Frauen!$AZ$9:$BD$102,5)),RundDx)))</f>
        <v/>
      </c>
      <c r="DU62" s="25" t="str">
        <f>IF($CU62&gt;=RAM,"",IF($CU62-DU$103&lt;BeginnAlter,"",ROUND(v^($CU62+FaktorAlter)*$L62*$D62*0.5*(VLOOKUP($CU62-DU$103,Frauen!$G$9:$J$102,4)+VLOOKUP($CU62-DU$103+1,Frauen!$G$9:$J$102,4))*0.5*(VLOOKUP($CU62-DU$103,Frauen!$AZ$9:$BD$102,5)+VLOOKUP($CU62-DU$103+1,Frauen!$AZ$9:$BD$102,5)),RundDx)))</f>
        <v/>
      </c>
      <c r="DV62" s="25" t="str">
        <f>IF($CU62&gt;=RAM,"",IF($CU62-DV$103&lt;BeginnAlter,"",ROUND(v^($CU62+FaktorAlter)*$L62*$D62*0.5*(VLOOKUP($CU62-DV$103,Frauen!$G$9:$J$102,4)+VLOOKUP($CU62-DV$103+1,Frauen!$G$9:$J$102,4))*0.5*(VLOOKUP($CU62-DV$103,Frauen!$AZ$9:$BD$102,5)+VLOOKUP($CU62-DV$103+1,Frauen!$AZ$9:$BD$102,5)),RundDx)))</f>
        <v/>
      </c>
      <c r="DW62" s="25" t="str">
        <f>IF($CU62&gt;=RAM,"",IF($CU62-DW$103&lt;BeginnAlter,"",ROUND(v^($CU62+FaktorAlter)*$L62*$D62*0.5*(VLOOKUP($CU62-DW$103,Frauen!$G$9:$J$102,4)+VLOOKUP($CU62-DW$103+1,Frauen!$G$9:$J$102,4))*0.5*(VLOOKUP($CU62-DW$103,Frauen!$AZ$9:$BD$102,5)+VLOOKUP($CU62-DW$103+1,Frauen!$AZ$9:$BD$102,5)),RundDx)))</f>
        <v/>
      </c>
      <c r="DX62" s="25" t="str">
        <f>IF($CU62&gt;=RAM,"",IF($CU62-DX$103&lt;BeginnAlter,"",ROUND(v^($CU62+FaktorAlter)*$L62*$D62*0.5*(VLOOKUP($CU62-DX$103,Frauen!$G$9:$J$102,4)+VLOOKUP($CU62-DX$103+1,Frauen!$G$9:$J$102,4))*0.5*(VLOOKUP($CU62-DX$103,Frauen!$AZ$9:$BD$102,5)+VLOOKUP($CU62-DX$103+1,Frauen!$AZ$9:$BD$102,5)),RundDx)))</f>
        <v/>
      </c>
      <c r="DY62" s="25" t="str">
        <f>IF($CU62&gt;=RAM,"",IF($CU62-DY$103&lt;BeginnAlter,"",ROUND(v^($CU62+FaktorAlter)*$L62*$D62*0.5*(VLOOKUP($CU62-DY$103,Frauen!$G$9:$J$102,4)+VLOOKUP($CU62-DY$103+1,Frauen!$G$9:$J$102,4))*0.5*(VLOOKUP($CU62-DY$103,Frauen!$AZ$9:$BD$102,5)+VLOOKUP($CU62-DY$103+1,Frauen!$AZ$9:$BD$102,5)),RundDx)))</f>
        <v/>
      </c>
      <c r="DZ62" s="25" t="str">
        <f>IF($CU62&gt;=RAM,"",IF($CU62-DZ$103&lt;BeginnAlter,"",ROUND(v^($CU62+FaktorAlter)*$L62*$D62*0.5*(VLOOKUP($CU62-DZ$103,Frauen!$G$9:$J$102,4)+VLOOKUP($CU62-DZ$103+1,Frauen!$G$9:$J$102,4))*0.5*(VLOOKUP($CU62-DZ$103,Frauen!$AZ$9:$BD$102,5)+VLOOKUP($CU62-DZ$103+1,Frauen!$AZ$9:$BD$102,5)),RundDx)))</f>
        <v/>
      </c>
      <c r="EA62" s="43" t="str">
        <f>IF($CU62&gt;=RAM,"",IF($CU62-EA$103&lt;BeginnAlter,"",ROUND((SUM(CV$56:CV62)+SUM(FN$9:FN$56))/VLOOKUP($CU62,$AH$9:$AI$102,2)/VLOOKUP($CU62-EA$103,Frauen!$G$9:$J$102,4),Rundäx)))</f>
        <v/>
      </c>
      <c r="EB62" s="43" t="str">
        <f>IF($CU62&gt;=RAM,"",IF($CU62-EB$103&lt;BeginnAlter,"",ROUND((SUM(CW$56:CW62)+SUM(FO$9:FO$56))/VLOOKUP($CU62,$AH$9:$AI$102,2)/VLOOKUP($CU62-EB$103,Frauen!$G$9:$J$102,4),Rundäx)))</f>
        <v/>
      </c>
      <c r="EC62" s="43" t="str">
        <f>IF($CU62&gt;=RAM,"",IF($CU62-EC$103&lt;BeginnAlter,"",ROUND((SUM(CX$56:CX62)+SUM(FP$9:FP$56))/VLOOKUP($CU62,$AH$9:$AI$102,2)/VLOOKUP($CU62-EC$103,Frauen!$G$9:$J$102,4),Rundäx)))</f>
        <v/>
      </c>
      <c r="ED62" s="43" t="str">
        <f>IF($CU62&gt;=RAM,"",IF($CU62-ED$103&lt;BeginnAlter,"",ROUND((SUM(CY$56:CY62)+SUM(FQ$9:FQ$56))/VLOOKUP($CU62,$AH$9:$AI$102,2)/VLOOKUP($CU62-ED$103,Frauen!$G$9:$J$102,4),Rundäx)))</f>
        <v/>
      </c>
      <c r="EE62" s="43" t="str">
        <f>IF($CU62&gt;=RAM,"",IF($CU62-EE$103&lt;BeginnAlter,"",ROUND((SUM(CZ$56:CZ62)+SUM(FR$9:FR$56))/VLOOKUP($CU62,$AH$9:$AI$102,2)/VLOOKUP($CU62-EE$103,Frauen!$G$9:$J$102,4),Rundäx)))</f>
        <v/>
      </c>
      <c r="EF62" s="43" t="str">
        <f>IF($CU62&gt;=RAM,"",IF($CU62-EF$103&lt;BeginnAlter,"",ROUND((SUM(DA$56:DA62)+SUM(FS$9:FS$56))/VLOOKUP($CU62,$AH$9:$AI$102,2)/VLOOKUP($CU62-EF$103,Frauen!$G$9:$J$102,4),Rundäx)))</f>
        <v/>
      </c>
      <c r="EG62" s="43" t="str">
        <f>IF($CU62&gt;=RAM,"",IF($CU62-EG$103&lt;BeginnAlter,"",ROUND((SUM(DB$56:DB62)+SUM(FT$9:FT$56))/VLOOKUP($CU62,$AH$9:$AI$102,2)/VLOOKUP($CU62-EG$103,Frauen!$G$9:$J$102,4),Rundäx)))</f>
        <v/>
      </c>
      <c r="EH62" s="43" t="str">
        <f>IF($CU62&gt;=RAM,"",IF($CU62-EH$103&lt;BeginnAlter,"",ROUND((SUM(DC$56:DC62)+SUM(FU$9:FU$56))/VLOOKUP($CU62,$AH$9:$AI$102,2)/VLOOKUP($CU62-EH$103,Frauen!$G$9:$J$102,4),Rundäx)))</f>
        <v/>
      </c>
      <c r="EI62" s="86"/>
      <c r="EJ62" s="35">
        <f t="shared" si="60"/>
        <v>70</v>
      </c>
      <c r="EK62" s="43" t="str">
        <f>IF($CU62&gt;=RAM,"",IF($CU62-EK$103&lt;BeginnAlter,"",ROUND((SUM(DD$56:DD62)+SUM(FV$9:FV$56))/VLOOKUP($CU62,$AH$9:$AI$102,2)/VLOOKUP($CU62-EK$103,Frauen!$G$9:$J$102,4),Rundäx)))</f>
        <v/>
      </c>
      <c r="EL62" s="43" t="str">
        <f>IF($CU62&gt;=RAM,"",IF($CU62-EL$103&lt;BeginnAlter,"",ROUND((SUM(DE$56:DE62)+SUM(FW$9:FW$56))/VLOOKUP($CU62,$AH$9:$AI$102,2)/VLOOKUP($CU62-EL$103,Frauen!$G$9:$J$102,4),Rundäx)))</f>
        <v/>
      </c>
      <c r="EM62" s="43" t="str">
        <f>IF($CU62&gt;=RAM,"",IF($CU62-EM$103&lt;BeginnAlter,"",ROUND((SUM(DF$56:DF62)+SUM(FX$9:FX$56))/VLOOKUP($CU62,$AH$9:$AI$102,2)/VLOOKUP($CU62-EM$103,Frauen!$G$9:$J$102,4),Rundäx)))</f>
        <v/>
      </c>
      <c r="EN62" s="43" t="str">
        <f>IF($CU62&gt;=RAM,"",IF($CU62-EN$103&lt;BeginnAlter,"",ROUND((SUM(DG$56:DG62)+SUM(FY$9:FY$56))/VLOOKUP($CU62,$AH$9:$AI$102,2)/VLOOKUP($CU62-EN$103,Frauen!$G$9:$J$102,4),Rundäx)))</f>
        <v/>
      </c>
      <c r="EO62" s="43" t="str">
        <f>IF($CU62&gt;=RAM,"",IF($CU62-EO$103&lt;BeginnAlter,"",ROUND((SUM(DH$56:DH62)+SUM(FZ$9:FZ$56))/VLOOKUP($CU62,$AH$9:$AI$102,2)/VLOOKUP($CU62-EO$103,Frauen!$G$9:$J$102,4),Rundäx)))</f>
        <v/>
      </c>
      <c r="EP62" s="43" t="str">
        <f>IF($CU62&gt;=RAM,"",IF($CU62-EP$103&lt;BeginnAlter,"",ROUND((SUM(DI$56:DI62)+SUM(GA$9:GA$56))/VLOOKUP($CU62,$AH$9:$AI$102,2)/VLOOKUP($CU62-EP$103,Frauen!$G$9:$J$102,4),Rundäx)))</f>
        <v/>
      </c>
      <c r="EQ62" s="43" t="str">
        <f>IF($CU62&gt;=RAM,"",IF($CU62-EQ$103&lt;BeginnAlter,"",ROUND((SUM(DJ$56:DJ62)+SUM(GB$9:GB$56))/VLOOKUP($CU62,$AH$9:$AI$102,2)/VLOOKUP($CU62-EQ$103,Frauen!$G$9:$J$102,4),Rundäx)))</f>
        <v/>
      </c>
      <c r="ER62" s="43" t="str">
        <f>IF($CU62&gt;=RAM,"",IF($CU62-ER$103&lt;BeginnAlter,"",ROUND((SUM(DK$56:DK62)+SUM(GC$9:GC$56))/VLOOKUP($CU62,$AH$9:$AI$102,2)/VLOOKUP($CU62-ER$103,Frauen!$G$9:$J$102,4),Rundäx)))</f>
        <v/>
      </c>
      <c r="ES62" s="86"/>
      <c r="ET62" s="35">
        <f t="shared" si="61"/>
        <v>70</v>
      </c>
      <c r="EU62" s="43" t="str">
        <f>IF($CU62&gt;=RAM,"",IF($CU62-EU$103&lt;BeginnAlter,"",ROUND((SUM(DL$56:DL62)+SUM(GD$9:GD$56))/VLOOKUP($CU62,$AH$9:$AI$102,2)/VLOOKUP($CU62-EU$103,Frauen!$G$9:$J$102,4),Rundäx)))</f>
        <v/>
      </c>
      <c r="EV62" s="43" t="str">
        <f>IF($CU62&gt;=RAM,"",IF($CU62-EV$103&lt;BeginnAlter,"",ROUND((SUM(DM$56:DM62)+SUM(GE$9:GE$56))/VLOOKUP($CU62,$AH$9:$AI$102,2)/VLOOKUP($CU62-EV$103,Frauen!$G$9:$J$102,4),Rundäx)))</f>
        <v/>
      </c>
      <c r="EW62" s="43" t="str">
        <f>IF($CU62&gt;=RAM,"",IF($CU62-EW$103&lt;BeginnAlter,"",ROUND((SUM(DN$56:DN62)+SUM(GF$9:GF$56))/VLOOKUP($CU62,$AH$9:$AI$102,2)/VLOOKUP($CU62-EW$103,Frauen!$G$9:$J$102,4),Rundäx)))</f>
        <v/>
      </c>
      <c r="EX62" s="43" t="str">
        <f>IF($CU62&gt;=RAM,"",IF($CU62-EX$103&lt;BeginnAlter,"",ROUND((SUM(DO$56:DO62)+SUM(GG$9:GG$56))/VLOOKUP($CU62,$AH$9:$AI$102,2)/VLOOKUP($CU62-EX$103,Frauen!$G$9:$J$102,4),Rundäx)))</f>
        <v/>
      </c>
      <c r="EY62" s="43" t="str">
        <f>IF($CU62&gt;=RAM,"",IF($CU62-EY$103&lt;BeginnAlter,"",ROUND((SUM(DP$56:DP62)+SUM(GH$9:GH$56))/VLOOKUP($CU62,$AH$9:$AI$102,2)/VLOOKUP($CU62-EY$103,Frauen!$G$9:$J$102,4),Rundäx)))</f>
        <v/>
      </c>
      <c r="EZ62" s="43" t="str">
        <f>IF($CU62&gt;=RAM,"",IF($CU62-EZ$103&lt;BeginnAlter,"",ROUND((SUM(DQ$56:DQ62)+SUM(GI$9:GI$56))/VLOOKUP($CU62,$AH$9:$AI$102,2)/VLOOKUP($CU62-EZ$103,Frauen!$G$9:$J$102,4),Rundäx)))</f>
        <v/>
      </c>
      <c r="FA62" s="43" t="str">
        <f>IF($CU62&gt;=RAM,"",IF($CU62-FA$103&lt;BeginnAlter,"",ROUND((SUM(DR$56:DR62)+SUM(GJ$9:GJ$56))/VLOOKUP($CU62,$AH$9:$AI$102,2)/VLOOKUP($CU62-FA$103,Frauen!$G$9:$J$102,4),Rundäx)))</f>
        <v/>
      </c>
      <c r="FB62" s="43" t="str">
        <f>IF($CU62&gt;=RAM,"",IF($CU62-FB$103&lt;BeginnAlter,"",ROUND((SUM(DS$56:DS62)+SUM(GK$9:GK$56))/VLOOKUP($CU62,$AH$9:$AI$102,2)/VLOOKUP($CU62-FB$103,Frauen!$G$9:$J$102,4),Rundäx)))</f>
        <v/>
      </c>
      <c r="FC62" s="86"/>
      <c r="FD62" s="35">
        <f t="shared" si="62"/>
        <v>70</v>
      </c>
      <c r="FE62" s="43" t="str">
        <f>IF($CU62&gt;=RAM,"",IF($CU62-FE$103&lt;BeginnAlter,"",ROUND((SUM(DT$56:DT62)+SUM(GL$9:GL$56))/VLOOKUP($CU62,$AH$9:$AI$102,2)/VLOOKUP($CU62-FE$103,Frauen!$G$9:$J$102,4),Rundäx)))</f>
        <v/>
      </c>
      <c r="FF62" s="43" t="str">
        <f>IF($CU62&gt;=RAM,"",IF($CU62-FF$103&lt;BeginnAlter,"",ROUND((SUM(DU$56:DU62)+SUM(GM$9:GM$56))/VLOOKUP($CU62,$AH$9:$AI$102,2)/VLOOKUP($CU62-FF$103,Frauen!$G$9:$J$102,4),Rundäx)))</f>
        <v/>
      </c>
      <c r="FG62" s="43" t="str">
        <f>IF($CU62&gt;=RAM,"",IF($CU62-FG$103&lt;BeginnAlter,"",ROUND((SUM(DV$56:DV62)+SUM(GN$9:GN$56))/VLOOKUP($CU62,$AH$9:$AI$102,2)/VLOOKUP($CU62-FG$103,Frauen!$G$9:$J$102,4),Rundäx)))</f>
        <v/>
      </c>
      <c r="FH62" s="43" t="str">
        <f>IF($CU62&gt;=RAM,"",IF($CU62-FH$103&lt;BeginnAlter,"",ROUND((SUM(DW$56:DW62)+SUM(GO$9:GO$56))/VLOOKUP($CU62,$AH$9:$AI$102,2)/VLOOKUP($CU62-FH$103,Frauen!$G$9:$J$102,4),Rundäx)))</f>
        <v/>
      </c>
      <c r="FI62" s="43" t="str">
        <f>IF($CU62&gt;=RAM,"",IF($CU62-FI$103&lt;BeginnAlter,"",ROUND((SUM(DX$56:DX62)+SUM(GP$9:GP$56))/VLOOKUP($CU62,$AH$9:$AI$102,2)/VLOOKUP($CU62-FI$103,Frauen!$G$9:$J$102,4),Rundäx)))</f>
        <v/>
      </c>
      <c r="FJ62" s="43" t="str">
        <f>IF($CU62&gt;=RAM,"",IF($CU62-FJ$103&lt;BeginnAlter,"",ROUND((SUM(DY$56:DY62)+SUM(GQ$9:GQ$56))/VLOOKUP($CU62,$AH$9:$AI$102,2)/VLOOKUP($CU62-FJ$103,Frauen!$G$9:$J$102,4),Rundäx)))</f>
        <v/>
      </c>
      <c r="FK62" s="43" t="str">
        <f>IF($CU62&gt;=RAM,"",IF($CU62-FK$103&lt;BeginnAlter,"",ROUND((SUM(DZ$56:DZ62)+SUM(GR$9:GR$56))/VLOOKUP($CU62,$AH$9:$AI$102,2)/VLOOKUP($CU62-FK$103,Frauen!$G$9:$J$102,4),Rundäx)))</f>
        <v/>
      </c>
      <c r="FL62" s="86"/>
      <c r="FM62" s="35">
        <f t="shared" si="68"/>
        <v>118</v>
      </c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4"/>
      <c r="GT62" s="24"/>
      <c r="GU62" s="24" t="str">
        <f>IF(FM62&gt;=RAM," ",#REF!/$AI62/Frauen!$J50)</f>
        <v xml:space="preserve"> </v>
      </c>
      <c r="GV62" s="24" t="str">
        <f>IF(FM62&gt;=RAM," ",#REF!/$AI62/Frauen!$J53)</f>
        <v xml:space="preserve"> </v>
      </c>
      <c r="GW62" s="24" t="str">
        <f>IF(FM62&gt;=RAM," ",#REF!/$AI62/Frauen!$J56)</f>
        <v xml:space="preserve"> </v>
      </c>
      <c r="GX62" s="24" t="str">
        <f>IF(FM62&gt;=RAM," ",#REF!/$AI62/Frauen!$J59)</f>
        <v xml:space="preserve"> </v>
      </c>
      <c r="GY62" s="24" t="str">
        <f>IF(FM62&gt;=RAM," ",#REF!/$AI62/Frauen!$J62)</f>
        <v xml:space="preserve"> </v>
      </c>
      <c r="GZ62" s="24" t="str">
        <f>IF(FM62&gt;=RAM," ",#REF!/$AI62/Frauen!$J65)</f>
        <v xml:space="preserve"> </v>
      </c>
      <c r="HA62" s="86"/>
      <c r="HB62" s="35">
        <f t="shared" si="63"/>
        <v>118</v>
      </c>
      <c r="HC62" s="24"/>
      <c r="HD62" s="24"/>
      <c r="HE62" s="24"/>
      <c r="HF62" s="24"/>
      <c r="HG62" s="24"/>
      <c r="HH62" s="24"/>
      <c r="HI62" s="24"/>
      <c r="HJ62" s="24"/>
      <c r="HK62" s="86"/>
      <c r="HL62" s="35">
        <f t="shared" si="64"/>
        <v>118</v>
      </c>
      <c r="HM62" s="24"/>
      <c r="HN62" s="24"/>
      <c r="HO62" s="24"/>
      <c r="HP62" s="24"/>
      <c r="HQ62" s="24"/>
      <c r="HR62" s="24"/>
      <c r="HS62" s="24"/>
      <c r="HT62" s="24"/>
      <c r="HU62" s="86"/>
      <c r="HV62" s="35">
        <f t="shared" si="65"/>
        <v>118</v>
      </c>
      <c r="HW62" s="24"/>
      <c r="HX62" s="24"/>
      <c r="HY62" s="24"/>
      <c r="HZ62" s="24"/>
      <c r="IA62" s="24"/>
      <c r="IB62" s="24"/>
      <c r="IC62" s="24"/>
      <c r="ID62" s="89"/>
      <c r="IE62" s="35">
        <f t="shared" si="81"/>
        <v>70</v>
      </c>
      <c r="IF62" s="25" t="str">
        <f t="shared" si="31"/>
        <v/>
      </c>
      <c r="IG62" s="25" t="str">
        <f>IF($IE62&lt;RAM,IF(S63&lt;=RAK,ROUND(SUM(IF62:INDEX(Dakx,RAM-BeginnAlter))+INDEX(Dax,RAM-BeginnAlter+1)*INDEX(äkx,1),RundDx),0),"")</f>
        <v/>
      </c>
      <c r="IH62" s="25" t="str">
        <f>IF($IE62&lt;RAM,IF(S63&lt;=RAK,ROUND(SUM(IG62:INDEX(Nakx,RAM-BeginnAlter))+INDEX(Dax,RAM-BeginnAlter+1)*INDEX(äkx,1),RundDx),0),"")</f>
        <v/>
      </c>
      <c r="II62" s="24" t="str">
        <f t="shared" si="32"/>
        <v/>
      </c>
      <c r="IJ62" s="25" t="str">
        <f t="shared" si="33"/>
        <v/>
      </c>
      <c r="IK62" s="25" t="str">
        <f>IF($IE62&lt;RAM,IF(S63&lt;=RAK,SUM(IJ62:INDEX(Dikx,RAM-BeginnAlter))+INDEX(Dix,RAM-BeginnAlter+1)*INDEX(äkx,1),0),"")</f>
        <v/>
      </c>
      <c r="IL62" s="24" t="str">
        <f t="shared" si="34"/>
        <v/>
      </c>
      <c r="IM62" s="86"/>
      <c r="IN62" s="35">
        <f t="shared" si="67"/>
        <v>118</v>
      </c>
      <c r="IO62" s="25"/>
      <c r="IP62" s="25"/>
      <c r="IQ62" s="24"/>
      <c r="IR62" s="86"/>
    </row>
    <row r="63" spans="1:252" ht="15.75" customHeight="1" x14ac:dyDescent="0.25">
      <c r="A63" s="35">
        <f t="shared" si="69"/>
        <v>71</v>
      </c>
      <c r="B63" s="77"/>
      <c r="C63" s="77"/>
      <c r="D63" s="77"/>
      <c r="E63" s="77">
        <v>2.58E-2</v>
      </c>
      <c r="F63" s="86"/>
      <c r="G63" s="35">
        <f t="shared" si="70"/>
        <v>71</v>
      </c>
      <c r="H63" s="25" t="str">
        <f t="shared" si="37"/>
        <v/>
      </c>
      <c r="I63" s="25" t="str">
        <f t="shared" si="38"/>
        <v/>
      </c>
      <c r="J63" s="25">
        <f t="shared" si="39"/>
        <v>77579</v>
      </c>
      <c r="K63" s="30">
        <f>IF(J63&gt;0,ROUND(SUM(J63:J$102)/J63-0.5,Rundex),"")</f>
        <v>13.3</v>
      </c>
      <c r="L63" s="25">
        <f t="shared" si="0"/>
        <v>77579</v>
      </c>
      <c r="M63" s="30">
        <f>IF(L63&gt;0,ROUND(SUM(L63:L$102)/L63-0.5,Rundex),"")</f>
        <v>13.3</v>
      </c>
      <c r="N63" s="86"/>
      <c r="O63" s="35">
        <f t="shared" si="71"/>
        <v>71</v>
      </c>
      <c r="P63" s="43">
        <v>0.77672063489070409</v>
      </c>
      <c r="Q63" s="78">
        <v>66.658679863412289</v>
      </c>
      <c r="R63" s="43">
        <v>8.9999999999999993E-3</v>
      </c>
      <c r="S63" s="78">
        <v>21.212424075070388</v>
      </c>
      <c r="T63" s="15">
        <v>3.8171924771433496E-2</v>
      </c>
      <c r="U63" s="11">
        <f t="shared" si="40"/>
        <v>69134</v>
      </c>
      <c r="V63" s="30">
        <f>IF(U63&gt;0,ROUND(SUM(U63:U$102)/U63-0.5,Rundex),"")</f>
        <v>12.21</v>
      </c>
      <c r="W63" s="86"/>
      <c r="X63" s="35">
        <f t="shared" si="72"/>
        <v>71</v>
      </c>
      <c r="Y63" s="25" t="str">
        <f t="shared" si="1"/>
        <v xml:space="preserve"> </v>
      </c>
      <c r="Z63" s="25" t="str">
        <f>IF($X63&lt;RAM,SUM(Y63:INDEX(Dax,RAM-BeginnAlter))," ")</f>
        <v xml:space="preserve"> </v>
      </c>
      <c r="AA63" s="25" t="str">
        <f t="shared" si="2"/>
        <v xml:space="preserve"> </v>
      </c>
      <c r="AB63" s="25" t="str">
        <f>IF($X63&lt;RAM,SUM(AA63:INDEX(Cax,RAM-BeginnAlter))," ")</f>
        <v xml:space="preserve"> </v>
      </c>
      <c r="AC63" s="25" t="str">
        <f t="shared" si="3"/>
        <v xml:space="preserve"> </v>
      </c>
      <c r="AD63" s="25" t="str">
        <f>IF($X63&lt;RAM,SUM(AC63:INDEX(Caix,RAM-BeginnAlter))," ")</f>
        <v xml:space="preserve"> </v>
      </c>
      <c r="AE63" s="24" t="str">
        <f t="shared" si="4"/>
        <v xml:space="preserve"> </v>
      </c>
      <c r="AF63" s="24" t="str">
        <f t="shared" si="5"/>
        <v xml:space="preserve"> </v>
      </c>
      <c r="AG63" s="86"/>
      <c r="AH63" s="35">
        <f t="shared" si="73"/>
        <v>71</v>
      </c>
      <c r="AI63" s="25" t="str">
        <f t="shared" si="6"/>
        <v xml:space="preserve"> </v>
      </c>
      <c r="AJ63" s="25" t="str">
        <f>IF($AH63&gt;RAM," ",IF($AH63&lt;RAM,SUM(AI63:INDEX(Dix,RAM-BeginnAlter))+INDEX(Nx,RAM-BeginnAlter+1),INDEX(Nx,RAM-BeginnAlter+1)))</f>
        <v xml:space="preserve"> </v>
      </c>
      <c r="AK63" s="25" t="str">
        <f>IF($AH63&lt;RAM,SUM(AI63:INDEX(Dix,RAM-BeginnAlter))," ")</f>
        <v xml:space="preserve"> </v>
      </c>
      <c r="AL63" s="24" t="str">
        <f t="shared" si="7"/>
        <v xml:space="preserve"> </v>
      </c>
      <c r="AM63" s="24" t="str">
        <f t="shared" si="8"/>
        <v xml:space="preserve"> </v>
      </c>
      <c r="AN63" s="24" t="str">
        <f t="shared" si="9"/>
        <v xml:space="preserve"> </v>
      </c>
      <c r="AO63" s="24" t="str">
        <f t="shared" si="10"/>
        <v xml:space="preserve"> </v>
      </c>
      <c r="AP63" s="86"/>
      <c r="AQ63" s="35">
        <f t="shared" si="74"/>
        <v>71</v>
      </c>
      <c r="AR63" s="25">
        <f t="shared" si="11"/>
        <v>15983</v>
      </c>
      <c r="AS63" s="25">
        <f>SUM(AR63:AR$94)</f>
        <v>185599</v>
      </c>
      <c r="AT63" s="25" t="str">
        <f>IF($AQ63&lt;RAM,SUM(AR63:INDEX(Dx,RAM-BeginnAlter))," ")</f>
        <v xml:space="preserve"> </v>
      </c>
      <c r="AU63" s="24">
        <f t="shared" si="12"/>
        <v>11.612</v>
      </c>
      <c r="AV63" s="24">
        <f t="shared" si="13"/>
        <v>11.154</v>
      </c>
      <c r="AW63" s="24" t="str">
        <f t="shared" si="14"/>
        <v xml:space="preserve"> </v>
      </c>
      <c r="AX63" s="24" t="str">
        <f t="shared" si="15"/>
        <v xml:space="preserve"> </v>
      </c>
      <c r="AY63" s="86"/>
      <c r="AZ63" s="35">
        <f t="shared" si="75"/>
        <v>71</v>
      </c>
      <c r="BA63" s="25">
        <f t="shared" si="16"/>
        <v>14243</v>
      </c>
      <c r="BB63" s="25">
        <f>SUM(BA63:BA$94)</f>
        <v>153290</v>
      </c>
      <c r="BC63" s="24">
        <f t="shared" si="17"/>
        <v>10.762</v>
      </c>
      <c r="BD63" s="24">
        <f t="shared" si="18"/>
        <v>10.304</v>
      </c>
      <c r="BE63" s="86"/>
      <c r="BF63" s="35">
        <f t="shared" si="48"/>
        <v>54</v>
      </c>
      <c r="BG63" s="24" t="str">
        <f t="shared" si="19"/>
        <v/>
      </c>
      <c r="BH63" s="24" t="str">
        <f t="shared" si="20"/>
        <v/>
      </c>
      <c r="BI63" s="86"/>
      <c r="BJ63" s="35">
        <f t="shared" si="76"/>
        <v>71</v>
      </c>
      <c r="BK63" s="25" t="str">
        <f t="shared" si="21"/>
        <v xml:space="preserve"> </v>
      </c>
      <c r="BL63" s="25" t="str">
        <f>IF(BJ63&lt;RAM,SUM(BK63:INDEX(Daix,RAM-BeginnAlter))," ")</f>
        <v xml:space="preserve"> </v>
      </c>
      <c r="BM63" s="25" t="str">
        <f>IF(BJ63&lt;RAM,SUM(BL63:INDEX(Naix,RAM-BeginnAlter))," ")</f>
        <v xml:space="preserve"> </v>
      </c>
      <c r="BN63" s="24" t="str">
        <f t="shared" si="22"/>
        <v xml:space="preserve"> </v>
      </c>
      <c r="BO63" s="24" t="str">
        <f t="shared" si="23"/>
        <v xml:space="preserve"> </v>
      </c>
      <c r="BP63" s="86"/>
      <c r="BQ63" s="35">
        <f t="shared" si="77"/>
        <v>71</v>
      </c>
      <c r="BR63" s="25" t="str">
        <f t="shared" si="51"/>
        <v xml:space="preserve"> </v>
      </c>
      <c r="BS63" s="25" t="str">
        <f>IF(BQ63&lt;RAM,SUM(BR63:INDEX(Daixs,RAM-BeginnAlter))," ")</f>
        <v xml:space="preserve"> </v>
      </c>
      <c r="BT63" s="25" t="str">
        <f>IF(BQ63&lt;RAM,SUM(BS63:INDEX(Naixs,RAM-BeginnAlter))," ")</f>
        <v xml:space="preserve"> </v>
      </c>
      <c r="BU63" s="24" t="str">
        <f t="shared" si="52"/>
        <v xml:space="preserve"> </v>
      </c>
      <c r="BV63" s="24" t="str">
        <f t="shared" si="53"/>
        <v xml:space="preserve"> </v>
      </c>
      <c r="BW63" s="86"/>
      <c r="BX63" s="35">
        <f t="shared" si="78"/>
        <v>71</v>
      </c>
      <c r="BY63" s="10" t="str">
        <f t="shared" si="24"/>
        <v/>
      </c>
      <c r="BZ63" s="11" t="str">
        <f t="shared" si="25"/>
        <v/>
      </c>
      <c r="CA63" s="25" t="str">
        <f>IF(S64&lt;=RAK,IF($BX63&lt;RAM,SUM(BZ63:INDEX(Dazx,RAM-BeginnAlter)),""),"")</f>
        <v/>
      </c>
      <c r="CB63" s="24" t="str">
        <f t="shared" si="26"/>
        <v/>
      </c>
      <c r="CC63" s="25">
        <f t="shared" si="27"/>
        <v>13114</v>
      </c>
      <c r="CD63" s="24">
        <f t="shared" si="28"/>
        <v>9.3840000000000003</v>
      </c>
      <c r="CE63" s="24" t="str">
        <f t="shared" si="29"/>
        <v/>
      </c>
      <c r="CF63" s="86"/>
      <c r="CG63" s="35">
        <f t="shared" si="79"/>
        <v>71</v>
      </c>
      <c r="CH63" s="25" t="str">
        <f>IF(CG63&lt;RAM,ROUND(v^($CG63+FaktorAlter)*$H63*($B63*0.5*($P63+$P64)*(VLOOKUP(TRUNC(0.5*($Q63+$Q64),0),Frauen!$AZ$9:$BD$95,5)+(0.5*($Q63+$Q64)-TRUNC(0.5*($Q63+$Q64),0))*(VLOOKUP(TRUNC(0.5*($Q63+$Q64)+1,0),Frauen!$AZ$9:$BD$95,5)-VLOOKUP(TRUNC(0.5*($Q63+$Q64),0),Frauen!$AZ$9:$BD$95,5)))+$C63*0.5*($CN63+$CN64)),RundDx),"")</f>
        <v/>
      </c>
      <c r="CI63" s="25" t="str">
        <f>IF(CG63&lt;RAM,ROUND(SUM(CH63:INDEX(Dawx,RAM-BeginnAlter))+INDEX(Dax,RAM-BeginnAlter+1)*INDEX(äwx,1),RundDx),"")</f>
        <v/>
      </c>
      <c r="CJ63" s="25" t="str">
        <f>IF(CG63&lt;RAM,ROUND(SUM(CI63:INDEX(Nawx,RAM-BeginnAlter))+INDEX(Dax,RAM-BeginnAlter+1)*INDEX(äwx,1),RundDx),"")</f>
        <v/>
      </c>
      <c r="CK63" s="24" t="str">
        <f t="shared" si="56"/>
        <v/>
      </c>
      <c r="CL63" s="25" t="str">
        <f>IF(CG63&lt;RAM,ROUND(v^($CG63+FaktorAlter)*$L63*$D63*0.5*($P63+$P64)*(VLOOKUP(TRUNC(0.5*($Q63+$Q64),0),Frauen!$AZ$9:$BD$95,5)+(0.5*($Q63+$Q64)-TRUNC(0.5*($Q63+$Q64),0))*(VLOOKUP(TRUNC(0.5*($Q63+$Q64)+1,0),Frauen!$AZ$9:$BD$95,5)-VLOOKUP(TRUNC(0.5*($Q63+$Q64),0),Frauen!$AZ$9:$BD$95,5))),RundDx),"")</f>
        <v/>
      </c>
      <c r="CM63" s="25" t="str">
        <f>IF(CG63&lt;RAM,SUM(CL63:INDEX(Diwx,RAM-BeginnAlter))+INDEX(Dix,RAM-BeginnAlter+1)*INDEX(äwx,1),"")</f>
        <v/>
      </c>
      <c r="CN63" s="24" t="str">
        <f t="shared" si="57"/>
        <v/>
      </c>
      <c r="CO63" s="86"/>
      <c r="CP63" s="35">
        <f t="shared" si="58"/>
        <v>119</v>
      </c>
      <c r="CQ63" s="25"/>
      <c r="CR63" s="25"/>
      <c r="CS63" s="24"/>
      <c r="CT63" s="86"/>
      <c r="CU63" s="35">
        <f t="shared" si="80"/>
        <v>71</v>
      </c>
      <c r="CV63" s="25" t="str">
        <f>IF($CU63&gt;=RAM,"",IF($CU63-CV$103&lt;BeginnAlter,"",ROUND(v^($CU63+FaktorAlter)*$L63*$D63*0.5*(VLOOKUP($CU63-CV$103,Frauen!$G$9:$J$102,4)+VLOOKUP($CU63-CV$103+1,Frauen!$G$9:$J$102,4))*0.5*(VLOOKUP($CU63-CV$103,Frauen!$AZ$9:$BD$102,5)+VLOOKUP($CU63-CV$103+1,Frauen!$AZ$9:$BD$102,5)),RundDx)))</f>
        <v/>
      </c>
      <c r="CW63" s="25" t="str">
        <f>IF($CU63&gt;=RAM,"",IF($CU63-CW$103&lt;BeginnAlter,"",ROUND(v^($CU63+FaktorAlter)*$L63*$D63*0.5*(VLOOKUP($CU63-CW$103,Frauen!$G$9:$J$102,4)+VLOOKUP($CU63-CW$103+1,Frauen!$G$9:$J$102,4))*0.5*(VLOOKUP($CU63-CW$103,Frauen!$AZ$9:$BD$102,5)+VLOOKUP($CU63-CW$103+1,Frauen!$AZ$9:$BD$102,5)),RundDx)))</f>
        <v/>
      </c>
      <c r="CX63" s="25" t="str">
        <f>IF($CU63&gt;=RAM,"",IF($CU63-CX$103&lt;BeginnAlter,"",ROUND(v^($CU63+FaktorAlter)*$L63*$D63*0.5*(VLOOKUP($CU63-CX$103,Frauen!$G$9:$J$102,4)+VLOOKUP($CU63-CX$103+1,Frauen!$G$9:$J$102,4))*0.5*(VLOOKUP($CU63-CX$103,Frauen!$AZ$9:$BD$102,5)+VLOOKUP($CU63-CX$103+1,Frauen!$AZ$9:$BD$102,5)),RundDx)))</f>
        <v/>
      </c>
      <c r="CY63" s="25" t="str">
        <f>IF($CU63&gt;=RAM,"",IF($CU63-CY$103&lt;BeginnAlter,"",ROUND(v^($CU63+FaktorAlter)*$L63*$D63*0.5*(VLOOKUP($CU63-CY$103,Frauen!$G$9:$J$102,4)+VLOOKUP($CU63-CY$103+1,Frauen!$G$9:$J$102,4))*0.5*(VLOOKUP($CU63-CY$103,Frauen!$AZ$9:$BD$102,5)+VLOOKUP($CU63-CY$103+1,Frauen!$AZ$9:$BD$102,5)),RundDx)))</f>
        <v/>
      </c>
      <c r="CZ63" s="25" t="str">
        <f>IF($CU63&gt;=RAM,"",IF($CU63-CZ$103&lt;BeginnAlter,"",ROUND(v^($CU63+FaktorAlter)*$L63*$D63*0.5*(VLOOKUP($CU63-CZ$103,Frauen!$G$9:$J$102,4)+VLOOKUP($CU63-CZ$103+1,Frauen!$G$9:$J$102,4))*0.5*(VLOOKUP($CU63-CZ$103,Frauen!$AZ$9:$BD$102,5)+VLOOKUP($CU63-CZ$103+1,Frauen!$AZ$9:$BD$102,5)),RundDx)))</f>
        <v/>
      </c>
      <c r="DA63" s="25" t="str">
        <f>IF($CU63&gt;=RAM,"",IF($CU63-DA$103&lt;BeginnAlter,"",ROUND(v^($CU63+FaktorAlter)*$L63*$D63*0.5*(VLOOKUP($CU63-DA$103,Frauen!$G$9:$J$102,4)+VLOOKUP($CU63-DA$103+1,Frauen!$G$9:$J$102,4))*0.5*(VLOOKUP($CU63-DA$103,Frauen!$AZ$9:$BD$102,5)+VLOOKUP($CU63-DA$103+1,Frauen!$AZ$9:$BD$102,5)),RundDx)))</f>
        <v/>
      </c>
      <c r="DB63" s="25" t="str">
        <f>IF($CU63&gt;=RAM,"",IF($CU63-DB$103&lt;BeginnAlter,"",ROUND(v^($CU63+FaktorAlter)*$L63*$D63*0.5*(VLOOKUP($CU63-DB$103,Frauen!$G$9:$J$102,4)+VLOOKUP($CU63-DB$103+1,Frauen!$G$9:$J$102,4))*0.5*(VLOOKUP($CU63-DB$103,Frauen!$AZ$9:$BD$102,5)+VLOOKUP($CU63-DB$103+1,Frauen!$AZ$9:$BD$102,5)),RundDx)))</f>
        <v/>
      </c>
      <c r="DC63" s="25" t="str">
        <f>IF($CU63&gt;=RAM,"",IF($CU63-DC$103&lt;BeginnAlter,"",ROUND(v^($CU63+FaktorAlter)*$L63*$D63*0.5*(VLOOKUP($CU63-DC$103,Frauen!$G$9:$J$102,4)+VLOOKUP($CU63-DC$103+1,Frauen!$G$9:$J$102,4))*0.5*(VLOOKUP($CU63-DC$103,Frauen!$AZ$9:$BD$102,5)+VLOOKUP($CU63-DC$103+1,Frauen!$AZ$9:$BD$102,5)),RundDx)))</f>
        <v/>
      </c>
      <c r="DD63" s="25" t="str">
        <f>IF($CU63&gt;=RAM,"",IF($CU63-DD$103&lt;BeginnAlter,"",ROUND(v^($CU63+FaktorAlter)*$L63*$D63*0.5*(VLOOKUP($CU63-DD$103,Frauen!$G$9:$J$102,4)+VLOOKUP($CU63-DD$103+1,Frauen!$G$9:$J$102,4))*0.5*(VLOOKUP($CU63-DD$103,Frauen!$AZ$9:$BD$102,5)+VLOOKUP($CU63-DD$103+1,Frauen!$AZ$9:$BD$102,5)),RundDx)))</f>
        <v/>
      </c>
      <c r="DE63" s="25" t="str">
        <f>IF($CU63&gt;=RAM,"",IF($CU63-DE$103&lt;BeginnAlter,"",ROUND(v^($CU63+FaktorAlter)*$L63*$D63*0.5*(VLOOKUP($CU63-DE$103,Frauen!$G$9:$J$102,4)+VLOOKUP($CU63-DE$103+1,Frauen!$G$9:$J$102,4))*0.5*(VLOOKUP($CU63-DE$103,Frauen!$AZ$9:$BD$102,5)+VLOOKUP($CU63-DE$103+1,Frauen!$AZ$9:$BD$102,5)),RundDx)))</f>
        <v/>
      </c>
      <c r="DF63" s="25" t="str">
        <f>IF($CU63&gt;=RAM,"",IF($CU63-DF$103&lt;BeginnAlter,"",ROUND(v^($CU63+FaktorAlter)*$L63*$D63*0.5*(VLOOKUP($CU63-DF$103,Frauen!$G$9:$J$102,4)+VLOOKUP($CU63-DF$103+1,Frauen!$G$9:$J$102,4))*0.5*(VLOOKUP($CU63-DF$103,Frauen!$AZ$9:$BD$102,5)+VLOOKUP($CU63-DF$103+1,Frauen!$AZ$9:$BD$102,5)),RundDx)))</f>
        <v/>
      </c>
      <c r="DG63" s="25" t="str">
        <f>IF($CU63&gt;=RAM,"",IF($CU63-DG$103&lt;BeginnAlter,"",ROUND(v^($CU63+FaktorAlter)*$L63*$D63*0.5*(VLOOKUP($CU63-DG$103,Frauen!$G$9:$J$102,4)+VLOOKUP($CU63-DG$103+1,Frauen!$G$9:$J$102,4))*0.5*(VLOOKUP($CU63-DG$103,Frauen!$AZ$9:$BD$102,5)+VLOOKUP($CU63-DG$103+1,Frauen!$AZ$9:$BD$102,5)),RundDx)))</f>
        <v/>
      </c>
      <c r="DH63" s="25" t="str">
        <f>IF($CU63&gt;=RAM,"",IF($CU63-DH$103&lt;BeginnAlter,"",ROUND(v^($CU63+FaktorAlter)*$L63*$D63*0.5*(VLOOKUP($CU63-DH$103,Frauen!$G$9:$J$102,4)+VLOOKUP($CU63-DH$103+1,Frauen!$G$9:$J$102,4))*0.5*(VLOOKUP($CU63-DH$103,Frauen!$AZ$9:$BD$102,5)+VLOOKUP($CU63-DH$103+1,Frauen!$AZ$9:$BD$102,5)),RundDx)))</f>
        <v/>
      </c>
      <c r="DI63" s="25" t="str">
        <f>IF($CU63&gt;=RAM,"",IF($CU63-DI$103&lt;BeginnAlter,"",ROUND(v^($CU63+FaktorAlter)*$L63*$D63*0.5*(VLOOKUP($CU63-DI$103,Frauen!$G$9:$J$102,4)+VLOOKUP($CU63-DI$103+1,Frauen!$G$9:$J$102,4))*0.5*(VLOOKUP($CU63-DI$103,Frauen!$AZ$9:$BD$102,5)+VLOOKUP($CU63-DI$103+1,Frauen!$AZ$9:$BD$102,5)),RundDx)))</f>
        <v/>
      </c>
      <c r="DJ63" s="25" t="str">
        <f>IF($CU63&gt;=RAM,"",IF($CU63-DJ$103&lt;BeginnAlter,"",ROUND(v^($CU63+FaktorAlter)*$L63*$D63*0.5*(VLOOKUP($CU63-DJ$103,Frauen!$G$9:$J$102,4)+VLOOKUP($CU63-DJ$103+1,Frauen!$G$9:$J$102,4))*0.5*(VLOOKUP($CU63-DJ$103,Frauen!$AZ$9:$BD$102,5)+VLOOKUP($CU63-DJ$103+1,Frauen!$AZ$9:$BD$102,5)),RundDx)))</f>
        <v/>
      </c>
      <c r="DK63" s="25" t="str">
        <f>IF($CU63&gt;=RAM,"",IF($CU63-DK$103&lt;BeginnAlter,"",ROUND(v^($CU63+FaktorAlter)*$L63*$D63*0.5*(VLOOKUP($CU63-DK$103,Frauen!$G$9:$J$102,4)+VLOOKUP($CU63-DK$103+1,Frauen!$G$9:$J$102,4))*0.5*(VLOOKUP($CU63-DK$103,Frauen!$AZ$9:$BD$102,5)+VLOOKUP($CU63-DK$103+1,Frauen!$AZ$9:$BD$102,5)),RundDx)))</f>
        <v/>
      </c>
      <c r="DL63" s="25" t="str">
        <f>IF($CU63&gt;=RAM,"",IF($CU63-DL$103&lt;BeginnAlter,"",ROUND(v^($CU63+FaktorAlter)*$L63*$D63*0.5*(VLOOKUP($CU63-DL$103,Frauen!$G$9:$J$102,4)+VLOOKUP($CU63-DL$103+1,Frauen!$G$9:$J$102,4))*0.5*(VLOOKUP($CU63-DL$103,Frauen!$AZ$9:$BD$102,5)+VLOOKUP($CU63-DL$103+1,Frauen!$AZ$9:$BD$102,5)),RundDx)))</f>
        <v/>
      </c>
      <c r="DM63" s="25" t="str">
        <f>IF($CU63&gt;=RAM,"",IF($CU63-DM$103&lt;BeginnAlter,"",ROUND(v^($CU63+FaktorAlter)*$L63*$D63*0.5*(VLOOKUP($CU63-DM$103,Frauen!$G$9:$J$102,4)+VLOOKUP($CU63-DM$103+1,Frauen!$G$9:$J$102,4))*0.5*(VLOOKUP($CU63-DM$103,Frauen!$AZ$9:$BD$102,5)+VLOOKUP($CU63-DM$103+1,Frauen!$AZ$9:$BD$102,5)),RundDx)))</f>
        <v/>
      </c>
      <c r="DN63" s="25" t="str">
        <f>IF($CU63&gt;=RAM,"",IF($CU63-DN$103&lt;BeginnAlter,"",ROUND(v^($CU63+FaktorAlter)*$L63*$D63*0.5*(VLOOKUP($CU63-DN$103,Frauen!$G$9:$J$102,4)+VLOOKUP($CU63-DN$103+1,Frauen!$G$9:$J$102,4))*0.5*(VLOOKUP($CU63-DN$103,Frauen!$AZ$9:$BD$102,5)+VLOOKUP($CU63-DN$103+1,Frauen!$AZ$9:$BD$102,5)),RundDx)))</f>
        <v/>
      </c>
      <c r="DO63" s="25" t="str">
        <f>IF($CU63&gt;=RAM,"",IF($CU63-DO$103&lt;BeginnAlter,"",ROUND(v^($CU63+FaktorAlter)*$L63*$D63*0.5*(VLOOKUP($CU63-DO$103,Frauen!$G$9:$J$102,4)+VLOOKUP($CU63-DO$103+1,Frauen!$G$9:$J$102,4))*0.5*(VLOOKUP($CU63-DO$103,Frauen!$AZ$9:$BD$102,5)+VLOOKUP($CU63-DO$103+1,Frauen!$AZ$9:$BD$102,5)),RundDx)))</f>
        <v/>
      </c>
      <c r="DP63" s="25" t="str">
        <f>IF($CU63&gt;=RAM,"",IF($CU63-DP$103&lt;BeginnAlter,"",ROUND(v^($CU63+FaktorAlter)*$L63*$D63*0.5*(VLOOKUP($CU63-DP$103,Frauen!$G$9:$J$102,4)+VLOOKUP($CU63-DP$103+1,Frauen!$G$9:$J$102,4))*0.5*(VLOOKUP($CU63-DP$103,Frauen!$AZ$9:$BD$102,5)+VLOOKUP($CU63-DP$103+1,Frauen!$AZ$9:$BD$102,5)),RundDx)))</f>
        <v/>
      </c>
      <c r="DQ63" s="25" t="str">
        <f>IF($CU63&gt;=RAM,"",IF($CU63-DQ$103&lt;BeginnAlter,"",ROUND(v^($CU63+FaktorAlter)*$L63*$D63*0.5*(VLOOKUP($CU63-DQ$103,Frauen!$G$9:$J$102,4)+VLOOKUP($CU63-DQ$103+1,Frauen!$G$9:$J$102,4))*0.5*(VLOOKUP($CU63-DQ$103,Frauen!$AZ$9:$BD$102,5)+VLOOKUP($CU63-DQ$103+1,Frauen!$AZ$9:$BD$102,5)),RundDx)))</f>
        <v/>
      </c>
      <c r="DR63" s="25" t="str">
        <f>IF($CU63&gt;=RAM,"",IF($CU63-DR$103&lt;BeginnAlter,"",ROUND(v^($CU63+FaktorAlter)*$L63*$D63*0.5*(VLOOKUP($CU63-DR$103,Frauen!$G$9:$J$102,4)+VLOOKUP($CU63-DR$103+1,Frauen!$G$9:$J$102,4))*0.5*(VLOOKUP($CU63-DR$103,Frauen!$AZ$9:$BD$102,5)+VLOOKUP($CU63-DR$103+1,Frauen!$AZ$9:$BD$102,5)),RundDx)))</f>
        <v/>
      </c>
      <c r="DS63" s="25" t="str">
        <f>IF($CU63&gt;=RAM,"",IF($CU63-DS$103&lt;BeginnAlter,"",ROUND(v^($CU63+FaktorAlter)*$L63*$D63*0.5*(VLOOKUP($CU63-DS$103,Frauen!$G$9:$J$102,4)+VLOOKUP($CU63-DS$103+1,Frauen!$G$9:$J$102,4))*0.5*(VLOOKUP($CU63-DS$103,Frauen!$AZ$9:$BD$102,5)+VLOOKUP($CU63-DS$103+1,Frauen!$AZ$9:$BD$102,5)),RundDx)))</f>
        <v/>
      </c>
      <c r="DT63" s="25" t="str">
        <f>IF($CU63&gt;=RAM,"",IF($CU63-DT$103&lt;BeginnAlter,"",ROUND(v^($CU63+FaktorAlter)*$L63*$D63*0.5*(VLOOKUP($CU63-DT$103,Frauen!$G$9:$J$102,4)+VLOOKUP($CU63-DT$103+1,Frauen!$G$9:$J$102,4))*0.5*(VLOOKUP($CU63-DT$103,Frauen!$AZ$9:$BD$102,5)+VLOOKUP($CU63-DT$103+1,Frauen!$AZ$9:$BD$102,5)),RundDx)))</f>
        <v/>
      </c>
      <c r="DU63" s="25" t="str">
        <f>IF($CU63&gt;=RAM,"",IF($CU63-DU$103&lt;BeginnAlter,"",ROUND(v^($CU63+FaktorAlter)*$L63*$D63*0.5*(VLOOKUP($CU63-DU$103,Frauen!$G$9:$J$102,4)+VLOOKUP($CU63-DU$103+1,Frauen!$G$9:$J$102,4))*0.5*(VLOOKUP($CU63-DU$103,Frauen!$AZ$9:$BD$102,5)+VLOOKUP($CU63-DU$103+1,Frauen!$AZ$9:$BD$102,5)),RundDx)))</f>
        <v/>
      </c>
      <c r="DV63" s="25" t="str">
        <f>IF($CU63&gt;=RAM,"",IF($CU63-DV$103&lt;BeginnAlter,"",ROUND(v^($CU63+FaktorAlter)*$L63*$D63*0.5*(VLOOKUP($CU63-DV$103,Frauen!$G$9:$J$102,4)+VLOOKUP($CU63-DV$103+1,Frauen!$G$9:$J$102,4))*0.5*(VLOOKUP($CU63-DV$103,Frauen!$AZ$9:$BD$102,5)+VLOOKUP($CU63-DV$103+1,Frauen!$AZ$9:$BD$102,5)),RundDx)))</f>
        <v/>
      </c>
      <c r="DW63" s="25" t="str">
        <f>IF($CU63&gt;=RAM,"",IF($CU63-DW$103&lt;BeginnAlter,"",ROUND(v^($CU63+FaktorAlter)*$L63*$D63*0.5*(VLOOKUP($CU63-DW$103,Frauen!$G$9:$J$102,4)+VLOOKUP($CU63-DW$103+1,Frauen!$G$9:$J$102,4))*0.5*(VLOOKUP($CU63-DW$103,Frauen!$AZ$9:$BD$102,5)+VLOOKUP($CU63-DW$103+1,Frauen!$AZ$9:$BD$102,5)),RundDx)))</f>
        <v/>
      </c>
      <c r="DX63" s="25" t="str">
        <f>IF($CU63&gt;=RAM,"",IF($CU63-DX$103&lt;BeginnAlter,"",ROUND(v^($CU63+FaktorAlter)*$L63*$D63*0.5*(VLOOKUP($CU63-DX$103,Frauen!$G$9:$J$102,4)+VLOOKUP($CU63-DX$103+1,Frauen!$G$9:$J$102,4))*0.5*(VLOOKUP($CU63-DX$103,Frauen!$AZ$9:$BD$102,5)+VLOOKUP($CU63-DX$103+1,Frauen!$AZ$9:$BD$102,5)),RundDx)))</f>
        <v/>
      </c>
      <c r="DY63" s="25" t="str">
        <f>IF($CU63&gt;=RAM,"",IF($CU63-DY$103&lt;BeginnAlter,"",ROUND(v^($CU63+FaktorAlter)*$L63*$D63*0.5*(VLOOKUP($CU63-DY$103,Frauen!$G$9:$J$102,4)+VLOOKUP($CU63-DY$103+1,Frauen!$G$9:$J$102,4))*0.5*(VLOOKUP($CU63-DY$103,Frauen!$AZ$9:$BD$102,5)+VLOOKUP($CU63-DY$103+1,Frauen!$AZ$9:$BD$102,5)),RundDx)))</f>
        <v/>
      </c>
      <c r="DZ63" s="25" t="str">
        <f>IF($CU63&gt;=RAM,"",IF($CU63-DZ$103&lt;BeginnAlter,"",ROUND(v^($CU63+FaktorAlter)*$L63*$D63*0.5*(VLOOKUP($CU63-DZ$103,Frauen!$G$9:$J$102,4)+VLOOKUP($CU63-DZ$103+1,Frauen!$G$9:$J$102,4))*0.5*(VLOOKUP($CU63-DZ$103,Frauen!$AZ$9:$BD$102,5)+VLOOKUP($CU63-DZ$103+1,Frauen!$AZ$9:$BD$102,5)),RundDx)))</f>
        <v/>
      </c>
      <c r="EA63" s="43" t="str">
        <f>IF($CU63&gt;=RAM,"",IF($CU63-EA$103&lt;BeginnAlter,"",ROUND((SUM(CV$56:CV63)+SUM(FN$9:FN$56))/VLOOKUP($CU63,$AH$9:$AI$102,2)/VLOOKUP($CU63-EA$103,Frauen!$G$9:$J$102,4),Rundäx)))</f>
        <v/>
      </c>
      <c r="EB63" s="43" t="str">
        <f>IF($CU63&gt;=RAM,"",IF($CU63-EB$103&lt;BeginnAlter,"",ROUND((SUM(CW$56:CW63)+SUM(FO$9:FO$56))/VLOOKUP($CU63,$AH$9:$AI$102,2)/VLOOKUP($CU63-EB$103,Frauen!$G$9:$J$102,4),Rundäx)))</f>
        <v/>
      </c>
      <c r="EC63" s="43" t="str">
        <f>IF($CU63&gt;=RAM,"",IF($CU63-EC$103&lt;BeginnAlter,"",ROUND((SUM(CX$56:CX63)+SUM(FP$9:FP$56))/VLOOKUP($CU63,$AH$9:$AI$102,2)/VLOOKUP($CU63-EC$103,Frauen!$G$9:$J$102,4),Rundäx)))</f>
        <v/>
      </c>
      <c r="ED63" s="43" t="str">
        <f>IF($CU63&gt;=RAM,"",IF($CU63-ED$103&lt;BeginnAlter,"",ROUND((SUM(CY$56:CY63)+SUM(FQ$9:FQ$56))/VLOOKUP($CU63,$AH$9:$AI$102,2)/VLOOKUP($CU63-ED$103,Frauen!$G$9:$J$102,4),Rundäx)))</f>
        <v/>
      </c>
      <c r="EE63" s="43" t="str">
        <f>IF($CU63&gt;=RAM,"",IF($CU63-EE$103&lt;BeginnAlter,"",ROUND((SUM(CZ$56:CZ63)+SUM(FR$9:FR$56))/VLOOKUP($CU63,$AH$9:$AI$102,2)/VLOOKUP($CU63-EE$103,Frauen!$G$9:$J$102,4),Rundäx)))</f>
        <v/>
      </c>
      <c r="EF63" s="43" t="str">
        <f>IF($CU63&gt;=RAM,"",IF($CU63-EF$103&lt;BeginnAlter,"",ROUND((SUM(DA$56:DA63)+SUM(FS$9:FS$56))/VLOOKUP($CU63,$AH$9:$AI$102,2)/VLOOKUP($CU63-EF$103,Frauen!$G$9:$J$102,4),Rundäx)))</f>
        <v/>
      </c>
      <c r="EG63" s="43" t="str">
        <f>IF($CU63&gt;=RAM,"",IF($CU63-EG$103&lt;BeginnAlter,"",ROUND((SUM(DB$56:DB63)+SUM(FT$9:FT$56))/VLOOKUP($CU63,$AH$9:$AI$102,2)/VLOOKUP($CU63-EG$103,Frauen!$G$9:$J$102,4),Rundäx)))</f>
        <v/>
      </c>
      <c r="EH63" s="43" t="str">
        <f>IF($CU63&gt;=RAM,"",IF($CU63-EH$103&lt;BeginnAlter,"",ROUND((SUM(DC$56:DC63)+SUM(FU$9:FU$56))/VLOOKUP($CU63,$AH$9:$AI$102,2)/VLOOKUP($CU63-EH$103,Frauen!$G$9:$J$102,4),Rundäx)))</f>
        <v/>
      </c>
      <c r="EI63" s="86"/>
      <c r="EJ63" s="35">
        <f t="shared" si="60"/>
        <v>71</v>
      </c>
      <c r="EK63" s="43" t="str">
        <f>IF($CU63&gt;=RAM,"",IF($CU63-EK$103&lt;BeginnAlter,"",ROUND((SUM(DD$56:DD63)+SUM(FV$9:FV$56))/VLOOKUP($CU63,$AH$9:$AI$102,2)/VLOOKUP($CU63-EK$103,Frauen!$G$9:$J$102,4),Rundäx)))</f>
        <v/>
      </c>
      <c r="EL63" s="43" t="str">
        <f>IF($CU63&gt;=RAM,"",IF($CU63-EL$103&lt;BeginnAlter,"",ROUND((SUM(DE$56:DE63)+SUM(FW$9:FW$56))/VLOOKUP($CU63,$AH$9:$AI$102,2)/VLOOKUP($CU63-EL$103,Frauen!$G$9:$J$102,4),Rundäx)))</f>
        <v/>
      </c>
      <c r="EM63" s="43" t="str">
        <f>IF($CU63&gt;=RAM,"",IF($CU63-EM$103&lt;BeginnAlter,"",ROUND((SUM(DF$56:DF63)+SUM(FX$9:FX$56))/VLOOKUP($CU63,$AH$9:$AI$102,2)/VLOOKUP($CU63-EM$103,Frauen!$G$9:$J$102,4),Rundäx)))</f>
        <v/>
      </c>
      <c r="EN63" s="43" t="str">
        <f>IF($CU63&gt;=RAM,"",IF($CU63-EN$103&lt;BeginnAlter,"",ROUND((SUM(DG$56:DG63)+SUM(FY$9:FY$56))/VLOOKUP($CU63,$AH$9:$AI$102,2)/VLOOKUP($CU63-EN$103,Frauen!$G$9:$J$102,4),Rundäx)))</f>
        <v/>
      </c>
      <c r="EO63" s="43" t="str">
        <f>IF($CU63&gt;=RAM,"",IF($CU63-EO$103&lt;BeginnAlter,"",ROUND((SUM(DH$56:DH63)+SUM(FZ$9:FZ$56))/VLOOKUP($CU63,$AH$9:$AI$102,2)/VLOOKUP($CU63-EO$103,Frauen!$G$9:$J$102,4),Rundäx)))</f>
        <v/>
      </c>
      <c r="EP63" s="43" t="str">
        <f>IF($CU63&gt;=RAM,"",IF($CU63-EP$103&lt;BeginnAlter,"",ROUND((SUM(DI$56:DI63)+SUM(GA$9:GA$56))/VLOOKUP($CU63,$AH$9:$AI$102,2)/VLOOKUP($CU63-EP$103,Frauen!$G$9:$J$102,4),Rundäx)))</f>
        <v/>
      </c>
      <c r="EQ63" s="43" t="str">
        <f>IF($CU63&gt;=RAM,"",IF($CU63-EQ$103&lt;BeginnAlter,"",ROUND((SUM(DJ$56:DJ63)+SUM(GB$9:GB$56))/VLOOKUP($CU63,$AH$9:$AI$102,2)/VLOOKUP($CU63-EQ$103,Frauen!$G$9:$J$102,4),Rundäx)))</f>
        <v/>
      </c>
      <c r="ER63" s="43" t="str">
        <f>IF($CU63&gt;=RAM,"",IF($CU63-ER$103&lt;BeginnAlter,"",ROUND((SUM(DK$56:DK63)+SUM(GC$9:GC$56))/VLOOKUP($CU63,$AH$9:$AI$102,2)/VLOOKUP($CU63-ER$103,Frauen!$G$9:$J$102,4),Rundäx)))</f>
        <v/>
      </c>
      <c r="ES63" s="86"/>
      <c r="ET63" s="35">
        <f t="shared" si="61"/>
        <v>71</v>
      </c>
      <c r="EU63" s="43" t="str">
        <f>IF($CU63&gt;=RAM,"",IF($CU63-EU$103&lt;BeginnAlter,"",ROUND((SUM(DL$56:DL63)+SUM(GD$9:GD$56))/VLOOKUP($CU63,$AH$9:$AI$102,2)/VLOOKUP($CU63-EU$103,Frauen!$G$9:$J$102,4),Rundäx)))</f>
        <v/>
      </c>
      <c r="EV63" s="43" t="str">
        <f>IF($CU63&gt;=RAM,"",IF($CU63-EV$103&lt;BeginnAlter,"",ROUND((SUM(DM$56:DM63)+SUM(GE$9:GE$56))/VLOOKUP($CU63,$AH$9:$AI$102,2)/VLOOKUP($CU63-EV$103,Frauen!$G$9:$J$102,4),Rundäx)))</f>
        <v/>
      </c>
      <c r="EW63" s="43" t="str">
        <f>IF($CU63&gt;=RAM,"",IF($CU63-EW$103&lt;BeginnAlter,"",ROUND((SUM(DN$56:DN63)+SUM(GF$9:GF$56))/VLOOKUP($CU63,$AH$9:$AI$102,2)/VLOOKUP($CU63-EW$103,Frauen!$G$9:$J$102,4),Rundäx)))</f>
        <v/>
      </c>
      <c r="EX63" s="43" t="str">
        <f>IF($CU63&gt;=RAM,"",IF($CU63-EX$103&lt;BeginnAlter,"",ROUND((SUM(DO$56:DO63)+SUM(GG$9:GG$56))/VLOOKUP($CU63,$AH$9:$AI$102,2)/VLOOKUP($CU63-EX$103,Frauen!$G$9:$J$102,4),Rundäx)))</f>
        <v/>
      </c>
      <c r="EY63" s="43" t="str">
        <f>IF($CU63&gt;=RAM,"",IF($CU63-EY$103&lt;BeginnAlter,"",ROUND((SUM(DP$56:DP63)+SUM(GH$9:GH$56))/VLOOKUP($CU63,$AH$9:$AI$102,2)/VLOOKUP($CU63-EY$103,Frauen!$G$9:$J$102,4),Rundäx)))</f>
        <v/>
      </c>
      <c r="EZ63" s="43" t="str">
        <f>IF($CU63&gt;=RAM,"",IF($CU63-EZ$103&lt;BeginnAlter,"",ROUND((SUM(DQ$56:DQ63)+SUM(GI$9:GI$56))/VLOOKUP($CU63,$AH$9:$AI$102,2)/VLOOKUP($CU63-EZ$103,Frauen!$G$9:$J$102,4),Rundäx)))</f>
        <v/>
      </c>
      <c r="FA63" s="43" t="str">
        <f>IF($CU63&gt;=RAM,"",IF($CU63-FA$103&lt;BeginnAlter,"",ROUND((SUM(DR$56:DR63)+SUM(GJ$9:GJ$56))/VLOOKUP($CU63,$AH$9:$AI$102,2)/VLOOKUP($CU63-FA$103,Frauen!$G$9:$J$102,4),Rundäx)))</f>
        <v/>
      </c>
      <c r="FB63" s="43" t="str">
        <f>IF($CU63&gt;=RAM,"",IF($CU63-FB$103&lt;BeginnAlter,"",ROUND((SUM(DS$56:DS63)+SUM(GK$9:GK$56))/VLOOKUP($CU63,$AH$9:$AI$102,2)/VLOOKUP($CU63-FB$103,Frauen!$G$9:$J$102,4),Rundäx)))</f>
        <v/>
      </c>
      <c r="FC63" s="86"/>
      <c r="FD63" s="35">
        <f t="shared" si="62"/>
        <v>71</v>
      </c>
      <c r="FE63" s="43" t="str">
        <f>IF($CU63&gt;=RAM,"",IF($CU63-FE$103&lt;BeginnAlter,"",ROUND((SUM(DT$56:DT63)+SUM(GL$9:GL$56))/VLOOKUP($CU63,$AH$9:$AI$102,2)/VLOOKUP($CU63-FE$103,Frauen!$G$9:$J$102,4),Rundäx)))</f>
        <v/>
      </c>
      <c r="FF63" s="43" t="str">
        <f>IF($CU63&gt;=RAM,"",IF($CU63-FF$103&lt;BeginnAlter,"",ROUND((SUM(DU$56:DU63)+SUM(GM$9:GM$56))/VLOOKUP($CU63,$AH$9:$AI$102,2)/VLOOKUP($CU63-FF$103,Frauen!$G$9:$J$102,4),Rundäx)))</f>
        <v/>
      </c>
      <c r="FG63" s="43" t="str">
        <f>IF($CU63&gt;=RAM,"",IF($CU63-FG$103&lt;BeginnAlter,"",ROUND((SUM(DV$56:DV63)+SUM(GN$9:GN$56))/VLOOKUP($CU63,$AH$9:$AI$102,2)/VLOOKUP($CU63-FG$103,Frauen!$G$9:$J$102,4),Rundäx)))</f>
        <v/>
      </c>
      <c r="FH63" s="43" t="str">
        <f>IF($CU63&gt;=RAM,"",IF($CU63-FH$103&lt;BeginnAlter,"",ROUND((SUM(DW$56:DW63)+SUM(GO$9:GO$56))/VLOOKUP($CU63,$AH$9:$AI$102,2)/VLOOKUP($CU63-FH$103,Frauen!$G$9:$J$102,4),Rundäx)))</f>
        <v/>
      </c>
      <c r="FI63" s="43" t="str">
        <f>IF($CU63&gt;=RAM,"",IF($CU63-FI$103&lt;BeginnAlter,"",ROUND((SUM(DX$56:DX63)+SUM(GP$9:GP$56))/VLOOKUP($CU63,$AH$9:$AI$102,2)/VLOOKUP($CU63-FI$103,Frauen!$G$9:$J$102,4),Rundäx)))</f>
        <v/>
      </c>
      <c r="FJ63" s="43" t="str">
        <f>IF($CU63&gt;=RAM,"",IF($CU63-FJ$103&lt;BeginnAlter,"",ROUND((SUM(DY$56:DY63)+SUM(GQ$9:GQ$56))/VLOOKUP($CU63,$AH$9:$AI$102,2)/VLOOKUP($CU63-FJ$103,Frauen!$G$9:$J$102,4),Rundäx)))</f>
        <v/>
      </c>
      <c r="FK63" s="43" t="str">
        <f>IF($CU63&gt;=RAM,"",IF($CU63-FK$103&lt;BeginnAlter,"",ROUND((SUM(DZ$56:DZ63)+SUM(GR$9:GR$56))/VLOOKUP($CU63,$AH$9:$AI$102,2)/VLOOKUP($CU63-FK$103,Frauen!$G$9:$J$102,4),Rundäx)))</f>
        <v/>
      </c>
      <c r="FL63" s="86"/>
      <c r="FM63" s="35">
        <f t="shared" si="68"/>
        <v>119</v>
      </c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4"/>
      <c r="GT63" s="24"/>
      <c r="GU63" s="24" t="str">
        <f>IF(FM63&gt;=RAM," ",#REF!/$AI63/Frauen!$J51)</f>
        <v xml:space="preserve"> </v>
      </c>
      <c r="GV63" s="24" t="str">
        <f>IF(FM63&gt;=RAM," ",#REF!/$AI63/Frauen!$J54)</f>
        <v xml:space="preserve"> </v>
      </c>
      <c r="GW63" s="24" t="str">
        <f>IF(FM63&gt;=RAM," ",#REF!/$AI63/Frauen!$J57)</f>
        <v xml:space="preserve"> </v>
      </c>
      <c r="GX63" s="24" t="str">
        <f>IF(FM63&gt;=RAM," ",#REF!/$AI63/Frauen!$J60)</f>
        <v xml:space="preserve"> </v>
      </c>
      <c r="GY63" s="24" t="str">
        <f>IF(FM63&gt;=RAM," ",#REF!/$AI63/Frauen!$J63)</f>
        <v xml:space="preserve"> </v>
      </c>
      <c r="GZ63" s="24" t="str">
        <f>IF(FM63&gt;=RAM," ",#REF!/$AI63/Frauen!$J66)</f>
        <v xml:space="preserve"> </v>
      </c>
      <c r="HA63" s="86"/>
      <c r="HB63" s="35">
        <f t="shared" si="63"/>
        <v>119</v>
      </c>
      <c r="HC63" s="24"/>
      <c r="HD63" s="24"/>
      <c r="HE63" s="24"/>
      <c r="HF63" s="24"/>
      <c r="HG63" s="24"/>
      <c r="HH63" s="24"/>
      <c r="HI63" s="24"/>
      <c r="HJ63" s="24"/>
      <c r="HK63" s="86"/>
      <c r="HL63" s="35">
        <f t="shared" si="64"/>
        <v>119</v>
      </c>
      <c r="HM63" s="24"/>
      <c r="HN63" s="24"/>
      <c r="HO63" s="24"/>
      <c r="HP63" s="24"/>
      <c r="HQ63" s="24"/>
      <c r="HR63" s="24"/>
      <c r="HS63" s="24"/>
      <c r="HT63" s="24"/>
      <c r="HU63" s="86"/>
      <c r="HV63" s="35">
        <f t="shared" si="65"/>
        <v>119</v>
      </c>
      <c r="HW63" s="24"/>
      <c r="HX63" s="24"/>
      <c r="HY63" s="24"/>
      <c r="HZ63" s="24"/>
      <c r="IA63" s="24"/>
      <c r="IB63" s="24"/>
      <c r="IC63" s="24"/>
      <c r="ID63" s="89"/>
      <c r="IE63" s="35">
        <f t="shared" si="81"/>
        <v>71</v>
      </c>
      <c r="IF63" s="25" t="str">
        <f t="shared" si="31"/>
        <v/>
      </c>
      <c r="IG63" s="25" t="str">
        <f>IF($IE63&lt;RAM,IF(S64&lt;=RAK,ROUND(SUM(IF63:INDEX(Dakx,RAM-BeginnAlter))+INDEX(Dax,RAM-BeginnAlter+1)*INDEX(äkx,1),RundDx),0),"")</f>
        <v/>
      </c>
      <c r="IH63" s="25" t="str">
        <f>IF($IE63&lt;RAM,IF(S64&lt;=RAK,ROUND(SUM(IG63:INDEX(Nakx,RAM-BeginnAlter))+INDEX(Dax,RAM-BeginnAlter+1)*INDEX(äkx,1),RundDx),0),"")</f>
        <v/>
      </c>
      <c r="II63" s="24" t="str">
        <f t="shared" si="32"/>
        <v/>
      </c>
      <c r="IJ63" s="25" t="str">
        <f t="shared" si="33"/>
        <v/>
      </c>
      <c r="IK63" s="25" t="str">
        <f>IF($IE63&lt;RAM,IF(S64&lt;=RAK,SUM(IJ63:INDEX(Dikx,RAM-BeginnAlter))+INDEX(Dix,RAM-BeginnAlter+1)*INDEX(äkx,1),0),"")</f>
        <v/>
      </c>
      <c r="IL63" s="24" t="str">
        <f t="shared" si="34"/>
        <v/>
      </c>
      <c r="IM63" s="86"/>
      <c r="IN63" s="35">
        <f t="shared" si="67"/>
        <v>119</v>
      </c>
      <c r="IO63" s="25"/>
      <c r="IP63" s="25"/>
      <c r="IQ63" s="24"/>
      <c r="IR63" s="86"/>
    </row>
    <row r="64" spans="1:252" ht="15.75" customHeight="1" x14ac:dyDescent="0.25">
      <c r="A64" s="35">
        <f t="shared" si="69"/>
        <v>72</v>
      </c>
      <c r="B64" s="77"/>
      <c r="C64" s="77"/>
      <c r="D64" s="77"/>
      <c r="E64" s="77">
        <v>2.845E-2</v>
      </c>
      <c r="F64" s="86"/>
      <c r="G64" s="35">
        <f t="shared" si="70"/>
        <v>72</v>
      </c>
      <c r="H64" s="25" t="str">
        <f t="shared" si="37"/>
        <v/>
      </c>
      <c r="I64" s="25" t="str">
        <f t="shared" si="38"/>
        <v/>
      </c>
      <c r="J64" s="25">
        <f t="shared" si="39"/>
        <v>75577</v>
      </c>
      <c r="K64" s="30">
        <f>IF(J64&gt;0,ROUND(SUM(J64:J$102)/J64-0.5,Rundex),"")</f>
        <v>12.64</v>
      </c>
      <c r="L64" s="25">
        <f t="shared" si="0"/>
        <v>75577</v>
      </c>
      <c r="M64" s="30">
        <f>IF(L64&gt;0,ROUND(SUM(L64:L$102)/L64-0.5,Rundex),"")</f>
        <v>12.64</v>
      </c>
      <c r="N64" s="86"/>
      <c r="O64" s="35">
        <f t="shared" si="71"/>
        <v>72</v>
      </c>
      <c r="P64" s="43">
        <v>0.77566896413618336</v>
      </c>
      <c r="Q64" s="78">
        <v>67.555399295159091</v>
      </c>
      <c r="R64" s="43">
        <v>8.0000000000000002E-3</v>
      </c>
      <c r="S64" s="78">
        <v>21.378293436262283</v>
      </c>
      <c r="T64" s="15">
        <v>4.045365388540248E-2</v>
      </c>
      <c r="U64" s="11">
        <f t="shared" si="40"/>
        <v>66495</v>
      </c>
      <c r="V64" s="30">
        <f>IF(U64&gt;0,ROUND(SUM(U64:U$102)/U64-0.5,Rundex),"")</f>
        <v>11.67</v>
      </c>
      <c r="W64" s="86"/>
      <c r="X64" s="35">
        <f t="shared" si="72"/>
        <v>72</v>
      </c>
      <c r="Y64" s="25" t="str">
        <f t="shared" si="1"/>
        <v xml:space="preserve"> </v>
      </c>
      <c r="Z64" s="25" t="str">
        <f>IF($X64&lt;RAM,SUM(Y64:INDEX(Dax,RAM-BeginnAlter))," ")</f>
        <v xml:space="preserve"> </v>
      </c>
      <c r="AA64" s="25" t="str">
        <f t="shared" si="2"/>
        <v xml:space="preserve"> </v>
      </c>
      <c r="AB64" s="25" t="str">
        <f>IF($X64&lt;RAM,SUM(AA64:INDEX(Cax,RAM-BeginnAlter))," ")</f>
        <v xml:space="preserve"> </v>
      </c>
      <c r="AC64" s="25" t="str">
        <f t="shared" si="3"/>
        <v xml:space="preserve"> </v>
      </c>
      <c r="AD64" s="25" t="str">
        <f>IF($X64&lt;RAM,SUM(AC64:INDEX(Caix,RAM-BeginnAlter))," ")</f>
        <v xml:space="preserve"> </v>
      </c>
      <c r="AE64" s="24" t="str">
        <f t="shared" si="4"/>
        <v xml:space="preserve"> </v>
      </c>
      <c r="AF64" s="24" t="str">
        <f t="shared" si="5"/>
        <v xml:space="preserve"> </v>
      </c>
      <c r="AG64" s="86"/>
      <c r="AH64" s="35">
        <f t="shared" si="73"/>
        <v>72</v>
      </c>
      <c r="AI64" s="25" t="str">
        <f t="shared" si="6"/>
        <v xml:space="preserve"> </v>
      </c>
      <c r="AJ64" s="25" t="str">
        <f>IF($AH64&gt;RAM," ",IF($AH64&lt;RAM,SUM(AI64:INDEX(Dix,RAM-BeginnAlter))+INDEX(Nx,RAM-BeginnAlter+1),INDEX(Nx,RAM-BeginnAlter+1)))</f>
        <v xml:space="preserve"> </v>
      </c>
      <c r="AK64" s="25" t="str">
        <f>IF($AH64&lt;RAM,SUM(AI64:INDEX(Dix,RAM-BeginnAlter))," ")</f>
        <v xml:space="preserve"> </v>
      </c>
      <c r="AL64" s="24" t="str">
        <f t="shared" si="7"/>
        <v xml:space="preserve"> </v>
      </c>
      <c r="AM64" s="24" t="str">
        <f t="shared" si="8"/>
        <v xml:space="preserve"> </v>
      </c>
      <c r="AN64" s="24" t="str">
        <f t="shared" si="9"/>
        <v xml:space="preserve"> </v>
      </c>
      <c r="AO64" s="24" t="str">
        <f t="shared" si="10"/>
        <v xml:space="preserve"> </v>
      </c>
      <c r="AP64" s="86"/>
      <c r="AQ64" s="35">
        <f t="shared" si="74"/>
        <v>72</v>
      </c>
      <c r="AR64" s="25">
        <f t="shared" si="11"/>
        <v>15228</v>
      </c>
      <c r="AS64" s="25">
        <f>SUM(AR64:AR$94)</f>
        <v>169616</v>
      </c>
      <c r="AT64" s="25" t="str">
        <f>IF($AQ64&lt;RAM,SUM(AR64:INDEX(Dx,RAM-BeginnAlter))," ")</f>
        <v xml:space="preserve"> </v>
      </c>
      <c r="AU64" s="24">
        <f t="shared" si="12"/>
        <v>11.138</v>
      </c>
      <c r="AV64" s="24">
        <f t="shared" si="13"/>
        <v>10.68</v>
      </c>
      <c r="AW64" s="24" t="str">
        <f t="shared" si="14"/>
        <v xml:space="preserve"> </v>
      </c>
      <c r="AX64" s="24" t="str">
        <f t="shared" si="15"/>
        <v xml:space="preserve"> </v>
      </c>
      <c r="AY64" s="86"/>
      <c r="AZ64" s="35">
        <f t="shared" si="75"/>
        <v>72</v>
      </c>
      <c r="BA64" s="25">
        <f t="shared" si="16"/>
        <v>13398</v>
      </c>
      <c r="BB64" s="25">
        <f>SUM(BA64:BA$94)</f>
        <v>139047</v>
      </c>
      <c r="BC64" s="24">
        <f t="shared" si="17"/>
        <v>10.378</v>
      </c>
      <c r="BD64" s="24">
        <f t="shared" si="18"/>
        <v>9.92</v>
      </c>
      <c r="BE64" s="86"/>
      <c r="BF64" s="35">
        <f t="shared" si="48"/>
        <v>55</v>
      </c>
      <c r="BG64" s="24" t="str">
        <f t="shared" si="19"/>
        <v/>
      </c>
      <c r="BH64" s="24" t="str">
        <f t="shared" si="20"/>
        <v/>
      </c>
      <c r="BI64" s="86"/>
      <c r="BJ64" s="35">
        <f t="shared" si="76"/>
        <v>72</v>
      </c>
      <c r="BK64" s="25" t="str">
        <f t="shared" si="21"/>
        <v xml:space="preserve"> </v>
      </c>
      <c r="BL64" s="25" t="str">
        <f>IF(BJ64&lt;RAM,SUM(BK64:INDEX(Daix,RAM-BeginnAlter))," ")</f>
        <v xml:space="preserve"> </v>
      </c>
      <c r="BM64" s="25" t="str">
        <f>IF(BJ64&lt;RAM,SUM(BL64:INDEX(Naix,RAM-BeginnAlter))," ")</f>
        <v xml:space="preserve"> </v>
      </c>
      <c r="BN64" s="24" t="str">
        <f t="shared" si="22"/>
        <v xml:space="preserve"> </v>
      </c>
      <c r="BO64" s="24" t="str">
        <f t="shared" si="23"/>
        <v xml:space="preserve"> </v>
      </c>
      <c r="BP64" s="86"/>
      <c r="BQ64" s="35">
        <f t="shared" si="77"/>
        <v>72</v>
      </c>
      <c r="BR64" s="25" t="str">
        <f t="shared" si="51"/>
        <v xml:space="preserve"> </v>
      </c>
      <c r="BS64" s="25" t="str">
        <f>IF(BQ64&lt;RAM,SUM(BR64:INDEX(Daixs,RAM-BeginnAlter))," ")</f>
        <v xml:space="preserve"> </v>
      </c>
      <c r="BT64" s="25" t="str">
        <f>IF(BQ64&lt;RAM,SUM(BS64:INDEX(Naixs,RAM-BeginnAlter))," ")</f>
        <v xml:space="preserve"> </v>
      </c>
      <c r="BU64" s="24" t="str">
        <f t="shared" si="52"/>
        <v xml:space="preserve"> </v>
      </c>
      <c r="BV64" s="24" t="str">
        <f t="shared" si="53"/>
        <v xml:space="preserve"> </v>
      </c>
      <c r="BW64" s="86"/>
      <c r="BX64" s="35">
        <f t="shared" si="78"/>
        <v>72</v>
      </c>
      <c r="BY64" s="10" t="str">
        <f t="shared" si="24"/>
        <v/>
      </c>
      <c r="BZ64" s="11" t="str">
        <f t="shared" si="25"/>
        <v/>
      </c>
      <c r="CA64" s="25" t="str">
        <f>IF(S65&lt;=RAK,IF($BX64&lt;RAM,SUM(BZ64:INDEX(Dazx,RAM-BeginnAlter)),""),"")</f>
        <v/>
      </c>
      <c r="CB64" s="24" t="str">
        <f t="shared" si="26"/>
        <v/>
      </c>
      <c r="CC64" s="25">
        <f t="shared" si="27"/>
        <v>12478</v>
      </c>
      <c r="CD64" s="24">
        <f t="shared" si="28"/>
        <v>9.0039999999999996</v>
      </c>
      <c r="CE64" s="24" t="str">
        <f t="shared" si="29"/>
        <v/>
      </c>
      <c r="CF64" s="86"/>
      <c r="CG64" s="35">
        <f t="shared" si="79"/>
        <v>72</v>
      </c>
      <c r="CH64" s="25" t="str">
        <f>IF(CG64&lt;RAM,ROUND(v^($CG64+FaktorAlter)*$H64*($B64*0.5*($P64+$P65)*(VLOOKUP(TRUNC(0.5*($Q64+$Q65),0),Frauen!$AZ$9:$BD$95,5)+(0.5*($Q64+$Q65)-TRUNC(0.5*($Q64+$Q65),0))*(VLOOKUP(TRUNC(0.5*($Q64+$Q65)+1,0),Frauen!$AZ$9:$BD$95,5)-VLOOKUP(TRUNC(0.5*($Q64+$Q65),0),Frauen!$AZ$9:$BD$95,5)))+$C64*0.5*($CN64+$CN65)),RundDx),"")</f>
        <v/>
      </c>
      <c r="CI64" s="25" t="str">
        <f>IF(CG64&lt;RAM,ROUND(SUM(CH64:INDEX(Dawx,RAM-BeginnAlter))+INDEX(Dax,RAM-BeginnAlter+1)*INDEX(äwx,1),RundDx),"")</f>
        <v/>
      </c>
      <c r="CJ64" s="25" t="str">
        <f>IF(CG64&lt;RAM,ROUND(SUM(CI64:INDEX(Nawx,RAM-BeginnAlter))+INDEX(Dax,RAM-BeginnAlter+1)*INDEX(äwx,1),RundDx),"")</f>
        <v/>
      </c>
      <c r="CK64" s="24" t="str">
        <f t="shared" si="56"/>
        <v/>
      </c>
      <c r="CL64" s="25" t="str">
        <f>IF(CG64&lt;RAM,ROUND(v^($CG64+FaktorAlter)*$L64*$D64*0.5*($P64+$P65)*(VLOOKUP(TRUNC(0.5*($Q64+$Q65),0),Frauen!$AZ$9:$BD$95,5)+(0.5*($Q64+$Q65)-TRUNC(0.5*($Q64+$Q65),0))*(VLOOKUP(TRUNC(0.5*($Q64+$Q65)+1,0),Frauen!$AZ$9:$BD$95,5)-VLOOKUP(TRUNC(0.5*($Q64+$Q65),0),Frauen!$AZ$9:$BD$95,5))),RundDx),"")</f>
        <v/>
      </c>
      <c r="CM64" s="25" t="str">
        <f>IF(CG64&lt;RAM,SUM(CL64:INDEX(Diwx,RAM-BeginnAlter))+INDEX(Dix,RAM-BeginnAlter+1)*INDEX(äwx,1),"")</f>
        <v/>
      </c>
      <c r="CN64" s="24" t="str">
        <f t="shared" si="57"/>
        <v/>
      </c>
      <c r="CO64" s="86"/>
      <c r="CP64" s="35">
        <f t="shared" si="58"/>
        <v>120</v>
      </c>
      <c r="CQ64" s="25"/>
      <c r="CR64" s="25"/>
      <c r="CS64" s="24"/>
      <c r="CT64" s="86"/>
      <c r="CU64" s="35">
        <f t="shared" si="80"/>
        <v>72</v>
      </c>
      <c r="CV64" s="25" t="str">
        <f>IF($CU64&gt;=RAM,"",IF($CU64-CV$103&lt;BeginnAlter,"",ROUND(v^($CU64+FaktorAlter)*$L64*$D64*0.5*(VLOOKUP($CU64-CV$103,Frauen!$G$9:$J$102,4)+VLOOKUP($CU64-CV$103+1,Frauen!$G$9:$J$102,4))*0.5*(VLOOKUP($CU64-CV$103,Frauen!$AZ$9:$BD$102,5)+VLOOKUP($CU64-CV$103+1,Frauen!$AZ$9:$BD$102,5)),RundDx)))</f>
        <v/>
      </c>
      <c r="CW64" s="25" t="str">
        <f>IF($CU64&gt;=RAM,"",IF($CU64-CW$103&lt;BeginnAlter,"",ROUND(v^($CU64+FaktorAlter)*$L64*$D64*0.5*(VLOOKUP($CU64-CW$103,Frauen!$G$9:$J$102,4)+VLOOKUP($CU64-CW$103+1,Frauen!$G$9:$J$102,4))*0.5*(VLOOKUP($CU64-CW$103,Frauen!$AZ$9:$BD$102,5)+VLOOKUP($CU64-CW$103+1,Frauen!$AZ$9:$BD$102,5)),RundDx)))</f>
        <v/>
      </c>
      <c r="CX64" s="25" t="str">
        <f>IF($CU64&gt;=RAM,"",IF($CU64-CX$103&lt;BeginnAlter,"",ROUND(v^($CU64+FaktorAlter)*$L64*$D64*0.5*(VLOOKUP($CU64-CX$103,Frauen!$G$9:$J$102,4)+VLOOKUP($CU64-CX$103+1,Frauen!$G$9:$J$102,4))*0.5*(VLOOKUP($CU64-CX$103,Frauen!$AZ$9:$BD$102,5)+VLOOKUP($CU64-CX$103+1,Frauen!$AZ$9:$BD$102,5)),RundDx)))</f>
        <v/>
      </c>
      <c r="CY64" s="25" t="str">
        <f>IF($CU64&gt;=RAM,"",IF($CU64-CY$103&lt;BeginnAlter,"",ROUND(v^($CU64+FaktorAlter)*$L64*$D64*0.5*(VLOOKUP($CU64-CY$103,Frauen!$G$9:$J$102,4)+VLOOKUP($CU64-CY$103+1,Frauen!$G$9:$J$102,4))*0.5*(VLOOKUP($CU64-CY$103,Frauen!$AZ$9:$BD$102,5)+VLOOKUP($CU64-CY$103+1,Frauen!$AZ$9:$BD$102,5)),RundDx)))</f>
        <v/>
      </c>
      <c r="CZ64" s="25" t="str">
        <f>IF($CU64&gt;=RAM,"",IF($CU64-CZ$103&lt;BeginnAlter,"",ROUND(v^($CU64+FaktorAlter)*$L64*$D64*0.5*(VLOOKUP($CU64-CZ$103,Frauen!$G$9:$J$102,4)+VLOOKUP($CU64-CZ$103+1,Frauen!$G$9:$J$102,4))*0.5*(VLOOKUP($CU64-CZ$103,Frauen!$AZ$9:$BD$102,5)+VLOOKUP($CU64-CZ$103+1,Frauen!$AZ$9:$BD$102,5)),RundDx)))</f>
        <v/>
      </c>
      <c r="DA64" s="25" t="str">
        <f>IF($CU64&gt;=RAM,"",IF($CU64-DA$103&lt;BeginnAlter,"",ROUND(v^($CU64+FaktorAlter)*$L64*$D64*0.5*(VLOOKUP($CU64-DA$103,Frauen!$G$9:$J$102,4)+VLOOKUP($CU64-DA$103+1,Frauen!$G$9:$J$102,4))*0.5*(VLOOKUP($CU64-DA$103,Frauen!$AZ$9:$BD$102,5)+VLOOKUP($CU64-DA$103+1,Frauen!$AZ$9:$BD$102,5)),RundDx)))</f>
        <v/>
      </c>
      <c r="DB64" s="25" t="str">
        <f>IF($CU64&gt;=RAM,"",IF($CU64-DB$103&lt;BeginnAlter,"",ROUND(v^($CU64+FaktorAlter)*$L64*$D64*0.5*(VLOOKUP($CU64-DB$103,Frauen!$G$9:$J$102,4)+VLOOKUP($CU64-DB$103+1,Frauen!$G$9:$J$102,4))*0.5*(VLOOKUP($CU64-DB$103,Frauen!$AZ$9:$BD$102,5)+VLOOKUP($CU64-DB$103+1,Frauen!$AZ$9:$BD$102,5)),RundDx)))</f>
        <v/>
      </c>
      <c r="DC64" s="25" t="str">
        <f>IF($CU64&gt;=RAM,"",IF($CU64-DC$103&lt;BeginnAlter,"",ROUND(v^($CU64+FaktorAlter)*$L64*$D64*0.5*(VLOOKUP($CU64-DC$103,Frauen!$G$9:$J$102,4)+VLOOKUP($CU64-DC$103+1,Frauen!$G$9:$J$102,4))*0.5*(VLOOKUP($CU64-DC$103,Frauen!$AZ$9:$BD$102,5)+VLOOKUP($CU64-DC$103+1,Frauen!$AZ$9:$BD$102,5)),RundDx)))</f>
        <v/>
      </c>
      <c r="DD64" s="25" t="str">
        <f>IF($CU64&gt;=RAM,"",IF($CU64-DD$103&lt;BeginnAlter,"",ROUND(v^($CU64+FaktorAlter)*$L64*$D64*0.5*(VLOOKUP($CU64-DD$103,Frauen!$G$9:$J$102,4)+VLOOKUP($CU64-DD$103+1,Frauen!$G$9:$J$102,4))*0.5*(VLOOKUP($CU64-DD$103,Frauen!$AZ$9:$BD$102,5)+VLOOKUP($CU64-DD$103+1,Frauen!$AZ$9:$BD$102,5)),RundDx)))</f>
        <v/>
      </c>
      <c r="DE64" s="25" t="str">
        <f>IF($CU64&gt;=RAM,"",IF($CU64-DE$103&lt;BeginnAlter,"",ROUND(v^($CU64+FaktorAlter)*$L64*$D64*0.5*(VLOOKUP($CU64-DE$103,Frauen!$G$9:$J$102,4)+VLOOKUP($CU64-DE$103+1,Frauen!$G$9:$J$102,4))*0.5*(VLOOKUP($CU64-DE$103,Frauen!$AZ$9:$BD$102,5)+VLOOKUP($CU64-DE$103+1,Frauen!$AZ$9:$BD$102,5)),RundDx)))</f>
        <v/>
      </c>
      <c r="DF64" s="25" t="str">
        <f>IF($CU64&gt;=RAM,"",IF($CU64-DF$103&lt;BeginnAlter,"",ROUND(v^($CU64+FaktorAlter)*$L64*$D64*0.5*(VLOOKUP($CU64-DF$103,Frauen!$G$9:$J$102,4)+VLOOKUP($CU64-DF$103+1,Frauen!$G$9:$J$102,4))*0.5*(VLOOKUP($CU64-DF$103,Frauen!$AZ$9:$BD$102,5)+VLOOKUP($CU64-DF$103+1,Frauen!$AZ$9:$BD$102,5)),RundDx)))</f>
        <v/>
      </c>
      <c r="DG64" s="25" t="str">
        <f>IF($CU64&gt;=RAM,"",IF($CU64-DG$103&lt;BeginnAlter,"",ROUND(v^($CU64+FaktorAlter)*$L64*$D64*0.5*(VLOOKUP($CU64-DG$103,Frauen!$G$9:$J$102,4)+VLOOKUP($CU64-DG$103+1,Frauen!$G$9:$J$102,4))*0.5*(VLOOKUP($CU64-DG$103,Frauen!$AZ$9:$BD$102,5)+VLOOKUP($CU64-DG$103+1,Frauen!$AZ$9:$BD$102,5)),RundDx)))</f>
        <v/>
      </c>
      <c r="DH64" s="25" t="str">
        <f>IF($CU64&gt;=RAM,"",IF($CU64-DH$103&lt;BeginnAlter,"",ROUND(v^($CU64+FaktorAlter)*$L64*$D64*0.5*(VLOOKUP($CU64-DH$103,Frauen!$G$9:$J$102,4)+VLOOKUP($CU64-DH$103+1,Frauen!$G$9:$J$102,4))*0.5*(VLOOKUP($CU64-DH$103,Frauen!$AZ$9:$BD$102,5)+VLOOKUP($CU64-DH$103+1,Frauen!$AZ$9:$BD$102,5)),RundDx)))</f>
        <v/>
      </c>
      <c r="DI64" s="25" t="str">
        <f>IF($CU64&gt;=RAM,"",IF($CU64-DI$103&lt;BeginnAlter,"",ROUND(v^($CU64+FaktorAlter)*$L64*$D64*0.5*(VLOOKUP($CU64-DI$103,Frauen!$G$9:$J$102,4)+VLOOKUP($CU64-DI$103+1,Frauen!$G$9:$J$102,4))*0.5*(VLOOKUP($CU64-DI$103,Frauen!$AZ$9:$BD$102,5)+VLOOKUP($CU64-DI$103+1,Frauen!$AZ$9:$BD$102,5)),RundDx)))</f>
        <v/>
      </c>
      <c r="DJ64" s="25" t="str">
        <f>IF($CU64&gt;=RAM,"",IF($CU64-DJ$103&lt;BeginnAlter,"",ROUND(v^($CU64+FaktorAlter)*$L64*$D64*0.5*(VLOOKUP($CU64-DJ$103,Frauen!$G$9:$J$102,4)+VLOOKUP($CU64-DJ$103+1,Frauen!$G$9:$J$102,4))*0.5*(VLOOKUP($CU64-DJ$103,Frauen!$AZ$9:$BD$102,5)+VLOOKUP($CU64-DJ$103+1,Frauen!$AZ$9:$BD$102,5)),RundDx)))</f>
        <v/>
      </c>
      <c r="DK64" s="25" t="str">
        <f>IF($CU64&gt;=RAM,"",IF($CU64-DK$103&lt;BeginnAlter,"",ROUND(v^($CU64+FaktorAlter)*$L64*$D64*0.5*(VLOOKUP($CU64-DK$103,Frauen!$G$9:$J$102,4)+VLOOKUP($CU64-DK$103+1,Frauen!$G$9:$J$102,4))*0.5*(VLOOKUP($CU64-DK$103,Frauen!$AZ$9:$BD$102,5)+VLOOKUP($CU64-DK$103+1,Frauen!$AZ$9:$BD$102,5)),RundDx)))</f>
        <v/>
      </c>
      <c r="DL64" s="25" t="str">
        <f>IF($CU64&gt;=RAM,"",IF($CU64-DL$103&lt;BeginnAlter,"",ROUND(v^($CU64+FaktorAlter)*$L64*$D64*0.5*(VLOOKUP($CU64-DL$103,Frauen!$G$9:$J$102,4)+VLOOKUP($CU64-DL$103+1,Frauen!$G$9:$J$102,4))*0.5*(VLOOKUP($CU64-DL$103,Frauen!$AZ$9:$BD$102,5)+VLOOKUP($CU64-DL$103+1,Frauen!$AZ$9:$BD$102,5)),RundDx)))</f>
        <v/>
      </c>
      <c r="DM64" s="25" t="str">
        <f>IF($CU64&gt;=RAM,"",IF($CU64-DM$103&lt;BeginnAlter,"",ROUND(v^($CU64+FaktorAlter)*$L64*$D64*0.5*(VLOOKUP($CU64-DM$103,Frauen!$G$9:$J$102,4)+VLOOKUP($CU64-DM$103+1,Frauen!$G$9:$J$102,4))*0.5*(VLOOKUP($CU64-DM$103,Frauen!$AZ$9:$BD$102,5)+VLOOKUP($CU64-DM$103+1,Frauen!$AZ$9:$BD$102,5)),RundDx)))</f>
        <v/>
      </c>
      <c r="DN64" s="25" t="str">
        <f>IF($CU64&gt;=RAM,"",IF($CU64-DN$103&lt;BeginnAlter,"",ROUND(v^($CU64+FaktorAlter)*$L64*$D64*0.5*(VLOOKUP($CU64-DN$103,Frauen!$G$9:$J$102,4)+VLOOKUP($CU64-DN$103+1,Frauen!$G$9:$J$102,4))*0.5*(VLOOKUP($CU64-DN$103,Frauen!$AZ$9:$BD$102,5)+VLOOKUP($CU64-DN$103+1,Frauen!$AZ$9:$BD$102,5)),RundDx)))</f>
        <v/>
      </c>
      <c r="DO64" s="25" t="str">
        <f>IF($CU64&gt;=RAM,"",IF($CU64-DO$103&lt;BeginnAlter,"",ROUND(v^($CU64+FaktorAlter)*$L64*$D64*0.5*(VLOOKUP($CU64-DO$103,Frauen!$G$9:$J$102,4)+VLOOKUP($CU64-DO$103+1,Frauen!$G$9:$J$102,4))*0.5*(VLOOKUP($CU64-DO$103,Frauen!$AZ$9:$BD$102,5)+VLOOKUP($CU64-DO$103+1,Frauen!$AZ$9:$BD$102,5)),RundDx)))</f>
        <v/>
      </c>
      <c r="DP64" s="25" t="str">
        <f>IF($CU64&gt;=RAM,"",IF($CU64-DP$103&lt;BeginnAlter,"",ROUND(v^($CU64+FaktorAlter)*$L64*$D64*0.5*(VLOOKUP($CU64-DP$103,Frauen!$G$9:$J$102,4)+VLOOKUP($CU64-DP$103+1,Frauen!$G$9:$J$102,4))*0.5*(VLOOKUP($CU64-DP$103,Frauen!$AZ$9:$BD$102,5)+VLOOKUP($CU64-DP$103+1,Frauen!$AZ$9:$BD$102,5)),RundDx)))</f>
        <v/>
      </c>
      <c r="DQ64" s="25" t="str">
        <f>IF($CU64&gt;=RAM,"",IF($CU64-DQ$103&lt;BeginnAlter,"",ROUND(v^($CU64+FaktorAlter)*$L64*$D64*0.5*(VLOOKUP($CU64-DQ$103,Frauen!$G$9:$J$102,4)+VLOOKUP($CU64-DQ$103+1,Frauen!$G$9:$J$102,4))*0.5*(VLOOKUP($CU64-DQ$103,Frauen!$AZ$9:$BD$102,5)+VLOOKUP($CU64-DQ$103+1,Frauen!$AZ$9:$BD$102,5)),RundDx)))</f>
        <v/>
      </c>
      <c r="DR64" s="25" t="str">
        <f>IF($CU64&gt;=RAM,"",IF($CU64-DR$103&lt;BeginnAlter,"",ROUND(v^($CU64+FaktorAlter)*$L64*$D64*0.5*(VLOOKUP($CU64-DR$103,Frauen!$G$9:$J$102,4)+VLOOKUP($CU64-DR$103+1,Frauen!$G$9:$J$102,4))*0.5*(VLOOKUP($CU64-DR$103,Frauen!$AZ$9:$BD$102,5)+VLOOKUP($CU64-DR$103+1,Frauen!$AZ$9:$BD$102,5)),RundDx)))</f>
        <v/>
      </c>
      <c r="DS64" s="25" t="str">
        <f>IF($CU64&gt;=RAM,"",IF($CU64-DS$103&lt;BeginnAlter,"",ROUND(v^($CU64+FaktorAlter)*$L64*$D64*0.5*(VLOOKUP($CU64-DS$103,Frauen!$G$9:$J$102,4)+VLOOKUP($CU64-DS$103+1,Frauen!$G$9:$J$102,4))*0.5*(VLOOKUP($CU64-DS$103,Frauen!$AZ$9:$BD$102,5)+VLOOKUP($CU64-DS$103+1,Frauen!$AZ$9:$BD$102,5)),RundDx)))</f>
        <v/>
      </c>
      <c r="DT64" s="25" t="str">
        <f>IF($CU64&gt;=RAM,"",IF($CU64-DT$103&lt;BeginnAlter,"",ROUND(v^($CU64+FaktorAlter)*$L64*$D64*0.5*(VLOOKUP($CU64-DT$103,Frauen!$G$9:$J$102,4)+VLOOKUP($CU64-DT$103+1,Frauen!$G$9:$J$102,4))*0.5*(VLOOKUP($CU64-DT$103,Frauen!$AZ$9:$BD$102,5)+VLOOKUP($CU64-DT$103+1,Frauen!$AZ$9:$BD$102,5)),RundDx)))</f>
        <v/>
      </c>
      <c r="DU64" s="25" t="str">
        <f>IF($CU64&gt;=RAM,"",IF($CU64-DU$103&lt;BeginnAlter,"",ROUND(v^($CU64+FaktorAlter)*$L64*$D64*0.5*(VLOOKUP($CU64-DU$103,Frauen!$G$9:$J$102,4)+VLOOKUP($CU64-DU$103+1,Frauen!$G$9:$J$102,4))*0.5*(VLOOKUP($CU64-DU$103,Frauen!$AZ$9:$BD$102,5)+VLOOKUP($CU64-DU$103+1,Frauen!$AZ$9:$BD$102,5)),RundDx)))</f>
        <v/>
      </c>
      <c r="DV64" s="25" t="str">
        <f>IF($CU64&gt;=RAM,"",IF($CU64-DV$103&lt;BeginnAlter,"",ROUND(v^($CU64+FaktorAlter)*$L64*$D64*0.5*(VLOOKUP($CU64-DV$103,Frauen!$G$9:$J$102,4)+VLOOKUP($CU64-DV$103+1,Frauen!$G$9:$J$102,4))*0.5*(VLOOKUP($CU64-DV$103,Frauen!$AZ$9:$BD$102,5)+VLOOKUP($CU64-DV$103+1,Frauen!$AZ$9:$BD$102,5)),RundDx)))</f>
        <v/>
      </c>
      <c r="DW64" s="25" t="str">
        <f>IF($CU64&gt;=RAM,"",IF($CU64-DW$103&lt;BeginnAlter,"",ROUND(v^($CU64+FaktorAlter)*$L64*$D64*0.5*(VLOOKUP($CU64-DW$103,Frauen!$G$9:$J$102,4)+VLOOKUP($CU64-DW$103+1,Frauen!$G$9:$J$102,4))*0.5*(VLOOKUP($CU64-DW$103,Frauen!$AZ$9:$BD$102,5)+VLOOKUP($CU64-DW$103+1,Frauen!$AZ$9:$BD$102,5)),RundDx)))</f>
        <v/>
      </c>
      <c r="DX64" s="25" t="str">
        <f>IF($CU64&gt;=RAM,"",IF($CU64-DX$103&lt;BeginnAlter,"",ROUND(v^($CU64+FaktorAlter)*$L64*$D64*0.5*(VLOOKUP($CU64-DX$103,Frauen!$G$9:$J$102,4)+VLOOKUP($CU64-DX$103+1,Frauen!$G$9:$J$102,4))*0.5*(VLOOKUP($CU64-DX$103,Frauen!$AZ$9:$BD$102,5)+VLOOKUP($CU64-DX$103+1,Frauen!$AZ$9:$BD$102,5)),RundDx)))</f>
        <v/>
      </c>
      <c r="DY64" s="25" t="str">
        <f>IF($CU64&gt;=RAM,"",IF($CU64-DY$103&lt;BeginnAlter,"",ROUND(v^($CU64+FaktorAlter)*$L64*$D64*0.5*(VLOOKUP($CU64-DY$103,Frauen!$G$9:$J$102,4)+VLOOKUP($CU64-DY$103+1,Frauen!$G$9:$J$102,4))*0.5*(VLOOKUP($CU64-DY$103,Frauen!$AZ$9:$BD$102,5)+VLOOKUP($CU64-DY$103+1,Frauen!$AZ$9:$BD$102,5)),RundDx)))</f>
        <v/>
      </c>
      <c r="DZ64" s="25" t="str">
        <f>IF($CU64&gt;=RAM,"",IF($CU64-DZ$103&lt;BeginnAlter,"",ROUND(v^($CU64+FaktorAlter)*$L64*$D64*0.5*(VLOOKUP($CU64-DZ$103,Frauen!$G$9:$J$102,4)+VLOOKUP($CU64-DZ$103+1,Frauen!$G$9:$J$102,4))*0.5*(VLOOKUP($CU64-DZ$103,Frauen!$AZ$9:$BD$102,5)+VLOOKUP($CU64-DZ$103+1,Frauen!$AZ$9:$BD$102,5)),RundDx)))</f>
        <v/>
      </c>
      <c r="EA64" s="43" t="str">
        <f>IF($CU64&gt;=RAM,"",IF($CU64-EA$103&lt;BeginnAlter,"",ROUND((SUM(CV$56:CV64)+SUM(FN$9:FN$56))/VLOOKUP($CU64,$AH$9:$AI$102,2)/VLOOKUP($CU64-EA$103,Frauen!$G$9:$J$102,4),Rundäx)))</f>
        <v/>
      </c>
      <c r="EB64" s="43" t="str">
        <f>IF($CU64&gt;=RAM,"",IF($CU64-EB$103&lt;BeginnAlter,"",ROUND((SUM(CW$56:CW64)+SUM(FO$9:FO$56))/VLOOKUP($CU64,$AH$9:$AI$102,2)/VLOOKUP($CU64-EB$103,Frauen!$G$9:$J$102,4),Rundäx)))</f>
        <v/>
      </c>
      <c r="EC64" s="43" t="str">
        <f>IF($CU64&gt;=RAM,"",IF($CU64-EC$103&lt;BeginnAlter,"",ROUND((SUM(CX$56:CX64)+SUM(FP$9:FP$56))/VLOOKUP($CU64,$AH$9:$AI$102,2)/VLOOKUP($CU64-EC$103,Frauen!$G$9:$J$102,4),Rundäx)))</f>
        <v/>
      </c>
      <c r="ED64" s="43" t="str">
        <f>IF($CU64&gt;=RAM,"",IF($CU64-ED$103&lt;BeginnAlter,"",ROUND((SUM(CY$56:CY64)+SUM(FQ$9:FQ$56))/VLOOKUP($CU64,$AH$9:$AI$102,2)/VLOOKUP($CU64-ED$103,Frauen!$G$9:$J$102,4),Rundäx)))</f>
        <v/>
      </c>
      <c r="EE64" s="43" t="str">
        <f>IF($CU64&gt;=RAM,"",IF($CU64-EE$103&lt;BeginnAlter,"",ROUND((SUM(CZ$56:CZ64)+SUM(FR$9:FR$56))/VLOOKUP($CU64,$AH$9:$AI$102,2)/VLOOKUP($CU64-EE$103,Frauen!$G$9:$J$102,4),Rundäx)))</f>
        <v/>
      </c>
      <c r="EF64" s="43" t="str">
        <f>IF($CU64&gt;=RAM,"",IF($CU64-EF$103&lt;BeginnAlter,"",ROUND((SUM(DA$56:DA64)+SUM(FS$9:FS$56))/VLOOKUP($CU64,$AH$9:$AI$102,2)/VLOOKUP($CU64-EF$103,Frauen!$G$9:$J$102,4),Rundäx)))</f>
        <v/>
      </c>
      <c r="EG64" s="43" t="str">
        <f>IF($CU64&gt;=RAM,"",IF($CU64-EG$103&lt;BeginnAlter,"",ROUND((SUM(DB$56:DB64)+SUM(FT$9:FT$56))/VLOOKUP($CU64,$AH$9:$AI$102,2)/VLOOKUP($CU64-EG$103,Frauen!$G$9:$J$102,4),Rundäx)))</f>
        <v/>
      </c>
      <c r="EH64" s="43" t="str">
        <f>IF($CU64&gt;=RAM,"",IF($CU64-EH$103&lt;BeginnAlter,"",ROUND((SUM(DC$56:DC64)+SUM(FU$9:FU$56))/VLOOKUP($CU64,$AH$9:$AI$102,2)/VLOOKUP($CU64-EH$103,Frauen!$G$9:$J$102,4),Rundäx)))</f>
        <v/>
      </c>
      <c r="EI64" s="86"/>
      <c r="EJ64" s="35">
        <f t="shared" si="60"/>
        <v>72</v>
      </c>
      <c r="EK64" s="43" t="str">
        <f>IF($CU64&gt;=RAM,"",IF($CU64-EK$103&lt;BeginnAlter,"",ROUND((SUM(DD$56:DD64)+SUM(FV$9:FV$56))/VLOOKUP($CU64,$AH$9:$AI$102,2)/VLOOKUP($CU64-EK$103,Frauen!$G$9:$J$102,4),Rundäx)))</f>
        <v/>
      </c>
      <c r="EL64" s="43" t="str">
        <f>IF($CU64&gt;=RAM,"",IF($CU64-EL$103&lt;BeginnAlter,"",ROUND((SUM(DE$56:DE64)+SUM(FW$9:FW$56))/VLOOKUP($CU64,$AH$9:$AI$102,2)/VLOOKUP($CU64-EL$103,Frauen!$G$9:$J$102,4),Rundäx)))</f>
        <v/>
      </c>
      <c r="EM64" s="43" t="str">
        <f>IF($CU64&gt;=RAM,"",IF($CU64-EM$103&lt;BeginnAlter,"",ROUND((SUM(DF$56:DF64)+SUM(FX$9:FX$56))/VLOOKUP($CU64,$AH$9:$AI$102,2)/VLOOKUP($CU64-EM$103,Frauen!$G$9:$J$102,4),Rundäx)))</f>
        <v/>
      </c>
      <c r="EN64" s="43" t="str">
        <f>IF($CU64&gt;=RAM,"",IF($CU64-EN$103&lt;BeginnAlter,"",ROUND((SUM(DG$56:DG64)+SUM(FY$9:FY$56))/VLOOKUP($CU64,$AH$9:$AI$102,2)/VLOOKUP($CU64-EN$103,Frauen!$G$9:$J$102,4),Rundäx)))</f>
        <v/>
      </c>
      <c r="EO64" s="43" t="str">
        <f>IF($CU64&gt;=RAM,"",IF($CU64-EO$103&lt;BeginnAlter,"",ROUND((SUM(DH$56:DH64)+SUM(FZ$9:FZ$56))/VLOOKUP($CU64,$AH$9:$AI$102,2)/VLOOKUP($CU64-EO$103,Frauen!$G$9:$J$102,4),Rundäx)))</f>
        <v/>
      </c>
      <c r="EP64" s="43" t="str">
        <f>IF($CU64&gt;=RAM,"",IF($CU64-EP$103&lt;BeginnAlter,"",ROUND((SUM(DI$56:DI64)+SUM(GA$9:GA$56))/VLOOKUP($CU64,$AH$9:$AI$102,2)/VLOOKUP($CU64-EP$103,Frauen!$G$9:$J$102,4),Rundäx)))</f>
        <v/>
      </c>
      <c r="EQ64" s="43" t="str">
        <f>IF($CU64&gt;=RAM,"",IF($CU64-EQ$103&lt;BeginnAlter,"",ROUND((SUM(DJ$56:DJ64)+SUM(GB$9:GB$56))/VLOOKUP($CU64,$AH$9:$AI$102,2)/VLOOKUP($CU64-EQ$103,Frauen!$G$9:$J$102,4),Rundäx)))</f>
        <v/>
      </c>
      <c r="ER64" s="43" t="str">
        <f>IF($CU64&gt;=RAM,"",IF($CU64-ER$103&lt;BeginnAlter,"",ROUND((SUM(DK$56:DK64)+SUM(GC$9:GC$56))/VLOOKUP($CU64,$AH$9:$AI$102,2)/VLOOKUP($CU64-ER$103,Frauen!$G$9:$J$102,4),Rundäx)))</f>
        <v/>
      </c>
      <c r="ES64" s="86"/>
      <c r="ET64" s="35">
        <f t="shared" si="61"/>
        <v>72</v>
      </c>
      <c r="EU64" s="43" t="str">
        <f>IF($CU64&gt;=RAM,"",IF($CU64-EU$103&lt;BeginnAlter,"",ROUND((SUM(DL$56:DL64)+SUM(GD$9:GD$56))/VLOOKUP($CU64,$AH$9:$AI$102,2)/VLOOKUP($CU64-EU$103,Frauen!$G$9:$J$102,4),Rundäx)))</f>
        <v/>
      </c>
      <c r="EV64" s="43" t="str">
        <f>IF($CU64&gt;=RAM,"",IF($CU64-EV$103&lt;BeginnAlter,"",ROUND((SUM(DM$56:DM64)+SUM(GE$9:GE$56))/VLOOKUP($CU64,$AH$9:$AI$102,2)/VLOOKUP($CU64-EV$103,Frauen!$G$9:$J$102,4),Rundäx)))</f>
        <v/>
      </c>
      <c r="EW64" s="43" t="str">
        <f>IF($CU64&gt;=RAM,"",IF($CU64-EW$103&lt;BeginnAlter,"",ROUND((SUM(DN$56:DN64)+SUM(GF$9:GF$56))/VLOOKUP($CU64,$AH$9:$AI$102,2)/VLOOKUP($CU64-EW$103,Frauen!$G$9:$J$102,4),Rundäx)))</f>
        <v/>
      </c>
      <c r="EX64" s="43" t="str">
        <f>IF($CU64&gt;=RAM,"",IF($CU64-EX$103&lt;BeginnAlter,"",ROUND((SUM(DO$56:DO64)+SUM(GG$9:GG$56))/VLOOKUP($CU64,$AH$9:$AI$102,2)/VLOOKUP($CU64-EX$103,Frauen!$G$9:$J$102,4),Rundäx)))</f>
        <v/>
      </c>
      <c r="EY64" s="43" t="str">
        <f>IF($CU64&gt;=RAM,"",IF($CU64-EY$103&lt;BeginnAlter,"",ROUND((SUM(DP$56:DP64)+SUM(GH$9:GH$56))/VLOOKUP($CU64,$AH$9:$AI$102,2)/VLOOKUP($CU64-EY$103,Frauen!$G$9:$J$102,4),Rundäx)))</f>
        <v/>
      </c>
      <c r="EZ64" s="43" t="str">
        <f>IF($CU64&gt;=RAM,"",IF($CU64-EZ$103&lt;BeginnAlter,"",ROUND((SUM(DQ$56:DQ64)+SUM(GI$9:GI$56))/VLOOKUP($CU64,$AH$9:$AI$102,2)/VLOOKUP($CU64-EZ$103,Frauen!$G$9:$J$102,4),Rundäx)))</f>
        <v/>
      </c>
      <c r="FA64" s="43" t="str">
        <f>IF($CU64&gt;=RAM,"",IF($CU64-FA$103&lt;BeginnAlter,"",ROUND((SUM(DR$56:DR64)+SUM(GJ$9:GJ$56))/VLOOKUP($CU64,$AH$9:$AI$102,2)/VLOOKUP($CU64-FA$103,Frauen!$G$9:$J$102,4),Rundäx)))</f>
        <v/>
      </c>
      <c r="FB64" s="43" t="str">
        <f>IF($CU64&gt;=RAM,"",IF($CU64-FB$103&lt;BeginnAlter,"",ROUND((SUM(DS$56:DS64)+SUM(GK$9:GK$56))/VLOOKUP($CU64,$AH$9:$AI$102,2)/VLOOKUP($CU64-FB$103,Frauen!$G$9:$J$102,4),Rundäx)))</f>
        <v/>
      </c>
      <c r="FC64" s="86"/>
      <c r="FD64" s="35">
        <f t="shared" si="62"/>
        <v>72</v>
      </c>
      <c r="FE64" s="43" t="str">
        <f>IF($CU64&gt;=RAM,"",IF($CU64-FE$103&lt;BeginnAlter,"",ROUND((SUM(DT$56:DT64)+SUM(GL$9:GL$56))/VLOOKUP($CU64,$AH$9:$AI$102,2)/VLOOKUP($CU64-FE$103,Frauen!$G$9:$J$102,4),Rundäx)))</f>
        <v/>
      </c>
      <c r="FF64" s="43" t="str">
        <f>IF($CU64&gt;=RAM,"",IF($CU64-FF$103&lt;BeginnAlter,"",ROUND((SUM(DU$56:DU64)+SUM(GM$9:GM$56))/VLOOKUP($CU64,$AH$9:$AI$102,2)/VLOOKUP($CU64-FF$103,Frauen!$G$9:$J$102,4),Rundäx)))</f>
        <v/>
      </c>
      <c r="FG64" s="43" t="str">
        <f>IF($CU64&gt;=RAM,"",IF($CU64-FG$103&lt;BeginnAlter,"",ROUND((SUM(DV$56:DV64)+SUM(GN$9:GN$56))/VLOOKUP($CU64,$AH$9:$AI$102,2)/VLOOKUP($CU64-FG$103,Frauen!$G$9:$J$102,4),Rundäx)))</f>
        <v/>
      </c>
      <c r="FH64" s="43" t="str">
        <f>IF($CU64&gt;=RAM,"",IF($CU64-FH$103&lt;BeginnAlter,"",ROUND((SUM(DW$56:DW64)+SUM(GO$9:GO$56))/VLOOKUP($CU64,$AH$9:$AI$102,2)/VLOOKUP($CU64-FH$103,Frauen!$G$9:$J$102,4),Rundäx)))</f>
        <v/>
      </c>
      <c r="FI64" s="43" t="str">
        <f>IF($CU64&gt;=RAM,"",IF($CU64-FI$103&lt;BeginnAlter,"",ROUND((SUM(DX$56:DX64)+SUM(GP$9:GP$56))/VLOOKUP($CU64,$AH$9:$AI$102,2)/VLOOKUP($CU64-FI$103,Frauen!$G$9:$J$102,4),Rundäx)))</f>
        <v/>
      </c>
      <c r="FJ64" s="43" t="str">
        <f>IF($CU64&gt;=RAM,"",IF($CU64-FJ$103&lt;BeginnAlter,"",ROUND((SUM(DY$56:DY64)+SUM(GQ$9:GQ$56))/VLOOKUP($CU64,$AH$9:$AI$102,2)/VLOOKUP($CU64-FJ$103,Frauen!$G$9:$J$102,4),Rundäx)))</f>
        <v/>
      </c>
      <c r="FK64" s="43" t="str">
        <f>IF($CU64&gt;=RAM,"",IF($CU64-FK$103&lt;BeginnAlter,"",ROUND((SUM(DZ$56:DZ64)+SUM(GR$9:GR$56))/VLOOKUP($CU64,$AH$9:$AI$102,2)/VLOOKUP($CU64-FK$103,Frauen!$G$9:$J$102,4),Rundäx)))</f>
        <v/>
      </c>
      <c r="FL64" s="86"/>
      <c r="FM64" s="35">
        <f t="shared" si="68"/>
        <v>120</v>
      </c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4"/>
      <c r="GT64" s="24"/>
      <c r="GU64" s="24" t="str">
        <f>IF(FM64&gt;=RAM," ",#REF!/$AI64/Frauen!$J52)</f>
        <v xml:space="preserve"> </v>
      </c>
      <c r="GV64" s="24" t="str">
        <f>IF(FM64&gt;=RAM," ",#REF!/$AI64/Frauen!$J55)</f>
        <v xml:space="preserve"> </v>
      </c>
      <c r="GW64" s="24" t="str">
        <f>IF(FM64&gt;=RAM," ",#REF!/$AI64/Frauen!$J58)</f>
        <v xml:space="preserve"> </v>
      </c>
      <c r="GX64" s="24" t="str">
        <f>IF(FM64&gt;=RAM," ",#REF!/$AI64/Frauen!$J61)</f>
        <v xml:space="preserve"> </v>
      </c>
      <c r="GY64" s="24" t="str">
        <f>IF(FM64&gt;=RAM," ",#REF!/$AI64/Frauen!$J64)</f>
        <v xml:space="preserve"> </v>
      </c>
      <c r="GZ64" s="24" t="str">
        <f>IF(FM64&gt;=RAM," ",#REF!/$AI64/Frauen!$J67)</f>
        <v xml:space="preserve"> </v>
      </c>
      <c r="HA64" s="86"/>
      <c r="HB64" s="35">
        <f t="shared" si="63"/>
        <v>120</v>
      </c>
      <c r="HC64" s="24"/>
      <c r="HD64" s="24"/>
      <c r="HE64" s="24"/>
      <c r="HF64" s="24"/>
      <c r="HG64" s="24"/>
      <c r="HH64" s="24"/>
      <c r="HI64" s="24"/>
      <c r="HJ64" s="24"/>
      <c r="HK64" s="86"/>
      <c r="HL64" s="35">
        <f t="shared" si="64"/>
        <v>120</v>
      </c>
      <c r="HM64" s="24"/>
      <c r="HN64" s="24"/>
      <c r="HO64" s="24"/>
      <c r="HP64" s="24"/>
      <c r="HQ64" s="24"/>
      <c r="HR64" s="24"/>
      <c r="HS64" s="24"/>
      <c r="HT64" s="24"/>
      <c r="HU64" s="86"/>
      <c r="HV64" s="35">
        <f t="shared" si="65"/>
        <v>120</v>
      </c>
      <c r="HW64" s="24"/>
      <c r="HX64" s="24"/>
      <c r="HY64" s="24"/>
      <c r="HZ64" s="24"/>
      <c r="IA64" s="24"/>
      <c r="IB64" s="24"/>
      <c r="IC64" s="24"/>
      <c r="ID64" s="89"/>
      <c r="IE64" s="35">
        <f t="shared" si="81"/>
        <v>72</v>
      </c>
      <c r="IF64" s="25" t="str">
        <f t="shared" si="31"/>
        <v/>
      </c>
      <c r="IG64" s="25" t="str">
        <f>IF($IE64&lt;RAM,IF(S65&lt;=RAK,ROUND(SUM(IF64:INDEX(Dakx,RAM-BeginnAlter))+INDEX(Dax,RAM-BeginnAlter+1)*INDEX(äkx,1),RundDx),0),"")</f>
        <v/>
      </c>
      <c r="IH64" s="25" t="str">
        <f>IF($IE64&lt;RAM,IF(S65&lt;=RAK,ROUND(SUM(IG64:INDEX(Nakx,RAM-BeginnAlter))+INDEX(Dax,RAM-BeginnAlter+1)*INDEX(äkx,1),RundDx),0),"")</f>
        <v/>
      </c>
      <c r="II64" s="24" t="str">
        <f t="shared" si="32"/>
        <v/>
      </c>
      <c r="IJ64" s="25" t="str">
        <f t="shared" si="33"/>
        <v/>
      </c>
      <c r="IK64" s="25" t="str">
        <f>IF($IE64&lt;RAM,IF(S65&lt;=RAK,SUM(IJ64:INDEX(Dikx,RAM-BeginnAlter))+INDEX(Dix,RAM-BeginnAlter+1)*INDEX(äkx,1),0),"")</f>
        <v/>
      </c>
      <c r="IL64" s="24" t="str">
        <f t="shared" si="34"/>
        <v/>
      </c>
      <c r="IM64" s="86"/>
      <c r="IN64" s="35">
        <f t="shared" si="67"/>
        <v>120</v>
      </c>
      <c r="IO64" s="25"/>
      <c r="IP64" s="25"/>
      <c r="IQ64" s="24"/>
      <c r="IR64" s="86"/>
    </row>
    <row r="65" spans="1:252" ht="15.75" customHeight="1" x14ac:dyDescent="0.25">
      <c r="A65" s="35">
        <f t="shared" si="69"/>
        <v>73</v>
      </c>
      <c r="B65" s="77"/>
      <c r="C65" s="77"/>
      <c r="D65" s="77"/>
      <c r="E65" s="77">
        <v>3.0924124940508758E-2</v>
      </c>
      <c r="F65" s="86"/>
      <c r="G65" s="35">
        <f t="shared" si="70"/>
        <v>73</v>
      </c>
      <c r="H65" s="25" t="str">
        <f t="shared" si="37"/>
        <v/>
      </c>
      <c r="I65" s="25" t="str">
        <f t="shared" si="38"/>
        <v/>
      </c>
      <c r="J65" s="25">
        <f t="shared" si="39"/>
        <v>73427</v>
      </c>
      <c r="K65" s="30">
        <f>IF(J65&gt;0,ROUND(SUM(J65:J$102)/J65-0.5,Rundex),"")</f>
        <v>12</v>
      </c>
      <c r="L65" s="25">
        <f t="shared" si="0"/>
        <v>73427</v>
      </c>
      <c r="M65" s="30">
        <f>IF(L65&gt;0,ROUND(SUM(L65:L$102)/L65-0.5,Rundex),"")</f>
        <v>12</v>
      </c>
      <c r="N65" s="86"/>
      <c r="O65" s="35">
        <f t="shared" si="71"/>
        <v>73</v>
      </c>
      <c r="P65" s="43">
        <v>0.77405902169096263</v>
      </c>
      <c r="Q65" s="78">
        <v>68.45211872690588</v>
      </c>
      <c r="R65" s="43">
        <v>7.0000000000000001E-3</v>
      </c>
      <c r="S65" s="78">
        <v>21.531524867603498</v>
      </c>
      <c r="T65" s="15">
        <v>4.2879244917649079E-2</v>
      </c>
      <c r="U65" s="11">
        <f t="shared" si="40"/>
        <v>63805</v>
      </c>
      <c r="V65" s="30">
        <f>IF(U65&gt;0,ROUND(SUM(U65:U$102)/U65-0.5,Rundex),"")</f>
        <v>11.14</v>
      </c>
      <c r="W65" s="86"/>
      <c r="X65" s="35">
        <f t="shared" si="72"/>
        <v>73</v>
      </c>
      <c r="Y65" s="25" t="str">
        <f t="shared" si="1"/>
        <v xml:space="preserve"> </v>
      </c>
      <c r="Z65" s="25" t="str">
        <f>IF($X65&lt;RAM,SUM(Y65:INDEX(Dax,RAM-BeginnAlter))," ")</f>
        <v xml:space="preserve"> </v>
      </c>
      <c r="AA65" s="25" t="str">
        <f t="shared" si="2"/>
        <v xml:space="preserve"> </v>
      </c>
      <c r="AB65" s="25" t="str">
        <f>IF($X65&lt;RAM,SUM(AA65:INDEX(Cax,RAM-BeginnAlter))," ")</f>
        <v xml:space="preserve"> </v>
      </c>
      <c r="AC65" s="25" t="str">
        <f t="shared" si="3"/>
        <v xml:space="preserve"> </v>
      </c>
      <c r="AD65" s="25" t="str">
        <f>IF($X65&lt;RAM,SUM(AC65:INDEX(Caix,RAM-BeginnAlter))," ")</f>
        <v xml:space="preserve"> </v>
      </c>
      <c r="AE65" s="24" t="str">
        <f t="shared" si="4"/>
        <v xml:space="preserve"> </v>
      </c>
      <c r="AF65" s="24" t="str">
        <f t="shared" si="5"/>
        <v xml:space="preserve"> </v>
      </c>
      <c r="AG65" s="86"/>
      <c r="AH65" s="35">
        <f t="shared" si="73"/>
        <v>73</v>
      </c>
      <c r="AI65" s="25" t="str">
        <f t="shared" si="6"/>
        <v xml:space="preserve"> </v>
      </c>
      <c r="AJ65" s="25" t="str">
        <f>IF($AH65&gt;RAM," ",IF($AH65&lt;RAM,SUM(AI65:INDEX(Dix,RAM-BeginnAlter))+INDEX(Nx,RAM-BeginnAlter+1),INDEX(Nx,RAM-BeginnAlter+1)))</f>
        <v xml:space="preserve"> </v>
      </c>
      <c r="AK65" s="25" t="str">
        <f>IF($AH65&lt;RAM,SUM(AI65:INDEX(Dix,RAM-BeginnAlter))," ")</f>
        <v xml:space="preserve"> </v>
      </c>
      <c r="AL65" s="24" t="str">
        <f t="shared" si="7"/>
        <v xml:space="preserve"> </v>
      </c>
      <c r="AM65" s="24" t="str">
        <f t="shared" si="8"/>
        <v xml:space="preserve"> </v>
      </c>
      <c r="AN65" s="24" t="str">
        <f t="shared" si="9"/>
        <v xml:space="preserve"> </v>
      </c>
      <c r="AO65" s="24" t="str">
        <f t="shared" si="10"/>
        <v xml:space="preserve"> </v>
      </c>
      <c r="AP65" s="86"/>
      <c r="AQ65" s="35">
        <f t="shared" si="74"/>
        <v>73</v>
      </c>
      <c r="AR65" s="25">
        <f t="shared" si="11"/>
        <v>14469</v>
      </c>
      <c r="AS65" s="25">
        <f>SUM(AR65:AR$94)</f>
        <v>154388</v>
      </c>
      <c r="AT65" s="25" t="str">
        <f>IF($AQ65&lt;RAM,SUM(AR65:INDEX(Dx,RAM-BeginnAlter))," ")</f>
        <v xml:space="preserve"> </v>
      </c>
      <c r="AU65" s="24">
        <f t="shared" si="12"/>
        <v>10.67</v>
      </c>
      <c r="AV65" s="24">
        <f t="shared" si="13"/>
        <v>10.212</v>
      </c>
      <c r="AW65" s="24" t="str">
        <f t="shared" si="14"/>
        <v xml:space="preserve"> </v>
      </c>
      <c r="AX65" s="24" t="str">
        <f t="shared" si="15"/>
        <v xml:space="preserve"> </v>
      </c>
      <c r="AY65" s="86"/>
      <c r="AZ65" s="35">
        <f t="shared" si="75"/>
        <v>73</v>
      </c>
      <c r="BA65" s="25">
        <f t="shared" si="16"/>
        <v>12573</v>
      </c>
      <c r="BB65" s="25">
        <f>SUM(BA65:BA$94)</f>
        <v>125649</v>
      </c>
      <c r="BC65" s="24">
        <f t="shared" si="17"/>
        <v>9.9939999999999998</v>
      </c>
      <c r="BD65" s="24">
        <f t="shared" si="18"/>
        <v>9.5350000000000001</v>
      </c>
      <c r="BE65" s="86"/>
      <c r="BF65" s="35">
        <f t="shared" si="48"/>
        <v>56</v>
      </c>
      <c r="BG65" s="24" t="str">
        <f t="shared" si="19"/>
        <v/>
      </c>
      <c r="BH65" s="24" t="str">
        <f t="shared" si="20"/>
        <v/>
      </c>
      <c r="BI65" s="86"/>
      <c r="BJ65" s="35">
        <f t="shared" si="76"/>
        <v>73</v>
      </c>
      <c r="BK65" s="25" t="str">
        <f t="shared" si="21"/>
        <v xml:space="preserve"> </v>
      </c>
      <c r="BL65" s="25" t="str">
        <f>IF(BJ65&lt;RAM,SUM(BK65:INDEX(Daix,RAM-BeginnAlter))," ")</f>
        <v xml:space="preserve"> </v>
      </c>
      <c r="BM65" s="25" t="str">
        <f>IF(BJ65&lt;RAM,SUM(BL65:INDEX(Naix,RAM-BeginnAlter))," ")</f>
        <v xml:space="preserve"> </v>
      </c>
      <c r="BN65" s="24" t="str">
        <f t="shared" si="22"/>
        <v xml:space="preserve"> </v>
      </c>
      <c r="BO65" s="24" t="str">
        <f t="shared" si="23"/>
        <v xml:space="preserve"> </v>
      </c>
      <c r="BP65" s="86"/>
      <c r="BQ65" s="35">
        <f t="shared" si="77"/>
        <v>73</v>
      </c>
      <c r="BR65" s="25" t="str">
        <f t="shared" si="51"/>
        <v xml:space="preserve"> </v>
      </c>
      <c r="BS65" s="25" t="str">
        <f>IF(BQ65&lt;RAM,SUM(BR65:INDEX(Daixs,RAM-BeginnAlter))," ")</f>
        <v xml:space="preserve"> </v>
      </c>
      <c r="BT65" s="25" t="str">
        <f>IF(BQ65&lt;RAM,SUM(BS65:INDEX(Naixs,RAM-BeginnAlter))," ")</f>
        <v xml:space="preserve"> </v>
      </c>
      <c r="BU65" s="24" t="str">
        <f t="shared" si="52"/>
        <v xml:space="preserve"> </v>
      </c>
      <c r="BV65" s="24" t="str">
        <f t="shared" si="53"/>
        <v xml:space="preserve"> </v>
      </c>
      <c r="BW65" s="86"/>
      <c r="BX65" s="35">
        <f t="shared" si="78"/>
        <v>73</v>
      </c>
      <c r="BY65" s="10" t="str">
        <f t="shared" si="24"/>
        <v/>
      </c>
      <c r="BZ65" s="11" t="str">
        <f t="shared" si="25"/>
        <v/>
      </c>
      <c r="CA65" s="25" t="str">
        <f>IF(S66&lt;=RAK,IF($BX65&lt;RAM,SUM(BZ65:INDEX(Dazx,RAM-BeginnAlter)),""),"")</f>
        <v/>
      </c>
      <c r="CB65" s="24" t="str">
        <f t="shared" si="26"/>
        <v/>
      </c>
      <c r="CC65" s="25">
        <f t="shared" si="27"/>
        <v>11833</v>
      </c>
      <c r="CD65" s="24">
        <f t="shared" si="28"/>
        <v>8.6219999999999999</v>
      </c>
      <c r="CE65" s="24" t="str">
        <f t="shared" si="29"/>
        <v/>
      </c>
      <c r="CF65" s="86"/>
      <c r="CG65" s="35">
        <f t="shared" si="79"/>
        <v>73</v>
      </c>
      <c r="CH65" s="25" t="str">
        <f>IF(CG65&lt;RAM,ROUND(v^($CG65+FaktorAlter)*$H65*($B65*0.5*($P65+$P66)*(VLOOKUP(TRUNC(0.5*($Q65+$Q66),0),Frauen!$AZ$9:$BD$95,5)+(0.5*($Q65+$Q66)-TRUNC(0.5*($Q65+$Q66),0))*(VLOOKUP(TRUNC(0.5*($Q65+$Q66)+1,0),Frauen!$AZ$9:$BD$95,5)-VLOOKUP(TRUNC(0.5*($Q65+$Q66),0),Frauen!$AZ$9:$BD$95,5)))+$C65*0.5*($CN65+$CN66)),RundDx),"")</f>
        <v/>
      </c>
      <c r="CI65" s="25" t="str">
        <f>IF(CG65&lt;RAM,ROUND(SUM(CH65:INDEX(Dawx,RAM-BeginnAlter))+INDEX(Dax,RAM-BeginnAlter+1)*INDEX(äwx,1),RundDx),"")</f>
        <v/>
      </c>
      <c r="CJ65" s="25" t="str">
        <f>IF(CG65&lt;RAM,ROUND(SUM(CI65:INDEX(Nawx,RAM-BeginnAlter))+INDEX(Dax,RAM-BeginnAlter+1)*INDEX(äwx,1),RundDx),"")</f>
        <v/>
      </c>
      <c r="CK65" s="24" t="str">
        <f t="shared" si="56"/>
        <v/>
      </c>
      <c r="CL65" s="25" t="str">
        <f>IF(CG65&lt;RAM,ROUND(v^($CG65+FaktorAlter)*$L65*$D65*0.5*($P65+$P66)*(VLOOKUP(TRUNC(0.5*($Q65+$Q66),0),Frauen!$AZ$9:$BD$95,5)+(0.5*($Q65+$Q66)-TRUNC(0.5*($Q65+$Q66),0))*(VLOOKUP(TRUNC(0.5*($Q65+$Q66)+1,0),Frauen!$AZ$9:$BD$95,5)-VLOOKUP(TRUNC(0.5*($Q65+$Q66),0),Frauen!$AZ$9:$BD$95,5))),RundDx),"")</f>
        <v/>
      </c>
      <c r="CM65" s="25" t="str">
        <f>IF(CG65&lt;RAM,SUM(CL65:INDEX(Diwx,RAM-BeginnAlter))+INDEX(Dix,RAM-BeginnAlter+1)*INDEX(äwx,1),"")</f>
        <v/>
      </c>
      <c r="CN65" s="24" t="str">
        <f t="shared" si="57"/>
        <v/>
      </c>
      <c r="CO65" s="86"/>
      <c r="CP65" s="35">
        <f t="shared" si="58"/>
        <v>121</v>
      </c>
      <c r="CQ65" s="25"/>
      <c r="CR65" s="25"/>
      <c r="CS65" s="24"/>
      <c r="CT65" s="86"/>
      <c r="CU65" s="35">
        <f t="shared" si="80"/>
        <v>73</v>
      </c>
      <c r="CV65" s="25" t="str">
        <f>IF($CU65&gt;=RAM,"",IF($CU65-CV$103&lt;BeginnAlter,"",ROUND(v^($CU65+FaktorAlter)*$L65*$D65*0.5*(VLOOKUP($CU65-CV$103,Frauen!$G$9:$J$102,4)+VLOOKUP($CU65-CV$103+1,Frauen!$G$9:$J$102,4))*0.5*(VLOOKUP($CU65-CV$103,Frauen!$AZ$9:$BD$102,5)+VLOOKUP($CU65-CV$103+1,Frauen!$AZ$9:$BD$102,5)),RundDx)))</f>
        <v/>
      </c>
      <c r="CW65" s="25" t="str">
        <f>IF($CU65&gt;=RAM,"",IF($CU65-CW$103&lt;BeginnAlter,"",ROUND(v^($CU65+FaktorAlter)*$L65*$D65*0.5*(VLOOKUP($CU65-CW$103,Frauen!$G$9:$J$102,4)+VLOOKUP($CU65-CW$103+1,Frauen!$G$9:$J$102,4))*0.5*(VLOOKUP($CU65-CW$103,Frauen!$AZ$9:$BD$102,5)+VLOOKUP($CU65-CW$103+1,Frauen!$AZ$9:$BD$102,5)),RundDx)))</f>
        <v/>
      </c>
      <c r="CX65" s="25" t="str">
        <f>IF($CU65&gt;=RAM,"",IF($CU65-CX$103&lt;BeginnAlter,"",ROUND(v^($CU65+FaktorAlter)*$L65*$D65*0.5*(VLOOKUP($CU65-CX$103,Frauen!$G$9:$J$102,4)+VLOOKUP($CU65-CX$103+1,Frauen!$G$9:$J$102,4))*0.5*(VLOOKUP($CU65-CX$103,Frauen!$AZ$9:$BD$102,5)+VLOOKUP($CU65-CX$103+1,Frauen!$AZ$9:$BD$102,5)),RundDx)))</f>
        <v/>
      </c>
      <c r="CY65" s="25" t="str">
        <f>IF($CU65&gt;=RAM,"",IF($CU65-CY$103&lt;BeginnAlter,"",ROUND(v^($CU65+FaktorAlter)*$L65*$D65*0.5*(VLOOKUP($CU65-CY$103,Frauen!$G$9:$J$102,4)+VLOOKUP($CU65-CY$103+1,Frauen!$G$9:$J$102,4))*0.5*(VLOOKUP($CU65-CY$103,Frauen!$AZ$9:$BD$102,5)+VLOOKUP($CU65-CY$103+1,Frauen!$AZ$9:$BD$102,5)),RundDx)))</f>
        <v/>
      </c>
      <c r="CZ65" s="25" t="str">
        <f>IF($CU65&gt;=RAM,"",IF($CU65-CZ$103&lt;BeginnAlter,"",ROUND(v^($CU65+FaktorAlter)*$L65*$D65*0.5*(VLOOKUP($CU65-CZ$103,Frauen!$G$9:$J$102,4)+VLOOKUP($CU65-CZ$103+1,Frauen!$G$9:$J$102,4))*0.5*(VLOOKUP($CU65-CZ$103,Frauen!$AZ$9:$BD$102,5)+VLOOKUP($CU65-CZ$103+1,Frauen!$AZ$9:$BD$102,5)),RundDx)))</f>
        <v/>
      </c>
      <c r="DA65" s="25" t="str">
        <f>IF($CU65&gt;=RAM,"",IF($CU65-DA$103&lt;BeginnAlter,"",ROUND(v^($CU65+FaktorAlter)*$L65*$D65*0.5*(VLOOKUP($CU65-DA$103,Frauen!$G$9:$J$102,4)+VLOOKUP($CU65-DA$103+1,Frauen!$G$9:$J$102,4))*0.5*(VLOOKUP($CU65-DA$103,Frauen!$AZ$9:$BD$102,5)+VLOOKUP($CU65-DA$103+1,Frauen!$AZ$9:$BD$102,5)),RundDx)))</f>
        <v/>
      </c>
      <c r="DB65" s="25" t="str">
        <f>IF($CU65&gt;=RAM,"",IF($CU65-DB$103&lt;BeginnAlter,"",ROUND(v^($CU65+FaktorAlter)*$L65*$D65*0.5*(VLOOKUP($CU65-DB$103,Frauen!$G$9:$J$102,4)+VLOOKUP($CU65-DB$103+1,Frauen!$G$9:$J$102,4))*0.5*(VLOOKUP($CU65-DB$103,Frauen!$AZ$9:$BD$102,5)+VLOOKUP($CU65-DB$103+1,Frauen!$AZ$9:$BD$102,5)),RundDx)))</f>
        <v/>
      </c>
      <c r="DC65" s="25" t="str">
        <f>IF($CU65&gt;=RAM,"",IF($CU65-DC$103&lt;BeginnAlter,"",ROUND(v^($CU65+FaktorAlter)*$L65*$D65*0.5*(VLOOKUP($CU65-DC$103,Frauen!$G$9:$J$102,4)+VLOOKUP($CU65-DC$103+1,Frauen!$G$9:$J$102,4))*0.5*(VLOOKUP($CU65-DC$103,Frauen!$AZ$9:$BD$102,5)+VLOOKUP($CU65-DC$103+1,Frauen!$AZ$9:$BD$102,5)),RundDx)))</f>
        <v/>
      </c>
      <c r="DD65" s="25" t="str">
        <f>IF($CU65&gt;=RAM,"",IF($CU65-DD$103&lt;BeginnAlter,"",ROUND(v^($CU65+FaktorAlter)*$L65*$D65*0.5*(VLOOKUP($CU65-DD$103,Frauen!$G$9:$J$102,4)+VLOOKUP($CU65-DD$103+1,Frauen!$G$9:$J$102,4))*0.5*(VLOOKUP($CU65-DD$103,Frauen!$AZ$9:$BD$102,5)+VLOOKUP($CU65-DD$103+1,Frauen!$AZ$9:$BD$102,5)),RundDx)))</f>
        <v/>
      </c>
      <c r="DE65" s="25" t="str">
        <f>IF($CU65&gt;=RAM,"",IF($CU65-DE$103&lt;BeginnAlter,"",ROUND(v^($CU65+FaktorAlter)*$L65*$D65*0.5*(VLOOKUP($CU65-DE$103,Frauen!$G$9:$J$102,4)+VLOOKUP($CU65-DE$103+1,Frauen!$G$9:$J$102,4))*0.5*(VLOOKUP($CU65-DE$103,Frauen!$AZ$9:$BD$102,5)+VLOOKUP($CU65-DE$103+1,Frauen!$AZ$9:$BD$102,5)),RundDx)))</f>
        <v/>
      </c>
      <c r="DF65" s="25" t="str">
        <f>IF($CU65&gt;=RAM,"",IF($CU65-DF$103&lt;BeginnAlter,"",ROUND(v^($CU65+FaktorAlter)*$L65*$D65*0.5*(VLOOKUP($CU65-DF$103,Frauen!$G$9:$J$102,4)+VLOOKUP($CU65-DF$103+1,Frauen!$G$9:$J$102,4))*0.5*(VLOOKUP($CU65-DF$103,Frauen!$AZ$9:$BD$102,5)+VLOOKUP($CU65-DF$103+1,Frauen!$AZ$9:$BD$102,5)),RundDx)))</f>
        <v/>
      </c>
      <c r="DG65" s="25" t="str">
        <f>IF($CU65&gt;=RAM,"",IF($CU65-DG$103&lt;BeginnAlter,"",ROUND(v^($CU65+FaktorAlter)*$L65*$D65*0.5*(VLOOKUP($CU65-DG$103,Frauen!$G$9:$J$102,4)+VLOOKUP($CU65-DG$103+1,Frauen!$G$9:$J$102,4))*0.5*(VLOOKUP($CU65-DG$103,Frauen!$AZ$9:$BD$102,5)+VLOOKUP($CU65-DG$103+1,Frauen!$AZ$9:$BD$102,5)),RundDx)))</f>
        <v/>
      </c>
      <c r="DH65" s="25" t="str">
        <f>IF($CU65&gt;=RAM,"",IF($CU65-DH$103&lt;BeginnAlter,"",ROUND(v^($CU65+FaktorAlter)*$L65*$D65*0.5*(VLOOKUP($CU65-DH$103,Frauen!$G$9:$J$102,4)+VLOOKUP($CU65-DH$103+1,Frauen!$G$9:$J$102,4))*0.5*(VLOOKUP($CU65-DH$103,Frauen!$AZ$9:$BD$102,5)+VLOOKUP($CU65-DH$103+1,Frauen!$AZ$9:$BD$102,5)),RundDx)))</f>
        <v/>
      </c>
      <c r="DI65" s="25" t="str">
        <f>IF($CU65&gt;=RAM,"",IF($CU65-DI$103&lt;BeginnAlter,"",ROUND(v^($CU65+FaktorAlter)*$L65*$D65*0.5*(VLOOKUP($CU65-DI$103,Frauen!$G$9:$J$102,4)+VLOOKUP($CU65-DI$103+1,Frauen!$G$9:$J$102,4))*0.5*(VLOOKUP($CU65-DI$103,Frauen!$AZ$9:$BD$102,5)+VLOOKUP($CU65-DI$103+1,Frauen!$AZ$9:$BD$102,5)),RundDx)))</f>
        <v/>
      </c>
      <c r="DJ65" s="25" t="str">
        <f>IF($CU65&gt;=RAM,"",IF($CU65-DJ$103&lt;BeginnAlter,"",ROUND(v^($CU65+FaktorAlter)*$L65*$D65*0.5*(VLOOKUP($CU65-DJ$103,Frauen!$G$9:$J$102,4)+VLOOKUP($CU65-DJ$103+1,Frauen!$G$9:$J$102,4))*0.5*(VLOOKUP($CU65-DJ$103,Frauen!$AZ$9:$BD$102,5)+VLOOKUP($CU65-DJ$103+1,Frauen!$AZ$9:$BD$102,5)),RundDx)))</f>
        <v/>
      </c>
      <c r="DK65" s="25" t="str">
        <f>IF($CU65&gt;=RAM,"",IF($CU65-DK$103&lt;BeginnAlter,"",ROUND(v^($CU65+FaktorAlter)*$L65*$D65*0.5*(VLOOKUP($CU65-DK$103,Frauen!$G$9:$J$102,4)+VLOOKUP($CU65-DK$103+1,Frauen!$G$9:$J$102,4))*0.5*(VLOOKUP($CU65-DK$103,Frauen!$AZ$9:$BD$102,5)+VLOOKUP($CU65-DK$103+1,Frauen!$AZ$9:$BD$102,5)),RundDx)))</f>
        <v/>
      </c>
      <c r="DL65" s="25" t="str">
        <f>IF($CU65&gt;=RAM,"",IF($CU65-DL$103&lt;BeginnAlter,"",ROUND(v^($CU65+FaktorAlter)*$L65*$D65*0.5*(VLOOKUP($CU65-DL$103,Frauen!$G$9:$J$102,4)+VLOOKUP($CU65-DL$103+1,Frauen!$G$9:$J$102,4))*0.5*(VLOOKUP($CU65-DL$103,Frauen!$AZ$9:$BD$102,5)+VLOOKUP($CU65-DL$103+1,Frauen!$AZ$9:$BD$102,5)),RundDx)))</f>
        <v/>
      </c>
      <c r="DM65" s="25" t="str">
        <f>IF($CU65&gt;=RAM,"",IF($CU65-DM$103&lt;BeginnAlter,"",ROUND(v^($CU65+FaktorAlter)*$L65*$D65*0.5*(VLOOKUP($CU65-DM$103,Frauen!$G$9:$J$102,4)+VLOOKUP($CU65-DM$103+1,Frauen!$G$9:$J$102,4))*0.5*(VLOOKUP($CU65-DM$103,Frauen!$AZ$9:$BD$102,5)+VLOOKUP($CU65-DM$103+1,Frauen!$AZ$9:$BD$102,5)),RundDx)))</f>
        <v/>
      </c>
      <c r="DN65" s="25" t="str">
        <f>IF($CU65&gt;=RAM,"",IF($CU65-DN$103&lt;BeginnAlter,"",ROUND(v^($CU65+FaktorAlter)*$L65*$D65*0.5*(VLOOKUP($CU65-DN$103,Frauen!$G$9:$J$102,4)+VLOOKUP($CU65-DN$103+1,Frauen!$G$9:$J$102,4))*0.5*(VLOOKUP($CU65-DN$103,Frauen!$AZ$9:$BD$102,5)+VLOOKUP($CU65-DN$103+1,Frauen!$AZ$9:$BD$102,5)),RundDx)))</f>
        <v/>
      </c>
      <c r="DO65" s="25" t="str">
        <f>IF($CU65&gt;=RAM,"",IF($CU65-DO$103&lt;BeginnAlter,"",ROUND(v^($CU65+FaktorAlter)*$L65*$D65*0.5*(VLOOKUP($CU65-DO$103,Frauen!$G$9:$J$102,4)+VLOOKUP($CU65-DO$103+1,Frauen!$G$9:$J$102,4))*0.5*(VLOOKUP($CU65-DO$103,Frauen!$AZ$9:$BD$102,5)+VLOOKUP($CU65-DO$103+1,Frauen!$AZ$9:$BD$102,5)),RundDx)))</f>
        <v/>
      </c>
      <c r="DP65" s="25" t="str">
        <f>IF($CU65&gt;=RAM,"",IF($CU65-DP$103&lt;BeginnAlter,"",ROUND(v^($CU65+FaktorAlter)*$L65*$D65*0.5*(VLOOKUP($CU65-DP$103,Frauen!$G$9:$J$102,4)+VLOOKUP($CU65-DP$103+1,Frauen!$G$9:$J$102,4))*0.5*(VLOOKUP($CU65-DP$103,Frauen!$AZ$9:$BD$102,5)+VLOOKUP($CU65-DP$103+1,Frauen!$AZ$9:$BD$102,5)),RundDx)))</f>
        <v/>
      </c>
      <c r="DQ65" s="25" t="str">
        <f>IF($CU65&gt;=RAM,"",IF($CU65-DQ$103&lt;BeginnAlter,"",ROUND(v^($CU65+FaktorAlter)*$L65*$D65*0.5*(VLOOKUP($CU65-DQ$103,Frauen!$G$9:$J$102,4)+VLOOKUP($CU65-DQ$103+1,Frauen!$G$9:$J$102,4))*0.5*(VLOOKUP($CU65-DQ$103,Frauen!$AZ$9:$BD$102,5)+VLOOKUP($CU65-DQ$103+1,Frauen!$AZ$9:$BD$102,5)),RundDx)))</f>
        <v/>
      </c>
      <c r="DR65" s="25" t="str">
        <f>IF($CU65&gt;=RAM,"",IF($CU65-DR$103&lt;BeginnAlter,"",ROUND(v^($CU65+FaktorAlter)*$L65*$D65*0.5*(VLOOKUP($CU65-DR$103,Frauen!$G$9:$J$102,4)+VLOOKUP($CU65-DR$103+1,Frauen!$G$9:$J$102,4))*0.5*(VLOOKUP($CU65-DR$103,Frauen!$AZ$9:$BD$102,5)+VLOOKUP($CU65-DR$103+1,Frauen!$AZ$9:$BD$102,5)),RundDx)))</f>
        <v/>
      </c>
      <c r="DS65" s="25" t="str">
        <f>IF($CU65&gt;=RAM,"",IF($CU65-DS$103&lt;BeginnAlter,"",ROUND(v^($CU65+FaktorAlter)*$L65*$D65*0.5*(VLOOKUP($CU65-DS$103,Frauen!$G$9:$J$102,4)+VLOOKUP($CU65-DS$103+1,Frauen!$G$9:$J$102,4))*0.5*(VLOOKUP($CU65-DS$103,Frauen!$AZ$9:$BD$102,5)+VLOOKUP($CU65-DS$103+1,Frauen!$AZ$9:$BD$102,5)),RundDx)))</f>
        <v/>
      </c>
      <c r="DT65" s="25" t="str">
        <f>IF($CU65&gt;=RAM,"",IF($CU65-DT$103&lt;BeginnAlter,"",ROUND(v^($CU65+FaktorAlter)*$L65*$D65*0.5*(VLOOKUP($CU65-DT$103,Frauen!$G$9:$J$102,4)+VLOOKUP($CU65-DT$103+1,Frauen!$G$9:$J$102,4))*0.5*(VLOOKUP($CU65-DT$103,Frauen!$AZ$9:$BD$102,5)+VLOOKUP($CU65-DT$103+1,Frauen!$AZ$9:$BD$102,5)),RundDx)))</f>
        <v/>
      </c>
      <c r="DU65" s="25" t="str">
        <f>IF($CU65&gt;=RAM,"",IF($CU65-DU$103&lt;BeginnAlter,"",ROUND(v^($CU65+FaktorAlter)*$L65*$D65*0.5*(VLOOKUP($CU65-DU$103,Frauen!$G$9:$J$102,4)+VLOOKUP($CU65-DU$103+1,Frauen!$G$9:$J$102,4))*0.5*(VLOOKUP($CU65-DU$103,Frauen!$AZ$9:$BD$102,5)+VLOOKUP($CU65-DU$103+1,Frauen!$AZ$9:$BD$102,5)),RundDx)))</f>
        <v/>
      </c>
      <c r="DV65" s="25" t="str">
        <f>IF($CU65&gt;=RAM,"",IF($CU65-DV$103&lt;BeginnAlter,"",ROUND(v^($CU65+FaktorAlter)*$L65*$D65*0.5*(VLOOKUP($CU65-DV$103,Frauen!$G$9:$J$102,4)+VLOOKUP($CU65-DV$103+1,Frauen!$G$9:$J$102,4))*0.5*(VLOOKUP($CU65-DV$103,Frauen!$AZ$9:$BD$102,5)+VLOOKUP($CU65-DV$103+1,Frauen!$AZ$9:$BD$102,5)),RundDx)))</f>
        <v/>
      </c>
      <c r="DW65" s="25" t="str">
        <f>IF($CU65&gt;=RAM,"",IF($CU65-DW$103&lt;BeginnAlter,"",ROUND(v^($CU65+FaktorAlter)*$L65*$D65*0.5*(VLOOKUP($CU65-DW$103,Frauen!$G$9:$J$102,4)+VLOOKUP($CU65-DW$103+1,Frauen!$G$9:$J$102,4))*0.5*(VLOOKUP($CU65-DW$103,Frauen!$AZ$9:$BD$102,5)+VLOOKUP($CU65-DW$103+1,Frauen!$AZ$9:$BD$102,5)),RundDx)))</f>
        <v/>
      </c>
      <c r="DX65" s="25" t="str">
        <f>IF($CU65&gt;=RAM,"",IF($CU65-DX$103&lt;BeginnAlter,"",ROUND(v^($CU65+FaktorAlter)*$L65*$D65*0.5*(VLOOKUP($CU65-DX$103,Frauen!$G$9:$J$102,4)+VLOOKUP($CU65-DX$103+1,Frauen!$G$9:$J$102,4))*0.5*(VLOOKUP($CU65-DX$103,Frauen!$AZ$9:$BD$102,5)+VLOOKUP($CU65-DX$103+1,Frauen!$AZ$9:$BD$102,5)),RundDx)))</f>
        <v/>
      </c>
      <c r="DY65" s="25" t="str">
        <f>IF($CU65&gt;=RAM,"",IF($CU65-DY$103&lt;BeginnAlter,"",ROUND(v^($CU65+FaktorAlter)*$L65*$D65*0.5*(VLOOKUP($CU65-DY$103,Frauen!$G$9:$J$102,4)+VLOOKUP($CU65-DY$103+1,Frauen!$G$9:$J$102,4))*0.5*(VLOOKUP($CU65-DY$103,Frauen!$AZ$9:$BD$102,5)+VLOOKUP($CU65-DY$103+1,Frauen!$AZ$9:$BD$102,5)),RundDx)))</f>
        <v/>
      </c>
      <c r="DZ65" s="25" t="str">
        <f>IF($CU65&gt;=RAM,"",IF($CU65-DZ$103&lt;BeginnAlter,"",ROUND(v^($CU65+FaktorAlter)*$L65*$D65*0.5*(VLOOKUP($CU65-DZ$103,Frauen!$G$9:$J$102,4)+VLOOKUP($CU65-DZ$103+1,Frauen!$G$9:$J$102,4))*0.5*(VLOOKUP($CU65-DZ$103,Frauen!$AZ$9:$BD$102,5)+VLOOKUP($CU65-DZ$103+1,Frauen!$AZ$9:$BD$102,5)),RundDx)))</f>
        <v/>
      </c>
      <c r="EA65" s="43" t="str">
        <f>IF($CU65&gt;=RAM,"",IF($CU65-EA$103&lt;BeginnAlter,"",ROUND((SUM(CV$56:CV65)+SUM(FN$9:FN$56))/VLOOKUP($CU65,$AH$9:$AI$102,2)/VLOOKUP($CU65-EA$103,Frauen!$G$9:$J$102,4),Rundäx)))</f>
        <v/>
      </c>
      <c r="EB65" s="43" t="str">
        <f>IF($CU65&gt;=RAM,"",IF($CU65-EB$103&lt;BeginnAlter,"",ROUND((SUM(CW$56:CW65)+SUM(FO$9:FO$56))/VLOOKUP($CU65,$AH$9:$AI$102,2)/VLOOKUP($CU65-EB$103,Frauen!$G$9:$J$102,4),Rundäx)))</f>
        <v/>
      </c>
      <c r="EC65" s="43" t="str">
        <f>IF($CU65&gt;=RAM,"",IF($CU65-EC$103&lt;BeginnAlter,"",ROUND((SUM(CX$56:CX65)+SUM(FP$9:FP$56))/VLOOKUP($CU65,$AH$9:$AI$102,2)/VLOOKUP($CU65-EC$103,Frauen!$G$9:$J$102,4),Rundäx)))</f>
        <v/>
      </c>
      <c r="ED65" s="43" t="str">
        <f>IF($CU65&gt;=RAM,"",IF($CU65-ED$103&lt;BeginnAlter,"",ROUND((SUM(CY$56:CY65)+SUM(FQ$9:FQ$56))/VLOOKUP($CU65,$AH$9:$AI$102,2)/VLOOKUP($CU65-ED$103,Frauen!$G$9:$J$102,4),Rundäx)))</f>
        <v/>
      </c>
      <c r="EE65" s="43" t="str">
        <f>IF($CU65&gt;=RAM,"",IF($CU65-EE$103&lt;BeginnAlter,"",ROUND((SUM(CZ$56:CZ65)+SUM(FR$9:FR$56))/VLOOKUP($CU65,$AH$9:$AI$102,2)/VLOOKUP($CU65-EE$103,Frauen!$G$9:$J$102,4),Rundäx)))</f>
        <v/>
      </c>
      <c r="EF65" s="43" t="str">
        <f>IF($CU65&gt;=RAM,"",IF($CU65-EF$103&lt;BeginnAlter,"",ROUND((SUM(DA$56:DA65)+SUM(FS$9:FS$56))/VLOOKUP($CU65,$AH$9:$AI$102,2)/VLOOKUP($CU65-EF$103,Frauen!$G$9:$J$102,4),Rundäx)))</f>
        <v/>
      </c>
      <c r="EG65" s="43" t="str">
        <f>IF($CU65&gt;=RAM,"",IF($CU65-EG$103&lt;BeginnAlter,"",ROUND((SUM(DB$56:DB65)+SUM(FT$9:FT$56))/VLOOKUP($CU65,$AH$9:$AI$102,2)/VLOOKUP($CU65-EG$103,Frauen!$G$9:$J$102,4),Rundäx)))</f>
        <v/>
      </c>
      <c r="EH65" s="43" t="str">
        <f>IF($CU65&gt;=RAM,"",IF($CU65-EH$103&lt;BeginnAlter,"",ROUND((SUM(DC$56:DC65)+SUM(FU$9:FU$56))/VLOOKUP($CU65,$AH$9:$AI$102,2)/VLOOKUP($CU65-EH$103,Frauen!$G$9:$J$102,4),Rundäx)))</f>
        <v/>
      </c>
      <c r="EI65" s="86"/>
      <c r="EJ65" s="35">
        <f t="shared" si="60"/>
        <v>73</v>
      </c>
      <c r="EK65" s="43" t="str">
        <f>IF($CU65&gt;=RAM,"",IF($CU65-EK$103&lt;BeginnAlter,"",ROUND((SUM(DD$56:DD65)+SUM(FV$9:FV$56))/VLOOKUP($CU65,$AH$9:$AI$102,2)/VLOOKUP($CU65-EK$103,Frauen!$G$9:$J$102,4),Rundäx)))</f>
        <v/>
      </c>
      <c r="EL65" s="43" t="str">
        <f>IF($CU65&gt;=RAM,"",IF($CU65-EL$103&lt;BeginnAlter,"",ROUND((SUM(DE$56:DE65)+SUM(FW$9:FW$56))/VLOOKUP($CU65,$AH$9:$AI$102,2)/VLOOKUP($CU65-EL$103,Frauen!$G$9:$J$102,4),Rundäx)))</f>
        <v/>
      </c>
      <c r="EM65" s="43" t="str">
        <f>IF($CU65&gt;=RAM,"",IF($CU65-EM$103&lt;BeginnAlter,"",ROUND((SUM(DF$56:DF65)+SUM(FX$9:FX$56))/VLOOKUP($CU65,$AH$9:$AI$102,2)/VLOOKUP($CU65-EM$103,Frauen!$G$9:$J$102,4),Rundäx)))</f>
        <v/>
      </c>
      <c r="EN65" s="43" t="str">
        <f>IF($CU65&gt;=RAM,"",IF($CU65-EN$103&lt;BeginnAlter,"",ROUND((SUM(DG$56:DG65)+SUM(FY$9:FY$56))/VLOOKUP($CU65,$AH$9:$AI$102,2)/VLOOKUP($CU65-EN$103,Frauen!$G$9:$J$102,4),Rundäx)))</f>
        <v/>
      </c>
      <c r="EO65" s="43" t="str">
        <f>IF($CU65&gt;=RAM,"",IF($CU65-EO$103&lt;BeginnAlter,"",ROUND((SUM(DH$56:DH65)+SUM(FZ$9:FZ$56))/VLOOKUP($CU65,$AH$9:$AI$102,2)/VLOOKUP($CU65-EO$103,Frauen!$G$9:$J$102,4),Rundäx)))</f>
        <v/>
      </c>
      <c r="EP65" s="43" t="str">
        <f>IF($CU65&gt;=RAM,"",IF($CU65-EP$103&lt;BeginnAlter,"",ROUND((SUM(DI$56:DI65)+SUM(GA$9:GA$56))/VLOOKUP($CU65,$AH$9:$AI$102,2)/VLOOKUP($CU65-EP$103,Frauen!$G$9:$J$102,4),Rundäx)))</f>
        <v/>
      </c>
      <c r="EQ65" s="43" t="str">
        <f>IF($CU65&gt;=RAM,"",IF($CU65-EQ$103&lt;BeginnAlter,"",ROUND((SUM(DJ$56:DJ65)+SUM(GB$9:GB$56))/VLOOKUP($CU65,$AH$9:$AI$102,2)/VLOOKUP($CU65-EQ$103,Frauen!$G$9:$J$102,4),Rundäx)))</f>
        <v/>
      </c>
      <c r="ER65" s="43" t="str">
        <f>IF($CU65&gt;=RAM,"",IF($CU65-ER$103&lt;BeginnAlter,"",ROUND((SUM(DK$56:DK65)+SUM(GC$9:GC$56))/VLOOKUP($CU65,$AH$9:$AI$102,2)/VLOOKUP($CU65-ER$103,Frauen!$G$9:$J$102,4),Rundäx)))</f>
        <v/>
      </c>
      <c r="ES65" s="86"/>
      <c r="ET65" s="35">
        <f t="shared" si="61"/>
        <v>73</v>
      </c>
      <c r="EU65" s="43" t="str">
        <f>IF($CU65&gt;=RAM,"",IF($CU65-EU$103&lt;BeginnAlter,"",ROUND((SUM(DL$56:DL65)+SUM(GD$9:GD$56))/VLOOKUP($CU65,$AH$9:$AI$102,2)/VLOOKUP($CU65-EU$103,Frauen!$G$9:$J$102,4),Rundäx)))</f>
        <v/>
      </c>
      <c r="EV65" s="43" t="str">
        <f>IF($CU65&gt;=RAM,"",IF($CU65-EV$103&lt;BeginnAlter,"",ROUND((SUM(DM$56:DM65)+SUM(GE$9:GE$56))/VLOOKUP($CU65,$AH$9:$AI$102,2)/VLOOKUP($CU65-EV$103,Frauen!$G$9:$J$102,4),Rundäx)))</f>
        <v/>
      </c>
      <c r="EW65" s="43" t="str">
        <f>IF($CU65&gt;=RAM,"",IF($CU65-EW$103&lt;BeginnAlter,"",ROUND((SUM(DN$56:DN65)+SUM(GF$9:GF$56))/VLOOKUP($CU65,$AH$9:$AI$102,2)/VLOOKUP($CU65-EW$103,Frauen!$G$9:$J$102,4),Rundäx)))</f>
        <v/>
      </c>
      <c r="EX65" s="43" t="str">
        <f>IF($CU65&gt;=RAM,"",IF($CU65-EX$103&lt;BeginnAlter,"",ROUND((SUM(DO$56:DO65)+SUM(GG$9:GG$56))/VLOOKUP($CU65,$AH$9:$AI$102,2)/VLOOKUP($CU65-EX$103,Frauen!$G$9:$J$102,4),Rundäx)))</f>
        <v/>
      </c>
      <c r="EY65" s="43" t="str">
        <f>IF($CU65&gt;=RAM,"",IF($CU65-EY$103&lt;BeginnAlter,"",ROUND((SUM(DP$56:DP65)+SUM(GH$9:GH$56))/VLOOKUP($CU65,$AH$9:$AI$102,2)/VLOOKUP($CU65-EY$103,Frauen!$G$9:$J$102,4),Rundäx)))</f>
        <v/>
      </c>
      <c r="EZ65" s="43" t="str">
        <f>IF($CU65&gt;=RAM,"",IF($CU65-EZ$103&lt;BeginnAlter,"",ROUND((SUM(DQ$56:DQ65)+SUM(GI$9:GI$56))/VLOOKUP($CU65,$AH$9:$AI$102,2)/VLOOKUP($CU65-EZ$103,Frauen!$G$9:$J$102,4),Rundäx)))</f>
        <v/>
      </c>
      <c r="FA65" s="43" t="str">
        <f>IF($CU65&gt;=RAM,"",IF($CU65-FA$103&lt;BeginnAlter,"",ROUND((SUM(DR$56:DR65)+SUM(GJ$9:GJ$56))/VLOOKUP($CU65,$AH$9:$AI$102,2)/VLOOKUP($CU65-FA$103,Frauen!$G$9:$J$102,4),Rundäx)))</f>
        <v/>
      </c>
      <c r="FB65" s="43" t="str">
        <f>IF($CU65&gt;=RAM,"",IF($CU65-FB$103&lt;BeginnAlter,"",ROUND((SUM(DS$56:DS65)+SUM(GK$9:GK$56))/VLOOKUP($CU65,$AH$9:$AI$102,2)/VLOOKUP($CU65-FB$103,Frauen!$G$9:$J$102,4),Rundäx)))</f>
        <v/>
      </c>
      <c r="FC65" s="86"/>
      <c r="FD65" s="35">
        <f t="shared" si="62"/>
        <v>73</v>
      </c>
      <c r="FE65" s="43" t="str">
        <f>IF($CU65&gt;=RAM,"",IF($CU65-FE$103&lt;BeginnAlter,"",ROUND((SUM(DT$56:DT65)+SUM(GL$9:GL$56))/VLOOKUP($CU65,$AH$9:$AI$102,2)/VLOOKUP($CU65-FE$103,Frauen!$G$9:$J$102,4),Rundäx)))</f>
        <v/>
      </c>
      <c r="FF65" s="43" t="str">
        <f>IF($CU65&gt;=RAM,"",IF($CU65-FF$103&lt;BeginnAlter,"",ROUND((SUM(DU$56:DU65)+SUM(GM$9:GM$56))/VLOOKUP($CU65,$AH$9:$AI$102,2)/VLOOKUP($CU65-FF$103,Frauen!$G$9:$J$102,4),Rundäx)))</f>
        <v/>
      </c>
      <c r="FG65" s="43" t="str">
        <f>IF($CU65&gt;=RAM,"",IF($CU65-FG$103&lt;BeginnAlter,"",ROUND((SUM(DV$56:DV65)+SUM(GN$9:GN$56))/VLOOKUP($CU65,$AH$9:$AI$102,2)/VLOOKUP($CU65-FG$103,Frauen!$G$9:$J$102,4),Rundäx)))</f>
        <v/>
      </c>
      <c r="FH65" s="43" t="str">
        <f>IF($CU65&gt;=RAM,"",IF($CU65-FH$103&lt;BeginnAlter,"",ROUND((SUM(DW$56:DW65)+SUM(GO$9:GO$56))/VLOOKUP($CU65,$AH$9:$AI$102,2)/VLOOKUP($CU65-FH$103,Frauen!$G$9:$J$102,4),Rundäx)))</f>
        <v/>
      </c>
      <c r="FI65" s="43" t="str">
        <f>IF($CU65&gt;=RAM,"",IF($CU65-FI$103&lt;BeginnAlter,"",ROUND((SUM(DX$56:DX65)+SUM(GP$9:GP$56))/VLOOKUP($CU65,$AH$9:$AI$102,2)/VLOOKUP($CU65-FI$103,Frauen!$G$9:$J$102,4),Rundäx)))</f>
        <v/>
      </c>
      <c r="FJ65" s="43" t="str">
        <f>IF($CU65&gt;=RAM,"",IF($CU65-FJ$103&lt;BeginnAlter,"",ROUND((SUM(DY$56:DY65)+SUM(GQ$9:GQ$56))/VLOOKUP($CU65,$AH$9:$AI$102,2)/VLOOKUP($CU65-FJ$103,Frauen!$G$9:$J$102,4),Rundäx)))</f>
        <v/>
      </c>
      <c r="FK65" s="43" t="str">
        <f>IF($CU65&gt;=RAM,"",IF($CU65-FK$103&lt;BeginnAlter,"",ROUND((SUM(DZ$56:DZ65)+SUM(GR$9:GR$56))/VLOOKUP($CU65,$AH$9:$AI$102,2)/VLOOKUP($CU65-FK$103,Frauen!$G$9:$J$102,4),Rundäx)))</f>
        <v/>
      </c>
      <c r="FL65" s="86"/>
      <c r="FM65" s="35">
        <f t="shared" si="68"/>
        <v>121</v>
      </c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4"/>
      <c r="GT65" s="24"/>
      <c r="GU65" s="24" t="str">
        <f>IF(FM65&gt;=RAM," ",#REF!/$AI65/Frauen!$J53)</f>
        <v xml:space="preserve"> </v>
      </c>
      <c r="GV65" s="24" t="str">
        <f>IF(FM65&gt;=RAM," ",#REF!/$AI65/Frauen!$J56)</f>
        <v xml:space="preserve"> </v>
      </c>
      <c r="GW65" s="24" t="str">
        <f>IF(FM65&gt;=RAM," ",#REF!/$AI65/Frauen!$J59)</f>
        <v xml:space="preserve"> </v>
      </c>
      <c r="GX65" s="24" t="str">
        <f>IF(FM65&gt;=RAM," ",#REF!/$AI65/Frauen!$J62)</f>
        <v xml:space="preserve"> </v>
      </c>
      <c r="GY65" s="24" t="str">
        <f>IF(FM65&gt;=RAM," ",#REF!/$AI65/Frauen!$J65)</f>
        <v xml:space="preserve"> </v>
      </c>
      <c r="GZ65" s="24" t="str">
        <f>IF(FM65&gt;=RAM," ",#REF!/$AI65/Frauen!$J68)</f>
        <v xml:space="preserve"> </v>
      </c>
      <c r="HA65" s="86"/>
      <c r="HB65" s="35">
        <f t="shared" si="63"/>
        <v>121</v>
      </c>
      <c r="HC65" s="24"/>
      <c r="HD65" s="24"/>
      <c r="HE65" s="24"/>
      <c r="HF65" s="24"/>
      <c r="HG65" s="24"/>
      <c r="HH65" s="24"/>
      <c r="HI65" s="24"/>
      <c r="HJ65" s="24"/>
      <c r="HK65" s="86"/>
      <c r="HL65" s="35">
        <f t="shared" si="64"/>
        <v>121</v>
      </c>
      <c r="HM65" s="24"/>
      <c r="HN65" s="24"/>
      <c r="HO65" s="24"/>
      <c r="HP65" s="24"/>
      <c r="HQ65" s="24"/>
      <c r="HR65" s="24"/>
      <c r="HS65" s="24"/>
      <c r="HT65" s="24"/>
      <c r="HU65" s="86"/>
      <c r="HV65" s="35">
        <f t="shared" si="65"/>
        <v>121</v>
      </c>
      <c r="HW65" s="24"/>
      <c r="HX65" s="24"/>
      <c r="HY65" s="24"/>
      <c r="HZ65" s="24"/>
      <c r="IA65" s="24"/>
      <c r="IB65" s="24"/>
      <c r="IC65" s="24"/>
      <c r="ID65" s="89"/>
      <c r="IE65" s="35">
        <f t="shared" si="81"/>
        <v>73</v>
      </c>
      <c r="IF65" s="25" t="str">
        <f t="shared" si="31"/>
        <v/>
      </c>
      <c r="IG65" s="25" t="str">
        <f>IF($IE65&lt;RAM,IF(S66&lt;=RAK,ROUND(SUM(IF65:INDEX(Dakx,RAM-BeginnAlter))+INDEX(Dax,RAM-BeginnAlter+1)*INDEX(äkx,1),RundDx),0),"")</f>
        <v/>
      </c>
      <c r="IH65" s="25" t="str">
        <f>IF($IE65&lt;RAM,IF(S66&lt;=RAK,ROUND(SUM(IG65:INDEX(Nakx,RAM-BeginnAlter))+INDEX(Dax,RAM-BeginnAlter+1)*INDEX(äkx,1),RundDx),0),"")</f>
        <v/>
      </c>
      <c r="II65" s="24" t="str">
        <f t="shared" si="32"/>
        <v/>
      </c>
      <c r="IJ65" s="25" t="str">
        <f t="shared" si="33"/>
        <v/>
      </c>
      <c r="IK65" s="25" t="str">
        <f>IF($IE65&lt;RAM,IF(S66&lt;=RAK,SUM(IJ65:INDEX(Dikx,RAM-BeginnAlter))+INDEX(Dix,RAM-BeginnAlter+1)*INDEX(äkx,1),0),"")</f>
        <v/>
      </c>
      <c r="IL65" s="24" t="str">
        <f t="shared" si="34"/>
        <v/>
      </c>
      <c r="IM65" s="86"/>
      <c r="IN65" s="35">
        <f t="shared" si="67"/>
        <v>121</v>
      </c>
      <c r="IO65" s="25"/>
      <c r="IP65" s="25"/>
      <c r="IQ65" s="24"/>
      <c r="IR65" s="86"/>
    </row>
    <row r="66" spans="1:252" ht="15.75" customHeight="1" x14ac:dyDescent="0.25">
      <c r="A66" s="35">
        <f t="shared" si="69"/>
        <v>74</v>
      </c>
      <c r="B66" s="77"/>
      <c r="C66" s="77"/>
      <c r="D66" s="77"/>
      <c r="E66" s="77">
        <v>3.4189001902074072E-2</v>
      </c>
      <c r="F66" s="86"/>
      <c r="G66" s="35">
        <f t="shared" si="70"/>
        <v>74</v>
      </c>
      <c r="H66" s="25" t="str">
        <f t="shared" si="37"/>
        <v/>
      </c>
      <c r="I66" s="25" t="str">
        <f t="shared" si="38"/>
        <v/>
      </c>
      <c r="J66" s="25">
        <f t="shared" si="39"/>
        <v>71156</v>
      </c>
      <c r="K66" s="30">
        <f>IF(J66&gt;0,ROUND(SUM(J66:J$102)/J66-0.5,Rundex),"")</f>
        <v>11.36</v>
      </c>
      <c r="L66" s="25">
        <f t="shared" si="0"/>
        <v>71156</v>
      </c>
      <c r="M66" s="30">
        <f>IF(L66&gt;0,ROUND(SUM(L66:L$102)/L66-0.5,Rundex),"")</f>
        <v>11.36</v>
      </c>
      <c r="N66" s="86"/>
      <c r="O66" s="35">
        <f t="shared" si="71"/>
        <v>74</v>
      </c>
      <c r="P66" s="43">
        <v>0.77173741612057212</v>
      </c>
      <c r="Q66" s="78">
        <v>69.348838158652683</v>
      </c>
      <c r="R66" s="43">
        <v>6.0000000000000001E-3</v>
      </c>
      <c r="S66" s="78">
        <v>21.672118369094015</v>
      </c>
      <c r="T66" s="15">
        <v>4.5504269294813299E-2</v>
      </c>
      <c r="U66" s="11">
        <f t="shared" si="40"/>
        <v>61069</v>
      </c>
      <c r="V66" s="30">
        <f>IF(U66&gt;0,ROUND(SUM(U66:U$102)/U66-0.5,Rundex),"")</f>
        <v>10.62</v>
      </c>
      <c r="W66" s="86"/>
      <c r="X66" s="35">
        <f t="shared" si="72"/>
        <v>74</v>
      </c>
      <c r="Y66" s="25" t="str">
        <f t="shared" si="1"/>
        <v xml:space="preserve"> </v>
      </c>
      <c r="Z66" s="25" t="str">
        <f>IF($X66&lt;RAM,SUM(Y66:INDEX(Dax,RAM-BeginnAlter))," ")</f>
        <v xml:space="preserve"> </v>
      </c>
      <c r="AA66" s="25" t="str">
        <f t="shared" si="2"/>
        <v xml:space="preserve"> </v>
      </c>
      <c r="AB66" s="25" t="str">
        <f>IF($X66&lt;RAM,SUM(AA66:INDEX(Cax,RAM-BeginnAlter))," ")</f>
        <v xml:space="preserve"> </v>
      </c>
      <c r="AC66" s="25" t="str">
        <f t="shared" si="3"/>
        <v xml:space="preserve"> </v>
      </c>
      <c r="AD66" s="25" t="str">
        <f>IF($X66&lt;RAM,SUM(AC66:INDEX(Caix,RAM-BeginnAlter))," ")</f>
        <v xml:space="preserve"> </v>
      </c>
      <c r="AE66" s="24" t="str">
        <f t="shared" si="4"/>
        <v xml:space="preserve"> </v>
      </c>
      <c r="AF66" s="24" t="str">
        <f t="shared" si="5"/>
        <v xml:space="preserve"> </v>
      </c>
      <c r="AG66" s="86"/>
      <c r="AH66" s="35">
        <f t="shared" si="73"/>
        <v>74</v>
      </c>
      <c r="AI66" s="25" t="str">
        <f t="shared" si="6"/>
        <v xml:space="preserve"> </v>
      </c>
      <c r="AJ66" s="25" t="str">
        <f>IF($AH66&gt;RAM," ",IF($AH66&lt;RAM,SUM(AI66:INDEX(Dix,RAM-BeginnAlter))+INDEX(Nx,RAM-BeginnAlter+1),INDEX(Nx,RAM-BeginnAlter+1)))</f>
        <v xml:space="preserve"> </v>
      </c>
      <c r="AK66" s="25" t="str">
        <f>IF($AH66&lt;RAM,SUM(AI66:INDEX(Dix,RAM-BeginnAlter))," ")</f>
        <v xml:space="preserve"> </v>
      </c>
      <c r="AL66" s="24" t="str">
        <f t="shared" si="7"/>
        <v xml:space="preserve"> </v>
      </c>
      <c r="AM66" s="24" t="str">
        <f t="shared" si="8"/>
        <v xml:space="preserve"> </v>
      </c>
      <c r="AN66" s="24" t="str">
        <f t="shared" si="9"/>
        <v xml:space="preserve"> </v>
      </c>
      <c r="AO66" s="24" t="str">
        <f t="shared" si="10"/>
        <v xml:space="preserve"> </v>
      </c>
      <c r="AP66" s="86"/>
      <c r="AQ66" s="35">
        <f t="shared" si="74"/>
        <v>74</v>
      </c>
      <c r="AR66" s="25">
        <f t="shared" si="11"/>
        <v>13713</v>
      </c>
      <c r="AS66" s="25">
        <f>SUM(AR66:AR$94)</f>
        <v>139919</v>
      </c>
      <c r="AT66" s="25" t="str">
        <f>IF($AQ66&lt;RAM,SUM(AR66:INDEX(Dx,RAM-BeginnAlter))," ")</f>
        <v xml:space="preserve"> </v>
      </c>
      <c r="AU66" s="24">
        <f t="shared" si="12"/>
        <v>10.202999999999999</v>
      </c>
      <c r="AV66" s="24">
        <f t="shared" si="13"/>
        <v>9.7449999999999992</v>
      </c>
      <c r="AW66" s="24" t="str">
        <f t="shared" si="14"/>
        <v xml:space="preserve"> </v>
      </c>
      <c r="AX66" s="24" t="str">
        <f t="shared" si="15"/>
        <v xml:space="preserve"> </v>
      </c>
      <c r="AY66" s="86"/>
      <c r="AZ66" s="35">
        <f t="shared" si="75"/>
        <v>74</v>
      </c>
      <c r="BA66" s="25">
        <f t="shared" si="16"/>
        <v>11769</v>
      </c>
      <c r="BB66" s="25">
        <f>SUM(BA66:BA$94)</f>
        <v>113076</v>
      </c>
      <c r="BC66" s="24">
        <f t="shared" si="17"/>
        <v>9.6080000000000005</v>
      </c>
      <c r="BD66" s="24">
        <f t="shared" si="18"/>
        <v>9.15</v>
      </c>
      <c r="BE66" s="86"/>
      <c r="BF66" s="35">
        <f t="shared" si="48"/>
        <v>57</v>
      </c>
      <c r="BG66" s="24" t="str">
        <f t="shared" si="19"/>
        <v/>
      </c>
      <c r="BH66" s="24" t="str">
        <f t="shared" si="20"/>
        <v/>
      </c>
      <c r="BI66" s="86"/>
      <c r="BJ66" s="35">
        <f t="shared" si="76"/>
        <v>74</v>
      </c>
      <c r="BK66" s="25" t="str">
        <f t="shared" si="21"/>
        <v xml:space="preserve"> </v>
      </c>
      <c r="BL66" s="25" t="str">
        <f>IF(BJ66&lt;RAM,SUM(BK66:INDEX(Daix,RAM-BeginnAlter))," ")</f>
        <v xml:space="preserve"> </v>
      </c>
      <c r="BM66" s="25" t="str">
        <f>IF(BJ66&lt;RAM,SUM(BL66:INDEX(Naix,RAM-BeginnAlter))," ")</f>
        <v xml:space="preserve"> </v>
      </c>
      <c r="BN66" s="24" t="str">
        <f t="shared" si="22"/>
        <v xml:space="preserve"> </v>
      </c>
      <c r="BO66" s="24" t="str">
        <f t="shared" si="23"/>
        <v xml:space="preserve"> </v>
      </c>
      <c r="BP66" s="86"/>
      <c r="BQ66" s="35">
        <f t="shared" si="77"/>
        <v>74</v>
      </c>
      <c r="BR66" s="25" t="str">
        <f t="shared" si="51"/>
        <v xml:space="preserve"> </v>
      </c>
      <c r="BS66" s="25" t="str">
        <f>IF(BQ66&lt;RAM,SUM(BR66:INDEX(Daixs,RAM-BeginnAlter))," ")</f>
        <v xml:space="preserve"> </v>
      </c>
      <c r="BT66" s="25" t="str">
        <f>IF(BQ66&lt;RAM,SUM(BS66:INDEX(Naixs,RAM-BeginnAlter))," ")</f>
        <v xml:space="preserve"> </v>
      </c>
      <c r="BU66" s="24" t="str">
        <f t="shared" si="52"/>
        <v xml:space="preserve"> </v>
      </c>
      <c r="BV66" s="24" t="str">
        <f t="shared" si="53"/>
        <v xml:space="preserve"> </v>
      </c>
      <c r="BW66" s="86"/>
      <c r="BX66" s="35">
        <f t="shared" si="78"/>
        <v>74</v>
      </c>
      <c r="BY66" s="10" t="str">
        <f t="shared" si="24"/>
        <v/>
      </c>
      <c r="BZ66" s="11" t="str">
        <f t="shared" si="25"/>
        <v/>
      </c>
      <c r="CA66" s="25" t="str">
        <f>IF(S67&lt;=RAK,IF($BX66&lt;RAM,SUM(BZ66:INDEX(Dazx,RAM-BeginnAlter)),""),"")</f>
        <v/>
      </c>
      <c r="CB66" s="24" t="str">
        <f t="shared" si="26"/>
        <v/>
      </c>
      <c r="CC66" s="25">
        <f t="shared" si="27"/>
        <v>11180</v>
      </c>
      <c r="CD66" s="24">
        <f t="shared" si="28"/>
        <v>8.2390000000000008</v>
      </c>
      <c r="CE66" s="24" t="str">
        <f t="shared" si="29"/>
        <v/>
      </c>
      <c r="CF66" s="86"/>
      <c r="CG66" s="35">
        <f t="shared" si="79"/>
        <v>74</v>
      </c>
      <c r="CH66" s="25" t="str">
        <f>IF(CG66&lt;RAM,ROUND(v^($CG66+FaktorAlter)*$H66*($B66*0.5*($P66+$P67)*(VLOOKUP(TRUNC(0.5*($Q66+$Q67),0),Frauen!$AZ$9:$BD$95,5)+(0.5*($Q66+$Q67)-TRUNC(0.5*($Q66+$Q67),0))*(VLOOKUP(TRUNC(0.5*($Q66+$Q67)+1,0),Frauen!$AZ$9:$BD$95,5)-VLOOKUP(TRUNC(0.5*($Q66+$Q67),0),Frauen!$AZ$9:$BD$95,5)))+$C66*0.5*($CN66+$CN67)),RundDx),"")</f>
        <v/>
      </c>
      <c r="CI66" s="25" t="str">
        <f>IF(CG66&lt;RAM,ROUND(SUM(CH66:INDEX(Dawx,RAM-BeginnAlter))+INDEX(Dax,RAM-BeginnAlter+1)*INDEX(äwx,1),RundDx),"")</f>
        <v/>
      </c>
      <c r="CJ66" s="25" t="str">
        <f>IF(CG66&lt;RAM,ROUND(SUM(CI66:INDEX(Nawx,RAM-BeginnAlter))+INDEX(Dax,RAM-BeginnAlter+1)*INDEX(äwx,1),RundDx),"")</f>
        <v/>
      </c>
      <c r="CK66" s="24" t="str">
        <f t="shared" si="56"/>
        <v/>
      </c>
      <c r="CL66" s="25" t="str">
        <f>IF(CG66&lt;RAM,ROUND(v^($CG66+FaktorAlter)*$L66*$D66*0.5*($P66+$P67)*(VLOOKUP(TRUNC(0.5*($Q66+$Q67),0),Frauen!$AZ$9:$BD$95,5)+(0.5*($Q66+$Q67)-TRUNC(0.5*($Q66+$Q67),0))*(VLOOKUP(TRUNC(0.5*($Q66+$Q67)+1,0),Frauen!$AZ$9:$BD$95,5)-VLOOKUP(TRUNC(0.5*($Q66+$Q67),0),Frauen!$AZ$9:$BD$95,5))),RundDx),"")</f>
        <v/>
      </c>
      <c r="CM66" s="25" t="str">
        <f>IF(CG66&lt;RAM,SUM(CL66:INDEX(Diwx,RAM-BeginnAlter))+INDEX(Dix,RAM-BeginnAlter+1)*INDEX(äwx,1),"")</f>
        <v/>
      </c>
      <c r="CN66" s="24" t="str">
        <f t="shared" si="57"/>
        <v/>
      </c>
      <c r="CO66" s="86"/>
      <c r="CP66" s="35">
        <f t="shared" si="58"/>
        <v>122</v>
      </c>
      <c r="CQ66" s="25"/>
      <c r="CR66" s="25"/>
      <c r="CS66" s="24"/>
      <c r="CT66" s="86"/>
      <c r="CU66" s="35">
        <f t="shared" si="80"/>
        <v>74</v>
      </c>
      <c r="CV66" s="25" t="str">
        <f>IF($CU66&gt;=RAM,"",IF($CU66-CV$103&lt;BeginnAlter,"",ROUND(v^($CU66+FaktorAlter)*$L66*$D66*0.5*(VLOOKUP($CU66-CV$103,Frauen!$G$9:$J$102,4)+VLOOKUP($CU66-CV$103+1,Frauen!$G$9:$J$102,4))*0.5*(VLOOKUP($CU66-CV$103,Frauen!$AZ$9:$BD$102,5)+VLOOKUP($CU66-CV$103+1,Frauen!$AZ$9:$BD$102,5)),RundDx)))</f>
        <v/>
      </c>
      <c r="CW66" s="25" t="str">
        <f>IF($CU66&gt;=RAM,"",IF($CU66-CW$103&lt;BeginnAlter,"",ROUND(v^($CU66+FaktorAlter)*$L66*$D66*0.5*(VLOOKUP($CU66-CW$103,Frauen!$G$9:$J$102,4)+VLOOKUP($CU66-CW$103+1,Frauen!$G$9:$J$102,4))*0.5*(VLOOKUP($CU66-CW$103,Frauen!$AZ$9:$BD$102,5)+VLOOKUP($CU66-CW$103+1,Frauen!$AZ$9:$BD$102,5)),RundDx)))</f>
        <v/>
      </c>
      <c r="CX66" s="25" t="str">
        <f>IF($CU66&gt;=RAM,"",IF($CU66-CX$103&lt;BeginnAlter,"",ROUND(v^($CU66+FaktorAlter)*$L66*$D66*0.5*(VLOOKUP($CU66-CX$103,Frauen!$G$9:$J$102,4)+VLOOKUP($CU66-CX$103+1,Frauen!$G$9:$J$102,4))*0.5*(VLOOKUP($CU66-CX$103,Frauen!$AZ$9:$BD$102,5)+VLOOKUP($CU66-CX$103+1,Frauen!$AZ$9:$BD$102,5)),RundDx)))</f>
        <v/>
      </c>
      <c r="CY66" s="25" t="str">
        <f>IF($CU66&gt;=RAM,"",IF($CU66-CY$103&lt;BeginnAlter,"",ROUND(v^($CU66+FaktorAlter)*$L66*$D66*0.5*(VLOOKUP($CU66-CY$103,Frauen!$G$9:$J$102,4)+VLOOKUP($CU66-CY$103+1,Frauen!$G$9:$J$102,4))*0.5*(VLOOKUP($CU66-CY$103,Frauen!$AZ$9:$BD$102,5)+VLOOKUP($CU66-CY$103+1,Frauen!$AZ$9:$BD$102,5)),RundDx)))</f>
        <v/>
      </c>
      <c r="CZ66" s="25" t="str">
        <f>IF($CU66&gt;=RAM,"",IF($CU66-CZ$103&lt;BeginnAlter,"",ROUND(v^($CU66+FaktorAlter)*$L66*$D66*0.5*(VLOOKUP($CU66-CZ$103,Frauen!$G$9:$J$102,4)+VLOOKUP($CU66-CZ$103+1,Frauen!$G$9:$J$102,4))*0.5*(VLOOKUP($CU66-CZ$103,Frauen!$AZ$9:$BD$102,5)+VLOOKUP($CU66-CZ$103+1,Frauen!$AZ$9:$BD$102,5)),RundDx)))</f>
        <v/>
      </c>
      <c r="DA66" s="25" t="str">
        <f>IF($CU66&gt;=RAM,"",IF($CU66-DA$103&lt;BeginnAlter,"",ROUND(v^($CU66+FaktorAlter)*$L66*$D66*0.5*(VLOOKUP($CU66-DA$103,Frauen!$G$9:$J$102,4)+VLOOKUP($CU66-DA$103+1,Frauen!$G$9:$J$102,4))*0.5*(VLOOKUP($CU66-DA$103,Frauen!$AZ$9:$BD$102,5)+VLOOKUP($CU66-DA$103+1,Frauen!$AZ$9:$BD$102,5)),RundDx)))</f>
        <v/>
      </c>
      <c r="DB66" s="25" t="str">
        <f>IF($CU66&gt;=RAM,"",IF($CU66-DB$103&lt;BeginnAlter,"",ROUND(v^($CU66+FaktorAlter)*$L66*$D66*0.5*(VLOOKUP($CU66-DB$103,Frauen!$G$9:$J$102,4)+VLOOKUP($CU66-DB$103+1,Frauen!$G$9:$J$102,4))*0.5*(VLOOKUP($CU66-DB$103,Frauen!$AZ$9:$BD$102,5)+VLOOKUP($CU66-DB$103+1,Frauen!$AZ$9:$BD$102,5)),RundDx)))</f>
        <v/>
      </c>
      <c r="DC66" s="25" t="str">
        <f>IF($CU66&gt;=RAM,"",IF($CU66-DC$103&lt;BeginnAlter,"",ROUND(v^($CU66+FaktorAlter)*$L66*$D66*0.5*(VLOOKUP($CU66-DC$103,Frauen!$G$9:$J$102,4)+VLOOKUP($CU66-DC$103+1,Frauen!$G$9:$J$102,4))*0.5*(VLOOKUP($CU66-DC$103,Frauen!$AZ$9:$BD$102,5)+VLOOKUP($CU66-DC$103+1,Frauen!$AZ$9:$BD$102,5)),RundDx)))</f>
        <v/>
      </c>
      <c r="DD66" s="25" t="str">
        <f>IF($CU66&gt;=RAM,"",IF($CU66-DD$103&lt;BeginnAlter,"",ROUND(v^($CU66+FaktorAlter)*$L66*$D66*0.5*(VLOOKUP($CU66-DD$103,Frauen!$G$9:$J$102,4)+VLOOKUP($CU66-DD$103+1,Frauen!$G$9:$J$102,4))*0.5*(VLOOKUP($CU66-DD$103,Frauen!$AZ$9:$BD$102,5)+VLOOKUP($CU66-DD$103+1,Frauen!$AZ$9:$BD$102,5)),RundDx)))</f>
        <v/>
      </c>
      <c r="DE66" s="25" t="str">
        <f>IF($CU66&gt;=RAM,"",IF($CU66-DE$103&lt;BeginnAlter,"",ROUND(v^($CU66+FaktorAlter)*$L66*$D66*0.5*(VLOOKUP($CU66-DE$103,Frauen!$G$9:$J$102,4)+VLOOKUP($CU66-DE$103+1,Frauen!$G$9:$J$102,4))*0.5*(VLOOKUP($CU66-DE$103,Frauen!$AZ$9:$BD$102,5)+VLOOKUP($CU66-DE$103+1,Frauen!$AZ$9:$BD$102,5)),RundDx)))</f>
        <v/>
      </c>
      <c r="DF66" s="25" t="str">
        <f>IF($CU66&gt;=RAM,"",IF($CU66-DF$103&lt;BeginnAlter,"",ROUND(v^($CU66+FaktorAlter)*$L66*$D66*0.5*(VLOOKUP($CU66-DF$103,Frauen!$G$9:$J$102,4)+VLOOKUP($CU66-DF$103+1,Frauen!$G$9:$J$102,4))*0.5*(VLOOKUP($CU66-DF$103,Frauen!$AZ$9:$BD$102,5)+VLOOKUP($CU66-DF$103+1,Frauen!$AZ$9:$BD$102,5)),RundDx)))</f>
        <v/>
      </c>
      <c r="DG66" s="25" t="str">
        <f>IF($CU66&gt;=RAM,"",IF($CU66-DG$103&lt;BeginnAlter,"",ROUND(v^($CU66+FaktorAlter)*$L66*$D66*0.5*(VLOOKUP($CU66-DG$103,Frauen!$G$9:$J$102,4)+VLOOKUP($CU66-DG$103+1,Frauen!$G$9:$J$102,4))*0.5*(VLOOKUP($CU66-DG$103,Frauen!$AZ$9:$BD$102,5)+VLOOKUP($CU66-DG$103+1,Frauen!$AZ$9:$BD$102,5)),RundDx)))</f>
        <v/>
      </c>
      <c r="DH66" s="25" t="str">
        <f>IF($CU66&gt;=RAM,"",IF($CU66-DH$103&lt;BeginnAlter,"",ROUND(v^($CU66+FaktorAlter)*$L66*$D66*0.5*(VLOOKUP($CU66-DH$103,Frauen!$G$9:$J$102,4)+VLOOKUP($CU66-DH$103+1,Frauen!$G$9:$J$102,4))*0.5*(VLOOKUP($CU66-DH$103,Frauen!$AZ$9:$BD$102,5)+VLOOKUP($CU66-DH$103+1,Frauen!$AZ$9:$BD$102,5)),RundDx)))</f>
        <v/>
      </c>
      <c r="DI66" s="25" t="str">
        <f>IF($CU66&gt;=RAM,"",IF($CU66-DI$103&lt;BeginnAlter,"",ROUND(v^($CU66+FaktorAlter)*$L66*$D66*0.5*(VLOOKUP($CU66-DI$103,Frauen!$G$9:$J$102,4)+VLOOKUP($CU66-DI$103+1,Frauen!$G$9:$J$102,4))*0.5*(VLOOKUP($CU66-DI$103,Frauen!$AZ$9:$BD$102,5)+VLOOKUP($CU66-DI$103+1,Frauen!$AZ$9:$BD$102,5)),RundDx)))</f>
        <v/>
      </c>
      <c r="DJ66" s="25" t="str">
        <f>IF($CU66&gt;=RAM,"",IF($CU66-DJ$103&lt;BeginnAlter,"",ROUND(v^($CU66+FaktorAlter)*$L66*$D66*0.5*(VLOOKUP($CU66-DJ$103,Frauen!$G$9:$J$102,4)+VLOOKUP($CU66-DJ$103+1,Frauen!$G$9:$J$102,4))*0.5*(VLOOKUP($CU66-DJ$103,Frauen!$AZ$9:$BD$102,5)+VLOOKUP($CU66-DJ$103+1,Frauen!$AZ$9:$BD$102,5)),RundDx)))</f>
        <v/>
      </c>
      <c r="DK66" s="25" t="str">
        <f>IF($CU66&gt;=RAM,"",IF($CU66-DK$103&lt;BeginnAlter,"",ROUND(v^($CU66+FaktorAlter)*$L66*$D66*0.5*(VLOOKUP($CU66-DK$103,Frauen!$G$9:$J$102,4)+VLOOKUP($CU66-DK$103+1,Frauen!$G$9:$J$102,4))*0.5*(VLOOKUP($CU66-DK$103,Frauen!$AZ$9:$BD$102,5)+VLOOKUP($CU66-DK$103+1,Frauen!$AZ$9:$BD$102,5)),RundDx)))</f>
        <v/>
      </c>
      <c r="DL66" s="25" t="str">
        <f>IF($CU66&gt;=RAM,"",IF($CU66-DL$103&lt;BeginnAlter,"",ROUND(v^($CU66+FaktorAlter)*$L66*$D66*0.5*(VLOOKUP($CU66-DL$103,Frauen!$G$9:$J$102,4)+VLOOKUP($CU66-DL$103+1,Frauen!$G$9:$J$102,4))*0.5*(VLOOKUP($CU66-DL$103,Frauen!$AZ$9:$BD$102,5)+VLOOKUP($CU66-DL$103+1,Frauen!$AZ$9:$BD$102,5)),RundDx)))</f>
        <v/>
      </c>
      <c r="DM66" s="25" t="str">
        <f>IF($CU66&gt;=RAM,"",IF($CU66-DM$103&lt;BeginnAlter,"",ROUND(v^($CU66+FaktorAlter)*$L66*$D66*0.5*(VLOOKUP($CU66-DM$103,Frauen!$G$9:$J$102,4)+VLOOKUP($CU66-DM$103+1,Frauen!$G$9:$J$102,4))*0.5*(VLOOKUP($CU66-DM$103,Frauen!$AZ$9:$BD$102,5)+VLOOKUP($CU66-DM$103+1,Frauen!$AZ$9:$BD$102,5)),RundDx)))</f>
        <v/>
      </c>
      <c r="DN66" s="25" t="str">
        <f>IF($CU66&gt;=RAM,"",IF($CU66-DN$103&lt;BeginnAlter,"",ROUND(v^($CU66+FaktorAlter)*$L66*$D66*0.5*(VLOOKUP($CU66-DN$103,Frauen!$G$9:$J$102,4)+VLOOKUP($CU66-DN$103+1,Frauen!$G$9:$J$102,4))*0.5*(VLOOKUP($CU66-DN$103,Frauen!$AZ$9:$BD$102,5)+VLOOKUP($CU66-DN$103+1,Frauen!$AZ$9:$BD$102,5)),RundDx)))</f>
        <v/>
      </c>
      <c r="DO66" s="25" t="str">
        <f>IF($CU66&gt;=RAM,"",IF($CU66-DO$103&lt;BeginnAlter,"",ROUND(v^($CU66+FaktorAlter)*$L66*$D66*0.5*(VLOOKUP($CU66-DO$103,Frauen!$G$9:$J$102,4)+VLOOKUP($CU66-DO$103+1,Frauen!$G$9:$J$102,4))*0.5*(VLOOKUP($CU66-DO$103,Frauen!$AZ$9:$BD$102,5)+VLOOKUP($CU66-DO$103+1,Frauen!$AZ$9:$BD$102,5)),RundDx)))</f>
        <v/>
      </c>
      <c r="DP66" s="25" t="str">
        <f>IF($CU66&gt;=RAM,"",IF($CU66-DP$103&lt;BeginnAlter,"",ROUND(v^($CU66+FaktorAlter)*$L66*$D66*0.5*(VLOOKUP($CU66-DP$103,Frauen!$G$9:$J$102,4)+VLOOKUP($CU66-DP$103+1,Frauen!$G$9:$J$102,4))*0.5*(VLOOKUP($CU66-DP$103,Frauen!$AZ$9:$BD$102,5)+VLOOKUP($CU66-DP$103+1,Frauen!$AZ$9:$BD$102,5)),RundDx)))</f>
        <v/>
      </c>
      <c r="DQ66" s="25" t="str">
        <f>IF($CU66&gt;=RAM,"",IF($CU66-DQ$103&lt;BeginnAlter,"",ROUND(v^($CU66+FaktorAlter)*$L66*$D66*0.5*(VLOOKUP($CU66-DQ$103,Frauen!$G$9:$J$102,4)+VLOOKUP($CU66-DQ$103+1,Frauen!$G$9:$J$102,4))*0.5*(VLOOKUP($CU66-DQ$103,Frauen!$AZ$9:$BD$102,5)+VLOOKUP($CU66-DQ$103+1,Frauen!$AZ$9:$BD$102,5)),RundDx)))</f>
        <v/>
      </c>
      <c r="DR66" s="25" t="str">
        <f>IF($CU66&gt;=RAM,"",IF($CU66-DR$103&lt;BeginnAlter,"",ROUND(v^($CU66+FaktorAlter)*$L66*$D66*0.5*(VLOOKUP($CU66-DR$103,Frauen!$G$9:$J$102,4)+VLOOKUP($CU66-DR$103+1,Frauen!$G$9:$J$102,4))*0.5*(VLOOKUP($CU66-DR$103,Frauen!$AZ$9:$BD$102,5)+VLOOKUP($CU66-DR$103+1,Frauen!$AZ$9:$BD$102,5)),RundDx)))</f>
        <v/>
      </c>
      <c r="DS66" s="25" t="str">
        <f>IF($CU66&gt;=RAM,"",IF($CU66-DS$103&lt;BeginnAlter,"",ROUND(v^($CU66+FaktorAlter)*$L66*$D66*0.5*(VLOOKUP($CU66-DS$103,Frauen!$G$9:$J$102,4)+VLOOKUP($CU66-DS$103+1,Frauen!$G$9:$J$102,4))*0.5*(VLOOKUP($CU66-DS$103,Frauen!$AZ$9:$BD$102,5)+VLOOKUP($CU66-DS$103+1,Frauen!$AZ$9:$BD$102,5)),RundDx)))</f>
        <v/>
      </c>
      <c r="DT66" s="25" t="str">
        <f>IF($CU66&gt;=RAM,"",IF($CU66-DT$103&lt;BeginnAlter,"",ROUND(v^($CU66+FaktorAlter)*$L66*$D66*0.5*(VLOOKUP($CU66-DT$103,Frauen!$G$9:$J$102,4)+VLOOKUP($CU66-DT$103+1,Frauen!$G$9:$J$102,4))*0.5*(VLOOKUP($CU66-DT$103,Frauen!$AZ$9:$BD$102,5)+VLOOKUP($CU66-DT$103+1,Frauen!$AZ$9:$BD$102,5)),RundDx)))</f>
        <v/>
      </c>
      <c r="DU66" s="25" t="str">
        <f>IF($CU66&gt;=RAM,"",IF($CU66-DU$103&lt;BeginnAlter,"",ROUND(v^($CU66+FaktorAlter)*$L66*$D66*0.5*(VLOOKUP($CU66-DU$103,Frauen!$G$9:$J$102,4)+VLOOKUP($CU66-DU$103+1,Frauen!$G$9:$J$102,4))*0.5*(VLOOKUP($CU66-DU$103,Frauen!$AZ$9:$BD$102,5)+VLOOKUP($CU66-DU$103+1,Frauen!$AZ$9:$BD$102,5)),RundDx)))</f>
        <v/>
      </c>
      <c r="DV66" s="25" t="str">
        <f>IF($CU66&gt;=RAM,"",IF($CU66-DV$103&lt;BeginnAlter,"",ROUND(v^($CU66+FaktorAlter)*$L66*$D66*0.5*(VLOOKUP($CU66-DV$103,Frauen!$G$9:$J$102,4)+VLOOKUP($CU66-DV$103+1,Frauen!$G$9:$J$102,4))*0.5*(VLOOKUP($CU66-DV$103,Frauen!$AZ$9:$BD$102,5)+VLOOKUP($CU66-DV$103+1,Frauen!$AZ$9:$BD$102,5)),RundDx)))</f>
        <v/>
      </c>
      <c r="DW66" s="25" t="str">
        <f>IF($CU66&gt;=RAM,"",IF($CU66-DW$103&lt;BeginnAlter,"",ROUND(v^($CU66+FaktorAlter)*$L66*$D66*0.5*(VLOOKUP($CU66-DW$103,Frauen!$G$9:$J$102,4)+VLOOKUP($CU66-DW$103+1,Frauen!$G$9:$J$102,4))*0.5*(VLOOKUP($CU66-DW$103,Frauen!$AZ$9:$BD$102,5)+VLOOKUP($CU66-DW$103+1,Frauen!$AZ$9:$BD$102,5)),RundDx)))</f>
        <v/>
      </c>
      <c r="DX66" s="25" t="str">
        <f>IF($CU66&gt;=RAM,"",IF($CU66-DX$103&lt;BeginnAlter,"",ROUND(v^($CU66+FaktorAlter)*$L66*$D66*0.5*(VLOOKUP($CU66-DX$103,Frauen!$G$9:$J$102,4)+VLOOKUP($CU66-DX$103+1,Frauen!$G$9:$J$102,4))*0.5*(VLOOKUP($CU66-DX$103,Frauen!$AZ$9:$BD$102,5)+VLOOKUP($CU66-DX$103+1,Frauen!$AZ$9:$BD$102,5)),RundDx)))</f>
        <v/>
      </c>
      <c r="DY66" s="25" t="str">
        <f>IF($CU66&gt;=RAM,"",IF($CU66-DY$103&lt;BeginnAlter,"",ROUND(v^($CU66+FaktorAlter)*$L66*$D66*0.5*(VLOOKUP($CU66-DY$103,Frauen!$G$9:$J$102,4)+VLOOKUP($CU66-DY$103+1,Frauen!$G$9:$J$102,4))*0.5*(VLOOKUP($CU66-DY$103,Frauen!$AZ$9:$BD$102,5)+VLOOKUP($CU66-DY$103+1,Frauen!$AZ$9:$BD$102,5)),RundDx)))</f>
        <v/>
      </c>
      <c r="DZ66" s="25" t="str">
        <f>IF($CU66&gt;=RAM,"",IF($CU66-DZ$103&lt;BeginnAlter,"",ROUND(v^($CU66+FaktorAlter)*$L66*$D66*0.5*(VLOOKUP($CU66-DZ$103,Frauen!$G$9:$J$102,4)+VLOOKUP($CU66-DZ$103+1,Frauen!$G$9:$J$102,4))*0.5*(VLOOKUP($CU66-DZ$103,Frauen!$AZ$9:$BD$102,5)+VLOOKUP($CU66-DZ$103+1,Frauen!$AZ$9:$BD$102,5)),RundDx)))</f>
        <v/>
      </c>
      <c r="EA66" s="43" t="str">
        <f>IF($CU66&gt;=RAM,"",IF($CU66-EA$103&lt;BeginnAlter,"",ROUND((SUM(CV$56:CV66)+SUM(FN$9:FN$56))/VLOOKUP($CU66,$AH$9:$AI$102,2)/VLOOKUP($CU66-EA$103,Frauen!$G$9:$J$102,4),Rundäx)))</f>
        <v/>
      </c>
      <c r="EB66" s="43" t="str">
        <f>IF($CU66&gt;=RAM,"",IF($CU66-EB$103&lt;BeginnAlter,"",ROUND((SUM(CW$56:CW66)+SUM(FO$9:FO$56))/VLOOKUP($CU66,$AH$9:$AI$102,2)/VLOOKUP($CU66-EB$103,Frauen!$G$9:$J$102,4),Rundäx)))</f>
        <v/>
      </c>
      <c r="EC66" s="43" t="str">
        <f>IF($CU66&gt;=RAM,"",IF($CU66-EC$103&lt;BeginnAlter,"",ROUND((SUM(CX$56:CX66)+SUM(FP$9:FP$56))/VLOOKUP($CU66,$AH$9:$AI$102,2)/VLOOKUP($CU66-EC$103,Frauen!$G$9:$J$102,4),Rundäx)))</f>
        <v/>
      </c>
      <c r="ED66" s="43" t="str">
        <f>IF($CU66&gt;=RAM,"",IF($CU66-ED$103&lt;BeginnAlter,"",ROUND((SUM(CY$56:CY66)+SUM(FQ$9:FQ$56))/VLOOKUP($CU66,$AH$9:$AI$102,2)/VLOOKUP($CU66-ED$103,Frauen!$G$9:$J$102,4),Rundäx)))</f>
        <v/>
      </c>
      <c r="EE66" s="43" t="str">
        <f>IF($CU66&gt;=RAM,"",IF($CU66-EE$103&lt;BeginnAlter,"",ROUND((SUM(CZ$56:CZ66)+SUM(FR$9:FR$56))/VLOOKUP($CU66,$AH$9:$AI$102,2)/VLOOKUP($CU66-EE$103,Frauen!$G$9:$J$102,4),Rundäx)))</f>
        <v/>
      </c>
      <c r="EF66" s="43" t="str">
        <f>IF($CU66&gt;=RAM,"",IF($CU66-EF$103&lt;BeginnAlter,"",ROUND((SUM(DA$56:DA66)+SUM(FS$9:FS$56))/VLOOKUP($CU66,$AH$9:$AI$102,2)/VLOOKUP($CU66-EF$103,Frauen!$G$9:$J$102,4),Rundäx)))</f>
        <v/>
      </c>
      <c r="EG66" s="43" t="str">
        <f>IF($CU66&gt;=RAM,"",IF($CU66-EG$103&lt;BeginnAlter,"",ROUND((SUM(DB$56:DB66)+SUM(FT$9:FT$56))/VLOOKUP($CU66,$AH$9:$AI$102,2)/VLOOKUP($CU66-EG$103,Frauen!$G$9:$J$102,4),Rundäx)))</f>
        <v/>
      </c>
      <c r="EH66" s="43" t="str">
        <f>IF($CU66&gt;=RAM,"",IF($CU66-EH$103&lt;BeginnAlter,"",ROUND((SUM(DC$56:DC66)+SUM(FU$9:FU$56))/VLOOKUP($CU66,$AH$9:$AI$102,2)/VLOOKUP($CU66-EH$103,Frauen!$G$9:$J$102,4),Rundäx)))</f>
        <v/>
      </c>
      <c r="EI66" s="86"/>
      <c r="EJ66" s="35">
        <f t="shared" si="60"/>
        <v>74</v>
      </c>
      <c r="EK66" s="43" t="str">
        <f>IF($CU66&gt;=RAM,"",IF($CU66-EK$103&lt;BeginnAlter,"",ROUND((SUM(DD$56:DD66)+SUM(FV$9:FV$56))/VLOOKUP($CU66,$AH$9:$AI$102,2)/VLOOKUP($CU66-EK$103,Frauen!$G$9:$J$102,4),Rundäx)))</f>
        <v/>
      </c>
      <c r="EL66" s="43" t="str">
        <f>IF($CU66&gt;=RAM,"",IF($CU66-EL$103&lt;BeginnAlter,"",ROUND((SUM(DE$56:DE66)+SUM(FW$9:FW$56))/VLOOKUP($CU66,$AH$9:$AI$102,2)/VLOOKUP($CU66-EL$103,Frauen!$G$9:$J$102,4),Rundäx)))</f>
        <v/>
      </c>
      <c r="EM66" s="43" t="str">
        <f>IF($CU66&gt;=RAM,"",IF($CU66-EM$103&lt;BeginnAlter,"",ROUND((SUM(DF$56:DF66)+SUM(FX$9:FX$56))/VLOOKUP($CU66,$AH$9:$AI$102,2)/VLOOKUP($CU66-EM$103,Frauen!$G$9:$J$102,4),Rundäx)))</f>
        <v/>
      </c>
      <c r="EN66" s="43" t="str">
        <f>IF($CU66&gt;=RAM,"",IF($CU66-EN$103&lt;BeginnAlter,"",ROUND((SUM(DG$56:DG66)+SUM(FY$9:FY$56))/VLOOKUP($CU66,$AH$9:$AI$102,2)/VLOOKUP($CU66-EN$103,Frauen!$G$9:$J$102,4),Rundäx)))</f>
        <v/>
      </c>
      <c r="EO66" s="43" t="str">
        <f>IF($CU66&gt;=RAM,"",IF($CU66-EO$103&lt;BeginnAlter,"",ROUND((SUM(DH$56:DH66)+SUM(FZ$9:FZ$56))/VLOOKUP($CU66,$AH$9:$AI$102,2)/VLOOKUP($CU66-EO$103,Frauen!$G$9:$J$102,4),Rundäx)))</f>
        <v/>
      </c>
      <c r="EP66" s="43" t="str">
        <f>IF($CU66&gt;=RAM,"",IF($CU66-EP$103&lt;BeginnAlter,"",ROUND((SUM(DI$56:DI66)+SUM(GA$9:GA$56))/VLOOKUP($CU66,$AH$9:$AI$102,2)/VLOOKUP($CU66-EP$103,Frauen!$G$9:$J$102,4),Rundäx)))</f>
        <v/>
      </c>
      <c r="EQ66" s="43" t="str">
        <f>IF($CU66&gt;=RAM,"",IF($CU66-EQ$103&lt;BeginnAlter,"",ROUND((SUM(DJ$56:DJ66)+SUM(GB$9:GB$56))/VLOOKUP($CU66,$AH$9:$AI$102,2)/VLOOKUP($CU66-EQ$103,Frauen!$G$9:$J$102,4),Rundäx)))</f>
        <v/>
      </c>
      <c r="ER66" s="43" t="str">
        <f>IF($CU66&gt;=RAM,"",IF($CU66-ER$103&lt;BeginnAlter,"",ROUND((SUM(DK$56:DK66)+SUM(GC$9:GC$56))/VLOOKUP($CU66,$AH$9:$AI$102,2)/VLOOKUP($CU66-ER$103,Frauen!$G$9:$J$102,4),Rundäx)))</f>
        <v/>
      </c>
      <c r="ES66" s="86"/>
      <c r="ET66" s="35">
        <f t="shared" si="61"/>
        <v>74</v>
      </c>
      <c r="EU66" s="43" t="str">
        <f>IF($CU66&gt;=RAM,"",IF($CU66-EU$103&lt;BeginnAlter,"",ROUND((SUM(DL$56:DL66)+SUM(GD$9:GD$56))/VLOOKUP($CU66,$AH$9:$AI$102,2)/VLOOKUP($CU66-EU$103,Frauen!$G$9:$J$102,4),Rundäx)))</f>
        <v/>
      </c>
      <c r="EV66" s="43" t="str">
        <f>IF($CU66&gt;=RAM,"",IF($CU66-EV$103&lt;BeginnAlter,"",ROUND((SUM(DM$56:DM66)+SUM(GE$9:GE$56))/VLOOKUP($CU66,$AH$9:$AI$102,2)/VLOOKUP($CU66-EV$103,Frauen!$G$9:$J$102,4),Rundäx)))</f>
        <v/>
      </c>
      <c r="EW66" s="43" t="str">
        <f>IF($CU66&gt;=RAM,"",IF($CU66-EW$103&lt;BeginnAlter,"",ROUND((SUM(DN$56:DN66)+SUM(GF$9:GF$56))/VLOOKUP($CU66,$AH$9:$AI$102,2)/VLOOKUP($CU66-EW$103,Frauen!$G$9:$J$102,4),Rundäx)))</f>
        <v/>
      </c>
      <c r="EX66" s="43" t="str">
        <f>IF($CU66&gt;=RAM,"",IF($CU66-EX$103&lt;BeginnAlter,"",ROUND((SUM(DO$56:DO66)+SUM(GG$9:GG$56))/VLOOKUP($CU66,$AH$9:$AI$102,2)/VLOOKUP($CU66-EX$103,Frauen!$G$9:$J$102,4),Rundäx)))</f>
        <v/>
      </c>
      <c r="EY66" s="43" t="str">
        <f>IF($CU66&gt;=RAM,"",IF($CU66-EY$103&lt;BeginnAlter,"",ROUND((SUM(DP$56:DP66)+SUM(GH$9:GH$56))/VLOOKUP($CU66,$AH$9:$AI$102,2)/VLOOKUP($CU66-EY$103,Frauen!$G$9:$J$102,4),Rundäx)))</f>
        <v/>
      </c>
      <c r="EZ66" s="43" t="str">
        <f>IF($CU66&gt;=RAM,"",IF($CU66-EZ$103&lt;BeginnAlter,"",ROUND((SUM(DQ$56:DQ66)+SUM(GI$9:GI$56))/VLOOKUP($CU66,$AH$9:$AI$102,2)/VLOOKUP($CU66-EZ$103,Frauen!$G$9:$J$102,4),Rundäx)))</f>
        <v/>
      </c>
      <c r="FA66" s="43" t="str">
        <f>IF($CU66&gt;=RAM,"",IF($CU66-FA$103&lt;BeginnAlter,"",ROUND((SUM(DR$56:DR66)+SUM(GJ$9:GJ$56))/VLOOKUP($CU66,$AH$9:$AI$102,2)/VLOOKUP($CU66-FA$103,Frauen!$G$9:$J$102,4),Rundäx)))</f>
        <v/>
      </c>
      <c r="FB66" s="43" t="str">
        <f>IF($CU66&gt;=RAM,"",IF($CU66-FB$103&lt;BeginnAlter,"",ROUND((SUM(DS$56:DS66)+SUM(GK$9:GK$56))/VLOOKUP($CU66,$AH$9:$AI$102,2)/VLOOKUP($CU66-FB$103,Frauen!$G$9:$J$102,4),Rundäx)))</f>
        <v/>
      </c>
      <c r="FC66" s="86"/>
      <c r="FD66" s="35">
        <f t="shared" si="62"/>
        <v>74</v>
      </c>
      <c r="FE66" s="43" t="str">
        <f>IF($CU66&gt;=RAM,"",IF($CU66-FE$103&lt;BeginnAlter,"",ROUND((SUM(DT$56:DT66)+SUM(GL$9:GL$56))/VLOOKUP($CU66,$AH$9:$AI$102,2)/VLOOKUP($CU66-FE$103,Frauen!$G$9:$J$102,4),Rundäx)))</f>
        <v/>
      </c>
      <c r="FF66" s="43" t="str">
        <f>IF($CU66&gt;=RAM,"",IF($CU66-FF$103&lt;BeginnAlter,"",ROUND((SUM(DU$56:DU66)+SUM(GM$9:GM$56))/VLOOKUP($CU66,$AH$9:$AI$102,2)/VLOOKUP($CU66-FF$103,Frauen!$G$9:$J$102,4),Rundäx)))</f>
        <v/>
      </c>
      <c r="FG66" s="43" t="str">
        <f>IF($CU66&gt;=RAM,"",IF($CU66-FG$103&lt;BeginnAlter,"",ROUND((SUM(DV$56:DV66)+SUM(GN$9:GN$56))/VLOOKUP($CU66,$AH$9:$AI$102,2)/VLOOKUP($CU66-FG$103,Frauen!$G$9:$J$102,4),Rundäx)))</f>
        <v/>
      </c>
      <c r="FH66" s="43" t="str">
        <f>IF($CU66&gt;=RAM,"",IF($CU66-FH$103&lt;BeginnAlter,"",ROUND((SUM(DW$56:DW66)+SUM(GO$9:GO$56))/VLOOKUP($CU66,$AH$9:$AI$102,2)/VLOOKUP($CU66-FH$103,Frauen!$G$9:$J$102,4),Rundäx)))</f>
        <v/>
      </c>
      <c r="FI66" s="43" t="str">
        <f>IF($CU66&gt;=RAM,"",IF($CU66-FI$103&lt;BeginnAlter,"",ROUND((SUM(DX$56:DX66)+SUM(GP$9:GP$56))/VLOOKUP($CU66,$AH$9:$AI$102,2)/VLOOKUP($CU66-FI$103,Frauen!$G$9:$J$102,4),Rundäx)))</f>
        <v/>
      </c>
      <c r="FJ66" s="43" t="str">
        <f>IF($CU66&gt;=RAM,"",IF($CU66-FJ$103&lt;BeginnAlter,"",ROUND((SUM(DY$56:DY66)+SUM(GQ$9:GQ$56))/VLOOKUP($CU66,$AH$9:$AI$102,2)/VLOOKUP($CU66-FJ$103,Frauen!$G$9:$J$102,4),Rundäx)))</f>
        <v/>
      </c>
      <c r="FK66" s="43" t="str">
        <f>IF($CU66&gt;=RAM,"",IF($CU66-FK$103&lt;BeginnAlter,"",ROUND((SUM(DZ$56:DZ66)+SUM(GR$9:GR$56))/VLOOKUP($CU66,$AH$9:$AI$102,2)/VLOOKUP($CU66-FK$103,Frauen!$G$9:$J$102,4),Rundäx)))</f>
        <v/>
      </c>
      <c r="FL66" s="86"/>
      <c r="FM66" s="35">
        <f t="shared" si="68"/>
        <v>122</v>
      </c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4"/>
      <c r="GT66" s="24"/>
      <c r="GU66" s="24" t="str">
        <f>IF(FM66&gt;=RAM," ",#REF!/$AI66/Frauen!$J54)</f>
        <v xml:space="preserve"> </v>
      </c>
      <c r="GV66" s="24" t="str">
        <f>IF(FM66&gt;=RAM," ",#REF!/$AI66/Frauen!$J57)</f>
        <v xml:space="preserve"> </v>
      </c>
      <c r="GW66" s="24" t="str">
        <f>IF(FM66&gt;=RAM," ",#REF!/$AI66/Frauen!$J60)</f>
        <v xml:space="preserve"> </v>
      </c>
      <c r="GX66" s="24" t="str">
        <f>IF(FM66&gt;=RAM," ",#REF!/$AI66/Frauen!$J63)</f>
        <v xml:space="preserve"> </v>
      </c>
      <c r="GY66" s="24" t="str">
        <f>IF(FM66&gt;=RAM," ",#REF!/$AI66/Frauen!$J66)</f>
        <v xml:space="preserve"> </v>
      </c>
      <c r="GZ66" s="24" t="str">
        <f>IF(FM66&gt;=RAM," ",#REF!/$AI66/Frauen!$J69)</f>
        <v xml:space="preserve"> </v>
      </c>
      <c r="HA66" s="86"/>
      <c r="HB66" s="35">
        <f t="shared" si="63"/>
        <v>122</v>
      </c>
      <c r="HC66" s="24"/>
      <c r="HD66" s="24"/>
      <c r="HE66" s="24"/>
      <c r="HF66" s="24"/>
      <c r="HG66" s="24"/>
      <c r="HH66" s="24"/>
      <c r="HI66" s="24"/>
      <c r="HJ66" s="24"/>
      <c r="HK66" s="86"/>
      <c r="HL66" s="35">
        <f t="shared" si="64"/>
        <v>122</v>
      </c>
      <c r="HM66" s="24"/>
      <c r="HN66" s="24"/>
      <c r="HO66" s="24"/>
      <c r="HP66" s="24"/>
      <c r="HQ66" s="24"/>
      <c r="HR66" s="24"/>
      <c r="HS66" s="24"/>
      <c r="HT66" s="24"/>
      <c r="HU66" s="86"/>
      <c r="HV66" s="35">
        <f t="shared" si="65"/>
        <v>122</v>
      </c>
      <c r="HW66" s="24"/>
      <c r="HX66" s="24"/>
      <c r="HY66" s="24"/>
      <c r="HZ66" s="24"/>
      <c r="IA66" s="24"/>
      <c r="IB66" s="24"/>
      <c r="IC66" s="24"/>
      <c r="ID66" s="89"/>
      <c r="IE66" s="35">
        <f t="shared" si="81"/>
        <v>74</v>
      </c>
      <c r="IF66" s="25" t="str">
        <f t="shared" si="31"/>
        <v/>
      </c>
      <c r="IG66" s="25" t="str">
        <f>IF($IE66&lt;RAM,IF(S67&lt;=RAK,ROUND(SUM(IF66:INDEX(Dakx,RAM-BeginnAlter))+INDEX(Dax,RAM-BeginnAlter+1)*INDEX(äkx,1),RundDx),0),"")</f>
        <v/>
      </c>
      <c r="IH66" s="25" t="str">
        <f>IF($IE66&lt;RAM,IF(S67&lt;=RAK,ROUND(SUM(IG66:INDEX(Nakx,RAM-BeginnAlter))+INDEX(Dax,RAM-BeginnAlter+1)*INDEX(äkx,1),RundDx),0),"")</f>
        <v/>
      </c>
      <c r="II66" s="24" t="str">
        <f t="shared" si="32"/>
        <v/>
      </c>
      <c r="IJ66" s="25" t="str">
        <f t="shared" si="33"/>
        <v/>
      </c>
      <c r="IK66" s="25" t="str">
        <f>IF($IE66&lt;RAM,IF(S67&lt;=RAK,SUM(IJ66:INDEX(Dikx,RAM-BeginnAlter))+INDEX(Dix,RAM-BeginnAlter+1)*INDEX(äkx,1),0),"")</f>
        <v/>
      </c>
      <c r="IL66" s="24" t="str">
        <f t="shared" si="34"/>
        <v/>
      </c>
      <c r="IM66" s="86"/>
      <c r="IN66" s="35">
        <f t="shared" si="67"/>
        <v>122</v>
      </c>
      <c r="IO66" s="25"/>
      <c r="IP66" s="25"/>
      <c r="IQ66" s="24"/>
      <c r="IR66" s="86"/>
    </row>
    <row r="67" spans="1:252" ht="15.75" customHeight="1" x14ac:dyDescent="0.25">
      <c r="A67" s="35">
        <f t="shared" si="69"/>
        <v>75</v>
      </c>
      <c r="B67" s="77"/>
      <c r="C67" s="77"/>
      <c r="D67" s="77"/>
      <c r="E67" s="77">
        <v>3.7659697786111605E-2</v>
      </c>
      <c r="F67" s="86"/>
      <c r="G67" s="35">
        <f t="shared" si="70"/>
        <v>75</v>
      </c>
      <c r="H67" s="25" t="str">
        <f t="shared" si="37"/>
        <v/>
      </c>
      <c r="I67" s="25" t="str">
        <f t="shared" si="38"/>
        <v/>
      </c>
      <c r="J67" s="25">
        <f t="shared" si="39"/>
        <v>68723</v>
      </c>
      <c r="K67" s="30">
        <f>IF(J67&gt;0,ROUND(SUM(J67:J$102)/J67-0.5,Rundex),"")</f>
        <v>10.75</v>
      </c>
      <c r="L67" s="25">
        <f t="shared" si="0"/>
        <v>68723</v>
      </c>
      <c r="M67" s="30">
        <f>IF(L67&gt;0,ROUND(SUM(L67:L$102)/L67-0.5,Rundex),"")</f>
        <v>10.75</v>
      </c>
      <c r="N67" s="86"/>
      <c r="O67" s="35">
        <f t="shared" si="71"/>
        <v>75</v>
      </c>
      <c r="P67" s="43">
        <v>0.76854186391673762</v>
      </c>
      <c r="Q67" s="78">
        <v>70.245557590399471</v>
      </c>
      <c r="R67" s="43">
        <v>5.0000000000000001E-3</v>
      </c>
      <c r="S67" s="78">
        <v>21.800073940733846</v>
      </c>
      <c r="T67" s="15">
        <v>4.8389958493571986E-2</v>
      </c>
      <c r="U67" s="11">
        <f t="shared" si="40"/>
        <v>58290</v>
      </c>
      <c r="V67" s="30">
        <f>IF(U67&gt;0,ROUND(SUM(U67:U$102)/U67-0.5,Rundex),"")</f>
        <v>10.1</v>
      </c>
      <c r="W67" s="86"/>
      <c r="X67" s="35">
        <f t="shared" si="72"/>
        <v>75</v>
      </c>
      <c r="Y67" s="25" t="str">
        <f t="shared" si="1"/>
        <v xml:space="preserve"> </v>
      </c>
      <c r="Z67" s="25" t="str">
        <f>IF($X67&lt;RAM,SUM(Y67:INDEX(Dax,RAM-BeginnAlter))," ")</f>
        <v xml:space="preserve"> </v>
      </c>
      <c r="AA67" s="25" t="str">
        <f t="shared" si="2"/>
        <v xml:space="preserve"> </v>
      </c>
      <c r="AB67" s="25" t="str">
        <f>IF($X67&lt;RAM,SUM(AA67:INDEX(Cax,RAM-BeginnAlter))," ")</f>
        <v xml:space="preserve"> </v>
      </c>
      <c r="AC67" s="25" t="str">
        <f t="shared" si="3"/>
        <v xml:space="preserve"> </v>
      </c>
      <c r="AD67" s="25" t="str">
        <f>IF($X67&lt;RAM,SUM(AC67:INDEX(Caix,RAM-BeginnAlter))," ")</f>
        <v xml:space="preserve"> </v>
      </c>
      <c r="AE67" s="24" t="str">
        <f t="shared" si="4"/>
        <v xml:space="preserve"> </v>
      </c>
      <c r="AF67" s="24" t="str">
        <f t="shared" si="5"/>
        <v xml:space="preserve"> </v>
      </c>
      <c r="AG67" s="86"/>
      <c r="AH67" s="35">
        <f t="shared" si="73"/>
        <v>75</v>
      </c>
      <c r="AI67" s="25" t="str">
        <f t="shared" si="6"/>
        <v xml:space="preserve"> </v>
      </c>
      <c r="AJ67" s="25" t="str">
        <f>IF($AH67&gt;RAM," ",IF($AH67&lt;RAM,SUM(AI67:INDEX(Dix,RAM-BeginnAlter))+INDEX(Nx,RAM-BeginnAlter+1),INDEX(Nx,RAM-BeginnAlter+1)))</f>
        <v xml:space="preserve"> </v>
      </c>
      <c r="AK67" s="25" t="str">
        <f>IF($AH67&lt;RAM,SUM(AI67:INDEX(Dix,RAM-BeginnAlter))," ")</f>
        <v xml:space="preserve"> </v>
      </c>
      <c r="AL67" s="24" t="str">
        <f t="shared" si="7"/>
        <v xml:space="preserve"> </v>
      </c>
      <c r="AM67" s="24" t="str">
        <f t="shared" si="8"/>
        <v xml:space="preserve"> </v>
      </c>
      <c r="AN67" s="24" t="str">
        <f t="shared" si="9"/>
        <v xml:space="preserve"> </v>
      </c>
      <c r="AO67" s="24" t="str">
        <f t="shared" si="10"/>
        <v xml:space="preserve"> </v>
      </c>
      <c r="AP67" s="86"/>
      <c r="AQ67" s="35">
        <f t="shared" si="74"/>
        <v>75</v>
      </c>
      <c r="AR67" s="25">
        <f t="shared" si="11"/>
        <v>12952</v>
      </c>
      <c r="AS67" s="25">
        <f>SUM(AR67:AR$94)</f>
        <v>126206</v>
      </c>
      <c r="AT67" s="25" t="str">
        <f>IF($AQ67&lt;RAM,SUM(AR67:INDEX(Dx,RAM-BeginnAlter))," ")</f>
        <v xml:space="preserve"> </v>
      </c>
      <c r="AU67" s="24">
        <f t="shared" si="12"/>
        <v>9.7439999999999998</v>
      </c>
      <c r="AV67" s="24">
        <f t="shared" si="13"/>
        <v>9.2859999999999996</v>
      </c>
      <c r="AW67" s="24" t="str">
        <f t="shared" si="14"/>
        <v xml:space="preserve"> </v>
      </c>
      <c r="AX67" s="24" t="str">
        <f t="shared" si="15"/>
        <v xml:space="preserve"> </v>
      </c>
      <c r="AY67" s="86"/>
      <c r="AZ67" s="35">
        <f t="shared" si="75"/>
        <v>75</v>
      </c>
      <c r="BA67" s="25">
        <f t="shared" si="16"/>
        <v>10986</v>
      </c>
      <c r="BB67" s="25">
        <f>SUM(BA67:BA$94)</f>
        <v>101307</v>
      </c>
      <c r="BC67" s="24">
        <f t="shared" si="17"/>
        <v>9.2210000000000001</v>
      </c>
      <c r="BD67" s="24">
        <f t="shared" si="18"/>
        <v>8.7629999999999999</v>
      </c>
      <c r="BE67" s="86"/>
      <c r="BF67" s="35">
        <f t="shared" si="48"/>
        <v>58</v>
      </c>
      <c r="BG67" s="24" t="str">
        <f t="shared" si="19"/>
        <v/>
      </c>
      <c r="BH67" s="24" t="str">
        <f t="shared" si="20"/>
        <v/>
      </c>
      <c r="BI67" s="86"/>
      <c r="BJ67" s="35">
        <f t="shared" si="76"/>
        <v>75</v>
      </c>
      <c r="BK67" s="25" t="str">
        <f t="shared" si="21"/>
        <v xml:space="preserve"> </v>
      </c>
      <c r="BL67" s="25" t="str">
        <f>IF(BJ67&lt;RAM,SUM(BK67:INDEX(Daix,RAM-BeginnAlter))," ")</f>
        <v xml:space="preserve"> </v>
      </c>
      <c r="BM67" s="25" t="str">
        <f>IF(BJ67&lt;RAM,SUM(BL67:INDEX(Naix,RAM-BeginnAlter))," ")</f>
        <v xml:space="preserve"> </v>
      </c>
      <c r="BN67" s="24" t="str">
        <f t="shared" si="22"/>
        <v xml:space="preserve"> </v>
      </c>
      <c r="BO67" s="24" t="str">
        <f t="shared" si="23"/>
        <v xml:space="preserve"> </v>
      </c>
      <c r="BP67" s="86"/>
      <c r="BQ67" s="35">
        <f t="shared" si="77"/>
        <v>75</v>
      </c>
      <c r="BR67" s="25" t="str">
        <f t="shared" si="51"/>
        <v xml:space="preserve"> </v>
      </c>
      <c r="BS67" s="25" t="str">
        <f>IF(BQ67&lt;RAM,SUM(BR67:INDEX(Daixs,RAM-BeginnAlter))," ")</f>
        <v xml:space="preserve"> </v>
      </c>
      <c r="BT67" s="25" t="str">
        <f>IF(BQ67&lt;RAM,SUM(BS67:INDEX(Naixs,RAM-BeginnAlter))," ")</f>
        <v xml:space="preserve"> </v>
      </c>
      <c r="BU67" s="24" t="str">
        <f t="shared" si="52"/>
        <v xml:space="preserve"> </v>
      </c>
      <c r="BV67" s="24" t="str">
        <f t="shared" si="53"/>
        <v xml:space="preserve"> </v>
      </c>
      <c r="BW67" s="86"/>
      <c r="BX67" s="35">
        <f t="shared" si="78"/>
        <v>75</v>
      </c>
      <c r="BY67" s="10" t="str">
        <f t="shared" si="24"/>
        <v/>
      </c>
      <c r="BZ67" s="11" t="str">
        <f t="shared" si="25"/>
        <v/>
      </c>
      <c r="CA67" s="25" t="str">
        <f>IF(S68&lt;=RAK,IF($BX67&lt;RAM,SUM(BZ67:INDEX(Dazx,RAM-BeginnAlter)),""),"")</f>
        <v/>
      </c>
      <c r="CB67" s="24" t="str">
        <f t="shared" si="26"/>
        <v/>
      </c>
      <c r="CC67" s="25">
        <f t="shared" si="27"/>
        <v>10518</v>
      </c>
      <c r="CD67" s="24">
        <f t="shared" si="28"/>
        <v>7.8559999999999999</v>
      </c>
      <c r="CE67" s="24" t="str">
        <f t="shared" si="29"/>
        <v/>
      </c>
      <c r="CF67" s="86"/>
      <c r="CG67" s="35">
        <f t="shared" si="79"/>
        <v>75</v>
      </c>
      <c r="CH67" s="25" t="str">
        <f>IF(CG67&lt;RAM,ROUND(v^($CG67+FaktorAlter)*$H67*($B67*0.5*($P67+$P68)*(VLOOKUP(TRUNC(0.5*($Q67+$Q68),0),Frauen!$AZ$9:$BD$95,5)+(0.5*($Q67+$Q68)-TRUNC(0.5*($Q67+$Q68),0))*(VLOOKUP(TRUNC(0.5*($Q67+$Q68)+1,0),Frauen!$AZ$9:$BD$95,5)-VLOOKUP(TRUNC(0.5*($Q67+$Q68),0),Frauen!$AZ$9:$BD$95,5)))+$C67*0.5*($CN67+$CN68)),RundDx),"")</f>
        <v/>
      </c>
      <c r="CI67" s="25" t="str">
        <f>IF(CG67&lt;RAM,ROUND(SUM(CH67:INDEX(Dawx,RAM-BeginnAlter))+INDEX(Dax,RAM-BeginnAlter+1)*INDEX(äwx,1),RundDx),"")</f>
        <v/>
      </c>
      <c r="CJ67" s="25" t="str">
        <f>IF(CG67&lt;RAM,ROUND(SUM(CI67:INDEX(Nawx,RAM-BeginnAlter))+INDEX(Dax,RAM-BeginnAlter+1)*INDEX(äwx,1),RundDx),"")</f>
        <v/>
      </c>
      <c r="CK67" s="24" t="str">
        <f t="shared" si="56"/>
        <v/>
      </c>
      <c r="CL67" s="25" t="str">
        <f>IF(CG67&lt;RAM,ROUND(v^($CG67+FaktorAlter)*$L67*$D67*0.5*($P67+$P68)*(VLOOKUP(TRUNC(0.5*($Q67+$Q68),0),Frauen!$AZ$9:$BD$95,5)+(0.5*($Q67+$Q68)-TRUNC(0.5*($Q67+$Q68),0))*(VLOOKUP(TRUNC(0.5*($Q67+$Q68)+1,0),Frauen!$AZ$9:$BD$95,5)-VLOOKUP(TRUNC(0.5*($Q67+$Q68),0),Frauen!$AZ$9:$BD$95,5))),RundDx),"")</f>
        <v/>
      </c>
      <c r="CM67" s="25" t="str">
        <f>IF(CG67&lt;RAM,SUM(CL67:INDEX(Diwx,RAM-BeginnAlter))+INDEX(Dix,RAM-BeginnAlter+1)*INDEX(äwx,1),"")</f>
        <v/>
      </c>
      <c r="CN67" s="24" t="str">
        <f t="shared" si="57"/>
        <v/>
      </c>
      <c r="CO67" s="86"/>
      <c r="CP67" s="35">
        <f t="shared" si="58"/>
        <v>123</v>
      </c>
      <c r="CQ67" s="25"/>
      <c r="CR67" s="25"/>
      <c r="CS67" s="24"/>
      <c r="CT67" s="86"/>
      <c r="CU67" s="35">
        <f t="shared" si="80"/>
        <v>75</v>
      </c>
      <c r="CV67" s="25" t="str">
        <f>IF($CU67&gt;=RAM,"",IF($CU67-CV$103&lt;BeginnAlter,"",ROUND(v^($CU67+FaktorAlter)*$L67*$D67*0.5*(VLOOKUP($CU67-CV$103,Frauen!$G$9:$J$102,4)+VLOOKUP($CU67-CV$103+1,Frauen!$G$9:$J$102,4))*0.5*(VLOOKUP($CU67-CV$103,Frauen!$AZ$9:$BD$102,5)+VLOOKUP($CU67-CV$103+1,Frauen!$AZ$9:$BD$102,5)),RundDx)))</f>
        <v/>
      </c>
      <c r="CW67" s="25" t="str">
        <f>IF($CU67&gt;=RAM,"",IF($CU67-CW$103&lt;BeginnAlter,"",ROUND(v^($CU67+FaktorAlter)*$L67*$D67*0.5*(VLOOKUP($CU67-CW$103,Frauen!$G$9:$J$102,4)+VLOOKUP($CU67-CW$103+1,Frauen!$G$9:$J$102,4))*0.5*(VLOOKUP($CU67-CW$103,Frauen!$AZ$9:$BD$102,5)+VLOOKUP($CU67-CW$103+1,Frauen!$AZ$9:$BD$102,5)),RundDx)))</f>
        <v/>
      </c>
      <c r="CX67" s="25" t="str">
        <f>IF($CU67&gt;=RAM,"",IF($CU67-CX$103&lt;BeginnAlter,"",ROUND(v^($CU67+FaktorAlter)*$L67*$D67*0.5*(VLOOKUP($CU67-CX$103,Frauen!$G$9:$J$102,4)+VLOOKUP($CU67-CX$103+1,Frauen!$G$9:$J$102,4))*0.5*(VLOOKUP($CU67-CX$103,Frauen!$AZ$9:$BD$102,5)+VLOOKUP($CU67-CX$103+1,Frauen!$AZ$9:$BD$102,5)),RundDx)))</f>
        <v/>
      </c>
      <c r="CY67" s="25" t="str">
        <f>IF($CU67&gt;=RAM,"",IF($CU67-CY$103&lt;BeginnAlter,"",ROUND(v^($CU67+FaktorAlter)*$L67*$D67*0.5*(VLOOKUP($CU67-CY$103,Frauen!$G$9:$J$102,4)+VLOOKUP($CU67-CY$103+1,Frauen!$G$9:$J$102,4))*0.5*(VLOOKUP($CU67-CY$103,Frauen!$AZ$9:$BD$102,5)+VLOOKUP($CU67-CY$103+1,Frauen!$AZ$9:$BD$102,5)),RundDx)))</f>
        <v/>
      </c>
      <c r="CZ67" s="25" t="str">
        <f>IF($CU67&gt;=RAM,"",IF($CU67-CZ$103&lt;BeginnAlter,"",ROUND(v^($CU67+FaktorAlter)*$L67*$D67*0.5*(VLOOKUP($CU67-CZ$103,Frauen!$G$9:$J$102,4)+VLOOKUP($CU67-CZ$103+1,Frauen!$G$9:$J$102,4))*0.5*(VLOOKUP($CU67-CZ$103,Frauen!$AZ$9:$BD$102,5)+VLOOKUP($CU67-CZ$103+1,Frauen!$AZ$9:$BD$102,5)),RundDx)))</f>
        <v/>
      </c>
      <c r="DA67" s="25" t="str">
        <f>IF($CU67&gt;=RAM,"",IF($CU67-DA$103&lt;BeginnAlter,"",ROUND(v^($CU67+FaktorAlter)*$L67*$D67*0.5*(VLOOKUP($CU67-DA$103,Frauen!$G$9:$J$102,4)+VLOOKUP($CU67-DA$103+1,Frauen!$G$9:$J$102,4))*0.5*(VLOOKUP($CU67-DA$103,Frauen!$AZ$9:$BD$102,5)+VLOOKUP($CU67-DA$103+1,Frauen!$AZ$9:$BD$102,5)),RundDx)))</f>
        <v/>
      </c>
      <c r="DB67" s="25" t="str">
        <f>IF($CU67&gt;=RAM,"",IF($CU67-DB$103&lt;BeginnAlter,"",ROUND(v^($CU67+FaktorAlter)*$L67*$D67*0.5*(VLOOKUP($CU67-DB$103,Frauen!$G$9:$J$102,4)+VLOOKUP($CU67-DB$103+1,Frauen!$G$9:$J$102,4))*0.5*(VLOOKUP($CU67-DB$103,Frauen!$AZ$9:$BD$102,5)+VLOOKUP($CU67-DB$103+1,Frauen!$AZ$9:$BD$102,5)),RundDx)))</f>
        <v/>
      </c>
      <c r="DC67" s="25" t="str">
        <f>IF($CU67&gt;=RAM,"",IF($CU67-DC$103&lt;BeginnAlter,"",ROUND(v^($CU67+FaktorAlter)*$L67*$D67*0.5*(VLOOKUP($CU67-DC$103,Frauen!$G$9:$J$102,4)+VLOOKUP($CU67-DC$103+1,Frauen!$G$9:$J$102,4))*0.5*(VLOOKUP($CU67-DC$103,Frauen!$AZ$9:$BD$102,5)+VLOOKUP($CU67-DC$103+1,Frauen!$AZ$9:$BD$102,5)),RundDx)))</f>
        <v/>
      </c>
      <c r="DD67" s="25" t="str">
        <f>IF($CU67&gt;=RAM,"",IF($CU67-DD$103&lt;BeginnAlter,"",ROUND(v^($CU67+FaktorAlter)*$L67*$D67*0.5*(VLOOKUP($CU67-DD$103,Frauen!$G$9:$J$102,4)+VLOOKUP($CU67-DD$103+1,Frauen!$G$9:$J$102,4))*0.5*(VLOOKUP($CU67-DD$103,Frauen!$AZ$9:$BD$102,5)+VLOOKUP($CU67-DD$103+1,Frauen!$AZ$9:$BD$102,5)),RundDx)))</f>
        <v/>
      </c>
      <c r="DE67" s="25" t="str">
        <f>IF($CU67&gt;=RAM,"",IF($CU67-DE$103&lt;BeginnAlter,"",ROUND(v^($CU67+FaktorAlter)*$L67*$D67*0.5*(VLOOKUP($CU67-DE$103,Frauen!$G$9:$J$102,4)+VLOOKUP($CU67-DE$103+1,Frauen!$G$9:$J$102,4))*0.5*(VLOOKUP($CU67-DE$103,Frauen!$AZ$9:$BD$102,5)+VLOOKUP($CU67-DE$103+1,Frauen!$AZ$9:$BD$102,5)),RundDx)))</f>
        <v/>
      </c>
      <c r="DF67" s="25" t="str">
        <f>IF($CU67&gt;=RAM,"",IF($CU67-DF$103&lt;BeginnAlter,"",ROUND(v^($CU67+FaktorAlter)*$L67*$D67*0.5*(VLOOKUP($CU67-DF$103,Frauen!$G$9:$J$102,4)+VLOOKUP($CU67-DF$103+1,Frauen!$G$9:$J$102,4))*0.5*(VLOOKUP($CU67-DF$103,Frauen!$AZ$9:$BD$102,5)+VLOOKUP($CU67-DF$103+1,Frauen!$AZ$9:$BD$102,5)),RundDx)))</f>
        <v/>
      </c>
      <c r="DG67" s="25" t="str">
        <f>IF($CU67&gt;=RAM,"",IF($CU67-DG$103&lt;BeginnAlter,"",ROUND(v^($CU67+FaktorAlter)*$L67*$D67*0.5*(VLOOKUP($CU67-DG$103,Frauen!$G$9:$J$102,4)+VLOOKUP($CU67-DG$103+1,Frauen!$G$9:$J$102,4))*0.5*(VLOOKUP($CU67-DG$103,Frauen!$AZ$9:$BD$102,5)+VLOOKUP($CU67-DG$103+1,Frauen!$AZ$9:$BD$102,5)),RundDx)))</f>
        <v/>
      </c>
      <c r="DH67" s="25" t="str">
        <f>IF($CU67&gt;=RAM,"",IF($CU67-DH$103&lt;BeginnAlter,"",ROUND(v^($CU67+FaktorAlter)*$L67*$D67*0.5*(VLOOKUP($CU67-DH$103,Frauen!$G$9:$J$102,4)+VLOOKUP($CU67-DH$103+1,Frauen!$G$9:$J$102,4))*0.5*(VLOOKUP($CU67-DH$103,Frauen!$AZ$9:$BD$102,5)+VLOOKUP($CU67-DH$103+1,Frauen!$AZ$9:$BD$102,5)),RundDx)))</f>
        <v/>
      </c>
      <c r="DI67" s="25" t="str">
        <f>IF($CU67&gt;=RAM,"",IF($CU67-DI$103&lt;BeginnAlter,"",ROUND(v^($CU67+FaktorAlter)*$L67*$D67*0.5*(VLOOKUP($CU67-DI$103,Frauen!$G$9:$J$102,4)+VLOOKUP($CU67-DI$103+1,Frauen!$G$9:$J$102,4))*0.5*(VLOOKUP($CU67-DI$103,Frauen!$AZ$9:$BD$102,5)+VLOOKUP($CU67-DI$103+1,Frauen!$AZ$9:$BD$102,5)),RundDx)))</f>
        <v/>
      </c>
      <c r="DJ67" s="25" t="str">
        <f>IF($CU67&gt;=RAM,"",IF($CU67-DJ$103&lt;BeginnAlter,"",ROUND(v^($CU67+FaktorAlter)*$L67*$D67*0.5*(VLOOKUP($CU67-DJ$103,Frauen!$G$9:$J$102,4)+VLOOKUP($CU67-DJ$103+1,Frauen!$G$9:$J$102,4))*0.5*(VLOOKUP($CU67-DJ$103,Frauen!$AZ$9:$BD$102,5)+VLOOKUP($CU67-DJ$103+1,Frauen!$AZ$9:$BD$102,5)),RundDx)))</f>
        <v/>
      </c>
      <c r="DK67" s="25" t="str">
        <f>IF($CU67&gt;=RAM,"",IF($CU67-DK$103&lt;BeginnAlter,"",ROUND(v^($CU67+FaktorAlter)*$L67*$D67*0.5*(VLOOKUP($CU67-DK$103,Frauen!$G$9:$J$102,4)+VLOOKUP($CU67-DK$103+1,Frauen!$G$9:$J$102,4))*0.5*(VLOOKUP($CU67-DK$103,Frauen!$AZ$9:$BD$102,5)+VLOOKUP($CU67-DK$103+1,Frauen!$AZ$9:$BD$102,5)),RundDx)))</f>
        <v/>
      </c>
      <c r="DL67" s="25" t="str">
        <f>IF($CU67&gt;=RAM,"",IF($CU67-DL$103&lt;BeginnAlter,"",ROUND(v^($CU67+FaktorAlter)*$L67*$D67*0.5*(VLOOKUP($CU67-DL$103,Frauen!$G$9:$J$102,4)+VLOOKUP($CU67-DL$103+1,Frauen!$G$9:$J$102,4))*0.5*(VLOOKUP($CU67-DL$103,Frauen!$AZ$9:$BD$102,5)+VLOOKUP($CU67-DL$103+1,Frauen!$AZ$9:$BD$102,5)),RundDx)))</f>
        <v/>
      </c>
      <c r="DM67" s="25" t="str">
        <f>IF($CU67&gt;=RAM,"",IF($CU67-DM$103&lt;BeginnAlter,"",ROUND(v^($CU67+FaktorAlter)*$L67*$D67*0.5*(VLOOKUP($CU67-DM$103,Frauen!$G$9:$J$102,4)+VLOOKUP($CU67-DM$103+1,Frauen!$G$9:$J$102,4))*0.5*(VLOOKUP($CU67-DM$103,Frauen!$AZ$9:$BD$102,5)+VLOOKUP($CU67-DM$103+1,Frauen!$AZ$9:$BD$102,5)),RundDx)))</f>
        <v/>
      </c>
      <c r="DN67" s="25" t="str">
        <f>IF($CU67&gt;=RAM,"",IF($CU67-DN$103&lt;BeginnAlter,"",ROUND(v^($CU67+FaktorAlter)*$L67*$D67*0.5*(VLOOKUP($CU67-DN$103,Frauen!$G$9:$J$102,4)+VLOOKUP($CU67-DN$103+1,Frauen!$G$9:$J$102,4))*0.5*(VLOOKUP($CU67-DN$103,Frauen!$AZ$9:$BD$102,5)+VLOOKUP($CU67-DN$103+1,Frauen!$AZ$9:$BD$102,5)),RundDx)))</f>
        <v/>
      </c>
      <c r="DO67" s="25" t="str">
        <f>IF($CU67&gt;=RAM,"",IF($CU67-DO$103&lt;BeginnAlter,"",ROUND(v^($CU67+FaktorAlter)*$L67*$D67*0.5*(VLOOKUP($CU67-DO$103,Frauen!$G$9:$J$102,4)+VLOOKUP($CU67-DO$103+1,Frauen!$G$9:$J$102,4))*0.5*(VLOOKUP($CU67-DO$103,Frauen!$AZ$9:$BD$102,5)+VLOOKUP($CU67-DO$103+1,Frauen!$AZ$9:$BD$102,5)),RundDx)))</f>
        <v/>
      </c>
      <c r="DP67" s="25" t="str">
        <f>IF($CU67&gt;=RAM,"",IF($CU67-DP$103&lt;BeginnAlter,"",ROUND(v^($CU67+FaktorAlter)*$L67*$D67*0.5*(VLOOKUP($CU67-DP$103,Frauen!$G$9:$J$102,4)+VLOOKUP($CU67-DP$103+1,Frauen!$G$9:$J$102,4))*0.5*(VLOOKUP($CU67-DP$103,Frauen!$AZ$9:$BD$102,5)+VLOOKUP($CU67-DP$103+1,Frauen!$AZ$9:$BD$102,5)),RundDx)))</f>
        <v/>
      </c>
      <c r="DQ67" s="25" t="str">
        <f>IF($CU67&gt;=RAM,"",IF($CU67-DQ$103&lt;BeginnAlter,"",ROUND(v^($CU67+FaktorAlter)*$L67*$D67*0.5*(VLOOKUP($CU67-DQ$103,Frauen!$G$9:$J$102,4)+VLOOKUP($CU67-DQ$103+1,Frauen!$G$9:$J$102,4))*0.5*(VLOOKUP($CU67-DQ$103,Frauen!$AZ$9:$BD$102,5)+VLOOKUP($CU67-DQ$103+1,Frauen!$AZ$9:$BD$102,5)),RundDx)))</f>
        <v/>
      </c>
      <c r="DR67" s="25" t="str">
        <f>IF($CU67&gt;=RAM,"",IF($CU67-DR$103&lt;BeginnAlter,"",ROUND(v^($CU67+FaktorAlter)*$L67*$D67*0.5*(VLOOKUP($CU67-DR$103,Frauen!$G$9:$J$102,4)+VLOOKUP($CU67-DR$103+1,Frauen!$G$9:$J$102,4))*0.5*(VLOOKUP($CU67-DR$103,Frauen!$AZ$9:$BD$102,5)+VLOOKUP($CU67-DR$103+1,Frauen!$AZ$9:$BD$102,5)),RundDx)))</f>
        <v/>
      </c>
      <c r="DS67" s="25" t="str">
        <f>IF($CU67&gt;=RAM,"",IF($CU67-DS$103&lt;BeginnAlter,"",ROUND(v^($CU67+FaktorAlter)*$L67*$D67*0.5*(VLOOKUP($CU67-DS$103,Frauen!$G$9:$J$102,4)+VLOOKUP($CU67-DS$103+1,Frauen!$G$9:$J$102,4))*0.5*(VLOOKUP($CU67-DS$103,Frauen!$AZ$9:$BD$102,5)+VLOOKUP($CU67-DS$103+1,Frauen!$AZ$9:$BD$102,5)),RundDx)))</f>
        <v/>
      </c>
      <c r="DT67" s="25" t="str">
        <f>IF($CU67&gt;=RAM,"",IF($CU67-DT$103&lt;BeginnAlter,"",ROUND(v^($CU67+FaktorAlter)*$L67*$D67*0.5*(VLOOKUP($CU67-DT$103,Frauen!$G$9:$J$102,4)+VLOOKUP($CU67-DT$103+1,Frauen!$G$9:$J$102,4))*0.5*(VLOOKUP($CU67-DT$103,Frauen!$AZ$9:$BD$102,5)+VLOOKUP($CU67-DT$103+1,Frauen!$AZ$9:$BD$102,5)),RundDx)))</f>
        <v/>
      </c>
      <c r="DU67" s="25" t="str">
        <f>IF($CU67&gt;=RAM,"",IF($CU67-DU$103&lt;BeginnAlter,"",ROUND(v^($CU67+FaktorAlter)*$L67*$D67*0.5*(VLOOKUP($CU67-DU$103,Frauen!$G$9:$J$102,4)+VLOOKUP($CU67-DU$103+1,Frauen!$G$9:$J$102,4))*0.5*(VLOOKUP($CU67-DU$103,Frauen!$AZ$9:$BD$102,5)+VLOOKUP($CU67-DU$103+1,Frauen!$AZ$9:$BD$102,5)),RundDx)))</f>
        <v/>
      </c>
      <c r="DV67" s="25" t="str">
        <f>IF($CU67&gt;=RAM,"",IF($CU67-DV$103&lt;BeginnAlter,"",ROUND(v^($CU67+FaktorAlter)*$L67*$D67*0.5*(VLOOKUP($CU67-DV$103,Frauen!$G$9:$J$102,4)+VLOOKUP($CU67-DV$103+1,Frauen!$G$9:$J$102,4))*0.5*(VLOOKUP($CU67-DV$103,Frauen!$AZ$9:$BD$102,5)+VLOOKUP($CU67-DV$103+1,Frauen!$AZ$9:$BD$102,5)),RundDx)))</f>
        <v/>
      </c>
      <c r="DW67" s="25" t="str">
        <f>IF($CU67&gt;=RAM,"",IF($CU67-DW$103&lt;BeginnAlter,"",ROUND(v^($CU67+FaktorAlter)*$L67*$D67*0.5*(VLOOKUP($CU67-DW$103,Frauen!$G$9:$J$102,4)+VLOOKUP($CU67-DW$103+1,Frauen!$G$9:$J$102,4))*0.5*(VLOOKUP($CU67-DW$103,Frauen!$AZ$9:$BD$102,5)+VLOOKUP($CU67-DW$103+1,Frauen!$AZ$9:$BD$102,5)),RundDx)))</f>
        <v/>
      </c>
      <c r="DX67" s="25" t="str">
        <f>IF($CU67&gt;=RAM,"",IF($CU67-DX$103&lt;BeginnAlter,"",ROUND(v^($CU67+FaktorAlter)*$L67*$D67*0.5*(VLOOKUP($CU67-DX$103,Frauen!$G$9:$J$102,4)+VLOOKUP($CU67-DX$103+1,Frauen!$G$9:$J$102,4))*0.5*(VLOOKUP($CU67-DX$103,Frauen!$AZ$9:$BD$102,5)+VLOOKUP($CU67-DX$103+1,Frauen!$AZ$9:$BD$102,5)),RundDx)))</f>
        <v/>
      </c>
      <c r="DY67" s="25" t="str">
        <f>IF($CU67&gt;=RAM,"",IF($CU67-DY$103&lt;BeginnAlter,"",ROUND(v^($CU67+FaktorAlter)*$L67*$D67*0.5*(VLOOKUP($CU67-DY$103,Frauen!$G$9:$J$102,4)+VLOOKUP($CU67-DY$103+1,Frauen!$G$9:$J$102,4))*0.5*(VLOOKUP($CU67-DY$103,Frauen!$AZ$9:$BD$102,5)+VLOOKUP($CU67-DY$103+1,Frauen!$AZ$9:$BD$102,5)),RundDx)))</f>
        <v/>
      </c>
      <c r="DZ67" s="25" t="str">
        <f>IF($CU67&gt;=RAM,"",IF($CU67-DZ$103&lt;BeginnAlter,"",ROUND(v^($CU67+FaktorAlter)*$L67*$D67*0.5*(VLOOKUP($CU67-DZ$103,Frauen!$G$9:$J$102,4)+VLOOKUP($CU67-DZ$103+1,Frauen!$G$9:$J$102,4))*0.5*(VLOOKUP($CU67-DZ$103,Frauen!$AZ$9:$BD$102,5)+VLOOKUP($CU67-DZ$103+1,Frauen!$AZ$9:$BD$102,5)),RundDx)))</f>
        <v/>
      </c>
      <c r="EA67" s="43" t="str">
        <f>IF($CU67&gt;=RAM,"",IF($CU67-EA$103&lt;BeginnAlter,"",ROUND((SUM(CV$56:CV67)+SUM(FN$9:FN$56))/VLOOKUP($CU67,$AH$9:$AI$102,2)/VLOOKUP($CU67-EA$103,Frauen!$G$9:$J$102,4),Rundäx)))</f>
        <v/>
      </c>
      <c r="EB67" s="43" t="str">
        <f>IF($CU67&gt;=RAM,"",IF($CU67-EB$103&lt;BeginnAlter,"",ROUND((SUM(CW$56:CW67)+SUM(FO$9:FO$56))/VLOOKUP($CU67,$AH$9:$AI$102,2)/VLOOKUP($CU67-EB$103,Frauen!$G$9:$J$102,4),Rundäx)))</f>
        <v/>
      </c>
      <c r="EC67" s="43" t="str">
        <f>IF($CU67&gt;=RAM,"",IF($CU67-EC$103&lt;BeginnAlter,"",ROUND((SUM(CX$56:CX67)+SUM(FP$9:FP$56))/VLOOKUP($CU67,$AH$9:$AI$102,2)/VLOOKUP($CU67-EC$103,Frauen!$G$9:$J$102,4),Rundäx)))</f>
        <v/>
      </c>
      <c r="ED67" s="43" t="str">
        <f>IF($CU67&gt;=RAM,"",IF($CU67-ED$103&lt;BeginnAlter,"",ROUND((SUM(CY$56:CY67)+SUM(FQ$9:FQ$56))/VLOOKUP($CU67,$AH$9:$AI$102,2)/VLOOKUP($CU67-ED$103,Frauen!$G$9:$J$102,4),Rundäx)))</f>
        <v/>
      </c>
      <c r="EE67" s="43" t="str">
        <f>IF($CU67&gt;=RAM,"",IF($CU67-EE$103&lt;BeginnAlter,"",ROUND((SUM(CZ$56:CZ67)+SUM(FR$9:FR$56))/VLOOKUP($CU67,$AH$9:$AI$102,2)/VLOOKUP($CU67-EE$103,Frauen!$G$9:$J$102,4),Rundäx)))</f>
        <v/>
      </c>
      <c r="EF67" s="43" t="str">
        <f>IF($CU67&gt;=RAM,"",IF($CU67-EF$103&lt;BeginnAlter,"",ROUND((SUM(DA$56:DA67)+SUM(FS$9:FS$56))/VLOOKUP($CU67,$AH$9:$AI$102,2)/VLOOKUP($CU67-EF$103,Frauen!$G$9:$J$102,4),Rundäx)))</f>
        <v/>
      </c>
      <c r="EG67" s="43" t="str">
        <f>IF($CU67&gt;=RAM,"",IF($CU67-EG$103&lt;BeginnAlter,"",ROUND((SUM(DB$56:DB67)+SUM(FT$9:FT$56))/VLOOKUP($CU67,$AH$9:$AI$102,2)/VLOOKUP($CU67-EG$103,Frauen!$G$9:$J$102,4),Rundäx)))</f>
        <v/>
      </c>
      <c r="EH67" s="43" t="str">
        <f>IF($CU67&gt;=RAM,"",IF($CU67-EH$103&lt;BeginnAlter,"",ROUND((SUM(DC$56:DC67)+SUM(FU$9:FU$56))/VLOOKUP($CU67,$AH$9:$AI$102,2)/VLOOKUP($CU67-EH$103,Frauen!$G$9:$J$102,4),Rundäx)))</f>
        <v/>
      </c>
      <c r="EI67" s="86"/>
      <c r="EJ67" s="35">
        <f t="shared" si="60"/>
        <v>75</v>
      </c>
      <c r="EK67" s="43" t="str">
        <f>IF($CU67&gt;=RAM,"",IF($CU67-EK$103&lt;BeginnAlter,"",ROUND((SUM(DD$56:DD67)+SUM(FV$9:FV$56))/VLOOKUP($CU67,$AH$9:$AI$102,2)/VLOOKUP($CU67-EK$103,Frauen!$G$9:$J$102,4),Rundäx)))</f>
        <v/>
      </c>
      <c r="EL67" s="43" t="str">
        <f>IF($CU67&gt;=RAM,"",IF($CU67-EL$103&lt;BeginnAlter,"",ROUND((SUM(DE$56:DE67)+SUM(FW$9:FW$56))/VLOOKUP($CU67,$AH$9:$AI$102,2)/VLOOKUP($CU67-EL$103,Frauen!$G$9:$J$102,4),Rundäx)))</f>
        <v/>
      </c>
      <c r="EM67" s="43" t="str">
        <f>IF($CU67&gt;=RAM,"",IF($CU67-EM$103&lt;BeginnAlter,"",ROUND((SUM(DF$56:DF67)+SUM(FX$9:FX$56))/VLOOKUP($CU67,$AH$9:$AI$102,2)/VLOOKUP($CU67-EM$103,Frauen!$G$9:$J$102,4),Rundäx)))</f>
        <v/>
      </c>
      <c r="EN67" s="43" t="str">
        <f>IF($CU67&gt;=RAM,"",IF($CU67-EN$103&lt;BeginnAlter,"",ROUND((SUM(DG$56:DG67)+SUM(FY$9:FY$56))/VLOOKUP($CU67,$AH$9:$AI$102,2)/VLOOKUP($CU67-EN$103,Frauen!$G$9:$J$102,4),Rundäx)))</f>
        <v/>
      </c>
      <c r="EO67" s="43" t="str">
        <f>IF($CU67&gt;=RAM,"",IF($CU67-EO$103&lt;BeginnAlter,"",ROUND((SUM(DH$56:DH67)+SUM(FZ$9:FZ$56))/VLOOKUP($CU67,$AH$9:$AI$102,2)/VLOOKUP($CU67-EO$103,Frauen!$G$9:$J$102,4),Rundäx)))</f>
        <v/>
      </c>
      <c r="EP67" s="43" t="str">
        <f>IF($CU67&gt;=RAM,"",IF($CU67-EP$103&lt;BeginnAlter,"",ROUND((SUM(DI$56:DI67)+SUM(GA$9:GA$56))/VLOOKUP($CU67,$AH$9:$AI$102,2)/VLOOKUP($CU67-EP$103,Frauen!$G$9:$J$102,4),Rundäx)))</f>
        <v/>
      </c>
      <c r="EQ67" s="43" t="str">
        <f>IF($CU67&gt;=RAM,"",IF($CU67-EQ$103&lt;BeginnAlter,"",ROUND((SUM(DJ$56:DJ67)+SUM(GB$9:GB$56))/VLOOKUP($CU67,$AH$9:$AI$102,2)/VLOOKUP($CU67-EQ$103,Frauen!$G$9:$J$102,4),Rundäx)))</f>
        <v/>
      </c>
      <c r="ER67" s="43" t="str">
        <f>IF($CU67&gt;=RAM,"",IF($CU67-ER$103&lt;BeginnAlter,"",ROUND((SUM(DK$56:DK67)+SUM(GC$9:GC$56))/VLOOKUP($CU67,$AH$9:$AI$102,2)/VLOOKUP($CU67-ER$103,Frauen!$G$9:$J$102,4),Rundäx)))</f>
        <v/>
      </c>
      <c r="ES67" s="86"/>
      <c r="ET67" s="35">
        <f t="shared" si="61"/>
        <v>75</v>
      </c>
      <c r="EU67" s="43" t="str">
        <f>IF($CU67&gt;=RAM,"",IF($CU67-EU$103&lt;BeginnAlter,"",ROUND((SUM(DL$56:DL67)+SUM(GD$9:GD$56))/VLOOKUP($CU67,$AH$9:$AI$102,2)/VLOOKUP($CU67-EU$103,Frauen!$G$9:$J$102,4),Rundäx)))</f>
        <v/>
      </c>
      <c r="EV67" s="43" t="str">
        <f>IF($CU67&gt;=RAM,"",IF($CU67-EV$103&lt;BeginnAlter,"",ROUND((SUM(DM$56:DM67)+SUM(GE$9:GE$56))/VLOOKUP($CU67,$AH$9:$AI$102,2)/VLOOKUP($CU67-EV$103,Frauen!$G$9:$J$102,4),Rundäx)))</f>
        <v/>
      </c>
      <c r="EW67" s="43" t="str">
        <f>IF($CU67&gt;=RAM,"",IF($CU67-EW$103&lt;BeginnAlter,"",ROUND((SUM(DN$56:DN67)+SUM(GF$9:GF$56))/VLOOKUP($CU67,$AH$9:$AI$102,2)/VLOOKUP($CU67-EW$103,Frauen!$G$9:$J$102,4),Rundäx)))</f>
        <v/>
      </c>
      <c r="EX67" s="43" t="str">
        <f>IF($CU67&gt;=RAM,"",IF($CU67-EX$103&lt;BeginnAlter,"",ROUND((SUM(DO$56:DO67)+SUM(GG$9:GG$56))/VLOOKUP($CU67,$AH$9:$AI$102,2)/VLOOKUP($CU67-EX$103,Frauen!$G$9:$J$102,4),Rundäx)))</f>
        <v/>
      </c>
      <c r="EY67" s="43" t="str">
        <f>IF($CU67&gt;=RAM,"",IF($CU67-EY$103&lt;BeginnAlter,"",ROUND((SUM(DP$56:DP67)+SUM(GH$9:GH$56))/VLOOKUP($CU67,$AH$9:$AI$102,2)/VLOOKUP($CU67-EY$103,Frauen!$G$9:$J$102,4),Rundäx)))</f>
        <v/>
      </c>
      <c r="EZ67" s="43" t="str">
        <f>IF($CU67&gt;=RAM,"",IF($CU67-EZ$103&lt;BeginnAlter,"",ROUND((SUM(DQ$56:DQ67)+SUM(GI$9:GI$56))/VLOOKUP($CU67,$AH$9:$AI$102,2)/VLOOKUP($CU67-EZ$103,Frauen!$G$9:$J$102,4),Rundäx)))</f>
        <v/>
      </c>
      <c r="FA67" s="43" t="str">
        <f>IF($CU67&gt;=RAM,"",IF($CU67-FA$103&lt;BeginnAlter,"",ROUND((SUM(DR$56:DR67)+SUM(GJ$9:GJ$56))/VLOOKUP($CU67,$AH$9:$AI$102,2)/VLOOKUP($CU67-FA$103,Frauen!$G$9:$J$102,4),Rundäx)))</f>
        <v/>
      </c>
      <c r="FB67" s="43" t="str">
        <f>IF($CU67&gt;=RAM,"",IF($CU67-FB$103&lt;BeginnAlter,"",ROUND((SUM(DS$56:DS67)+SUM(GK$9:GK$56))/VLOOKUP($CU67,$AH$9:$AI$102,2)/VLOOKUP($CU67-FB$103,Frauen!$G$9:$J$102,4),Rundäx)))</f>
        <v/>
      </c>
      <c r="FC67" s="86"/>
      <c r="FD67" s="35">
        <f t="shared" si="62"/>
        <v>75</v>
      </c>
      <c r="FE67" s="43" t="str">
        <f>IF($CU67&gt;=RAM,"",IF($CU67-FE$103&lt;BeginnAlter,"",ROUND((SUM(DT$56:DT67)+SUM(GL$9:GL$56))/VLOOKUP($CU67,$AH$9:$AI$102,2)/VLOOKUP($CU67-FE$103,Frauen!$G$9:$J$102,4),Rundäx)))</f>
        <v/>
      </c>
      <c r="FF67" s="43" t="str">
        <f>IF($CU67&gt;=RAM,"",IF($CU67-FF$103&lt;BeginnAlter,"",ROUND((SUM(DU$56:DU67)+SUM(GM$9:GM$56))/VLOOKUP($CU67,$AH$9:$AI$102,2)/VLOOKUP($CU67-FF$103,Frauen!$G$9:$J$102,4),Rundäx)))</f>
        <v/>
      </c>
      <c r="FG67" s="43" t="str">
        <f>IF($CU67&gt;=RAM,"",IF($CU67-FG$103&lt;BeginnAlter,"",ROUND((SUM(DV$56:DV67)+SUM(GN$9:GN$56))/VLOOKUP($CU67,$AH$9:$AI$102,2)/VLOOKUP($CU67-FG$103,Frauen!$G$9:$J$102,4),Rundäx)))</f>
        <v/>
      </c>
      <c r="FH67" s="43" t="str">
        <f>IF($CU67&gt;=RAM,"",IF($CU67-FH$103&lt;BeginnAlter,"",ROUND((SUM(DW$56:DW67)+SUM(GO$9:GO$56))/VLOOKUP($CU67,$AH$9:$AI$102,2)/VLOOKUP($CU67-FH$103,Frauen!$G$9:$J$102,4),Rundäx)))</f>
        <v/>
      </c>
      <c r="FI67" s="43" t="str">
        <f>IF($CU67&gt;=RAM,"",IF($CU67-FI$103&lt;BeginnAlter,"",ROUND((SUM(DX$56:DX67)+SUM(GP$9:GP$56))/VLOOKUP($CU67,$AH$9:$AI$102,2)/VLOOKUP($CU67-FI$103,Frauen!$G$9:$J$102,4),Rundäx)))</f>
        <v/>
      </c>
      <c r="FJ67" s="43" t="str">
        <f>IF($CU67&gt;=RAM,"",IF($CU67-FJ$103&lt;BeginnAlter,"",ROUND((SUM(DY$56:DY67)+SUM(GQ$9:GQ$56))/VLOOKUP($CU67,$AH$9:$AI$102,2)/VLOOKUP($CU67-FJ$103,Frauen!$G$9:$J$102,4),Rundäx)))</f>
        <v/>
      </c>
      <c r="FK67" s="43" t="str">
        <f>IF($CU67&gt;=RAM,"",IF($CU67-FK$103&lt;BeginnAlter,"",ROUND((SUM(DZ$56:DZ67)+SUM(GR$9:GR$56))/VLOOKUP($CU67,$AH$9:$AI$102,2)/VLOOKUP($CU67-FK$103,Frauen!$G$9:$J$102,4),Rundäx)))</f>
        <v/>
      </c>
      <c r="FL67" s="86"/>
      <c r="FM67" s="35">
        <f t="shared" si="68"/>
        <v>123</v>
      </c>
      <c r="FN67" s="25"/>
      <c r="FO67" s="25"/>
      <c r="FP67" s="25"/>
      <c r="FQ67" s="25"/>
      <c r="FR67" s="25"/>
      <c r="FS67" s="25"/>
      <c r="FT67" s="25"/>
      <c r="FU67" s="25"/>
      <c r="FV67" s="25"/>
      <c r="FW67" s="25"/>
      <c r="FX67" s="25"/>
      <c r="FY67" s="25"/>
      <c r="FZ67" s="25"/>
      <c r="GA67" s="25"/>
      <c r="GB67" s="25"/>
      <c r="GC67" s="25"/>
      <c r="GD67" s="25"/>
      <c r="GE67" s="25"/>
      <c r="GF67" s="25"/>
      <c r="GG67" s="25"/>
      <c r="GH67" s="25"/>
      <c r="GI67" s="25"/>
      <c r="GJ67" s="25"/>
      <c r="GK67" s="25"/>
      <c r="GL67" s="25"/>
      <c r="GM67" s="25"/>
      <c r="GN67" s="25"/>
      <c r="GO67" s="25"/>
      <c r="GP67" s="25"/>
      <c r="GQ67" s="25"/>
      <c r="GR67" s="25"/>
      <c r="GS67" s="24"/>
      <c r="GT67" s="24"/>
      <c r="GU67" s="24" t="str">
        <f>IF(FM67&gt;=RAM," ",#REF!/$AI67/Frauen!$J55)</f>
        <v xml:space="preserve"> </v>
      </c>
      <c r="GV67" s="24" t="str">
        <f>IF(FM67&gt;=RAM," ",#REF!/$AI67/Frauen!$J58)</f>
        <v xml:space="preserve"> </v>
      </c>
      <c r="GW67" s="24" t="str">
        <f>IF(FM67&gt;=RAM," ",#REF!/$AI67/Frauen!$J61)</f>
        <v xml:space="preserve"> </v>
      </c>
      <c r="GX67" s="24" t="str">
        <f>IF(FM67&gt;=RAM," ",#REF!/$AI67/Frauen!$J64)</f>
        <v xml:space="preserve"> </v>
      </c>
      <c r="GY67" s="24" t="str">
        <f>IF(FM67&gt;=RAM," ",#REF!/$AI67/Frauen!$J67)</f>
        <v xml:space="preserve"> </v>
      </c>
      <c r="GZ67" s="24" t="str">
        <f>IF(FM67&gt;=RAM," ",#REF!/$AI67/Frauen!$J70)</f>
        <v xml:space="preserve"> </v>
      </c>
      <c r="HA67" s="86"/>
      <c r="HB67" s="35">
        <f t="shared" si="63"/>
        <v>123</v>
      </c>
      <c r="HC67" s="24"/>
      <c r="HD67" s="24"/>
      <c r="HE67" s="24"/>
      <c r="HF67" s="24"/>
      <c r="HG67" s="24"/>
      <c r="HH67" s="24"/>
      <c r="HI67" s="24"/>
      <c r="HJ67" s="24"/>
      <c r="HK67" s="86"/>
      <c r="HL67" s="35">
        <f t="shared" si="64"/>
        <v>123</v>
      </c>
      <c r="HM67" s="24"/>
      <c r="HN67" s="24"/>
      <c r="HO67" s="24"/>
      <c r="HP67" s="24"/>
      <c r="HQ67" s="24"/>
      <c r="HR67" s="24"/>
      <c r="HS67" s="24"/>
      <c r="HT67" s="24"/>
      <c r="HU67" s="86"/>
      <c r="HV67" s="35">
        <f t="shared" si="65"/>
        <v>123</v>
      </c>
      <c r="HW67" s="24"/>
      <c r="HX67" s="24"/>
      <c r="HY67" s="24"/>
      <c r="HZ67" s="24"/>
      <c r="IA67" s="24"/>
      <c r="IB67" s="24"/>
      <c r="IC67" s="24"/>
      <c r="ID67" s="89"/>
      <c r="IE67" s="35">
        <f t="shared" si="81"/>
        <v>75</v>
      </c>
      <c r="IF67" s="25" t="str">
        <f t="shared" si="31"/>
        <v/>
      </c>
      <c r="IG67" s="25" t="str">
        <f>IF($IE67&lt;RAM,IF(S68&lt;=RAK,ROUND(SUM(IF67:INDEX(Dakx,RAM-BeginnAlter))+INDEX(Dax,RAM-BeginnAlter+1)*INDEX(äkx,1),RundDx),0),"")</f>
        <v/>
      </c>
      <c r="IH67" s="25" t="str">
        <f>IF($IE67&lt;RAM,IF(S68&lt;=RAK,ROUND(SUM(IG67:INDEX(Nakx,RAM-BeginnAlter))+INDEX(Dax,RAM-BeginnAlter+1)*INDEX(äkx,1),RundDx),0),"")</f>
        <v/>
      </c>
      <c r="II67" s="24" t="str">
        <f t="shared" si="32"/>
        <v/>
      </c>
      <c r="IJ67" s="25" t="str">
        <f t="shared" si="33"/>
        <v/>
      </c>
      <c r="IK67" s="25" t="str">
        <f>IF($IE67&lt;RAM,IF(S68&lt;=RAK,SUM(IJ67:INDEX(Dikx,RAM-BeginnAlter))+INDEX(Dix,RAM-BeginnAlter+1)*INDEX(äkx,1),0),"")</f>
        <v/>
      </c>
      <c r="IL67" s="24" t="str">
        <f t="shared" si="34"/>
        <v/>
      </c>
      <c r="IM67" s="86"/>
      <c r="IN67" s="35">
        <f t="shared" si="67"/>
        <v>123</v>
      </c>
      <c r="IO67" s="25"/>
      <c r="IP67" s="25"/>
      <c r="IQ67" s="24"/>
      <c r="IR67" s="86"/>
    </row>
    <row r="68" spans="1:252" ht="15.75" customHeight="1" x14ac:dyDescent="0.25">
      <c r="A68" s="35">
        <f t="shared" si="69"/>
        <v>76</v>
      </c>
      <c r="B68" s="77"/>
      <c r="C68" s="77"/>
      <c r="D68" s="77"/>
      <c r="E68" s="77">
        <v>4.1388308639620557E-2</v>
      </c>
      <c r="F68" s="86"/>
      <c r="G68" s="35">
        <f t="shared" si="70"/>
        <v>76</v>
      </c>
      <c r="H68" s="25" t="str">
        <f t="shared" si="37"/>
        <v/>
      </c>
      <c r="I68" s="25" t="str">
        <f t="shared" si="38"/>
        <v/>
      </c>
      <c r="J68" s="25">
        <f t="shared" si="39"/>
        <v>66135</v>
      </c>
      <c r="K68" s="30">
        <f>IF(J68&gt;0,ROUND(SUM(J68:J$102)/J68-0.5,Rundex),"")</f>
        <v>10.15</v>
      </c>
      <c r="L68" s="25">
        <f t="shared" si="0"/>
        <v>66135</v>
      </c>
      <c r="M68" s="30">
        <f>IF(L68&gt;0,ROUND(SUM(L68:L$102)/L68-0.5,Rundex),"")</f>
        <v>10.15</v>
      </c>
      <c r="N68" s="86"/>
      <c r="O68" s="35">
        <f t="shared" si="71"/>
        <v>76</v>
      </c>
      <c r="P68" s="43">
        <v>0.7643033226430016</v>
      </c>
      <c r="Q68" s="78">
        <v>71.142277022146274</v>
      </c>
      <c r="R68" s="43">
        <v>4.0000000000000001E-3</v>
      </c>
      <c r="S68" s="78">
        <v>21.915391582522982</v>
      </c>
      <c r="T68" s="15">
        <v>5.1602811957508987E-2</v>
      </c>
      <c r="U68" s="11">
        <f t="shared" si="40"/>
        <v>55469</v>
      </c>
      <c r="V68" s="30">
        <f>IF(U68&gt;0,ROUND(SUM(U68:U$102)/U68-0.5,Rundex),"")</f>
        <v>9.59</v>
      </c>
      <c r="W68" s="86"/>
      <c r="X68" s="35">
        <f t="shared" si="72"/>
        <v>76</v>
      </c>
      <c r="Y68" s="25" t="str">
        <f t="shared" si="1"/>
        <v xml:space="preserve"> </v>
      </c>
      <c r="Z68" s="25" t="str">
        <f>IF($X68&lt;RAM,SUM(Y68:INDEX(Dax,RAM-BeginnAlter))," ")</f>
        <v xml:space="preserve"> </v>
      </c>
      <c r="AA68" s="25" t="str">
        <f t="shared" si="2"/>
        <v xml:space="preserve"> </v>
      </c>
      <c r="AB68" s="25" t="str">
        <f>IF($X68&lt;RAM,SUM(AA68:INDEX(Cax,RAM-BeginnAlter))," ")</f>
        <v xml:space="preserve"> </v>
      </c>
      <c r="AC68" s="25" t="str">
        <f t="shared" si="3"/>
        <v xml:space="preserve"> </v>
      </c>
      <c r="AD68" s="25" t="str">
        <f>IF($X68&lt;RAM,SUM(AC68:INDEX(Caix,RAM-BeginnAlter))," ")</f>
        <v xml:space="preserve"> </v>
      </c>
      <c r="AE68" s="24" t="str">
        <f t="shared" si="4"/>
        <v xml:space="preserve"> </v>
      </c>
      <c r="AF68" s="24" t="str">
        <f t="shared" si="5"/>
        <v xml:space="preserve"> </v>
      </c>
      <c r="AG68" s="86"/>
      <c r="AH68" s="35">
        <f t="shared" si="73"/>
        <v>76</v>
      </c>
      <c r="AI68" s="25" t="str">
        <f t="shared" si="6"/>
        <v xml:space="preserve"> </v>
      </c>
      <c r="AJ68" s="25" t="str">
        <f>IF($AH68&gt;RAM," ",IF($AH68&lt;RAM,SUM(AI68:INDEX(Dix,RAM-BeginnAlter))+INDEX(Nx,RAM-BeginnAlter+1),INDEX(Nx,RAM-BeginnAlter+1)))</f>
        <v xml:space="preserve"> </v>
      </c>
      <c r="AK68" s="25" t="str">
        <f>IF($AH68&lt;RAM,SUM(AI68:INDEX(Dix,RAM-BeginnAlter))," ")</f>
        <v xml:space="preserve"> </v>
      </c>
      <c r="AL68" s="24" t="str">
        <f t="shared" si="7"/>
        <v xml:space="preserve"> </v>
      </c>
      <c r="AM68" s="24" t="str">
        <f t="shared" si="8"/>
        <v xml:space="preserve"> </v>
      </c>
      <c r="AN68" s="24" t="str">
        <f t="shared" si="9"/>
        <v xml:space="preserve"> </v>
      </c>
      <c r="AO68" s="24" t="str">
        <f t="shared" si="10"/>
        <v xml:space="preserve"> </v>
      </c>
      <c r="AP68" s="86"/>
      <c r="AQ68" s="35">
        <f t="shared" si="74"/>
        <v>76</v>
      </c>
      <c r="AR68" s="25">
        <f t="shared" si="11"/>
        <v>12190</v>
      </c>
      <c r="AS68" s="25">
        <f>SUM(AR68:AR$94)</f>
        <v>113254</v>
      </c>
      <c r="AT68" s="25" t="str">
        <f>IF($AQ68&lt;RAM,SUM(AR68:INDEX(Dx,RAM-BeginnAlter))," ")</f>
        <v xml:space="preserve"> </v>
      </c>
      <c r="AU68" s="24">
        <f t="shared" si="12"/>
        <v>9.2910000000000004</v>
      </c>
      <c r="AV68" s="24">
        <f t="shared" si="13"/>
        <v>8.8320000000000007</v>
      </c>
      <c r="AW68" s="24" t="str">
        <f t="shared" si="14"/>
        <v xml:space="preserve"> </v>
      </c>
      <c r="AX68" s="24" t="str">
        <f t="shared" si="15"/>
        <v xml:space="preserve"> </v>
      </c>
      <c r="AY68" s="86"/>
      <c r="AZ68" s="35">
        <f t="shared" si="75"/>
        <v>76</v>
      </c>
      <c r="BA68" s="25">
        <f t="shared" si="16"/>
        <v>10224</v>
      </c>
      <c r="BB68" s="25">
        <f>SUM(BA68:BA$94)</f>
        <v>90321</v>
      </c>
      <c r="BC68" s="24">
        <f t="shared" si="17"/>
        <v>8.8339999999999996</v>
      </c>
      <c r="BD68" s="24">
        <f t="shared" si="18"/>
        <v>8.3759999999999994</v>
      </c>
      <c r="BE68" s="86"/>
      <c r="BF68" s="35">
        <f t="shared" si="48"/>
        <v>59</v>
      </c>
      <c r="BG68" s="24" t="str">
        <f t="shared" si="19"/>
        <v/>
      </c>
      <c r="BH68" s="24" t="str">
        <f t="shared" si="20"/>
        <v/>
      </c>
      <c r="BI68" s="86"/>
      <c r="BJ68" s="35">
        <f t="shared" si="76"/>
        <v>76</v>
      </c>
      <c r="BK68" s="25" t="str">
        <f t="shared" si="21"/>
        <v xml:space="preserve"> </v>
      </c>
      <c r="BL68" s="25" t="str">
        <f>IF(BJ68&lt;RAM,SUM(BK68:INDEX(Daix,RAM-BeginnAlter))," ")</f>
        <v xml:space="preserve"> </v>
      </c>
      <c r="BM68" s="25" t="str">
        <f>IF(BJ68&lt;RAM,SUM(BL68:INDEX(Naix,RAM-BeginnAlter))," ")</f>
        <v xml:space="preserve"> </v>
      </c>
      <c r="BN68" s="24" t="str">
        <f t="shared" si="22"/>
        <v xml:space="preserve"> </v>
      </c>
      <c r="BO68" s="24" t="str">
        <f t="shared" si="23"/>
        <v xml:space="preserve"> </v>
      </c>
      <c r="BP68" s="86"/>
      <c r="BQ68" s="35">
        <f t="shared" si="77"/>
        <v>76</v>
      </c>
      <c r="BR68" s="25" t="str">
        <f t="shared" si="51"/>
        <v xml:space="preserve"> </v>
      </c>
      <c r="BS68" s="25" t="str">
        <f>IF(BQ68&lt;RAM,SUM(BR68:INDEX(Daixs,RAM-BeginnAlter))," ")</f>
        <v xml:space="preserve"> </v>
      </c>
      <c r="BT68" s="25" t="str">
        <f>IF(BQ68&lt;RAM,SUM(BS68:INDEX(Naixs,RAM-BeginnAlter))," ")</f>
        <v xml:space="preserve"> </v>
      </c>
      <c r="BU68" s="24" t="str">
        <f t="shared" si="52"/>
        <v xml:space="preserve"> </v>
      </c>
      <c r="BV68" s="24" t="str">
        <f t="shared" si="53"/>
        <v xml:space="preserve"> </v>
      </c>
      <c r="BW68" s="86"/>
      <c r="BX68" s="35">
        <f t="shared" si="78"/>
        <v>76</v>
      </c>
      <c r="BY68" s="10" t="str">
        <f t="shared" si="24"/>
        <v/>
      </c>
      <c r="BZ68" s="11" t="str">
        <f t="shared" si="25"/>
        <v/>
      </c>
      <c r="CA68" s="25" t="str">
        <f>IF(S69&lt;=RAK,IF($BX68&lt;RAM,SUM(BZ68:INDEX(Dazx,RAM-BeginnAlter)),""),"")</f>
        <v/>
      </c>
      <c r="CB68" s="24" t="str">
        <f t="shared" si="26"/>
        <v/>
      </c>
      <c r="CC68" s="25">
        <f t="shared" si="27"/>
        <v>9851</v>
      </c>
      <c r="CD68" s="24">
        <f t="shared" si="28"/>
        <v>7.4710000000000001</v>
      </c>
      <c r="CE68" s="24" t="str">
        <f t="shared" si="29"/>
        <v/>
      </c>
      <c r="CF68" s="86"/>
      <c r="CG68" s="35">
        <f t="shared" si="79"/>
        <v>76</v>
      </c>
      <c r="CH68" s="25" t="str">
        <f>IF(CG68&lt;RAM,ROUND(v^($CG68+FaktorAlter)*$H68*($B68*0.5*($P68+$P69)*(VLOOKUP(TRUNC(0.5*($Q68+$Q69),0),Frauen!$AZ$9:$BD$95,5)+(0.5*($Q68+$Q69)-TRUNC(0.5*($Q68+$Q69),0))*(VLOOKUP(TRUNC(0.5*($Q68+$Q69)+1,0),Frauen!$AZ$9:$BD$95,5)-VLOOKUP(TRUNC(0.5*($Q68+$Q69),0),Frauen!$AZ$9:$BD$95,5)))+$C68*0.5*($CN68+$CN69)),RundDx),"")</f>
        <v/>
      </c>
      <c r="CI68" s="25" t="str">
        <f>IF(CG68&lt;RAM,ROUND(SUM(CH68:INDEX(Dawx,RAM-BeginnAlter))+INDEX(Dax,RAM-BeginnAlter+1)*INDEX(äwx,1),RundDx),"")</f>
        <v/>
      </c>
      <c r="CJ68" s="25" t="str">
        <f>IF(CG68&lt;RAM,ROUND(SUM(CI68:INDEX(Nawx,RAM-BeginnAlter))+INDEX(Dax,RAM-BeginnAlter+1)*INDEX(äwx,1),RundDx),"")</f>
        <v/>
      </c>
      <c r="CK68" s="24" t="str">
        <f t="shared" si="56"/>
        <v/>
      </c>
      <c r="CL68" s="25" t="str">
        <f>IF(CG68&lt;RAM,ROUND(v^($CG68+FaktorAlter)*$L68*$D68*0.5*($P68+$P69)*(VLOOKUP(TRUNC(0.5*($Q68+$Q69),0),Frauen!$AZ$9:$BD$95,5)+(0.5*($Q68+$Q69)-TRUNC(0.5*($Q68+$Q69),0))*(VLOOKUP(TRUNC(0.5*($Q68+$Q69)+1,0),Frauen!$AZ$9:$BD$95,5)-VLOOKUP(TRUNC(0.5*($Q68+$Q69),0),Frauen!$AZ$9:$BD$95,5))),RundDx),"")</f>
        <v/>
      </c>
      <c r="CM68" s="25" t="str">
        <f>IF(CG68&lt;RAM,SUM(CL68:INDEX(Diwx,RAM-BeginnAlter))+INDEX(Dix,RAM-BeginnAlter+1)*INDEX(äwx,1),"")</f>
        <v/>
      </c>
      <c r="CN68" s="24" t="str">
        <f t="shared" si="57"/>
        <v/>
      </c>
      <c r="CO68" s="86"/>
      <c r="CP68" s="35">
        <f t="shared" si="58"/>
        <v>124</v>
      </c>
      <c r="CQ68" s="25"/>
      <c r="CR68" s="25"/>
      <c r="CS68" s="24"/>
      <c r="CT68" s="86"/>
      <c r="CU68" s="35">
        <f t="shared" si="80"/>
        <v>76</v>
      </c>
      <c r="CV68" s="25" t="str">
        <f>IF($CU68&gt;=RAM,"",IF($CU68-CV$103&lt;BeginnAlter,"",ROUND(v^($CU68+FaktorAlter)*$L68*$D68*0.5*(VLOOKUP($CU68-CV$103,Frauen!$G$9:$J$102,4)+VLOOKUP($CU68-CV$103+1,Frauen!$G$9:$J$102,4))*0.5*(VLOOKUP($CU68-CV$103,Frauen!$AZ$9:$BD$102,5)+VLOOKUP($CU68-CV$103+1,Frauen!$AZ$9:$BD$102,5)),RundDx)))</f>
        <v/>
      </c>
      <c r="CW68" s="25" t="str">
        <f>IF($CU68&gt;=RAM,"",IF($CU68-CW$103&lt;BeginnAlter,"",ROUND(v^($CU68+FaktorAlter)*$L68*$D68*0.5*(VLOOKUP($CU68-CW$103,Frauen!$G$9:$J$102,4)+VLOOKUP($CU68-CW$103+1,Frauen!$G$9:$J$102,4))*0.5*(VLOOKUP($CU68-CW$103,Frauen!$AZ$9:$BD$102,5)+VLOOKUP($CU68-CW$103+1,Frauen!$AZ$9:$BD$102,5)),RundDx)))</f>
        <v/>
      </c>
      <c r="CX68" s="25" t="str">
        <f>IF($CU68&gt;=RAM,"",IF($CU68-CX$103&lt;BeginnAlter,"",ROUND(v^($CU68+FaktorAlter)*$L68*$D68*0.5*(VLOOKUP($CU68-CX$103,Frauen!$G$9:$J$102,4)+VLOOKUP($CU68-CX$103+1,Frauen!$G$9:$J$102,4))*0.5*(VLOOKUP($CU68-CX$103,Frauen!$AZ$9:$BD$102,5)+VLOOKUP($CU68-CX$103+1,Frauen!$AZ$9:$BD$102,5)),RundDx)))</f>
        <v/>
      </c>
      <c r="CY68" s="25" t="str">
        <f>IF($CU68&gt;=RAM,"",IF($CU68-CY$103&lt;BeginnAlter,"",ROUND(v^($CU68+FaktorAlter)*$L68*$D68*0.5*(VLOOKUP($CU68-CY$103,Frauen!$G$9:$J$102,4)+VLOOKUP($CU68-CY$103+1,Frauen!$G$9:$J$102,4))*0.5*(VLOOKUP($CU68-CY$103,Frauen!$AZ$9:$BD$102,5)+VLOOKUP($CU68-CY$103+1,Frauen!$AZ$9:$BD$102,5)),RundDx)))</f>
        <v/>
      </c>
      <c r="CZ68" s="25" t="str">
        <f>IF($CU68&gt;=RAM,"",IF($CU68-CZ$103&lt;BeginnAlter,"",ROUND(v^($CU68+FaktorAlter)*$L68*$D68*0.5*(VLOOKUP($CU68-CZ$103,Frauen!$G$9:$J$102,4)+VLOOKUP($CU68-CZ$103+1,Frauen!$G$9:$J$102,4))*0.5*(VLOOKUP($CU68-CZ$103,Frauen!$AZ$9:$BD$102,5)+VLOOKUP($CU68-CZ$103+1,Frauen!$AZ$9:$BD$102,5)),RundDx)))</f>
        <v/>
      </c>
      <c r="DA68" s="25" t="str">
        <f>IF($CU68&gt;=RAM,"",IF($CU68-DA$103&lt;BeginnAlter,"",ROUND(v^($CU68+FaktorAlter)*$L68*$D68*0.5*(VLOOKUP($CU68-DA$103,Frauen!$G$9:$J$102,4)+VLOOKUP($CU68-DA$103+1,Frauen!$G$9:$J$102,4))*0.5*(VLOOKUP($CU68-DA$103,Frauen!$AZ$9:$BD$102,5)+VLOOKUP($CU68-DA$103+1,Frauen!$AZ$9:$BD$102,5)),RundDx)))</f>
        <v/>
      </c>
      <c r="DB68" s="25" t="str">
        <f>IF($CU68&gt;=RAM,"",IF($CU68-DB$103&lt;BeginnAlter,"",ROUND(v^($CU68+FaktorAlter)*$L68*$D68*0.5*(VLOOKUP($CU68-DB$103,Frauen!$G$9:$J$102,4)+VLOOKUP($CU68-DB$103+1,Frauen!$G$9:$J$102,4))*0.5*(VLOOKUP($CU68-DB$103,Frauen!$AZ$9:$BD$102,5)+VLOOKUP($CU68-DB$103+1,Frauen!$AZ$9:$BD$102,5)),RundDx)))</f>
        <v/>
      </c>
      <c r="DC68" s="25" t="str">
        <f>IF($CU68&gt;=RAM,"",IF($CU68-DC$103&lt;BeginnAlter,"",ROUND(v^($CU68+FaktorAlter)*$L68*$D68*0.5*(VLOOKUP($CU68-DC$103,Frauen!$G$9:$J$102,4)+VLOOKUP($CU68-DC$103+1,Frauen!$G$9:$J$102,4))*0.5*(VLOOKUP($CU68-DC$103,Frauen!$AZ$9:$BD$102,5)+VLOOKUP($CU68-DC$103+1,Frauen!$AZ$9:$BD$102,5)),RundDx)))</f>
        <v/>
      </c>
      <c r="DD68" s="25" t="str">
        <f>IF($CU68&gt;=RAM,"",IF($CU68-DD$103&lt;BeginnAlter,"",ROUND(v^($CU68+FaktorAlter)*$L68*$D68*0.5*(VLOOKUP($CU68-DD$103,Frauen!$G$9:$J$102,4)+VLOOKUP($CU68-DD$103+1,Frauen!$G$9:$J$102,4))*0.5*(VLOOKUP($CU68-DD$103,Frauen!$AZ$9:$BD$102,5)+VLOOKUP($CU68-DD$103+1,Frauen!$AZ$9:$BD$102,5)),RundDx)))</f>
        <v/>
      </c>
      <c r="DE68" s="25" t="str">
        <f>IF($CU68&gt;=RAM,"",IF($CU68-DE$103&lt;BeginnAlter,"",ROUND(v^($CU68+FaktorAlter)*$L68*$D68*0.5*(VLOOKUP($CU68-DE$103,Frauen!$G$9:$J$102,4)+VLOOKUP($CU68-DE$103+1,Frauen!$G$9:$J$102,4))*0.5*(VLOOKUP($CU68-DE$103,Frauen!$AZ$9:$BD$102,5)+VLOOKUP($CU68-DE$103+1,Frauen!$AZ$9:$BD$102,5)),RundDx)))</f>
        <v/>
      </c>
      <c r="DF68" s="25" t="str">
        <f>IF($CU68&gt;=RAM,"",IF($CU68-DF$103&lt;BeginnAlter,"",ROUND(v^($CU68+FaktorAlter)*$L68*$D68*0.5*(VLOOKUP($CU68-DF$103,Frauen!$G$9:$J$102,4)+VLOOKUP($CU68-DF$103+1,Frauen!$G$9:$J$102,4))*0.5*(VLOOKUP($CU68-DF$103,Frauen!$AZ$9:$BD$102,5)+VLOOKUP($CU68-DF$103+1,Frauen!$AZ$9:$BD$102,5)),RundDx)))</f>
        <v/>
      </c>
      <c r="DG68" s="25" t="str">
        <f>IF($CU68&gt;=RAM,"",IF($CU68-DG$103&lt;BeginnAlter,"",ROUND(v^($CU68+FaktorAlter)*$L68*$D68*0.5*(VLOOKUP($CU68-DG$103,Frauen!$G$9:$J$102,4)+VLOOKUP($CU68-DG$103+1,Frauen!$G$9:$J$102,4))*0.5*(VLOOKUP($CU68-DG$103,Frauen!$AZ$9:$BD$102,5)+VLOOKUP($CU68-DG$103+1,Frauen!$AZ$9:$BD$102,5)),RundDx)))</f>
        <v/>
      </c>
      <c r="DH68" s="25" t="str">
        <f>IF($CU68&gt;=RAM,"",IF($CU68-DH$103&lt;BeginnAlter,"",ROUND(v^($CU68+FaktorAlter)*$L68*$D68*0.5*(VLOOKUP($CU68-DH$103,Frauen!$G$9:$J$102,4)+VLOOKUP($CU68-DH$103+1,Frauen!$G$9:$J$102,4))*0.5*(VLOOKUP($CU68-DH$103,Frauen!$AZ$9:$BD$102,5)+VLOOKUP($CU68-DH$103+1,Frauen!$AZ$9:$BD$102,5)),RundDx)))</f>
        <v/>
      </c>
      <c r="DI68" s="25" t="str">
        <f>IF($CU68&gt;=RAM,"",IF($CU68-DI$103&lt;BeginnAlter,"",ROUND(v^($CU68+FaktorAlter)*$L68*$D68*0.5*(VLOOKUP($CU68-DI$103,Frauen!$G$9:$J$102,4)+VLOOKUP($CU68-DI$103+1,Frauen!$G$9:$J$102,4))*0.5*(VLOOKUP($CU68-DI$103,Frauen!$AZ$9:$BD$102,5)+VLOOKUP($CU68-DI$103+1,Frauen!$AZ$9:$BD$102,5)),RundDx)))</f>
        <v/>
      </c>
      <c r="DJ68" s="25" t="str">
        <f>IF($CU68&gt;=RAM,"",IF($CU68-DJ$103&lt;BeginnAlter,"",ROUND(v^($CU68+FaktorAlter)*$L68*$D68*0.5*(VLOOKUP($CU68-DJ$103,Frauen!$G$9:$J$102,4)+VLOOKUP($CU68-DJ$103+1,Frauen!$G$9:$J$102,4))*0.5*(VLOOKUP($CU68-DJ$103,Frauen!$AZ$9:$BD$102,5)+VLOOKUP($CU68-DJ$103+1,Frauen!$AZ$9:$BD$102,5)),RundDx)))</f>
        <v/>
      </c>
      <c r="DK68" s="25" t="str">
        <f>IF($CU68&gt;=RAM,"",IF($CU68-DK$103&lt;BeginnAlter,"",ROUND(v^($CU68+FaktorAlter)*$L68*$D68*0.5*(VLOOKUP($CU68-DK$103,Frauen!$G$9:$J$102,4)+VLOOKUP($CU68-DK$103+1,Frauen!$G$9:$J$102,4))*0.5*(VLOOKUP($CU68-DK$103,Frauen!$AZ$9:$BD$102,5)+VLOOKUP($CU68-DK$103+1,Frauen!$AZ$9:$BD$102,5)),RundDx)))</f>
        <v/>
      </c>
      <c r="DL68" s="25" t="str">
        <f>IF($CU68&gt;=RAM,"",IF($CU68-DL$103&lt;BeginnAlter,"",ROUND(v^($CU68+FaktorAlter)*$L68*$D68*0.5*(VLOOKUP($CU68-DL$103,Frauen!$G$9:$J$102,4)+VLOOKUP($CU68-DL$103+1,Frauen!$G$9:$J$102,4))*0.5*(VLOOKUP($CU68-DL$103,Frauen!$AZ$9:$BD$102,5)+VLOOKUP($CU68-DL$103+1,Frauen!$AZ$9:$BD$102,5)),RundDx)))</f>
        <v/>
      </c>
      <c r="DM68" s="25" t="str">
        <f>IF($CU68&gt;=RAM,"",IF($CU68-DM$103&lt;BeginnAlter,"",ROUND(v^($CU68+FaktorAlter)*$L68*$D68*0.5*(VLOOKUP($CU68-DM$103,Frauen!$G$9:$J$102,4)+VLOOKUP($CU68-DM$103+1,Frauen!$G$9:$J$102,4))*0.5*(VLOOKUP($CU68-DM$103,Frauen!$AZ$9:$BD$102,5)+VLOOKUP($CU68-DM$103+1,Frauen!$AZ$9:$BD$102,5)),RundDx)))</f>
        <v/>
      </c>
      <c r="DN68" s="25" t="str">
        <f>IF($CU68&gt;=RAM,"",IF($CU68-DN$103&lt;BeginnAlter,"",ROUND(v^($CU68+FaktorAlter)*$L68*$D68*0.5*(VLOOKUP($CU68-DN$103,Frauen!$G$9:$J$102,4)+VLOOKUP($CU68-DN$103+1,Frauen!$G$9:$J$102,4))*0.5*(VLOOKUP($CU68-DN$103,Frauen!$AZ$9:$BD$102,5)+VLOOKUP($CU68-DN$103+1,Frauen!$AZ$9:$BD$102,5)),RundDx)))</f>
        <v/>
      </c>
      <c r="DO68" s="25" t="str">
        <f>IF($CU68&gt;=RAM,"",IF($CU68-DO$103&lt;BeginnAlter,"",ROUND(v^($CU68+FaktorAlter)*$L68*$D68*0.5*(VLOOKUP($CU68-DO$103,Frauen!$G$9:$J$102,4)+VLOOKUP($CU68-DO$103+1,Frauen!$G$9:$J$102,4))*0.5*(VLOOKUP($CU68-DO$103,Frauen!$AZ$9:$BD$102,5)+VLOOKUP($CU68-DO$103+1,Frauen!$AZ$9:$BD$102,5)),RundDx)))</f>
        <v/>
      </c>
      <c r="DP68" s="25" t="str">
        <f>IF($CU68&gt;=RAM,"",IF($CU68-DP$103&lt;BeginnAlter,"",ROUND(v^($CU68+FaktorAlter)*$L68*$D68*0.5*(VLOOKUP($CU68-DP$103,Frauen!$G$9:$J$102,4)+VLOOKUP($CU68-DP$103+1,Frauen!$G$9:$J$102,4))*0.5*(VLOOKUP($CU68-DP$103,Frauen!$AZ$9:$BD$102,5)+VLOOKUP($CU68-DP$103+1,Frauen!$AZ$9:$BD$102,5)),RundDx)))</f>
        <v/>
      </c>
      <c r="DQ68" s="25" t="str">
        <f>IF($CU68&gt;=RAM,"",IF($CU68-DQ$103&lt;BeginnAlter,"",ROUND(v^($CU68+FaktorAlter)*$L68*$D68*0.5*(VLOOKUP($CU68-DQ$103,Frauen!$G$9:$J$102,4)+VLOOKUP($CU68-DQ$103+1,Frauen!$G$9:$J$102,4))*0.5*(VLOOKUP($CU68-DQ$103,Frauen!$AZ$9:$BD$102,5)+VLOOKUP($CU68-DQ$103+1,Frauen!$AZ$9:$BD$102,5)),RundDx)))</f>
        <v/>
      </c>
      <c r="DR68" s="25" t="str">
        <f>IF($CU68&gt;=RAM,"",IF($CU68-DR$103&lt;BeginnAlter,"",ROUND(v^($CU68+FaktorAlter)*$L68*$D68*0.5*(VLOOKUP($CU68-DR$103,Frauen!$G$9:$J$102,4)+VLOOKUP($CU68-DR$103+1,Frauen!$G$9:$J$102,4))*0.5*(VLOOKUP($CU68-DR$103,Frauen!$AZ$9:$BD$102,5)+VLOOKUP($CU68-DR$103+1,Frauen!$AZ$9:$BD$102,5)),RundDx)))</f>
        <v/>
      </c>
      <c r="DS68" s="25" t="str">
        <f>IF($CU68&gt;=RAM,"",IF($CU68-DS$103&lt;BeginnAlter,"",ROUND(v^($CU68+FaktorAlter)*$L68*$D68*0.5*(VLOOKUP($CU68-DS$103,Frauen!$G$9:$J$102,4)+VLOOKUP($CU68-DS$103+1,Frauen!$G$9:$J$102,4))*0.5*(VLOOKUP($CU68-DS$103,Frauen!$AZ$9:$BD$102,5)+VLOOKUP($CU68-DS$103+1,Frauen!$AZ$9:$BD$102,5)),RundDx)))</f>
        <v/>
      </c>
      <c r="DT68" s="25" t="str">
        <f>IF($CU68&gt;=RAM,"",IF($CU68-DT$103&lt;BeginnAlter,"",ROUND(v^($CU68+FaktorAlter)*$L68*$D68*0.5*(VLOOKUP($CU68-DT$103,Frauen!$G$9:$J$102,4)+VLOOKUP($CU68-DT$103+1,Frauen!$G$9:$J$102,4))*0.5*(VLOOKUP($CU68-DT$103,Frauen!$AZ$9:$BD$102,5)+VLOOKUP($CU68-DT$103+1,Frauen!$AZ$9:$BD$102,5)),RundDx)))</f>
        <v/>
      </c>
      <c r="DU68" s="25" t="str">
        <f>IF($CU68&gt;=RAM,"",IF($CU68-DU$103&lt;BeginnAlter,"",ROUND(v^($CU68+FaktorAlter)*$L68*$D68*0.5*(VLOOKUP($CU68-DU$103,Frauen!$G$9:$J$102,4)+VLOOKUP($CU68-DU$103+1,Frauen!$G$9:$J$102,4))*0.5*(VLOOKUP($CU68-DU$103,Frauen!$AZ$9:$BD$102,5)+VLOOKUP($CU68-DU$103+1,Frauen!$AZ$9:$BD$102,5)),RundDx)))</f>
        <v/>
      </c>
      <c r="DV68" s="25" t="str">
        <f>IF($CU68&gt;=RAM,"",IF($CU68-DV$103&lt;BeginnAlter,"",ROUND(v^($CU68+FaktorAlter)*$L68*$D68*0.5*(VLOOKUP($CU68-DV$103,Frauen!$G$9:$J$102,4)+VLOOKUP($CU68-DV$103+1,Frauen!$G$9:$J$102,4))*0.5*(VLOOKUP($CU68-DV$103,Frauen!$AZ$9:$BD$102,5)+VLOOKUP($CU68-DV$103+1,Frauen!$AZ$9:$BD$102,5)),RundDx)))</f>
        <v/>
      </c>
      <c r="DW68" s="25" t="str">
        <f>IF($CU68&gt;=RAM,"",IF($CU68-DW$103&lt;BeginnAlter,"",ROUND(v^($CU68+FaktorAlter)*$L68*$D68*0.5*(VLOOKUP($CU68-DW$103,Frauen!$G$9:$J$102,4)+VLOOKUP($CU68-DW$103+1,Frauen!$G$9:$J$102,4))*0.5*(VLOOKUP($CU68-DW$103,Frauen!$AZ$9:$BD$102,5)+VLOOKUP($CU68-DW$103+1,Frauen!$AZ$9:$BD$102,5)),RundDx)))</f>
        <v/>
      </c>
      <c r="DX68" s="25" t="str">
        <f>IF($CU68&gt;=RAM,"",IF($CU68-DX$103&lt;BeginnAlter,"",ROUND(v^($CU68+FaktorAlter)*$L68*$D68*0.5*(VLOOKUP($CU68-DX$103,Frauen!$G$9:$J$102,4)+VLOOKUP($CU68-DX$103+1,Frauen!$G$9:$J$102,4))*0.5*(VLOOKUP($CU68-DX$103,Frauen!$AZ$9:$BD$102,5)+VLOOKUP($CU68-DX$103+1,Frauen!$AZ$9:$BD$102,5)),RundDx)))</f>
        <v/>
      </c>
      <c r="DY68" s="25" t="str">
        <f>IF($CU68&gt;=RAM,"",IF($CU68-DY$103&lt;BeginnAlter,"",ROUND(v^($CU68+FaktorAlter)*$L68*$D68*0.5*(VLOOKUP($CU68-DY$103,Frauen!$G$9:$J$102,4)+VLOOKUP($CU68-DY$103+1,Frauen!$G$9:$J$102,4))*0.5*(VLOOKUP($CU68-DY$103,Frauen!$AZ$9:$BD$102,5)+VLOOKUP($CU68-DY$103+1,Frauen!$AZ$9:$BD$102,5)),RundDx)))</f>
        <v/>
      </c>
      <c r="DZ68" s="25" t="str">
        <f>IF($CU68&gt;=RAM,"",IF($CU68-DZ$103&lt;BeginnAlter,"",ROUND(v^($CU68+FaktorAlter)*$L68*$D68*0.5*(VLOOKUP($CU68-DZ$103,Frauen!$G$9:$J$102,4)+VLOOKUP($CU68-DZ$103+1,Frauen!$G$9:$J$102,4))*0.5*(VLOOKUP($CU68-DZ$103,Frauen!$AZ$9:$BD$102,5)+VLOOKUP($CU68-DZ$103+1,Frauen!$AZ$9:$BD$102,5)),RundDx)))</f>
        <v/>
      </c>
      <c r="EA68" s="43" t="str">
        <f>IF($CU68&gt;=RAM,"",IF($CU68-EA$103&lt;BeginnAlter,"",ROUND((SUM(CV$56:CV68)+SUM(FN$9:FN$56))/VLOOKUP($CU68,$AH$9:$AI$102,2)/VLOOKUP($CU68-EA$103,Frauen!$G$9:$J$102,4),Rundäx)))</f>
        <v/>
      </c>
      <c r="EB68" s="43" t="str">
        <f>IF($CU68&gt;=RAM,"",IF($CU68-EB$103&lt;BeginnAlter,"",ROUND((SUM(CW$56:CW68)+SUM(FO$9:FO$56))/VLOOKUP($CU68,$AH$9:$AI$102,2)/VLOOKUP($CU68-EB$103,Frauen!$G$9:$J$102,4),Rundäx)))</f>
        <v/>
      </c>
      <c r="EC68" s="43" t="str">
        <f>IF($CU68&gt;=RAM,"",IF($CU68-EC$103&lt;BeginnAlter,"",ROUND((SUM(CX$56:CX68)+SUM(FP$9:FP$56))/VLOOKUP($CU68,$AH$9:$AI$102,2)/VLOOKUP($CU68-EC$103,Frauen!$G$9:$J$102,4),Rundäx)))</f>
        <v/>
      </c>
      <c r="ED68" s="43" t="str">
        <f>IF($CU68&gt;=RAM,"",IF($CU68-ED$103&lt;BeginnAlter,"",ROUND((SUM(CY$56:CY68)+SUM(FQ$9:FQ$56))/VLOOKUP($CU68,$AH$9:$AI$102,2)/VLOOKUP($CU68-ED$103,Frauen!$G$9:$J$102,4),Rundäx)))</f>
        <v/>
      </c>
      <c r="EE68" s="43" t="str">
        <f>IF($CU68&gt;=RAM,"",IF($CU68-EE$103&lt;BeginnAlter,"",ROUND((SUM(CZ$56:CZ68)+SUM(FR$9:FR$56))/VLOOKUP($CU68,$AH$9:$AI$102,2)/VLOOKUP($CU68-EE$103,Frauen!$G$9:$J$102,4),Rundäx)))</f>
        <v/>
      </c>
      <c r="EF68" s="43" t="str">
        <f>IF($CU68&gt;=RAM,"",IF($CU68-EF$103&lt;BeginnAlter,"",ROUND((SUM(DA$56:DA68)+SUM(FS$9:FS$56))/VLOOKUP($CU68,$AH$9:$AI$102,2)/VLOOKUP($CU68-EF$103,Frauen!$G$9:$J$102,4),Rundäx)))</f>
        <v/>
      </c>
      <c r="EG68" s="43" t="str">
        <f>IF($CU68&gt;=RAM,"",IF($CU68-EG$103&lt;BeginnAlter,"",ROUND((SUM(DB$56:DB68)+SUM(FT$9:FT$56))/VLOOKUP($CU68,$AH$9:$AI$102,2)/VLOOKUP($CU68-EG$103,Frauen!$G$9:$J$102,4),Rundäx)))</f>
        <v/>
      </c>
      <c r="EH68" s="43" t="str">
        <f>IF($CU68&gt;=RAM,"",IF($CU68-EH$103&lt;BeginnAlter,"",ROUND((SUM(DC$56:DC68)+SUM(FU$9:FU$56))/VLOOKUP($CU68,$AH$9:$AI$102,2)/VLOOKUP($CU68-EH$103,Frauen!$G$9:$J$102,4),Rundäx)))</f>
        <v/>
      </c>
      <c r="EI68" s="86"/>
      <c r="EJ68" s="35">
        <f t="shared" si="60"/>
        <v>76</v>
      </c>
      <c r="EK68" s="43" t="str">
        <f>IF($CU68&gt;=RAM,"",IF($CU68-EK$103&lt;BeginnAlter,"",ROUND((SUM(DD$56:DD68)+SUM(FV$9:FV$56))/VLOOKUP($CU68,$AH$9:$AI$102,2)/VLOOKUP($CU68-EK$103,Frauen!$G$9:$J$102,4),Rundäx)))</f>
        <v/>
      </c>
      <c r="EL68" s="43" t="str">
        <f>IF($CU68&gt;=RAM,"",IF($CU68-EL$103&lt;BeginnAlter,"",ROUND((SUM(DE$56:DE68)+SUM(FW$9:FW$56))/VLOOKUP($CU68,$AH$9:$AI$102,2)/VLOOKUP($CU68-EL$103,Frauen!$G$9:$J$102,4),Rundäx)))</f>
        <v/>
      </c>
      <c r="EM68" s="43" t="str">
        <f>IF($CU68&gt;=RAM,"",IF($CU68-EM$103&lt;BeginnAlter,"",ROUND((SUM(DF$56:DF68)+SUM(FX$9:FX$56))/VLOOKUP($CU68,$AH$9:$AI$102,2)/VLOOKUP($CU68-EM$103,Frauen!$G$9:$J$102,4),Rundäx)))</f>
        <v/>
      </c>
      <c r="EN68" s="43" t="str">
        <f>IF($CU68&gt;=RAM,"",IF($CU68-EN$103&lt;BeginnAlter,"",ROUND((SUM(DG$56:DG68)+SUM(FY$9:FY$56))/VLOOKUP($CU68,$AH$9:$AI$102,2)/VLOOKUP($CU68-EN$103,Frauen!$G$9:$J$102,4),Rundäx)))</f>
        <v/>
      </c>
      <c r="EO68" s="43" t="str">
        <f>IF($CU68&gt;=RAM,"",IF($CU68-EO$103&lt;BeginnAlter,"",ROUND((SUM(DH$56:DH68)+SUM(FZ$9:FZ$56))/VLOOKUP($CU68,$AH$9:$AI$102,2)/VLOOKUP($CU68-EO$103,Frauen!$G$9:$J$102,4),Rundäx)))</f>
        <v/>
      </c>
      <c r="EP68" s="43" t="str">
        <f>IF($CU68&gt;=RAM,"",IF($CU68-EP$103&lt;BeginnAlter,"",ROUND((SUM(DI$56:DI68)+SUM(GA$9:GA$56))/VLOOKUP($CU68,$AH$9:$AI$102,2)/VLOOKUP($CU68-EP$103,Frauen!$G$9:$J$102,4),Rundäx)))</f>
        <v/>
      </c>
      <c r="EQ68" s="43" t="str">
        <f>IF($CU68&gt;=RAM,"",IF($CU68-EQ$103&lt;BeginnAlter,"",ROUND((SUM(DJ$56:DJ68)+SUM(GB$9:GB$56))/VLOOKUP($CU68,$AH$9:$AI$102,2)/VLOOKUP($CU68-EQ$103,Frauen!$G$9:$J$102,4),Rundäx)))</f>
        <v/>
      </c>
      <c r="ER68" s="43" t="str">
        <f>IF($CU68&gt;=RAM,"",IF($CU68-ER$103&lt;BeginnAlter,"",ROUND((SUM(DK$56:DK68)+SUM(GC$9:GC$56))/VLOOKUP($CU68,$AH$9:$AI$102,2)/VLOOKUP($CU68-ER$103,Frauen!$G$9:$J$102,4),Rundäx)))</f>
        <v/>
      </c>
      <c r="ES68" s="86"/>
      <c r="ET68" s="35">
        <f t="shared" si="61"/>
        <v>76</v>
      </c>
      <c r="EU68" s="43" t="str">
        <f>IF($CU68&gt;=RAM,"",IF($CU68-EU$103&lt;BeginnAlter,"",ROUND((SUM(DL$56:DL68)+SUM(GD$9:GD$56))/VLOOKUP($CU68,$AH$9:$AI$102,2)/VLOOKUP($CU68-EU$103,Frauen!$G$9:$J$102,4),Rundäx)))</f>
        <v/>
      </c>
      <c r="EV68" s="43" t="str">
        <f>IF($CU68&gt;=RAM,"",IF($CU68-EV$103&lt;BeginnAlter,"",ROUND((SUM(DM$56:DM68)+SUM(GE$9:GE$56))/VLOOKUP($CU68,$AH$9:$AI$102,2)/VLOOKUP($CU68-EV$103,Frauen!$G$9:$J$102,4),Rundäx)))</f>
        <v/>
      </c>
      <c r="EW68" s="43" t="str">
        <f>IF($CU68&gt;=RAM,"",IF($CU68-EW$103&lt;BeginnAlter,"",ROUND((SUM(DN$56:DN68)+SUM(GF$9:GF$56))/VLOOKUP($CU68,$AH$9:$AI$102,2)/VLOOKUP($CU68-EW$103,Frauen!$G$9:$J$102,4),Rundäx)))</f>
        <v/>
      </c>
      <c r="EX68" s="43" t="str">
        <f>IF($CU68&gt;=RAM,"",IF($CU68-EX$103&lt;BeginnAlter,"",ROUND((SUM(DO$56:DO68)+SUM(GG$9:GG$56))/VLOOKUP($CU68,$AH$9:$AI$102,2)/VLOOKUP($CU68-EX$103,Frauen!$G$9:$J$102,4),Rundäx)))</f>
        <v/>
      </c>
      <c r="EY68" s="43" t="str">
        <f>IF($CU68&gt;=RAM,"",IF($CU68-EY$103&lt;BeginnAlter,"",ROUND((SUM(DP$56:DP68)+SUM(GH$9:GH$56))/VLOOKUP($CU68,$AH$9:$AI$102,2)/VLOOKUP($CU68-EY$103,Frauen!$G$9:$J$102,4),Rundäx)))</f>
        <v/>
      </c>
      <c r="EZ68" s="43" t="str">
        <f>IF($CU68&gt;=RAM,"",IF($CU68-EZ$103&lt;BeginnAlter,"",ROUND((SUM(DQ$56:DQ68)+SUM(GI$9:GI$56))/VLOOKUP($CU68,$AH$9:$AI$102,2)/VLOOKUP($CU68-EZ$103,Frauen!$G$9:$J$102,4),Rundäx)))</f>
        <v/>
      </c>
      <c r="FA68" s="43" t="str">
        <f>IF($CU68&gt;=RAM,"",IF($CU68-FA$103&lt;BeginnAlter,"",ROUND((SUM(DR$56:DR68)+SUM(GJ$9:GJ$56))/VLOOKUP($CU68,$AH$9:$AI$102,2)/VLOOKUP($CU68-FA$103,Frauen!$G$9:$J$102,4),Rundäx)))</f>
        <v/>
      </c>
      <c r="FB68" s="43" t="str">
        <f>IF($CU68&gt;=RAM,"",IF($CU68-FB$103&lt;BeginnAlter,"",ROUND((SUM(DS$56:DS68)+SUM(GK$9:GK$56))/VLOOKUP($CU68,$AH$9:$AI$102,2)/VLOOKUP($CU68-FB$103,Frauen!$G$9:$J$102,4),Rundäx)))</f>
        <v/>
      </c>
      <c r="FC68" s="86"/>
      <c r="FD68" s="35">
        <f t="shared" si="62"/>
        <v>76</v>
      </c>
      <c r="FE68" s="43" t="str">
        <f>IF($CU68&gt;=RAM,"",IF($CU68-FE$103&lt;BeginnAlter,"",ROUND((SUM(DT$56:DT68)+SUM(GL$9:GL$56))/VLOOKUP($CU68,$AH$9:$AI$102,2)/VLOOKUP($CU68-FE$103,Frauen!$G$9:$J$102,4),Rundäx)))</f>
        <v/>
      </c>
      <c r="FF68" s="43" t="str">
        <f>IF($CU68&gt;=RAM,"",IF($CU68-FF$103&lt;BeginnAlter,"",ROUND((SUM(DU$56:DU68)+SUM(GM$9:GM$56))/VLOOKUP($CU68,$AH$9:$AI$102,2)/VLOOKUP($CU68-FF$103,Frauen!$G$9:$J$102,4),Rundäx)))</f>
        <v/>
      </c>
      <c r="FG68" s="43" t="str">
        <f>IF($CU68&gt;=RAM,"",IF($CU68-FG$103&lt;BeginnAlter,"",ROUND((SUM(DV$56:DV68)+SUM(GN$9:GN$56))/VLOOKUP($CU68,$AH$9:$AI$102,2)/VLOOKUP($CU68-FG$103,Frauen!$G$9:$J$102,4),Rundäx)))</f>
        <v/>
      </c>
      <c r="FH68" s="43" t="str">
        <f>IF($CU68&gt;=RAM,"",IF($CU68-FH$103&lt;BeginnAlter,"",ROUND((SUM(DW$56:DW68)+SUM(GO$9:GO$56))/VLOOKUP($CU68,$AH$9:$AI$102,2)/VLOOKUP($CU68-FH$103,Frauen!$G$9:$J$102,4),Rundäx)))</f>
        <v/>
      </c>
      <c r="FI68" s="43" t="str">
        <f>IF($CU68&gt;=RAM,"",IF($CU68-FI$103&lt;BeginnAlter,"",ROUND((SUM(DX$56:DX68)+SUM(GP$9:GP$56))/VLOOKUP($CU68,$AH$9:$AI$102,2)/VLOOKUP($CU68-FI$103,Frauen!$G$9:$J$102,4),Rundäx)))</f>
        <v/>
      </c>
      <c r="FJ68" s="43" t="str">
        <f>IF($CU68&gt;=RAM,"",IF($CU68-FJ$103&lt;BeginnAlter,"",ROUND((SUM(DY$56:DY68)+SUM(GQ$9:GQ$56))/VLOOKUP($CU68,$AH$9:$AI$102,2)/VLOOKUP($CU68-FJ$103,Frauen!$G$9:$J$102,4),Rundäx)))</f>
        <v/>
      </c>
      <c r="FK68" s="43" t="str">
        <f>IF($CU68&gt;=RAM,"",IF($CU68-FK$103&lt;BeginnAlter,"",ROUND((SUM(DZ$56:DZ68)+SUM(GR$9:GR$56))/VLOOKUP($CU68,$AH$9:$AI$102,2)/VLOOKUP($CU68-FK$103,Frauen!$G$9:$J$102,4),Rundäx)))</f>
        <v/>
      </c>
      <c r="FL68" s="86"/>
      <c r="FM68" s="35">
        <f t="shared" si="68"/>
        <v>124</v>
      </c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4"/>
      <c r="GT68" s="24"/>
      <c r="GU68" s="24" t="str">
        <f>IF(FM68&gt;=RAM," ",#REF!/$AI68/Frauen!$J56)</f>
        <v xml:space="preserve"> </v>
      </c>
      <c r="GV68" s="24" t="str">
        <f>IF(FM68&gt;=RAM," ",#REF!/$AI68/Frauen!$J59)</f>
        <v xml:space="preserve"> </v>
      </c>
      <c r="GW68" s="24" t="str">
        <f>IF(FM68&gt;=RAM," ",#REF!/$AI68/Frauen!$J62)</f>
        <v xml:space="preserve"> </v>
      </c>
      <c r="GX68" s="24" t="str">
        <f>IF(FM68&gt;=RAM," ",#REF!/$AI68/Frauen!$J65)</f>
        <v xml:space="preserve"> </v>
      </c>
      <c r="GY68" s="24" t="str">
        <f>IF(FM68&gt;=RAM," ",#REF!/$AI68/Frauen!$J68)</f>
        <v xml:space="preserve"> </v>
      </c>
      <c r="GZ68" s="24" t="str">
        <f>IF(FM68&gt;=RAM," ",#REF!/$AI68/Frauen!$J71)</f>
        <v xml:space="preserve"> </v>
      </c>
      <c r="HA68" s="86"/>
      <c r="HB68" s="35">
        <f t="shared" si="63"/>
        <v>124</v>
      </c>
      <c r="HC68" s="24"/>
      <c r="HD68" s="24"/>
      <c r="HE68" s="24"/>
      <c r="HF68" s="24"/>
      <c r="HG68" s="24"/>
      <c r="HH68" s="24"/>
      <c r="HI68" s="24"/>
      <c r="HJ68" s="24"/>
      <c r="HK68" s="86"/>
      <c r="HL68" s="35">
        <f t="shared" si="64"/>
        <v>124</v>
      </c>
      <c r="HM68" s="24"/>
      <c r="HN68" s="24"/>
      <c r="HO68" s="24"/>
      <c r="HP68" s="24"/>
      <c r="HQ68" s="24"/>
      <c r="HR68" s="24"/>
      <c r="HS68" s="24"/>
      <c r="HT68" s="24"/>
      <c r="HU68" s="86"/>
      <c r="HV68" s="35">
        <f t="shared" si="65"/>
        <v>124</v>
      </c>
      <c r="HW68" s="24"/>
      <c r="HX68" s="24"/>
      <c r="HY68" s="24"/>
      <c r="HZ68" s="24"/>
      <c r="IA68" s="24"/>
      <c r="IB68" s="24"/>
      <c r="IC68" s="24"/>
      <c r="ID68" s="89"/>
      <c r="IE68" s="35">
        <f t="shared" si="81"/>
        <v>76</v>
      </c>
      <c r="IF68" s="25" t="str">
        <f t="shared" si="31"/>
        <v/>
      </c>
      <c r="IG68" s="25" t="str">
        <f>IF($IE68&lt;RAM,IF(S69&lt;=RAK,ROUND(SUM(IF68:INDEX(Dakx,RAM-BeginnAlter))+INDEX(Dax,RAM-BeginnAlter+1)*INDEX(äkx,1),RundDx),0),"")</f>
        <v/>
      </c>
      <c r="IH68" s="25" t="str">
        <f>IF($IE68&lt;RAM,IF(S69&lt;=RAK,ROUND(SUM(IG68:INDEX(Nakx,RAM-BeginnAlter))+INDEX(Dax,RAM-BeginnAlter+1)*INDEX(äkx,1),RundDx),0),"")</f>
        <v/>
      </c>
      <c r="II68" s="24" t="str">
        <f t="shared" si="32"/>
        <v/>
      </c>
      <c r="IJ68" s="25" t="str">
        <f t="shared" si="33"/>
        <v/>
      </c>
      <c r="IK68" s="25" t="str">
        <f>IF($IE68&lt;RAM,IF(S69&lt;=RAK,SUM(IJ68:INDEX(Dikx,RAM-BeginnAlter))+INDEX(Dix,RAM-BeginnAlter+1)*INDEX(äkx,1),0),"")</f>
        <v/>
      </c>
      <c r="IL68" s="24" t="str">
        <f t="shared" si="34"/>
        <v/>
      </c>
      <c r="IM68" s="86"/>
      <c r="IN68" s="35">
        <f t="shared" si="67"/>
        <v>124</v>
      </c>
      <c r="IO68" s="25"/>
      <c r="IP68" s="25"/>
      <c r="IQ68" s="24"/>
      <c r="IR68" s="86"/>
    </row>
    <row r="69" spans="1:252" ht="15.75" customHeight="1" x14ac:dyDescent="0.25">
      <c r="A69" s="35">
        <f t="shared" si="69"/>
        <v>77</v>
      </c>
      <c r="B69" s="77"/>
      <c r="C69" s="77"/>
      <c r="D69" s="77"/>
      <c r="E69" s="77">
        <v>4.5441207308062219E-2</v>
      </c>
      <c r="F69" s="86"/>
      <c r="G69" s="35">
        <f t="shared" si="70"/>
        <v>77</v>
      </c>
      <c r="H69" s="25" t="str">
        <f t="shared" si="37"/>
        <v/>
      </c>
      <c r="I69" s="25" t="str">
        <f t="shared" si="38"/>
        <v/>
      </c>
      <c r="J69" s="25">
        <f t="shared" si="39"/>
        <v>63398</v>
      </c>
      <c r="K69" s="30">
        <f>IF(J69&gt;0,ROUND(SUM(J69:J$102)/J69-0.5,Rundex),"")</f>
        <v>9.56</v>
      </c>
      <c r="L69" s="25">
        <f t="shared" si="0"/>
        <v>63398</v>
      </c>
      <c r="M69" s="30">
        <f>IF(L69&gt;0,ROUND(SUM(L69:L$102)/L69-0.5,Rundex),"")</f>
        <v>9.56</v>
      </c>
      <c r="N69" s="86"/>
      <c r="O69" s="35">
        <f t="shared" si="71"/>
        <v>77</v>
      </c>
      <c r="P69" s="43">
        <v>0.75884832475914221</v>
      </c>
      <c r="Q69" s="78">
        <v>72.038996453893063</v>
      </c>
      <c r="R69" s="43">
        <v>3.0000000000000001E-3</v>
      </c>
      <c r="S69" s="78">
        <v>22.018071294461425</v>
      </c>
      <c r="T69" s="15">
        <v>5.5214205013985357E-2</v>
      </c>
      <c r="U69" s="11">
        <f t="shared" si="40"/>
        <v>52607</v>
      </c>
      <c r="V69" s="30">
        <f>IF(U69&gt;0,ROUND(SUM(U69:U$102)/U69-0.5,Rundex),"")</f>
        <v>9.08</v>
      </c>
      <c r="W69" s="86"/>
      <c r="X69" s="35">
        <f t="shared" si="72"/>
        <v>77</v>
      </c>
      <c r="Y69" s="25" t="str">
        <f t="shared" si="1"/>
        <v xml:space="preserve"> </v>
      </c>
      <c r="Z69" s="25" t="str">
        <f>IF($X69&lt;RAM,SUM(Y69:INDEX(Dax,RAM-BeginnAlter))," ")</f>
        <v xml:space="preserve"> </v>
      </c>
      <c r="AA69" s="25" t="str">
        <f t="shared" si="2"/>
        <v xml:space="preserve"> </v>
      </c>
      <c r="AB69" s="25" t="str">
        <f>IF($X69&lt;RAM,SUM(AA69:INDEX(Cax,RAM-BeginnAlter))," ")</f>
        <v xml:space="preserve"> </v>
      </c>
      <c r="AC69" s="25" t="str">
        <f t="shared" si="3"/>
        <v xml:space="preserve"> </v>
      </c>
      <c r="AD69" s="25" t="str">
        <f>IF($X69&lt;RAM,SUM(AC69:INDEX(Caix,RAM-BeginnAlter))," ")</f>
        <v xml:space="preserve"> </v>
      </c>
      <c r="AE69" s="24" t="str">
        <f t="shared" si="4"/>
        <v xml:space="preserve"> </v>
      </c>
      <c r="AF69" s="24" t="str">
        <f t="shared" si="5"/>
        <v xml:space="preserve"> </v>
      </c>
      <c r="AG69" s="86"/>
      <c r="AH69" s="35">
        <f t="shared" si="73"/>
        <v>77</v>
      </c>
      <c r="AI69" s="25" t="str">
        <f t="shared" si="6"/>
        <v xml:space="preserve"> </v>
      </c>
      <c r="AJ69" s="25" t="str">
        <f>IF($AH69&gt;RAM," ",IF($AH69&lt;RAM,SUM(AI69:INDEX(Dix,RAM-BeginnAlter))+INDEX(Nx,RAM-BeginnAlter+1),INDEX(Nx,RAM-BeginnAlter+1)))</f>
        <v xml:space="preserve"> </v>
      </c>
      <c r="AK69" s="25" t="str">
        <f>IF($AH69&lt;RAM,SUM(AI69:INDEX(Dix,RAM-BeginnAlter))," ")</f>
        <v xml:space="preserve"> </v>
      </c>
      <c r="AL69" s="24" t="str">
        <f t="shared" si="7"/>
        <v xml:space="preserve"> </v>
      </c>
      <c r="AM69" s="24" t="str">
        <f t="shared" si="8"/>
        <v xml:space="preserve"> </v>
      </c>
      <c r="AN69" s="24" t="str">
        <f t="shared" si="9"/>
        <v xml:space="preserve"> </v>
      </c>
      <c r="AO69" s="24" t="str">
        <f t="shared" si="10"/>
        <v xml:space="preserve"> </v>
      </c>
      <c r="AP69" s="86"/>
      <c r="AQ69" s="35">
        <f t="shared" si="74"/>
        <v>77</v>
      </c>
      <c r="AR69" s="25">
        <f t="shared" si="11"/>
        <v>11429</v>
      </c>
      <c r="AS69" s="25">
        <f>SUM(AR69:AR$94)</f>
        <v>101064</v>
      </c>
      <c r="AT69" s="25" t="str">
        <f>IF($AQ69&lt;RAM,SUM(AR69:INDEX(Dx,RAM-BeginnAlter))," ")</f>
        <v xml:space="preserve"> </v>
      </c>
      <c r="AU69" s="24">
        <f t="shared" si="12"/>
        <v>8.843</v>
      </c>
      <c r="AV69" s="24">
        <f t="shared" si="13"/>
        <v>8.3840000000000003</v>
      </c>
      <c r="AW69" s="24" t="str">
        <f t="shared" si="14"/>
        <v xml:space="preserve"> </v>
      </c>
      <c r="AX69" s="24" t="str">
        <f t="shared" si="15"/>
        <v xml:space="preserve"> </v>
      </c>
      <c r="AY69" s="86"/>
      <c r="AZ69" s="35">
        <f t="shared" si="75"/>
        <v>77</v>
      </c>
      <c r="BA69" s="25">
        <f t="shared" si="16"/>
        <v>9483</v>
      </c>
      <c r="BB69" s="25">
        <f>SUM(BA69:BA$94)</f>
        <v>80097</v>
      </c>
      <c r="BC69" s="24">
        <f t="shared" si="17"/>
        <v>8.4459999999999997</v>
      </c>
      <c r="BD69" s="24">
        <f t="shared" si="18"/>
        <v>7.9880000000000004</v>
      </c>
      <c r="BE69" s="86"/>
      <c r="BF69" s="35">
        <f t="shared" si="48"/>
        <v>60</v>
      </c>
      <c r="BG69" s="24" t="str">
        <f t="shared" si="19"/>
        <v/>
      </c>
      <c r="BH69" s="24" t="str">
        <f t="shared" si="20"/>
        <v/>
      </c>
      <c r="BI69" s="86"/>
      <c r="BJ69" s="35">
        <f t="shared" si="76"/>
        <v>77</v>
      </c>
      <c r="BK69" s="25" t="str">
        <f t="shared" si="21"/>
        <v xml:space="preserve"> </v>
      </c>
      <c r="BL69" s="25" t="str">
        <f>IF(BJ69&lt;RAM,SUM(BK69:INDEX(Daix,RAM-BeginnAlter))," ")</f>
        <v xml:space="preserve"> </v>
      </c>
      <c r="BM69" s="25" t="str">
        <f>IF(BJ69&lt;RAM,SUM(BL69:INDEX(Naix,RAM-BeginnAlter))," ")</f>
        <v xml:space="preserve"> </v>
      </c>
      <c r="BN69" s="24" t="str">
        <f t="shared" si="22"/>
        <v xml:space="preserve"> </v>
      </c>
      <c r="BO69" s="24" t="str">
        <f t="shared" si="23"/>
        <v xml:space="preserve"> </v>
      </c>
      <c r="BP69" s="86"/>
      <c r="BQ69" s="35">
        <f t="shared" si="77"/>
        <v>77</v>
      </c>
      <c r="BR69" s="25" t="str">
        <f t="shared" si="51"/>
        <v xml:space="preserve"> </v>
      </c>
      <c r="BS69" s="25" t="str">
        <f>IF(BQ69&lt;RAM,SUM(BR69:INDEX(Daixs,RAM-BeginnAlter))," ")</f>
        <v xml:space="preserve"> </v>
      </c>
      <c r="BT69" s="25" t="str">
        <f>IF(BQ69&lt;RAM,SUM(BS69:INDEX(Naixs,RAM-BeginnAlter))," ")</f>
        <v xml:space="preserve"> </v>
      </c>
      <c r="BU69" s="24" t="str">
        <f t="shared" si="52"/>
        <v xml:space="preserve"> </v>
      </c>
      <c r="BV69" s="24" t="str">
        <f t="shared" si="53"/>
        <v xml:space="preserve"> </v>
      </c>
      <c r="BW69" s="86"/>
      <c r="BX69" s="35">
        <f t="shared" si="78"/>
        <v>77</v>
      </c>
      <c r="BY69" s="10" t="str">
        <f t="shared" si="24"/>
        <v/>
      </c>
      <c r="BZ69" s="11" t="str">
        <f t="shared" si="25"/>
        <v/>
      </c>
      <c r="CA69" s="25" t="str">
        <f>IF(S70&lt;=RAK,IF($BX69&lt;RAM,SUM(BZ69:INDEX(Dazx,RAM-BeginnAlter)),""),"")</f>
        <v/>
      </c>
      <c r="CB69" s="24" t="str">
        <f t="shared" si="26"/>
        <v/>
      </c>
      <c r="CC69" s="25">
        <f t="shared" si="27"/>
        <v>9178</v>
      </c>
      <c r="CD69" s="24">
        <f t="shared" si="28"/>
        <v>7.085</v>
      </c>
      <c r="CE69" s="24" t="str">
        <f t="shared" si="29"/>
        <v/>
      </c>
      <c r="CF69" s="86"/>
      <c r="CG69" s="35">
        <f t="shared" si="79"/>
        <v>77</v>
      </c>
      <c r="CH69" s="25" t="str">
        <f>IF(CG69&lt;RAM,ROUND(v^($CG69+FaktorAlter)*$H69*($B69*0.5*($P69+$P70)*(VLOOKUP(TRUNC(0.5*($Q69+$Q70),0),Frauen!$AZ$9:$BD$95,5)+(0.5*($Q69+$Q70)-TRUNC(0.5*($Q69+$Q70),0))*(VLOOKUP(TRUNC(0.5*($Q69+$Q70)+1,0),Frauen!$AZ$9:$BD$95,5)-VLOOKUP(TRUNC(0.5*($Q69+$Q70),0),Frauen!$AZ$9:$BD$95,5)))+$C69*0.5*($CN69+$CN70)),RundDx),"")</f>
        <v/>
      </c>
      <c r="CI69" s="25" t="str">
        <f>IF(CG69&lt;RAM,ROUND(SUM(CH69:INDEX(Dawx,RAM-BeginnAlter))+INDEX(Dax,RAM-BeginnAlter+1)*INDEX(äwx,1),RundDx),"")</f>
        <v/>
      </c>
      <c r="CJ69" s="25" t="str">
        <f>IF(CG69&lt;RAM,ROUND(SUM(CI69:INDEX(Nawx,RAM-BeginnAlter))+INDEX(Dax,RAM-BeginnAlter+1)*INDEX(äwx,1),RundDx),"")</f>
        <v/>
      </c>
      <c r="CK69" s="24" t="str">
        <f t="shared" si="56"/>
        <v/>
      </c>
      <c r="CL69" s="25" t="str">
        <f>IF(CG69&lt;RAM,ROUND(v^($CG69+FaktorAlter)*$L69*$D69*0.5*($P69+$P70)*(VLOOKUP(TRUNC(0.5*($Q69+$Q70),0),Frauen!$AZ$9:$BD$95,5)+(0.5*($Q69+$Q70)-TRUNC(0.5*($Q69+$Q70),0))*(VLOOKUP(TRUNC(0.5*($Q69+$Q70)+1,0),Frauen!$AZ$9:$BD$95,5)-VLOOKUP(TRUNC(0.5*($Q69+$Q70),0),Frauen!$AZ$9:$BD$95,5))),RundDx),"")</f>
        <v/>
      </c>
      <c r="CM69" s="25" t="str">
        <f>IF(CG69&lt;RAM,SUM(CL69:INDEX(Diwx,RAM-BeginnAlter))+INDEX(Dix,RAM-BeginnAlter+1)*INDEX(äwx,1),"")</f>
        <v/>
      </c>
      <c r="CN69" s="24" t="str">
        <f t="shared" si="57"/>
        <v/>
      </c>
      <c r="CO69" s="86"/>
      <c r="CP69" s="35">
        <f t="shared" si="58"/>
        <v>125</v>
      </c>
      <c r="CQ69" s="25"/>
      <c r="CR69" s="25"/>
      <c r="CS69" s="24"/>
      <c r="CT69" s="86"/>
      <c r="CU69" s="35">
        <f t="shared" si="80"/>
        <v>77</v>
      </c>
      <c r="CV69" s="25" t="str">
        <f>IF($CU69&gt;=RAM,"",IF($CU69-CV$103&lt;BeginnAlter,"",ROUND(v^($CU69+FaktorAlter)*$L69*$D69*0.5*(VLOOKUP($CU69-CV$103,Frauen!$G$9:$J$102,4)+VLOOKUP($CU69-CV$103+1,Frauen!$G$9:$J$102,4))*0.5*(VLOOKUP($CU69-CV$103,Frauen!$AZ$9:$BD$102,5)+VLOOKUP($CU69-CV$103+1,Frauen!$AZ$9:$BD$102,5)),RundDx)))</f>
        <v/>
      </c>
      <c r="CW69" s="25" t="str">
        <f>IF($CU69&gt;=RAM,"",IF($CU69-CW$103&lt;BeginnAlter,"",ROUND(v^($CU69+FaktorAlter)*$L69*$D69*0.5*(VLOOKUP($CU69-CW$103,Frauen!$G$9:$J$102,4)+VLOOKUP($CU69-CW$103+1,Frauen!$G$9:$J$102,4))*0.5*(VLOOKUP($CU69-CW$103,Frauen!$AZ$9:$BD$102,5)+VLOOKUP($CU69-CW$103+1,Frauen!$AZ$9:$BD$102,5)),RundDx)))</f>
        <v/>
      </c>
      <c r="CX69" s="25" t="str">
        <f>IF($CU69&gt;=RAM,"",IF($CU69-CX$103&lt;BeginnAlter,"",ROUND(v^($CU69+FaktorAlter)*$L69*$D69*0.5*(VLOOKUP($CU69-CX$103,Frauen!$G$9:$J$102,4)+VLOOKUP($CU69-CX$103+1,Frauen!$G$9:$J$102,4))*0.5*(VLOOKUP($CU69-CX$103,Frauen!$AZ$9:$BD$102,5)+VLOOKUP($CU69-CX$103+1,Frauen!$AZ$9:$BD$102,5)),RundDx)))</f>
        <v/>
      </c>
      <c r="CY69" s="25" t="str">
        <f>IF($CU69&gt;=RAM,"",IF($CU69-CY$103&lt;BeginnAlter,"",ROUND(v^($CU69+FaktorAlter)*$L69*$D69*0.5*(VLOOKUP($CU69-CY$103,Frauen!$G$9:$J$102,4)+VLOOKUP($CU69-CY$103+1,Frauen!$G$9:$J$102,4))*0.5*(VLOOKUP($CU69-CY$103,Frauen!$AZ$9:$BD$102,5)+VLOOKUP($CU69-CY$103+1,Frauen!$AZ$9:$BD$102,5)),RundDx)))</f>
        <v/>
      </c>
      <c r="CZ69" s="25" t="str">
        <f>IF($CU69&gt;=RAM,"",IF($CU69-CZ$103&lt;BeginnAlter,"",ROUND(v^($CU69+FaktorAlter)*$L69*$D69*0.5*(VLOOKUP($CU69-CZ$103,Frauen!$G$9:$J$102,4)+VLOOKUP($CU69-CZ$103+1,Frauen!$G$9:$J$102,4))*0.5*(VLOOKUP($CU69-CZ$103,Frauen!$AZ$9:$BD$102,5)+VLOOKUP($CU69-CZ$103+1,Frauen!$AZ$9:$BD$102,5)),RundDx)))</f>
        <v/>
      </c>
      <c r="DA69" s="25" t="str">
        <f>IF($CU69&gt;=RAM,"",IF($CU69-DA$103&lt;BeginnAlter,"",ROUND(v^($CU69+FaktorAlter)*$L69*$D69*0.5*(VLOOKUP($CU69-DA$103,Frauen!$G$9:$J$102,4)+VLOOKUP($CU69-DA$103+1,Frauen!$G$9:$J$102,4))*0.5*(VLOOKUP($CU69-DA$103,Frauen!$AZ$9:$BD$102,5)+VLOOKUP($CU69-DA$103+1,Frauen!$AZ$9:$BD$102,5)),RundDx)))</f>
        <v/>
      </c>
      <c r="DB69" s="25" t="str">
        <f>IF($CU69&gt;=RAM,"",IF($CU69-DB$103&lt;BeginnAlter,"",ROUND(v^($CU69+FaktorAlter)*$L69*$D69*0.5*(VLOOKUP($CU69-DB$103,Frauen!$G$9:$J$102,4)+VLOOKUP($CU69-DB$103+1,Frauen!$G$9:$J$102,4))*0.5*(VLOOKUP($CU69-DB$103,Frauen!$AZ$9:$BD$102,5)+VLOOKUP($CU69-DB$103+1,Frauen!$AZ$9:$BD$102,5)),RundDx)))</f>
        <v/>
      </c>
      <c r="DC69" s="25" t="str">
        <f>IF($CU69&gt;=RAM,"",IF($CU69-DC$103&lt;BeginnAlter,"",ROUND(v^($CU69+FaktorAlter)*$L69*$D69*0.5*(VLOOKUP($CU69-DC$103,Frauen!$G$9:$J$102,4)+VLOOKUP($CU69-DC$103+1,Frauen!$G$9:$J$102,4))*0.5*(VLOOKUP($CU69-DC$103,Frauen!$AZ$9:$BD$102,5)+VLOOKUP($CU69-DC$103+1,Frauen!$AZ$9:$BD$102,5)),RundDx)))</f>
        <v/>
      </c>
      <c r="DD69" s="25" t="str">
        <f>IF($CU69&gt;=RAM,"",IF($CU69-DD$103&lt;BeginnAlter,"",ROUND(v^($CU69+FaktorAlter)*$L69*$D69*0.5*(VLOOKUP($CU69-DD$103,Frauen!$G$9:$J$102,4)+VLOOKUP($CU69-DD$103+1,Frauen!$G$9:$J$102,4))*0.5*(VLOOKUP($CU69-DD$103,Frauen!$AZ$9:$BD$102,5)+VLOOKUP($CU69-DD$103+1,Frauen!$AZ$9:$BD$102,5)),RundDx)))</f>
        <v/>
      </c>
      <c r="DE69" s="25" t="str">
        <f>IF($CU69&gt;=RAM,"",IF($CU69-DE$103&lt;BeginnAlter,"",ROUND(v^($CU69+FaktorAlter)*$L69*$D69*0.5*(VLOOKUP($CU69-DE$103,Frauen!$G$9:$J$102,4)+VLOOKUP($CU69-DE$103+1,Frauen!$G$9:$J$102,4))*0.5*(VLOOKUP($CU69-DE$103,Frauen!$AZ$9:$BD$102,5)+VLOOKUP($CU69-DE$103+1,Frauen!$AZ$9:$BD$102,5)),RundDx)))</f>
        <v/>
      </c>
      <c r="DF69" s="25" t="str">
        <f>IF($CU69&gt;=RAM,"",IF($CU69-DF$103&lt;BeginnAlter,"",ROUND(v^($CU69+FaktorAlter)*$L69*$D69*0.5*(VLOOKUP($CU69-DF$103,Frauen!$G$9:$J$102,4)+VLOOKUP($CU69-DF$103+1,Frauen!$G$9:$J$102,4))*0.5*(VLOOKUP($CU69-DF$103,Frauen!$AZ$9:$BD$102,5)+VLOOKUP($CU69-DF$103+1,Frauen!$AZ$9:$BD$102,5)),RundDx)))</f>
        <v/>
      </c>
      <c r="DG69" s="25" t="str">
        <f>IF($CU69&gt;=RAM,"",IF($CU69-DG$103&lt;BeginnAlter,"",ROUND(v^($CU69+FaktorAlter)*$L69*$D69*0.5*(VLOOKUP($CU69-DG$103,Frauen!$G$9:$J$102,4)+VLOOKUP($CU69-DG$103+1,Frauen!$G$9:$J$102,4))*0.5*(VLOOKUP($CU69-DG$103,Frauen!$AZ$9:$BD$102,5)+VLOOKUP($CU69-DG$103+1,Frauen!$AZ$9:$BD$102,5)),RundDx)))</f>
        <v/>
      </c>
      <c r="DH69" s="25" t="str">
        <f>IF($CU69&gt;=RAM,"",IF($CU69-DH$103&lt;BeginnAlter,"",ROUND(v^($CU69+FaktorAlter)*$L69*$D69*0.5*(VLOOKUP($CU69-DH$103,Frauen!$G$9:$J$102,4)+VLOOKUP($CU69-DH$103+1,Frauen!$G$9:$J$102,4))*0.5*(VLOOKUP($CU69-DH$103,Frauen!$AZ$9:$BD$102,5)+VLOOKUP($CU69-DH$103+1,Frauen!$AZ$9:$BD$102,5)),RundDx)))</f>
        <v/>
      </c>
      <c r="DI69" s="25" t="str">
        <f>IF($CU69&gt;=RAM,"",IF($CU69-DI$103&lt;BeginnAlter,"",ROUND(v^($CU69+FaktorAlter)*$L69*$D69*0.5*(VLOOKUP($CU69-DI$103,Frauen!$G$9:$J$102,4)+VLOOKUP($CU69-DI$103+1,Frauen!$G$9:$J$102,4))*0.5*(VLOOKUP($CU69-DI$103,Frauen!$AZ$9:$BD$102,5)+VLOOKUP($CU69-DI$103+1,Frauen!$AZ$9:$BD$102,5)),RundDx)))</f>
        <v/>
      </c>
      <c r="DJ69" s="25" t="str">
        <f>IF($CU69&gt;=RAM,"",IF($CU69-DJ$103&lt;BeginnAlter,"",ROUND(v^($CU69+FaktorAlter)*$L69*$D69*0.5*(VLOOKUP($CU69-DJ$103,Frauen!$G$9:$J$102,4)+VLOOKUP($CU69-DJ$103+1,Frauen!$G$9:$J$102,4))*0.5*(VLOOKUP($CU69-DJ$103,Frauen!$AZ$9:$BD$102,5)+VLOOKUP($CU69-DJ$103+1,Frauen!$AZ$9:$BD$102,5)),RundDx)))</f>
        <v/>
      </c>
      <c r="DK69" s="25" t="str">
        <f>IF($CU69&gt;=RAM,"",IF($CU69-DK$103&lt;BeginnAlter,"",ROUND(v^($CU69+FaktorAlter)*$L69*$D69*0.5*(VLOOKUP($CU69-DK$103,Frauen!$G$9:$J$102,4)+VLOOKUP($CU69-DK$103+1,Frauen!$G$9:$J$102,4))*0.5*(VLOOKUP($CU69-DK$103,Frauen!$AZ$9:$BD$102,5)+VLOOKUP($CU69-DK$103+1,Frauen!$AZ$9:$BD$102,5)),RundDx)))</f>
        <v/>
      </c>
      <c r="DL69" s="25" t="str">
        <f>IF($CU69&gt;=RAM,"",IF($CU69-DL$103&lt;BeginnAlter,"",ROUND(v^($CU69+FaktorAlter)*$L69*$D69*0.5*(VLOOKUP($CU69-DL$103,Frauen!$G$9:$J$102,4)+VLOOKUP($CU69-DL$103+1,Frauen!$G$9:$J$102,4))*0.5*(VLOOKUP($CU69-DL$103,Frauen!$AZ$9:$BD$102,5)+VLOOKUP($CU69-DL$103+1,Frauen!$AZ$9:$BD$102,5)),RundDx)))</f>
        <v/>
      </c>
      <c r="DM69" s="25" t="str">
        <f>IF($CU69&gt;=RAM,"",IF($CU69-DM$103&lt;BeginnAlter,"",ROUND(v^($CU69+FaktorAlter)*$L69*$D69*0.5*(VLOOKUP($CU69-DM$103,Frauen!$G$9:$J$102,4)+VLOOKUP($CU69-DM$103+1,Frauen!$G$9:$J$102,4))*0.5*(VLOOKUP($CU69-DM$103,Frauen!$AZ$9:$BD$102,5)+VLOOKUP($CU69-DM$103+1,Frauen!$AZ$9:$BD$102,5)),RundDx)))</f>
        <v/>
      </c>
      <c r="DN69" s="25" t="str">
        <f>IF($CU69&gt;=RAM,"",IF($CU69-DN$103&lt;BeginnAlter,"",ROUND(v^($CU69+FaktorAlter)*$L69*$D69*0.5*(VLOOKUP($CU69-DN$103,Frauen!$G$9:$J$102,4)+VLOOKUP($CU69-DN$103+1,Frauen!$G$9:$J$102,4))*0.5*(VLOOKUP($CU69-DN$103,Frauen!$AZ$9:$BD$102,5)+VLOOKUP($CU69-DN$103+1,Frauen!$AZ$9:$BD$102,5)),RundDx)))</f>
        <v/>
      </c>
      <c r="DO69" s="25" t="str">
        <f>IF($CU69&gt;=RAM,"",IF($CU69-DO$103&lt;BeginnAlter,"",ROUND(v^($CU69+FaktorAlter)*$L69*$D69*0.5*(VLOOKUP($CU69-DO$103,Frauen!$G$9:$J$102,4)+VLOOKUP($CU69-DO$103+1,Frauen!$G$9:$J$102,4))*0.5*(VLOOKUP($CU69-DO$103,Frauen!$AZ$9:$BD$102,5)+VLOOKUP($CU69-DO$103+1,Frauen!$AZ$9:$BD$102,5)),RundDx)))</f>
        <v/>
      </c>
      <c r="DP69" s="25" t="str">
        <f>IF($CU69&gt;=RAM,"",IF($CU69-DP$103&lt;BeginnAlter,"",ROUND(v^($CU69+FaktorAlter)*$L69*$D69*0.5*(VLOOKUP($CU69-DP$103,Frauen!$G$9:$J$102,4)+VLOOKUP($CU69-DP$103+1,Frauen!$G$9:$J$102,4))*0.5*(VLOOKUP($CU69-DP$103,Frauen!$AZ$9:$BD$102,5)+VLOOKUP($CU69-DP$103+1,Frauen!$AZ$9:$BD$102,5)),RundDx)))</f>
        <v/>
      </c>
      <c r="DQ69" s="25" t="str">
        <f>IF($CU69&gt;=RAM,"",IF($CU69-DQ$103&lt;BeginnAlter,"",ROUND(v^($CU69+FaktorAlter)*$L69*$D69*0.5*(VLOOKUP($CU69-DQ$103,Frauen!$G$9:$J$102,4)+VLOOKUP($CU69-DQ$103+1,Frauen!$G$9:$J$102,4))*0.5*(VLOOKUP($CU69-DQ$103,Frauen!$AZ$9:$BD$102,5)+VLOOKUP($CU69-DQ$103+1,Frauen!$AZ$9:$BD$102,5)),RundDx)))</f>
        <v/>
      </c>
      <c r="DR69" s="25" t="str">
        <f>IF($CU69&gt;=RAM,"",IF($CU69-DR$103&lt;BeginnAlter,"",ROUND(v^($CU69+FaktorAlter)*$L69*$D69*0.5*(VLOOKUP($CU69-DR$103,Frauen!$G$9:$J$102,4)+VLOOKUP($CU69-DR$103+1,Frauen!$G$9:$J$102,4))*0.5*(VLOOKUP($CU69-DR$103,Frauen!$AZ$9:$BD$102,5)+VLOOKUP($CU69-DR$103+1,Frauen!$AZ$9:$BD$102,5)),RundDx)))</f>
        <v/>
      </c>
      <c r="DS69" s="25" t="str">
        <f>IF($CU69&gt;=RAM,"",IF($CU69-DS$103&lt;BeginnAlter,"",ROUND(v^($CU69+FaktorAlter)*$L69*$D69*0.5*(VLOOKUP($CU69-DS$103,Frauen!$G$9:$J$102,4)+VLOOKUP($CU69-DS$103+1,Frauen!$G$9:$J$102,4))*0.5*(VLOOKUP($CU69-DS$103,Frauen!$AZ$9:$BD$102,5)+VLOOKUP($CU69-DS$103+1,Frauen!$AZ$9:$BD$102,5)),RundDx)))</f>
        <v/>
      </c>
      <c r="DT69" s="25" t="str">
        <f>IF($CU69&gt;=RAM,"",IF($CU69-DT$103&lt;BeginnAlter,"",ROUND(v^($CU69+FaktorAlter)*$L69*$D69*0.5*(VLOOKUP($CU69-DT$103,Frauen!$G$9:$J$102,4)+VLOOKUP($CU69-DT$103+1,Frauen!$G$9:$J$102,4))*0.5*(VLOOKUP($CU69-DT$103,Frauen!$AZ$9:$BD$102,5)+VLOOKUP($CU69-DT$103+1,Frauen!$AZ$9:$BD$102,5)),RundDx)))</f>
        <v/>
      </c>
      <c r="DU69" s="25" t="str">
        <f>IF($CU69&gt;=RAM,"",IF($CU69-DU$103&lt;BeginnAlter,"",ROUND(v^($CU69+FaktorAlter)*$L69*$D69*0.5*(VLOOKUP($CU69-DU$103,Frauen!$G$9:$J$102,4)+VLOOKUP($CU69-DU$103+1,Frauen!$G$9:$J$102,4))*0.5*(VLOOKUP($CU69-DU$103,Frauen!$AZ$9:$BD$102,5)+VLOOKUP($CU69-DU$103+1,Frauen!$AZ$9:$BD$102,5)),RundDx)))</f>
        <v/>
      </c>
      <c r="DV69" s="25" t="str">
        <f>IF($CU69&gt;=RAM,"",IF($CU69-DV$103&lt;BeginnAlter,"",ROUND(v^($CU69+FaktorAlter)*$L69*$D69*0.5*(VLOOKUP($CU69-DV$103,Frauen!$G$9:$J$102,4)+VLOOKUP($CU69-DV$103+1,Frauen!$G$9:$J$102,4))*0.5*(VLOOKUP($CU69-DV$103,Frauen!$AZ$9:$BD$102,5)+VLOOKUP($CU69-DV$103+1,Frauen!$AZ$9:$BD$102,5)),RundDx)))</f>
        <v/>
      </c>
      <c r="DW69" s="25" t="str">
        <f>IF($CU69&gt;=RAM,"",IF($CU69-DW$103&lt;BeginnAlter,"",ROUND(v^($CU69+FaktorAlter)*$L69*$D69*0.5*(VLOOKUP($CU69-DW$103,Frauen!$G$9:$J$102,4)+VLOOKUP($CU69-DW$103+1,Frauen!$G$9:$J$102,4))*0.5*(VLOOKUP($CU69-DW$103,Frauen!$AZ$9:$BD$102,5)+VLOOKUP($CU69-DW$103+1,Frauen!$AZ$9:$BD$102,5)),RundDx)))</f>
        <v/>
      </c>
      <c r="DX69" s="25" t="str">
        <f>IF($CU69&gt;=RAM,"",IF($CU69-DX$103&lt;BeginnAlter,"",ROUND(v^($CU69+FaktorAlter)*$L69*$D69*0.5*(VLOOKUP($CU69-DX$103,Frauen!$G$9:$J$102,4)+VLOOKUP($CU69-DX$103+1,Frauen!$G$9:$J$102,4))*0.5*(VLOOKUP($CU69-DX$103,Frauen!$AZ$9:$BD$102,5)+VLOOKUP($CU69-DX$103+1,Frauen!$AZ$9:$BD$102,5)),RundDx)))</f>
        <v/>
      </c>
      <c r="DY69" s="25" t="str">
        <f>IF($CU69&gt;=RAM,"",IF($CU69-DY$103&lt;BeginnAlter,"",ROUND(v^($CU69+FaktorAlter)*$L69*$D69*0.5*(VLOOKUP($CU69-DY$103,Frauen!$G$9:$J$102,4)+VLOOKUP($CU69-DY$103+1,Frauen!$G$9:$J$102,4))*0.5*(VLOOKUP($CU69-DY$103,Frauen!$AZ$9:$BD$102,5)+VLOOKUP($CU69-DY$103+1,Frauen!$AZ$9:$BD$102,5)),RundDx)))</f>
        <v/>
      </c>
      <c r="DZ69" s="25" t="str">
        <f>IF($CU69&gt;=RAM,"",IF($CU69-DZ$103&lt;BeginnAlter,"",ROUND(v^($CU69+FaktorAlter)*$L69*$D69*0.5*(VLOOKUP($CU69-DZ$103,Frauen!$G$9:$J$102,4)+VLOOKUP($CU69-DZ$103+1,Frauen!$G$9:$J$102,4))*0.5*(VLOOKUP($CU69-DZ$103,Frauen!$AZ$9:$BD$102,5)+VLOOKUP($CU69-DZ$103+1,Frauen!$AZ$9:$BD$102,5)),RundDx)))</f>
        <v/>
      </c>
      <c r="EA69" s="43" t="str">
        <f>IF($CU69&gt;=RAM,"",IF($CU69-EA$103&lt;BeginnAlter,"",ROUND((SUM(CV$56:CV69)+SUM(FN$9:FN$56))/VLOOKUP($CU69,$AH$9:$AI$102,2)/VLOOKUP($CU69-EA$103,Frauen!$G$9:$J$102,4),Rundäx)))</f>
        <v/>
      </c>
      <c r="EB69" s="43" t="str">
        <f>IF($CU69&gt;=RAM,"",IF($CU69-EB$103&lt;BeginnAlter,"",ROUND((SUM(CW$56:CW69)+SUM(FO$9:FO$56))/VLOOKUP($CU69,$AH$9:$AI$102,2)/VLOOKUP($CU69-EB$103,Frauen!$G$9:$J$102,4),Rundäx)))</f>
        <v/>
      </c>
      <c r="EC69" s="43" t="str">
        <f>IF($CU69&gt;=RAM,"",IF($CU69-EC$103&lt;BeginnAlter,"",ROUND((SUM(CX$56:CX69)+SUM(FP$9:FP$56))/VLOOKUP($CU69,$AH$9:$AI$102,2)/VLOOKUP($CU69-EC$103,Frauen!$G$9:$J$102,4),Rundäx)))</f>
        <v/>
      </c>
      <c r="ED69" s="43" t="str">
        <f>IF($CU69&gt;=RAM,"",IF($CU69-ED$103&lt;BeginnAlter,"",ROUND((SUM(CY$56:CY69)+SUM(FQ$9:FQ$56))/VLOOKUP($CU69,$AH$9:$AI$102,2)/VLOOKUP($CU69-ED$103,Frauen!$G$9:$J$102,4),Rundäx)))</f>
        <v/>
      </c>
      <c r="EE69" s="43" t="str">
        <f>IF($CU69&gt;=RAM,"",IF($CU69-EE$103&lt;BeginnAlter,"",ROUND((SUM(CZ$56:CZ69)+SUM(FR$9:FR$56))/VLOOKUP($CU69,$AH$9:$AI$102,2)/VLOOKUP($CU69-EE$103,Frauen!$G$9:$J$102,4),Rundäx)))</f>
        <v/>
      </c>
      <c r="EF69" s="43" t="str">
        <f>IF($CU69&gt;=RAM,"",IF($CU69-EF$103&lt;BeginnAlter,"",ROUND((SUM(DA$56:DA69)+SUM(FS$9:FS$56))/VLOOKUP($CU69,$AH$9:$AI$102,2)/VLOOKUP($CU69-EF$103,Frauen!$G$9:$J$102,4),Rundäx)))</f>
        <v/>
      </c>
      <c r="EG69" s="43" t="str">
        <f>IF($CU69&gt;=RAM,"",IF($CU69-EG$103&lt;BeginnAlter,"",ROUND((SUM(DB$56:DB69)+SUM(FT$9:FT$56))/VLOOKUP($CU69,$AH$9:$AI$102,2)/VLOOKUP($CU69-EG$103,Frauen!$G$9:$J$102,4),Rundäx)))</f>
        <v/>
      </c>
      <c r="EH69" s="43" t="str">
        <f>IF($CU69&gt;=RAM,"",IF($CU69-EH$103&lt;BeginnAlter,"",ROUND((SUM(DC$56:DC69)+SUM(FU$9:FU$56))/VLOOKUP($CU69,$AH$9:$AI$102,2)/VLOOKUP($CU69-EH$103,Frauen!$G$9:$J$102,4),Rundäx)))</f>
        <v/>
      </c>
      <c r="EI69" s="86"/>
      <c r="EJ69" s="35">
        <f t="shared" si="60"/>
        <v>77</v>
      </c>
      <c r="EK69" s="43" t="str">
        <f>IF($CU69&gt;=RAM,"",IF($CU69-EK$103&lt;BeginnAlter,"",ROUND((SUM(DD$56:DD69)+SUM(FV$9:FV$56))/VLOOKUP($CU69,$AH$9:$AI$102,2)/VLOOKUP($CU69-EK$103,Frauen!$G$9:$J$102,4),Rundäx)))</f>
        <v/>
      </c>
      <c r="EL69" s="43" t="str">
        <f>IF($CU69&gt;=RAM,"",IF($CU69-EL$103&lt;BeginnAlter,"",ROUND((SUM(DE$56:DE69)+SUM(FW$9:FW$56))/VLOOKUP($CU69,$AH$9:$AI$102,2)/VLOOKUP($CU69-EL$103,Frauen!$G$9:$J$102,4),Rundäx)))</f>
        <v/>
      </c>
      <c r="EM69" s="43" t="str">
        <f>IF($CU69&gt;=RAM,"",IF($CU69-EM$103&lt;BeginnAlter,"",ROUND((SUM(DF$56:DF69)+SUM(FX$9:FX$56))/VLOOKUP($CU69,$AH$9:$AI$102,2)/VLOOKUP($CU69-EM$103,Frauen!$G$9:$J$102,4),Rundäx)))</f>
        <v/>
      </c>
      <c r="EN69" s="43" t="str">
        <f>IF($CU69&gt;=RAM,"",IF($CU69-EN$103&lt;BeginnAlter,"",ROUND((SUM(DG$56:DG69)+SUM(FY$9:FY$56))/VLOOKUP($CU69,$AH$9:$AI$102,2)/VLOOKUP($CU69-EN$103,Frauen!$G$9:$J$102,4),Rundäx)))</f>
        <v/>
      </c>
      <c r="EO69" s="43" t="str">
        <f>IF($CU69&gt;=RAM,"",IF($CU69-EO$103&lt;BeginnAlter,"",ROUND((SUM(DH$56:DH69)+SUM(FZ$9:FZ$56))/VLOOKUP($CU69,$AH$9:$AI$102,2)/VLOOKUP($CU69-EO$103,Frauen!$G$9:$J$102,4),Rundäx)))</f>
        <v/>
      </c>
      <c r="EP69" s="43" t="str">
        <f>IF($CU69&gt;=RAM,"",IF($CU69-EP$103&lt;BeginnAlter,"",ROUND((SUM(DI$56:DI69)+SUM(GA$9:GA$56))/VLOOKUP($CU69,$AH$9:$AI$102,2)/VLOOKUP($CU69-EP$103,Frauen!$G$9:$J$102,4),Rundäx)))</f>
        <v/>
      </c>
      <c r="EQ69" s="43" t="str">
        <f>IF($CU69&gt;=RAM,"",IF($CU69-EQ$103&lt;BeginnAlter,"",ROUND((SUM(DJ$56:DJ69)+SUM(GB$9:GB$56))/VLOOKUP($CU69,$AH$9:$AI$102,2)/VLOOKUP($CU69-EQ$103,Frauen!$G$9:$J$102,4),Rundäx)))</f>
        <v/>
      </c>
      <c r="ER69" s="43" t="str">
        <f>IF($CU69&gt;=RAM,"",IF($CU69-ER$103&lt;BeginnAlter,"",ROUND((SUM(DK$56:DK69)+SUM(GC$9:GC$56))/VLOOKUP($CU69,$AH$9:$AI$102,2)/VLOOKUP($CU69-ER$103,Frauen!$G$9:$J$102,4),Rundäx)))</f>
        <v/>
      </c>
      <c r="ES69" s="86"/>
      <c r="ET69" s="35">
        <f t="shared" si="61"/>
        <v>77</v>
      </c>
      <c r="EU69" s="43" t="str">
        <f>IF($CU69&gt;=RAM,"",IF($CU69-EU$103&lt;BeginnAlter,"",ROUND((SUM(DL$56:DL69)+SUM(GD$9:GD$56))/VLOOKUP($CU69,$AH$9:$AI$102,2)/VLOOKUP($CU69-EU$103,Frauen!$G$9:$J$102,4),Rundäx)))</f>
        <v/>
      </c>
      <c r="EV69" s="43" t="str">
        <f>IF($CU69&gt;=RAM,"",IF($CU69-EV$103&lt;BeginnAlter,"",ROUND((SUM(DM$56:DM69)+SUM(GE$9:GE$56))/VLOOKUP($CU69,$AH$9:$AI$102,2)/VLOOKUP($CU69-EV$103,Frauen!$G$9:$J$102,4),Rundäx)))</f>
        <v/>
      </c>
      <c r="EW69" s="43" t="str">
        <f>IF($CU69&gt;=RAM,"",IF($CU69-EW$103&lt;BeginnAlter,"",ROUND((SUM(DN$56:DN69)+SUM(GF$9:GF$56))/VLOOKUP($CU69,$AH$9:$AI$102,2)/VLOOKUP($CU69-EW$103,Frauen!$G$9:$J$102,4),Rundäx)))</f>
        <v/>
      </c>
      <c r="EX69" s="43" t="str">
        <f>IF($CU69&gt;=RAM,"",IF($CU69-EX$103&lt;BeginnAlter,"",ROUND((SUM(DO$56:DO69)+SUM(GG$9:GG$56))/VLOOKUP($CU69,$AH$9:$AI$102,2)/VLOOKUP($CU69-EX$103,Frauen!$G$9:$J$102,4),Rundäx)))</f>
        <v/>
      </c>
      <c r="EY69" s="43" t="str">
        <f>IF($CU69&gt;=RAM,"",IF($CU69-EY$103&lt;BeginnAlter,"",ROUND((SUM(DP$56:DP69)+SUM(GH$9:GH$56))/VLOOKUP($CU69,$AH$9:$AI$102,2)/VLOOKUP($CU69-EY$103,Frauen!$G$9:$J$102,4),Rundäx)))</f>
        <v/>
      </c>
      <c r="EZ69" s="43" t="str">
        <f>IF($CU69&gt;=RAM,"",IF($CU69-EZ$103&lt;BeginnAlter,"",ROUND((SUM(DQ$56:DQ69)+SUM(GI$9:GI$56))/VLOOKUP($CU69,$AH$9:$AI$102,2)/VLOOKUP($CU69-EZ$103,Frauen!$G$9:$J$102,4),Rundäx)))</f>
        <v/>
      </c>
      <c r="FA69" s="43" t="str">
        <f>IF($CU69&gt;=RAM,"",IF($CU69-FA$103&lt;BeginnAlter,"",ROUND((SUM(DR$56:DR69)+SUM(GJ$9:GJ$56))/VLOOKUP($CU69,$AH$9:$AI$102,2)/VLOOKUP($CU69-FA$103,Frauen!$G$9:$J$102,4),Rundäx)))</f>
        <v/>
      </c>
      <c r="FB69" s="43" t="str">
        <f>IF($CU69&gt;=RAM,"",IF($CU69-FB$103&lt;BeginnAlter,"",ROUND((SUM(DS$56:DS69)+SUM(GK$9:GK$56))/VLOOKUP($CU69,$AH$9:$AI$102,2)/VLOOKUP($CU69-FB$103,Frauen!$G$9:$J$102,4),Rundäx)))</f>
        <v/>
      </c>
      <c r="FC69" s="86"/>
      <c r="FD69" s="35">
        <f t="shared" si="62"/>
        <v>77</v>
      </c>
      <c r="FE69" s="43" t="str">
        <f>IF($CU69&gt;=RAM,"",IF($CU69-FE$103&lt;BeginnAlter,"",ROUND((SUM(DT$56:DT69)+SUM(GL$9:GL$56))/VLOOKUP($CU69,$AH$9:$AI$102,2)/VLOOKUP($CU69-FE$103,Frauen!$G$9:$J$102,4),Rundäx)))</f>
        <v/>
      </c>
      <c r="FF69" s="43" t="str">
        <f>IF($CU69&gt;=RAM,"",IF($CU69-FF$103&lt;BeginnAlter,"",ROUND((SUM(DU$56:DU69)+SUM(GM$9:GM$56))/VLOOKUP($CU69,$AH$9:$AI$102,2)/VLOOKUP($CU69-FF$103,Frauen!$G$9:$J$102,4),Rundäx)))</f>
        <v/>
      </c>
      <c r="FG69" s="43" t="str">
        <f>IF($CU69&gt;=RAM,"",IF($CU69-FG$103&lt;BeginnAlter,"",ROUND((SUM(DV$56:DV69)+SUM(GN$9:GN$56))/VLOOKUP($CU69,$AH$9:$AI$102,2)/VLOOKUP($CU69-FG$103,Frauen!$G$9:$J$102,4),Rundäx)))</f>
        <v/>
      </c>
      <c r="FH69" s="43" t="str">
        <f>IF($CU69&gt;=RAM,"",IF($CU69-FH$103&lt;BeginnAlter,"",ROUND((SUM(DW$56:DW69)+SUM(GO$9:GO$56))/VLOOKUP($CU69,$AH$9:$AI$102,2)/VLOOKUP($CU69-FH$103,Frauen!$G$9:$J$102,4),Rundäx)))</f>
        <v/>
      </c>
      <c r="FI69" s="43" t="str">
        <f>IF($CU69&gt;=RAM,"",IF($CU69-FI$103&lt;BeginnAlter,"",ROUND((SUM(DX$56:DX69)+SUM(GP$9:GP$56))/VLOOKUP($CU69,$AH$9:$AI$102,2)/VLOOKUP($CU69-FI$103,Frauen!$G$9:$J$102,4),Rundäx)))</f>
        <v/>
      </c>
      <c r="FJ69" s="43" t="str">
        <f>IF($CU69&gt;=RAM,"",IF($CU69-FJ$103&lt;BeginnAlter,"",ROUND((SUM(DY$56:DY69)+SUM(GQ$9:GQ$56))/VLOOKUP($CU69,$AH$9:$AI$102,2)/VLOOKUP($CU69-FJ$103,Frauen!$G$9:$J$102,4),Rundäx)))</f>
        <v/>
      </c>
      <c r="FK69" s="43" t="str">
        <f>IF($CU69&gt;=RAM,"",IF($CU69-FK$103&lt;BeginnAlter,"",ROUND((SUM(DZ$56:DZ69)+SUM(GR$9:GR$56))/VLOOKUP($CU69,$AH$9:$AI$102,2)/VLOOKUP($CU69-FK$103,Frauen!$G$9:$J$102,4),Rundäx)))</f>
        <v/>
      </c>
      <c r="FL69" s="86"/>
      <c r="FM69" s="35">
        <f t="shared" si="68"/>
        <v>125</v>
      </c>
      <c r="FN69" s="25"/>
      <c r="FO69" s="25"/>
      <c r="FP69" s="25"/>
      <c r="FQ69" s="25"/>
      <c r="FR69" s="25"/>
      <c r="FS69" s="25"/>
      <c r="FT69" s="25"/>
      <c r="FU69" s="25"/>
      <c r="FV69" s="25"/>
      <c r="FW69" s="25"/>
      <c r="FX69" s="25"/>
      <c r="FY69" s="25"/>
      <c r="FZ69" s="25"/>
      <c r="GA69" s="25"/>
      <c r="GB69" s="25"/>
      <c r="GC69" s="25"/>
      <c r="GD69" s="25"/>
      <c r="GE69" s="25"/>
      <c r="GF69" s="25"/>
      <c r="GG69" s="25"/>
      <c r="GH69" s="25"/>
      <c r="GI69" s="25"/>
      <c r="GJ69" s="25"/>
      <c r="GK69" s="25"/>
      <c r="GL69" s="25"/>
      <c r="GM69" s="25"/>
      <c r="GN69" s="25"/>
      <c r="GO69" s="25"/>
      <c r="GP69" s="25"/>
      <c r="GQ69" s="25"/>
      <c r="GR69" s="25"/>
      <c r="GS69" s="24"/>
      <c r="GT69" s="24"/>
      <c r="GU69" s="24" t="str">
        <f>IF(FM69&gt;=RAM," ",#REF!/$AI69/Frauen!$J57)</f>
        <v xml:space="preserve"> </v>
      </c>
      <c r="GV69" s="24" t="str">
        <f>IF(FM69&gt;=RAM," ",#REF!/$AI69/Frauen!$J60)</f>
        <v xml:space="preserve"> </v>
      </c>
      <c r="GW69" s="24" t="str">
        <f>IF(FM69&gt;=RAM," ",#REF!/$AI69/Frauen!$J63)</f>
        <v xml:space="preserve"> </v>
      </c>
      <c r="GX69" s="24" t="str">
        <f>IF(FM69&gt;=RAM," ",#REF!/$AI69/Frauen!$J66)</f>
        <v xml:space="preserve"> </v>
      </c>
      <c r="GY69" s="24" t="str">
        <f>IF(FM69&gt;=RAM," ",#REF!/$AI69/Frauen!$J69)</f>
        <v xml:space="preserve"> </v>
      </c>
      <c r="GZ69" s="24" t="str">
        <f>IF(FM69&gt;=RAM," ",#REF!/$AI69/Frauen!$J72)</f>
        <v xml:space="preserve"> </v>
      </c>
      <c r="HA69" s="86"/>
      <c r="HB69" s="35">
        <f t="shared" si="63"/>
        <v>125</v>
      </c>
      <c r="HC69" s="24"/>
      <c r="HD69" s="24"/>
      <c r="HE69" s="24"/>
      <c r="HF69" s="24"/>
      <c r="HG69" s="24"/>
      <c r="HH69" s="24"/>
      <c r="HI69" s="24"/>
      <c r="HJ69" s="24"/>
      <c r="HK69" s="86"/>
      <c r="HL69" s="35">
        <f t="shared" si="64"/>
        <v>125</v>
      </c>
      <c r="HM69" s="24"/>
      <c r="HN69" s="24"/>
      <c r="HO69" s="24"/>
      <c r="HP69" s="24"/>
      <c r="HQ69" s="24"/>
      <c r="HR69" s="24"/>
      <c r="HS69" s="24"/>
      <c r="HT69" s="24"/>
      <c r="HU69" s="86"/>
      <c r="HV69" s="35">
        <f t="shared" si="65"/>
        <v>125</v>
      </c>
      <c r="HW69" s="24"/>
      <c r="HX69" s="24"/>
      <c r="HY69" s="24"/>
      <c r="HZ69" s="24"/>
      <c r="IA69" s="24"/>
      <c r="IB69" s="24"/>
      <c r="IC69" s="24"/>
      <c r="ID69" s="89"/>
      <c r="IE69" s="35">
        <f t="shared" si="81"/>
        <v>77</v>
      </c>
      <c r="IF69" s="25" t="str">
        <f t="shared" si="31"/>
        <v/>
      </c>
      <c r="IG69" s="25" t="str">
        <f>IF($IE69&lt;RAM,IF(S70&lt;=RAK,ROUND(SUM(IF69:INDEX(Dakx,RAM-BeginnAlter))+INDEX(Dax,RAM-BeginnAlter+1)*INDEX(äkx,1),RundDx),0),"")</f>
        <v/>
      </c>
      <c r="IH69" s="25" t="str">
        <f>IF($IE69&lt;RAM,IF(S70&lt;=RAK,ROUND(SUM(IG69:INDEX(Nakx,RAM-BeginnAlter))+INDEX(Dax,RAM-BeginnAlter+1)*INDEX(äkx,1),RundDx),0),"")</f>
        <v/>
      </c>
      <c r="II69" s="24" t="str">
        <f t="shared" si="32"/>
        <v/>
      </c>
      <c r="IJ69" s="25" t="str">
        <f t="shared" si="33"/>
        <v/>
      </c>
      <c r="IK69" s="25" t="str">
        <f>IF($IE69&lt;RAM,IF(S70&lt;=RAK,SUM(IJ69:INDEX(Dikx,RAM-BeginnAlter))+INDEX(Dix,RAM-BeginnAlter+1)*INDEX(äkx,1),0),"")</f>
        <v/>
      </c>
      <c r="IL69" s="24" t="str">
        <f t="shared" si="34"/>
        <v/>
      </c>
      <c r="IM69" s="86"/>
      <c r="IN69" s="35">
        <f t="shared" si="67"/>
        <v>125</v>
      </c>
      <c r="IO69" s="25"/>
      <c r="IP69" s="25"/>
      <c r="IQ69" s="24"/>
      <c r="IR69" s="86"/>
    </row>
    <row r="70" spans="1:252" ht="15.75" customHeight="1" x14ac:dyDescent="0.25">
      <c r="A70" s="35">
        <f t="shared" si="69"/>
        <v>78</v>
      </c>
      <c r="B70" s="77"/>
      <c r="C70" s="77"/>
      <c r="D70" s="77"/>
      <c r="E70" s="77">
        <v>4.9899043435360245E-2</v>
      </c>
      <c r="F70" s="86"/>
      <c r="G70" s="35">
        <f t="shared" si="70"/>
        <v>78</v>
      </c>
      <c r="H70" s="25" t="str">
        <f t="shared" si="37"/>
        <v/>
      </c>
      <c r="I70" s="25" t="str">
        <f t="shared" si="38"/>
        <v/>
      </c>
      <c r="J70" s="25">
        <f t="shared" si="39"/>
        <v>60517</v>
      </c>
      <c r="K70" s="30">
        <f>IF(J70&gt;0,ROUND(SUM(J70:J$102)/J70-0.5,Rundex),"")</f>
        <v>9</v>
      </c>
      <c r="L70" s="25">
        <f t="shared" si="0"/>
        <v>60517</v>
      </c>
      <c r="M70" s="30">
        <f>IF(L70&gt;0,ROUND(SUM(L70:L$102)/L70-0.5,Rundex),"")</f>
        <v>9</v>
      </c>
      <c r="N70" s="86"/>
      <c r="O70" s="35">
        <f t="shared" si="71"/>
        <v>78</v>
      </c>
      <c r="P70" s="43">
        <v>0.75200151212540289</v>
      </c>
      <c r="Q70" s="78">
        <v>72.935715885639851</v>
      </c>
      <c r="R70" s="43">
        <v>2E-3</v>
      </c>
      <c r="S70" s="78">
        <v>22.108113076549184</v>
      </c>
      <c r="T70" s="15">
        <v>5.9299996791009862E-2</v>
      </c>
      <c r="U70" s="11">
        <f t="shared" si="40"/>
        <v>49702</v>
      </c>
      <c r="V70" s="30">
        <f>IF(U70&gt;0,ROUND(SUM(U70:U$102)/U70-0.5,Rundex),"")</f>
        <v>8.58</v>
      </c>
      <c r="W70" s="86"/>
      <c r="X70" s="35">
        <f t="shared" si="72"/>
        <v>78</v>
      </c>
      <c r="Y70" s="25" t="str">
        <f t="shared" si="1"/>
        <v xml:space="preserve"> </v>
      </c>
      <c r="Z70" s="25" t="str">
        <f>IF($X70&lt;RAM,SUM(Y70:INDEX(Dax,RAM-BeginnAlter))," ")</f>
        <v xml:space="preserve"> </v>
      </c>
      <c r="AA70" s="25" t="str">
        <f t="shared" si="2"/>
        <v xml:space="preserve"> </v>
      </c>
      <c r="AB70" s="25" t="str">
        <f>IF($X70&lt;RAM,SUM(AA70:INDEX(Cax,RAM-BeginnAlter))," ")</f>
        <v xml:space="preserve"> </v>
      </c>
      <c r="AC70" s="25" t="str">
        <f t="shared" si="3"/>
        <v xml:space="preserve"> </v>
      </c>
      <c r="AD70" s="25" t="str">
        <f>IF($X70&lt;RAM,SUM(AC70:INDEX(Caix,RAM-BeginnAlter))," ")</f>
        <v xml:space="preserve"> </v>
      </c>
      <c r="AE70" s="24" t="str">
        <f t="shared" si="4"/>
        <v xml:space="preserve"> </v>
      </c>
      <c r="AF70" s="24" t="str">
        <f t="shared" si="5"/>
        <v xml:space="preserve"> </v>
      </c>
      <c r="AG70" s="86"/>
      <c r="AH70" s="35">
        <f t="shared" si="73"/>
        <v>78</v>
      </c>
      <c r="AI70" s="25" t="str">
        <f t="shared" si="6"/>
        <v xml:space="preserve"> </v>
      </c>
      <c r="AJ70" s="25" t="str">
        <f>IF($AH70&gt;RAM," ",IF($AH70&lt;RAM,SUM(AI70:INDEX(Dix,RAM-BeginnAlter))+INDEX(Nx,RAM-BeginnAlter+1),INDEX(Nx,RAM-BeginnAlter+1)))</f>
        <v xml:space="preserve"> </v>
      </c>
      <c r="AK70" s="25" t="str">
        <f>IF($AH70&lt;RAM,SUM(AI70:INDEX(Dix,RAM-BeginnAlter))," ")</f>
        <v xml:space="preserve"> </v>
      </c>
      <c r="AL70" s="24" t="str">
        <f t="shared" si="7"/>
        <v xml:space="preserve"> </v>
      </c>
      <c r="AM70" s="24" t="str">
        <f t="shared" si="8"/>
        <v xml:space="preserve"> </v>
      </c>
      <c r="AN70" s="24" t="str">
        <f t="shared" si="9"/>
        <v xml:space="preserve"> </v>
      </c>
      <c r="AO70" s="24" t="str">
        <f t="shared" si="10"/>
        <v xml:space="preserve"> </v>
      </c>
      <c r="AP70" s="86"/>
      <c r="AQ70" s="35">
        <f t="shared" si="74"/>
        <v>78</v>
      </c>
      <c r="AR70" s="25">
        <f t="shared" si="11"/>
        <v>10669</v>
      </c>
      <c r="AS70" s="25">
        <f>SUM(AR70:AR$94)</f>
        <v>89635</v>
      </c>
      <c r="AT70" s="25" t="str">
        <f>IF($AQ70&lt;RAM,SUM(AR70:INDEX(Dx,RAM-BeginnAlter))," ")</f>
        <v xml:space="preserve"> </v>
      </c>
      <c r="AU70" s="24">
        <f t="shared" si="12"/>
        <v>8.4009999999999998</v>
      </c>
      <c r="AV70" s="24">
        <f t="shared" si="13"/>
        <v>7.9429999999999996</v>
      </c>
      <c r="AW70" s="24" t="str">
        <f t="shared" si="14"/>
        <v xml:space="preserve"> </v>
      </c>
      <c r="AX70" s="24" t="str">
        <f t="shared" si="15"/>
        <v xml:space="preserve"> </v>
      </c>
      <c r="AY70" s="86"/>
      <c r="AZ70" s="35">
        <f t="shared" si="75"/>
        <v>78</v>
      </c>
      <c r="BA70" s="25">
        <f t="shared" si="16"/>
        <v>8763</v>
      </c>
      <c r="BB70" s="25">
        <f>SUM(BA70:BA$94)</f>
        <v>70614</v>
      </c>
      <c r="BC70" s="24">
        <f t="shared" si="17"/>
        <v>8.0579999999999998</v>
      </c>
      <c r="BD70" s="24">
        <f t="shared" si="18"/>
        <v>7.6</v>
      </c>
      <c r="BE70" s="86"/>
      <c r="BF70" s="35">
        <f t="shared" si="48"/>
        <v>61</v>
      </c>
      <c r="BG70" s="24" t="str">
        <f t="shared" si="19"/>
        <v/>
      </c>
      <c r="BH70" s="24" t="str">
        <f t="shared" si="20"/>
        <v/>
      </c>
      <c r="BI70" s="86"/>
      <c r="BJ70" s="35">
        <f t="shared" si="76"/>
        <v>78</v>
      </c>
      <c r="BK70" s="25" t="str">
        <f t="shared" si="21"/>
        <v xml:space="preserve"> </v>
      </c>
      <c r="BL70" s="25" t="str">
        <f>IF(BJ70&lt;RAM,SUM(BK70:INDEX(Daix,RAM-BeginnAlter))," ")</f>
        <v xml:space="preserve"> </v>
      </c>
      <c r="BM70" s="25" t="str">
        <f>IF(BJ70&lt;RAM,SUM(BL70:INDEX(Naix,RAM-BeginnAlter))," ")</f>
        <v xml:space="preserve"> </v>
      </c>
      <c r="BN70" s="24" t="str">
        <f t="shared" si="22"/>
        <v xml:space="preserve"> </v>
      </c>
      <c r="BO70" s="24" t="str">
        <f t="shared" si="23"/>
        <v xml:space="preserve"> </v>
      </c>
      <c r="BP70" s="86"/>
      <c r="BQ70" s="35">
        <f t="shared" si="77"/>
        <v>78</v>
      </c>
      <c r="BR70" s="25" t="str">
        <f t="shared" si="51"/>
        <v xml:space="preserve"> </v>
      </c>
      <c r="BS70" s="25" t="str">
        <f>IF(BQ70&lt;RAM,SUM(BR70:INDEX(Daixs,RAM-BeginnAlter))," ")</f>
        <v xml:space="preserve"> </v>
      </c>
      <c r="BT70" s="25" t="str">
        <f>IF(BQ70&lt;RAM,SUM(BS70:INDEX(Naixs,RAM-BeginnAlter))," ")</f>
        <v xml:space="preserve"> </v>
      </c>
      <c r="BU70" s="24" t="str">
        <f t="shared" si="52"/>
        <v xml:space="preserve"> </v>
      </c>
      <c r="BV70" s="24" t="str">
        <f t="shared" si="53"/>
        <v xml:space="preserve"> </v>
      </c>
      <c r="BW70" s="86"/>
      <c r="BX70" s="35">
        <f t="shared" si="78"/>
        <v>78</v>
      </c>
      <c r="BY70" s="10" t="str">
        <f t="shared" si="24"/>
        <v/>
      </c>
      <c r="BZ70" s="11" t="str">
        <f t="shared" si="25"/>
        <v/>
      </c>
      <c r="CA70" s="25" t="str">
        <f>IF(S71&lt;=RAK,IF($BX70&lt;RAM,SUM(BZ70:INDEX(Dazx,RAM-BeginnAlter)),""),"")</f>
        <v/>
      </c>
      <c r="CB70" s="24" t="str">
        <f t="shared" si="26"/>
        <v/>
      </c>
      <c r="CC70" s="25">
        <f t="shared" si="27"/>
        <v>8501</v>
      </c>
      <c r="CD70" s="24">
        <f t="shared" si="28"/>
        <v>6.6989999999999998</v>
      </c>
      <c r="CE70" s="24" t="str">
        <f t="shared" si="29"/>
        <v/>
      </c>
      <c r="CF70" s="86"/>
      <c r="CG70" s="35">
        <f t="shared" si="79"/>
        <v>78</v>
      </c>
      <c r="CH70" s="25" t="str">
        <f>IF(CG70&lt;RAM,ROUND(v^($CG70+FaktorAlter)*$H70*($B70*0.5*($P70+$P71)*(VLOOKUP(TRUNC(0.5*($Q70+$Q71),0),Frauen!$AZ$9:$BD$95,5)+(0.5*($Q70+$Q71)-TRUNC(0.5*($Q70+$Q71),0))*(VLOOKUP(TRUNC(0.5*($Q70+$Q71)+1,0),Frauen!$AZ$9:$BD$95,5)-VLOOKUP(TRUNC(0.5*($Q70+$Q71),0),Frauen!$AZ$9:$BD$95,5)))+$C70*0.5*($CN70+$CN71)),RundDx),"")</f>
        <v/>
      </c>
      <c r="CI70" s="25" t="str">
        <f>IF(CG70&lt;RAM,ROUND(SUM(CH70:INDEX(Dawx,RAM-BeginnAlter))+INDEX(Dax,RAM-BeginnAlter+1)*INDEX(äwx,1),RundDx),"")</f>
        <v/>
      </c>
      <c r="CJ70" s="25" t="str">
        <f>IF(CG70&lt;RAM,ROUND(SUM(CI70:INDEX(Nawx,RAM-BeginnAlter))+INDEX(Dax,RAM-BeginnAlter+1)*INDEX(äwx,1),RundDx),"")</f>
        <v/>
      </c>
      <c r="CK70" s="24" t="str">
        <f t="shared" si="56"/>
        <v/>
      </c>
      <c r="CL70" s="25" t="str">
        <f>IF(CG70&lt;RAM,ROUND(v^($CG70+FaktorAlter)*$L70*$D70*0.5*($P70+$P71)*(VLOOKUP(TRUNC(0.5*($Q70+$Q71),0),Frauen!$AZ$9:$BD$95,5)+(0.5*($Q70+$Q71)-TRUNC(0.5*($Q70+$Q71),0))*(VLOOKUP(TRUNC(0.5*($Q70+$Q71)+1,0),Frauen!$AZ$9:$BD$95,5)-VLOOKUP(TRUNC(0.5*($Q70+$Q71),0),Frauen!$AZ$9:$BD$95,5))),RundDx),"")</f>
        <v/>
      </c>
      <c r="CM70" s="25" t="str">
        <f>IF(CG70&lt;RAM,SUM(CL70:INDEX(Diwx,RAM-BeginnAlter))+INDEX(Dix,RAM-BeginnAlter+1)*INDEX(äwx,1),"")</f>
        <v/>
      </c>
      <c r="CN70" s="24" t="str">
        <f t="shared" si="57"/>
        <v/>
      </c>
      <c r="CO70" s="86"/>
      <c r="CP70" s="35">
        <f t="shared" si="58"/>
        <v>126</v>
      </c>
      <c r="CQ70" s="25"/>
      <c r="CR70" s="25"/>
      <c r="CS70" s="24"/>
      <c r="CT70" s="86"/>
      <c r="CU70" s="35">
        <f t="shared" si="80"/>
        <v>78</v>
      </c>
      <c r="CV70" s="25" t="str">
        <f>IF($CU70&gt;=RAM,"",IF($CU70-CV$103&lt;BeginnAlter,"",ROUND(v^($CU70+FaktorAlter)*$L70*$D70*0.5*(VLOOKUP($CU70-CV$103,Frauen!$G$9:$J$102,4)+VLOOKUP($CU70-CV$103+1,Frauen!$G$9:$J$102,4))*0.5*(VLOOKUP($CU70-CV$103,Frauen!$AZ$9:$BD$102,5)+VLOOKUP($CU70-CV$103+1,Frauen!$AZ$9:$BD$102,5)),RundDx)))</f>
        <v/>
      </c>
      <c r="CW70" s="25" t="str">
        <f>IF($CU70&gt;=RAM,"",IF($CU70-CW$103&lt;BeginnAlter,"",ROUND(v^($CU70+FaktorAlter)*$L70*$D70*0.5*(VLOOKUP($CU70-CW$103,Frauen!$G$9:$J$102,4)+VLOOKUP($CU70-CW$103+1,Frauen!$G$9:$J$102,4))*0.5*(VLOOKUP($CU70-CW$103,Frauen!$AZ$9:$BD$102,5)+VLOOKUP($CU70-CW$103+1,Frauen!$AZ$9:$BD$102,5)),RundDx)))</f>
        <v/>
      </c>
      <c r="CX70" s="25" t="str">
        <f>IF($CU70&gt;=RAM,"",IF($CU70-CX$103&lt;BeginnAlter,"",ROUND(v^($CU70+FaktorAlter)*$L70*$D70*0.5*(VLOOKUP($CU70-CX$103,Frauen!$G$9:$J$102,4)+VLOOKUP($CU70-CX$103+1,Frauen!$G$9:$J$102,4))*0.5*(VLOOKUP($CU70-CX$103,Frauen!$AZ$9:$BD$102,5)+VLOOKUP($CU70-CX$103+1,Frauen!$AZ$9:$BD$102,5)),RundDx)))</f>
        <v/>
      </c>
      <c r="CY70" s="25" t="str">
        <f>IF($CU70&gt;=RAM,"",IF($CU70-CY$103&lt;BeginnAlter,"",ROUND(v^($CU70+FaktorAlter)*$L70*$D70*0.5*(VLOOKUP($CU70-CY$103,Frauen!$G$9:$J$102,4)+VLOOKUP($CU70-CY$103+1,Frauen!$G$9:$J$102,4))*0.5*(VLOOKUP($CU70-CY$103,Frauen!$AZ$9:$BD$102,5)+VLOOKUP($CU70-CY$103+1,Frauen!$AZ$9:$BD$102,5)),RundDx)))</f>
        <v/>
      </c>
      <c r="CZ70" s="25" t="str">
        <f>IF($CU70&gt;=RAM,"",IF($CU70-CZ$103&lt;BeginnAlter,"",ROUND(v^($CU70+FaktorAlter)*$L70*$D70*0.5*(VLOOKUP($CU70-CZ$103,Frauen!$G$9:$J$102,4)+VLOOKUP($CU70-CZ$103+1,Frauen!$G$9:$J$102,4))*0.5*(VLOOKUP($CU70-CZ$103,Frauen!$AZ$9:$BD$102,5)+VLOOKUP($CU70-CZ$103+1,Frauen!$AZ$9:$BD$102,5)),RundDx)))</f>
        <v/>
      </c>
      <c r="DA70" s="25" t="str">
        <f>IF($CU70&gt;=RAM,"",IF($CU70-DA$103&lt;BeginnAlter,"",ROUND(v^($CU70+FaktorAlter)*$L70*$D70*0.5*(VLOOKUP($CU70-DA$103,Frauen!$G$9:$J$102,4)+VLOOKUP($CU70-DA$103+1,Frauen!$G$9:$J$102,4))*0.5*(VLOOKUP($CU70-DA$103,Frauen!$AZ$9:$BD$102,5)+VLOOKUP($CU70-DA$103+1,Frauen!$AZ$9:$BD$102,5)),RundDx)))</f>
        <v/>
      </c>
      <c r="DB70" s="25" t="str">
        <f>IF($CU70&gt;=RAM,"",IF($CU70-DB$103&lt;BeginnAlter,"",ROUND(v^($CU70+FaktorAlter)*$L70*$D70*0.5*(VLOOKUP($CU70-DB$103,Frauen!$G$9:$J$102,4)+VLOOKUP($CU70-DB$103+1,Frauen!$G$9:$J$102,4))*0.5*(VLOOKUP($CU70-DB$103,Frauen!$AZ$9:$BD$102,5)+VLOOKUP($CU70-DB$103+1,Frauen!$AZ$9:$BD$102,5)),RundDx)))</f>
        <v/>
      </c>
      <c r="DC70" s="25" t="str">
        <f>IF($CU70&gt;=RAM,"",IF($CU70-DC$103&lt;BeginnAlter,"",ROUND(v^($CU70+FaktorAlter)*$L70*$D70*0.5*(VLOOKUP($CU70-DC$103,Frauen!$G$9:$J$102,4)+VLOOKUP($CU70-DC$103+1,Frauen!$G$9:$J$102,4))*0.5*(VLOOKUP($CU70-DC$103,Frauen!$AZ$9:$BD$102,5)+VLOOKUP($CU70-DC$103+1,Frauen!$AZ$9:$BD$102,5)),RundDx)))</f>
        <v/>
      </c>
      <c r="DD70" s="25" t="str">
        <f>IF($CU70&gt;=RAM,"",IF($CU70-DD$103&lt;BeginnAlter,"",ROUND(v^($CU70+FaktorAlter)*$L70*$D70*0.5*(VLOOKUP($CU70-DD$103,Frauen!$G$9:$J$102,4)+VLOOKUP($CU70-DD$103+1,Frauen!$G$9:$J$102,4))*0.5*(VLOOKUP($CU70-DD$103,Frauen!$AZ$9:$BD$102,5)+VLOOKUP($CU70-DD$103+1,Frauen!$AZ$9:$BD$102,5)),RundDx)))</f>
        <v/>
      </c>
      <c r="DE70" s="25" t="str">
        <f>IF($CU70&gt;=RAM,"",IF($CU70-DE$103&lt;BeginnAlter,"",ROUND(v^($CU70+FaktorAlter)*$L70*$D70*0.5*(VLOOKUP($CU70-DE$103,Frauen!$G$9:$J$102,4)+VLOOKUP($CU70-DE$103+1,Frauen!$G$9:$J$102,4))*0.5*(VLOOKUP($CU70-DE$103,Frauen!$AZ$9:$BD$102,5)+VLOOKUP($CU70-DE$103+1,Frauen!$AZ$9:$BD$102,5)),RundDx)))</f>
        <v/>
      </c>
      <c r="DF70" s="25" t="str">
        <f>IF($CU70&gt;=RAM,"",IF($CU70-DF$103&lt;BeginnAlter,"",ROUND(v^($CU70+FaktorAlter)*$L70*$D70*0.5*(VLOOKUP($CU70-DF$103,Frauen!$G$9:$J$102,4)+VLOOKUP($CU70-DF$103+1,Frauen!$G$9:$J$102,4))*0.5*(VLOOKUP($CU70-DF$103,Frauen!$AZ$9:$BD$102,5)+VLOOKUP($CU70-DF$103+1,Frauen!$AZ$9:$BD$102,5)),RundDx)))</f>
        <v/>
      </c>
      <c r="DG70" s="25" t="str">
        <f>IF($CU70&gt;=RAM,"",IF($CU70-DG$103&lt;BeginnAlter,"",ROUND(v^($CU70+FaktorAlter)*$L70*$D70*0.5*(VLOOKUP($CU70-DG$103,Frauen!$G$9:$J$102,4)+VLOOKUP($CU70-DG$103+1,Frauen!$G$9:$J$102,4))*0.5*(VLOOKUP($CU70-DG$103,Frauen!$AZ$9:$BD$102,5)+VLOOKUP($CU70-DG$103+1,Frauen!$AZ$9:$BD$102,5)),RundDx)))</f>
        <v/>
      </c>
      <c r="DH70" s="25" t="str">
        <f>IF($CU70&gt;=RAM,"",IF($CU70-DH$103&lt;BeginnAlter,"",ROUND(v^($CU70+FaktorAlter)*$L70*$D70*0.5*(VLOOKUP($CU70-DH$103,Frauen!$G$9:$J$102,4)+VLOOKUP($CU70-DH$103+1,Frauen!$G$9:$J$102,4))*0.5*(VLOOKUP($CU70-DH$103,Frauen!$AZ$9:$BD$102,5)+VLOOKUP($CU70-DH$103+1,Frauen!$AZ$9:$BD$102,5)),RundDx)))</f>
        <v/>
      </c>
      <c r="DI70" s="25" t="str">
        <f>IF($CU70&gt;=RAM,"",IF($CU70-DI$103&lt;BeginnAlter,"",ROUND(v^($CU70+FaktorAlter)*$L70*$D70*0.5*(VLOOKUP($CU70-DI$103,Frauen!$G$9:$J$102,4)+VLOOKUP($CU70-DI$103+1,Frauen!$G$9:$J$102,4))*0.5*(VLOOKUP($CU70-DI$103,Frauen!$AZ$9:$BD$102,5)+VLOOKUP($CU70-DI$103+1,Frauen!$AZ$9:$BD$102,5)),RundDx)))</f>
        <v/>
      </c>
      <c r="DJ70" s="25" t="str">
        <f>IF($CU70&gt;=RAM,"",IF($CU70-DJ$103&lt;BeginnAlter,"",ROUND(v^($CU70+FaktorAlter)*$L70*$D70*0.5*(VLOOKUP($CU70-DJ$103,Frauen!$G$9:$J$102,4)+VLOOKUP($CU70-DJ$103+1,Frauen!$G$9:$J$102,4))*0.5*(VLOOKUP($CU70-DJ$103,Frauen!$AZ$9:$BD$102,5)+VLOOKUP($CU70-DJ$103+1,Frauen!$AZ$9:$BD$102,5)),RundDx)))</f>
        <v/>
      </c>
      <c r="DK70" s="25" t="str">
        <f>IF($CU70&gt;=RAM,"",IF($CU70-DK$103&lt;BeginnAlter,"",ROUND(v^($CU70+FaktorAlter)*$L70*$D70*0.5*(VLOOKUP($CU70-DK$103,Frauen!$G$9:$J$102,4)+VLOOKUP($CU70-DK$103+1,Frauen!$G$9:$J$102,4))*0.5*(VLOOKUP($CU70-DK$103,Frauen!$AZ$9:$BD$102,5)+VLOOKUP($CU70-DK$103+1,Frauen!$AZ$9:$BD$102,5)),RundDx)))</f>
        <v/>
      </c>
      <c r="DL70" s="25" t="str">
        <f>IF($CU70&gt;=RAM,"",IF($CU70-DL$103&lt;BeginnAlter,"",ROUND(v^($CU70+FaktorAlter)*$L70*$D70*0.5*(VLOOKUP($CU70-DL$103,Frauen!$G$9:$J$102,4)+VLOOKUP($CU70-DL$103+1,Frauen!$G$9:$J$102,4))*0.5*(VLOOKUP($CU70-DL$103,Frauen!$AZ$9:$BD$102,5)+VLOOKUP($CU70-DL$103+1,Frauen!$AZ$9:$BD$102,5)),RundDx)))</f>
        <v/>
      </c>
      <c r="DM70" s="25" t="str">
        <f>IF($CU70&gt;=RAM,"",IF($CU70-DM$103&lt;BeginnAlter,"",ROUND(v^($CU70+FaktorAlter)*$L70*$D70*0.5*(VLOOKUP($CU70-DM$103,Frauen!$G$9:$J$102,4)+VLOOKUP($CU70-DM$103+1,Frauen!$G$9:$J$102,4))*0.5*(VLOOKUP($CU70-DM$103,Frauen!$AZ$9:$BD$102,5)+VLOOKUP($CU70-DM$103+1,Frauen!$AZ$9:$BD$102,5)),RundDx)))</f>
        <v/>
      </c>
      <c r="DN70" s="25" t="str">
        <f>IF($CU70&gt;=RAM,"",IF($CU70-DN$103&lt;BeginnAlter,"",ROUND(v^($CU70+FaktorAlter)*$L70*$D70*0.5*(VLOOKUP($CU70-DN$103,Frauen!$G$9:$J$102,4)+VLOOKUP($CU70-DN$103+1,Frauen!$G$9:$J$102,4))*0.5*(VLOOKUP($CU70-DN$103,Frauen!$AZ$9:$BD$102,5)+VLOOKUP($CU70-DN$103+1,Frauen!$AZ$9:$BD$102,5)),RundDx)))</f>
        <v/>
      </c>
      <c r="DO70" s="25" t="str">
        <f>IF($CU70&gt;=RAM,"",IF($CU70-DO$103&lt;BeginnAlter,"",ROUND(v^($CU70+FaktorAlter)*$L70*$D70*0.5*(VLOOKUP($CU70-DO$103,Frauen!$G$9:$J$102,4)+VLOOKUP($CU70-DO$103+1,Frauen!$G$9:$J$102,4))*0.5*(VLOOKUP($CU70-DO$103,Frauen!$AZ$9:$BD$102,5)+VLOOKUP($CU70-DO$103+1,Frauen!$AZ$9:$BD$102,5)),RundDx)))</f>
        <v/>
      </c>
      <c r="DP70" s="25" t="str">
        <f>IF($CU70&gt;=RAM,"",IF($CU70-DP$103&lt;BeginnAlter,"",ROUND(v^($CU70+FaktorAlter)*$L70*$D70*0.5*(VLOOKUP($CU70-DP$103,Frauen!$G$9:$J$102,4)+VLOOKUP($CU70-DP$103+1,Frauen!$G$9:$J$102,4))*0.5*(VLOOKUP($CU70-DP$103,Frauen!$AZ$9:$BD$102,5)+VLOOKUP($CU70-DP$103+1,Frauen!$AZ$9:$BD$102,5)),RundDx)))</f>
        <v/>
      </c>
      <c r="DQ70" s="25" t="str">
        <f>IF($CU70&gt;=RAM,"",IF($CU70-DQ$103&lt;BeginnAlter,"",ROUND(v^($CU70+FaktorAlter)*$L70*$D70*0.5*(VLOOKUP($CU70-DQ$103,Frauen!$G$9:$J$102,4)+VLOOKUP($CU70-DQ$103+1,Frauen!$G$9:$J$102,4))*0.5*(VLOOKUP($CU70-DQ$103,Frauen!$AZ$9:$BD$102,5)+VLOOKUP($CU70-DQ$103+1,Frauen!$AZ$9:$BD$102,5)),RundDx)))</f>
        <v/>
      </c>
      <c r="DR70" s="25" t="str">
        <f>IF($CU70&gt;=RAM,"",IF($CU70-DR$103&lt;BeginnAlter,"",ROUND(v^($CU70+FaktorAlter)*$L70*$D70*0.5*(VLOOKUP($CU70-DR$103,Frauen!$G$9:$J$102,4)+VLOOKUP($CU70-DR$103+1,Frauen!$G$9:$J$102,4))*0.5*(VLOOKUP($CU70-DR$103,Frauen!$AZ$9:$BD$102,5)+VLOOKUP($CU70-DR$103+1,Frauen!$AZ$9:$BD$102,5)),RundDx)))</f>
        <v/>
      </c>
      <c r="DS70" s="25" t="str">
        <f>IF($CU70&gt;=RAM,"",IF($CU70-DS$103&lt;BeginnAlter,"",ROUND(v^($CU70+FaktorAlter)*$L70*$D70*0.5*(VLOOKUP($CU70-DS$103,Frauen!$G$9:$J$102,4)+VLOOKUP($CU70-DS$103+1,Frauen!$G$9:$J$102,4))*0.5*(VLOOKUP($CU70-DS$103,Frauen!$AZ$9:$BD$102,5)+VLOOKUP($CU70-DS$103+1,Frauen!$AZ$9:$BD$102,5)),RundDx)))</f>
        <v/>
      </c>
      <c r="DT70" s="25" t="str">
        <f>IF($CU70&gt;=RAM,"",IF($CU70-DT$103&lt;BeginnAlter,"",ROUND(v^($CU70+FaktorAlter)*$L70*$D70*0.5*(VLOOKUP($CU70-DT$103,Frauen!$G$9:$J$102,4)+VLOOKUP($CU70-DT$103+1,Frauen!$G$9:$J$102,4))*0.5*(VLOOKUP($CU70-DT$103,Frauen!$AZ$9:$BD$102,5)+VLOOKUP($CU70-DT$103+1,Frauen!$AZ$9:$BD$102,5)),RundDx)))</f>
        <v/>
      </c>
      <c r="DU70" s="25" t="str">
        <f>IF($CU70&gt;=RAM,"",IF($CU70-DU$103&lt;BeginnAlter,"",ROUND(v^($CU70+FaktorAlter)*$L70*$D70*0.5*(VLOOKUP($CU70-DU$103,Frauen!$G$9:$J$102,4)+VLOOKUP($CU70-DU$103+1,Frauen!$G$9:$J$102,4))*0.5*(VLOOKUP($CU70-DU$103,Frauen!$AZ$9:$BD$102,5)+VLOOKUP($CU70-DU$103+1,Frauen!$AZ$9:$BD$102,5)),RundDx)))</f>
        <v/>
      </c>
      <c r="DV70" s="25" t="str">
        <f>IF($CU70&gt;=RAM,"",IF($CU70-DV$103&lt;BeginnAlter,"",ROUND(v^($CU70+FaktorAlter)*$L70*$D70*0.5*(VLOOKUP($CU70-DV$103,Frauen!$G$9:$J$102,4)+VLOOKUP($CU70-DV$103+1,Frauen!$G$9:$J$102,4))*0.5*(VLOOKUP($CU70-DV$103,Frauen!$AZ$9:$BD$102,5)+VLOOKUP($CU70-DV$103+1,Frauen!$AZ$9:$BD$102,5)),RundDx)))</f>
        <v/>
      </c>
      <c r="DW70" s="25" t="str">
        <f>IF($CU70&gt;=RAM,"",IF($CU70-DW$103&lt;BeginnAlter,"",ROUND(v^($CU70+FaktorAlter)*$L70*$D70*0.5*(VLOOKUP($CU70-DW$103,Frauen!$G$9:$J$102,4)+VLOOKUP($CU70-DW$103+1,Frauen!$G$9:$J$102,4))*0.5*(VLOOKUP($CU70-DW$103,Frauen!$AZ$9:$BD$102,5)+VLOOKUP($CU70-DW$103+1,Frauen!$AZ$9:$BD$102,5)),RundDx)))</f>
        <v/>
      </c>
      <c r="DX70" s="25" t="str">
        <f>IF($CU70&gt;=RAM,"",IF($CU70-DX$103&lt;BeginnAlter,"",ROUND(v^($CU70+FaktorAlter)*$L70*$D70*0.5*(VLOOKUP($CU70-DX$103,Frauen!$G$9:$J$102,4)+VLOOKUP($CU70-DX$103+1,Frauen!$G$9:$J$102,4))*0.5*(VLOOKUP($CU70-DX$103,Frauen!$AZ$9:$BD$102,5)+VLOOKUP($CU70-DX$103+1,Frauen!$AZ$9:$BD$102,5)),RundDx)))</f>
        <v/>
      </c>
      <c r="DY70" s="25" t="str">
        <f>IF($CU70&gt;=RAM,"",IF($CU70-DY$103&lt;BeginnAlter,"",ROUND(v^($CU70+FaktorAlter)*$L70*$D70*0.5*(VLOOKUP($CU70-DY$103,Frauen!$G$9:$J$102,4)+VLOOKUP($CU70-DY$103+1,Frauen!$G$9:$J$102,4))*0.5*(VLOOKUP($CU70-DY$103,Frauen!$AZ$9:$BD$102,5)+VLOOKUP($CU70-DY$103+1,Frauen!$AZ$9:$BD$102,5)),RundDx)))</f>
        <v/>
      </c>
      <c r="DZ70" s="25" t="str">
        <f>IF($CU70&gt;=RAM,"",IF($CU70-DZ$103&lt;BeginnAlter,"",ROUND(v^($CU70+FaktorAlter)*$L70*$D70*0.5*(VLOOKUP($CU70-DZ$103,Frauen!$G$9:$J$102,4)+VLOOKUP($CU70-DZ$103+1,Frauen!$G$9:$J$102,4))*0.5*(VLOOKUP($CU70-DZ$103,Frauen!$AZ$9:$BD$102,5)+VLOOKUP($CU70-DZ$103+1,Frauen!$AZ$9:$BD$102,5)),RundDx)))</f>
        <v/>
      </c>
      <c r="EA70" s="43" t="str">
        <f>IF($CU70&gt;=RAM,"",IF($CU70-EA$103&lt;BeginnAlter,"",ROUND((SUM(CV$56:CV70)+SUM(FN$9:FN$56))/VLOOKUP($CU70,$AH$9:$AI$102,2)/VLOOKUP($CU70-EA$103,Frauen!$G$9:$J$102,4),Rundäx)))</f>
        <v/>
      </c>
      <c r="EB70" s="43" t="str">
        <f>IF($CU70&gt;=RAM,"",IF($CU70-EB$103&lt;BeginnAlter,"",ROUND((SUM(CW$56:CW70)+SUM(FO$9:FO$56))/VLOOKUP($CU70,$AH$9:$AI$102,2)/VLOOKUP($CU70-EB$103,Frauen!$G$9:$J$102,4),Rundäx)))</f>
        <v/>
      </c>
      <c r="EC70" s="43" t="str">
        <f>IF($CU70&gt;=RAM,"",IF($CU70-EC$103&lt;BeginnAlter,"",ROUND((SUM(CX$56:CX70)+SUM(FP$9:FP$56))/VLOOKUP($CU70,$AH$9:$AI$102,2)/VLOOKUP($CU70-EC$103,Frauen!$G$9:$J$102,4),Rundäx)))</f>
        <v/>
      </c>
      <c r="ED70" s="43" t="str">
        <f>IF($CU70&gt;=RAM,"",IF($CU70-ED$103&lt;BeginnAlter,"",ROUND((SUM(CY$56:CY70)+SUM(FQ$9:FQ$56))/VLOOKUP($CU70,$AH$9:$AI$102,2)/VLOOKUP($CU70-ED$103,Frauen!$G$9:$J$102,4),Rundäx)))</f>
        <v/>
      </c>
      <c r="EE70" s="43" t="str">
        <f>IF($CU70&gt;=RAM,"",IF($CU70-EE$103&lt;BeginnAlter,"",ROUND((SUM(CZ$56:CZ70)+SUM(FR$9:FR$56))/VLOOKUP($CU70,$AH$9:$AI$102,2)/VLOOKUP($CU70-EE$103,Frauen!$G$9:$J$102,4),Rundäx)))</f>
        <v/>
      </c>
      <c r="EF70" s="43" t="str">
        <f>IF($CU70&gt;=RAM,"",IF($CU70-EF$103&lt;BeginnAlter,"",ROUND((SUM(DA$56:DA70)+SUM(FS$9:FS$56))/VLOOKUP($CU70,$AH$9:$AI$102,2)/VLOOKUP($CU70-EF$103,Frauen!$G$9:$J$102,4),Rundäx)))</f>
        <v/>
      </c>
      <c r="EG70" s="43" t="str">
        <f>IF($CU70&gt;=RAM,"",IF($CU70-EG$103&lt;BeginnAlter,"",ROUND((SUM(DB$56:DB70)+SUM(FT$9:FT$56))/VLOOKUP($CU70,$AH$9:$AI$102,2)/VLOOKUP($CU70-EG$103,Frauen!$G$9:$J$102,4),Rundäx)))</f>
        <v/>
      </c>
      <c r="EH70" s="43" t="str">
        <f>IF($CU70&gt;=RAM,"",IF($CU70-EH$103&lt;BeginnAlter,"",ROUND((SUM(DC$56:DC70)+SUM(FU$9:FU$56))/VLOOKUP($CU70,$AH$9:$AI$102,2)/VLOOKUP($CU70-EH$103,Frauen!$G$9:$J$102,4),Rundäx)))</f>
        <v/>
      </c>
      <c r="EI70" s="86"/>
      <c r="EJ70" s="35">
        <f t="shared" si="60"/>
        <v>78</v>
      </c>
      <c r="EK70" s="43" t="str">
        <f>IF($CU70&gt;=RAM,"",IF($CU70-EK$103&lt;BeginnAlter,"",ROUND((SUM(DD$56:DD70)+SUM(FV$9:FV$56))/VLOOKUP($CU70,$AH$9:$AI$102,2)/VLOOKUP($CU70-EK$103,Frauen!$G$9:$J$102,4),Rundäx)))</f>
        <v/>
      </c>
      <c r="EL70" s="43" t="str">
        <f>IF($CU70&gt;=RAM,"",IF($CU70-EL$103&lt;BeginnAlter,"",ROUND((SUM(DE$56:DE70)+SUM(FW$9:FW$56))/VLOOKUP($CU70,$AH$9:$AI$102,2)/VLOOKUP($CU70-EL$103,Frauen!$G$9:$J$102,4),Rundäx)))</f>
        <v/>
      </c>
      <c r="EM70" s="43" t="str">
        <f>IF($CU70&gt;=RAM,"",IF($CU70-EM$103&lt;BeginnAlter,"",ROUND((SUM(DF$56:DF70)+SUM(FX$9:FX$56))/VLOOKUP($CU70,$AH$9:$AI$102,2)/VLOOKUP($CU70-EM$103,Frauen!$G$9:$J$102,4),Rundäx)))</f>
        <v/>
      </c>
      <c r="EN70" s="43" t="str">
        <f>IF($CU70&gt;=RAM,"",IF($CU70-EN$103&lt;BeginnAlter,"",ROUND((SUM(DG$56:DG70)+SUM(FY$9:FY$56))/VLOOKUP($CU70,$AH$9:$AI$102,2)/VLOOKUP($CU70-EN$103,Frauen!$G$9:$J$102,4),Rundäx)))</f>
        <v/>
      </c>
      <c r="EO70" s="43" t="str">
        <f>IF($CU70&gt;=RAM,"",IF($CU70-EO$103&lt;BeginnAlter,"",ROUND((SUM(DH$56:DH70)+SUM(FZ$9:FZ$56))/VLOOKUP($CU70,$AH$9:$AI$102,2)/VLOOKUP($CU70-EO$103,Frauen!$G$9:$J$102,4),Rundäx)))</f>
        <v/>
      </c>
      <c r="EP70" s="43" t="str">
        <f>IF($CU70&gt;=RAM,"",IF($CU70-EP$103&lt;BeginnAlter,"",ROUND((SUM(DI$56:DI70)+SUM(GA$9:GA$56))/VLOOKUP($CU70,$AH$9:$AI$102,2)/VLOOKUP($CU70-EP$103,Frauen!$G$9:$J$102,4),Rundäx)))</f>
        <v/>
      </c>
      <c r="EQ70" s="43" t="str">
        <f>IF($CU70&gt;=RAM,"",IF($CU70-EQ$103&lt;BeginnAlter,"",ROUND((SUM(DJ$56:DJ70)+SUM(GB$9:GB$56))/VLOOKUP($CU70,$AH$9:$AI$102,2)/VLOOKUP($CU70-EQ$103,Frauen!$G$9:$J$102,4),Rundäx)))</f>
        <v/>
      </c>
      <c r="ER70" s="43" t="str">
        <f>IF($CU70&gt;=RAM,"",IF($CU70-ER$103&lt;BeginnAlter,"",ROUND((SUM(DK$56:DK70)+SUM(GC$9:GC$56))/VLOOKUP($CU70,$AH$9:$AI$102,2)/VLOOKUP($CU70-ER$103,Frauen!$G$9:$J$102,4),Rundäx)))</f>
        <v/>
      </c>
      <c r="ES70" s="86"/>
      <c r="ET70" s="35">
        <f t="shared" si="61"/>
        <v>78</v>
      </c>
      <c r="EU70" s="43" t="str">
        <f>IF($CU70&gt;=RAM,"",IF($CU70-EU$103&lt;BeginnAlter,"",ROUND((SUM(DL$56:DL70)+SUM(GD$9:GD$56))/VLOOKUP($CU70,$AH$9:$AI$102,2)/VLOOKUP($CU70-EU$103,Frauen!$G$9:$J$102,4),Rundäx)))</f>
        <v/>
      </c>
      <c r="EV70" s="43" t="str">
        <f>IF($CU70&gt;=RAM,"",IF($CU70-EV$103&lt;BeginnAlter,"",ROUND((SUM(DM$56:DM70)+SUM(GE$9:GE$56))/VLOOKUP($CU70,$AH$9:$AI$102,2)/VLOOKUP($CU70-EV$103,Frauen!$G$9:$J$102,4),Rundäx)))</f>
        <v/>
      </c>
      <c r="EW70" s="43" t="str">
        <f>IF($CU70&gt;=RAM,"",IF($CU70-EW$103&lt;BeginnAlter,"",ROUND((SUM(DN$56:DN70)+SUM(GF$9:GF$56))/VLOOKUP($CU70,$AH$9:$AI$102,2)/VLOOKUP($CU70-EW$103,Frauen!$G$9:$J$102,4),Rundäx)))</f>
        <v/>
      </c>
      <c r="EX70" s="43" t="str">
        <f>IF($CU70&gt;=RAM,"",IF($CU70-EX$103&lt;BeginnAlter,"",ROUND((SUM(DO$56:DO70)+SUM(GG$9:GG$56))/VLOOKUP($CU70,$AH$9:$AI$102,2)/VLOOKUP($CU70-EX$103,Frauen!$G$9:$J$102,4),Rundäx)))</f>
        <v/>
      </c>
      <c r="EY70" s="43" t="str">
        <f>IF($CU70&gt;=RAM,"",IF($CU70-EY$103&lt;BeginnAlter,"",ROUND((SUM(DP$56:DP70)+SUM(GH$9:GH$56))/VLOOKUP($CU70,$AH$9:$AI$102,2)/VLOOKUP($CU70-EY$103,Frauen!$G$9:$J$102,4),Rundäx)))</f>
        <v/>
      </c>
      <c r="EZ70" s="43" t="str">
        <f>IF($CU70&gt;=RAM,"",IF($CU70-EZ$103&lt;BeginnAlter,"",ROUND((SUM(DQ$56:DQ70)+SUM(GI$9:GI$56))/VLOOKUP($CU70,$AH$9:$AI$102,2)/VLOOKUP($CU70-EZ$103,Frauen!$G$9:$J$102,4),Rundäx)))</f>
        <v/>
      </c>
      <c r="FA70" s="43" t="str">
        <f>IF($CU70&gt;=RAM,"",IF($CU70-FA$103&lt;BeginnAlter,"",ROUND((SUM(DR$56:DR70)+SUM(GJ$9:GJ$56))/VLOOKUP($CU70,$AH$9:$AI$102,2)/VLOOKUP($CU70-FA$103,Frauen!$G$9:$J$102,4),Rundäx)))</f>
        <v/>
      </c>
      <c r="FB70" s="43" t="str">
        <f>IF($CU70&gt;=RAM,"",IF($CU70-FB$103&lt;BeginnAlter,"",ROUND((SUM(DS$56:DS70)+SUM(GK$9:GK$56))/VLOOKUP($CU70,$AH$9:$AI$102,2)/VLOOKUP($CU70-FB$103,Frauen!$G$9:$J$102,4),Rundäx)))</f>
        <v/>
      </c>
      <c r="FC70" s="86"/>
      <c r="FD70" s="35">
        <f t="shared" si="62"/>
        <v>78</v>
      </c>
      <c r="FE70" s="43" t="str">
        <f>IF($CU70&gt;=RAM,"",IF($CU70-FE$103&lt;BeginnAlter,"",ROUND((SUM(DT$56:DT70)+SUM(GL$9:GL$56))/VLOOKUP($CU70,$AH$9:$AI$102,2)/VLOOKUP($CU70-FE$103,Frauen!$G$9:$J$102,4),Rundäx)))</f>
        <v/>
      </c>
      <c r="FF70" s="43" t="str">
        <f>IF($CU70&gt;=RAM,"",IF($CU70-FF$103&lt;BeginnAlter,"",ROUND((SUM(DU$56:DU70)+SUM(GM$9:GM$56))/VLOOKUP($CU70,$AH$9:$AI$102,2)/VLOOKUP($CU70-FF$103,Frauen!$G$9:$J$102,4),Rundäx)))</f>
        <v/>
      </c>
      <c r="FG70" s="43" t="str">
        <f>IF($CU70&gt;=RAM,"",IF($CU70-FG$103&lt;BeginnAlter,"",ROUND((SUM(DV$56:DV70)+SUM(GN$9:GN$56))/VLOOKUP($CU70,$AH$9:$AI$102,2)/VLOOKUP($CU70-FG$103,Frauen!$G$9:$J$102,4),Rundäx)))</f>
        <v/>
      </c>
      <c r="FH70" s="43" t="str">
        <f>IF($CU70&gt;=RAM,"",IF($CU70-FH$103&lt;BeginnAlter,"",ROUND((SUM(DW$56:DW70)+SUM(GO$9:GO$56))/VLOOKUP($CU70,$AH$9:$AI$102,2)/VLOOKUP($CU70-FH$103,Frauen!$G$9:$J$102,4),Rundäx)))</f>
        <v/>
      </c>
      <c r="FI70" s="43" t="str">
        <f>IF($CU70&gt;=RAM,"",IF($CU70-FI$103&lt;BeginnAlter,"",ROUND((SUM(DX$56:DX70)+SUM(GP$9:GP$56))/VLOOKUP($CU70,$AH$9:$AI$102,2)/VLOOKUP($CU70-FI$103,Frauen!$G$9:$J$102,4),Rundäx)))</f>
        <v/>
      </c>
      <c r="FJ70" s="43" t="str">
        <f>IF($CU70&gt;=RAM,"",IF($CU70-FJ$103&lt;BeginnAlter,"",ROUND((SUM(DY$56:DY70)+SUM(GQ$9:GQ$56))/VLOOKUP($CU70,$AH$9:$AI$102,2)/VLOOKUP($CU70-FJ$103,Frauen!$G$9:$J$102,4),Rundäx)))</f>
        <v/>
      </c>
      <c r="FK70" s="43" t="str">
        <f>IF($CU70&gt;=RAM,"",IF($CU70-FK$103&lt;BeginnAlter,"",ROUND((SUM(DZ$56:DZ70)+SUM(GR$9:GR$56))/VLOOKUP($CU70,$AH$9:$AI$102,2)/VLOOKUP($CU70-FK$103,Frauen!$G$9:$J$102,4),Rundäx)))</f>
        <v/>
      </c>
      <c r="FL70" s="86"/>
      <c r="FM70" s="35">
        <f t="shared" si="68"/>
        <v>126</v>
      </c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4"/>
      <c r="GT70" s="24"/>
      <c r="GU70" s="24" t="str">
        <f>IF(FM70&gt;=RAM," ",#REF!/$AI70/Frauen!$J58)</f>
        <v xml:space="preserve"> </v>
      </c>
      <c r="GV70" s="24" t="str">
        <f>IF(FM70&gt;=RAM," ",#REF!/$AI70/Frauen!$J61)</f>
        <v xml:space="preserve"> </v>
      </c>
      <c r="GW70" s="24" t="str">
        <f>IF(FM70&gt;=RAM," ",#REF!/$AI70/Frauen!$J64)</f>
        <v xml:space="preserve"> </v>
      </c>
      <c r="GX70" s="24" t="str">
        <f>IF(FM70&gt;=RAM," ",#REF!/$AI70/Frauen!$J67)</f>
        <v xml:space="preserve"> </v>
      </c>
      <c r="GY70" s="24" t="str">
        <f>IF(FM70&gt;=RAM," ",#REF!/$AI70/Frauen!$J70)</f>
        <v xml:space="preserve"> </v>
      </c>
      <c r="GZ70" s="24" t="str">
        <f>IF(FM70&gt;=RAM," ",#REF!/$AI70/Frauen!$J73)</f>
        <v xml:space="preserve"> </v>
      </c>
      <c r="HA70" s="86"/>
      <c r="HB70" s="35">
        <f t="shared" si="63"/>
        <v>126</v>
      </c>
      <c r="HC70" s="24"/>
      <c r="HD70" s="24"/>
      <c r="HE70" s="24"/>
      <c r="HF70" s="24"/>
      <c r="HG70" s="24"/>
      <c r="HH70" s="24"/>
      <c r="HI70" s="24"/>
      <c r="HJ70" s="24"/>
      <c r="HK70" s="86"/>
      <c r="HL70" s="35">
        <f t="shared" si="64"/>
        <v>126</v>
      </c>
      <c r="HM70" s="24"/>
      <c r="HN70" s="24"/>
      <c r="HO70" s="24"/>
      <c r="HP70" s="24"/>
      <c r="HQ70" s="24"/>
      <c r="HR70" s="24"/>
      <c r="HS70" s="24"/>
      <c r="HT70" s="24"/>
      <c r="HU70" s="86"/>
      <c r="HV70" s="35">
        <f t="shared" si="65"/>
        <v>126</v>
      </c>
      <c r="HW70" s="24"/>
      <c r="HX70" s="24"/>
      <c r="HY70" s="24"/>
      <c r="HZ70" s="24"/>
      <c r="IA70" s="24"/>
      <c r="IB70" s="24"/>
      <c r="IC70" s="24"/>
      <c r="ID70" s="89"/>
      <c r="IE70" s="35">
        <f t="shared" si="81"/>
        <v>78</v>
      </c>
      <c r="IF70" s="25" t="str">
        <f t="shared" si="31"/>
        <v/>
      </c>
      <c r="IG70" s="25" t="str">
        <f>IF($IE70&lt;RAM,IF(S71&lt;=RAK,ROUND(SUM(IF70:INDEX(Dakx,RAM-BeginnAlter))+INDEX(Dax,RAM-BeginnAlter+1)*INDEX(äkx,1),RundDx),0),"")</f>
        <v/>
      </c>
      <c r="IH70" s="25" t="str">
        <f>IF($IE70&lt;RAM,IF(S71&lt;=RAK,ROUND(SUM(IG70:INDEX(Nakx,RAM-BeginnAlter))+INDEX(Dax,RAM-BeginnAlter+1)*INDEX(äkx,1),RundDx),0),"")</f>
        <v/>
      </c>
      <c r="II70" s="24" t="str">
        <f t="shared" si="32"/>
        <v/>
      </c>
      <c r="IJ70" s="25" t="str">
        <f t="shared" si="33"/>
        <v/>
      </c>
      <c r="IK70" s="25" t="str">
        <f>IF($IE70&lt;RAM,IF(S71&lt;=RAK,SUM(IJ70:INDEX(Dikx,RAM-BeginnAlter))+INDEX(Dix,RAM-BeginnAlter+1)*INDEX(äkx,1),0),"")</f>
        <v/>
      </c>
      <c r="IL70" s="24" t="str">
        <f t="shared" si="34"/>
        <v/>
      </c>
      <c r="IM70" s="86"/>
      <c r="IN70" s="35">
        <f t="shared" si="67"/>
        <v>126</v>
      </c>
      <c r="IO70" s="25"/>
      <c r="IP70" s="25"/>
      <c r="IQ70" s="24"/>
      <c r="IR70" s="86"/>
    </row>
    <row r="71" spans="1:252" ht="15.75" customHeight="1" x14ac:dyDescent="0.25">
      <c r="A71" s="35">
        <f t="shared" si="69"/>
        <v>79</v>
      </c>
      <c r="B71" s="77"/>
      <c r="C71" s="77"/>
      <c r="D71" s="77"/>
      <c r="E71" s="77">
        <v>5.4856743463900424E-2</v>
      </c>
      <c r="F71" s="86"/>
      <c r="G71" s="35">
        <f t="shared" si="70"/>
        <v>79</v>
      </c>
      <c r="H71" s="25" t="str">
        <f t="shared" si="37"/>
        <v/>
      </c>
      <c r="I71" s="25" t="str">
        <f t="shared" si="38"/>
        <v/>
      </c>
      <c r="J71" s="25">
        <f t="shared" si="39"/>
        <v>57497</v>
      </c>
      <c r="K71" s="30">
        <f>IF(J71&gt;0,ROUND(SUM(J71:J$102)/J71-0.5,Rundex),"")</f>
        <v>8.44</v>
      </c>
      <c r="L71" s="25">
        <f t="shared" si="0"/>
        <v>57497</v>
      </c>
      <c r="M71" s="30">
        <f>IF(L71&gt;0,ROUND(SUM(L71:L$102)/L71-0.5,Rundex),"")</f>
        <v>8.44</v>
      </c>
      <c r="N71" s="86"/>
      <c r="O71" s="35">
        <f t="shared" si="71"/>
        <v>79</v>
      </c>
      <c r="P71" s="43">
        <v>0.74358837118540988</v>
      </c>
      <c r="Q71" s="78">
        <v>73.832435317386654</v>
      </c>
      <c r="R71" s="43">
        <v>1E-3</v>
      </c>
      <c r="S71" s="78">
        <v>22.185516928786246</v>
      </c>
      <c r="T71" s="15">
        <v>6.3940138134108815E-2</v>
      </c>
      <c r="U71" s="11">
        <f t="shared" si="40"/>
        <v>46755</v>
      </c>
      <c r="V71" s="30">
        <f>IF(U71&gt;0,ROUND(SUM(U71:U$102)/U71-0.5,Rundex),"")</f>
        <v>8.09</v>
      </c>
      <c r="W71" s="86"/>
      <c r="X71" s="35">
        <f t="shared" si="72"/>
        <v>79</v>
      </c>
      <c r="Y71" s="25" t="str">
        <f t="shared" si="1"/>
        <v xml:space="preserve"> </v>
      </c>
      <c r="Z71" s="25" t="str">
        <f>IF($X71&lt;RAM,SUM(Y71:INDEX(Dax,RAM-BeginnAlter))," ")</f>
        <v xml:space="preserve"> </v>
      </c>
      <c r="AA71" s="25" t="str">
        <f t="shared" si="2"/>
        <v xml:space="preserve"> </v>
      </c>
      <c r="AB71" s="25" t="str">
        <f>IF($X71&lt;RAM,SUM(AA71:INDEX(Cax,RAM-BeginnAlter))," ")</f>
        <v xml:space="preserve"> </v>
      </c>
      <c r="AC71" s="25" t="str">
        <f t="shared" si="3"/>
        <v xml:space="preserve"> </v>
      </c>
      <c r="AD71" s="25" t="str">
        <f>IF($X71&lt;RAM,SUM(AC71:INDEX(Caix,RAM-BeginnAlter))," ")</f>
        <v xml:space="preserve"> </v>
      </c>
      <c r="AE71" s="24" t="str">
        <f t="shared" si="4"/>
        <v xml:space="preserve"> </v>
      </c>
      <c r="AF71" s="24" t="str">
        <f t="shared" si="5"/>
        <v xml:space="preserve"> </v>
      </c>
      <c r="AG71" s="86"/>
      <c r="AH71" s="35">
        <f t="shared" si="73"/>
        <v>79</v>
      </c>
      <c r="AI71" s="25" t="str">
        <f t="shared" si="6"/>
        <v xml:space="preserve"> </v>
      </c>
      <c r="AJ71" s="25" t="str">
        <f>IF($AH71&gt;RAM," ",IF($AH71&lt;RAM,SUM(AI71:INDEX(Dix,RAM-BeginnAlter))+INDEX(Nx,RAM-BeginnAlter+1),INDEX(Nx,RAM-BeginnAlter+1)))</f>
        <v xml:space="preserve"> </v>
      </c>
      <c r="AK71" s="25" t="str">
        <f>IF($AH71&lt;RAM,SUM(AI71:INDEX(Dix,RAM-BeginnAlter))," ")</f>
        <v xml:space="preserve"> </v>
      </c>
      <c r="AL71" s="24" t="str">
        <f t="shared" si="7"/>
        <v xml:space="preserve"> </v>
      </c>
      <c r="AM71" s="24" t="str">
        <f t="shared" si="8"/>
        <v xml:space="preserve"> </v>
      </c>
      <c r="AN71" s="24" t="str">
        <f t="shared" si="9"/>
        <v xml:space="preserve"> </v>
      </c>
      <c r="AO71" s="24" t="str">
        <f t="shared" si="10"/>
        <v xml:space="preserve"> </v>
      </c>
      <c r="AP71" s="86"/>
      <c r="AQ71" s="35">
        <f t="shared" si="74"/>
        <v>79</v>
      </c>
      <c r="AR71" s="25">
        <f t="shared" si="11"/>
        <v>9914</v>
      </c>
      <c r="AS71" s="25">
        <f>SUM(AR71:AR$94)</f>
        <v>78966</v>
      </c>
      <c r="AT71" s="25" t="str">
        <f>IF($AQ71&lt;RAM,SUM(AR71:INDEX(Dx,RAM-BeginnAlter))," ")</f>
        <v xml:space="preserve"> </v>
      </c>
      <c r="AU71" s="24">
        <f t="shared" si="12"/>
        <v>7.9649999999999999</v>
      </c>
      <c r="AV71" s="24">
        <f t="shared" si="13"/>
        <v>7.5069999999999997</v>
      </c>
      <c r="AW71" s="24" t="str">
        <f t="shared" si="14"/>
        <v xml:space="preserve"> </v>
      </c>
      <c r="AX71" s="24" t="str">
        <f t="shared" si="15"/>
        <v xml:space="preserve"> </v>
      </c>
      <c r="AY71" s="86"/>
      <c r="AZ71" s="35">
        <f t="shared" si="75"/>
        <v>79</v>
      </c>
      <c r="BA71" s="25">
        <f t="shared" si="16"/>
        <v>8062</v>
      </c>
      <c r="BB71" s="25">
        <f>SUM(BA71:BA$94)</f>
        <v>61851</v>
      </c>
      <c r="BC71" s="24">
        <f t="shared" si="17"/>
        <v>7.6719999999999997</v>
      </c>
      <c r="BD71" s="24">
        <f t="shared" si="18"/>
        <v>7.2140000000000004</v>
      </c>
      <c r="BE71" s="86"/>
      <c r="BF71" s="35">
        <f t="shared" si="48"/>
        <v>62</v>
      </c>
      <c r="BG71" s="24" t="str">
        <f t="shared" si="19"/>
        <v/>
      </c>
      <c r="BH71" s="24" t="str">
        <f t="shared" si="20"/>
        <v/>
      </c>
      <c r="BI71" s="86"/>
      <c r="BJ71" s="35">
        <f t="shared" si="76"/>
        <v>79</v>
      </c>
      <c r="BK71" s="25" t="str">
        <f t="shared" si="21"/>
        <v xml:space="preserve"> </v>
      </c>
      <c r="BL71" s="25" t="str">
        <f>IF(BJ71&lt;RAM,SUM(BK71:INDEX(Daix,RAM-BeginnAlter))," ")</f>
        <v xml:space="preserve"> </v>
      </c>
      <c r="BM71" s="25" t="str">
        <f>IF(BJ71&lt;RAM,SUM(BL71:INDEX(Naix,RAM-BeginnAlter))," ")</f>
        <v xml:space="preserve"> </v>
      </c>
      <c r="BN71" s="24" t="str">
        <f t="shared" si="22"/>
        <v xml:space="preserve"> </v>
      </c>
      <c r="BO71" s="24" t="str">
        <f t="shared" si="23"/>
        <v xml:space="preserve"> </v>
      </c>
      <c r="BP71" s="86"/>
      <c r="BQ71" s="35">
        <f t="shared" si="77"/>
        <v>79</v>
      </c>
      <c r="BR71" s="25" t="str">
        <f t="shared" si="51"/>
        <v xml:space="preserve"> </v>
      </c>
      <c r="BS71" s="25" t="str">
        <f>IF(BQ71&lt;RAM,SUM(BR71:INDEX(Daixs,RAM-BeginnAlter))," ")</f>
        <v xml:space="preserve"> </v>
      </c>
      <c r="BT71" s="25" t="str">
        <f>IF(BQ71&lt;RAM,SUM(BS71:INDEX(Naixs,RAM-BeginnAlter))," ")</f>
        <v xml:space="preserve"> </v>
      </c>
      <c r="BU71" s="24" t="str">
        <f t="shared" si="52"/>
        <v xml:space="preserve"> </v>
      </c>
      <c r="BV71" s="24" t="str">
        <f t="shared" si="53"/>
        <v xml:space="preserve"> </v>
      </c>
      <c r="BW71" s="86"/>
      <c r="BX71" s="35">
        <f t="shared" si="78"/>
        <v>79</v>
      </c>
      <c r="BY71" s="10" t="str">
        <f t="shared" si="24"/>
        <v/>
      </c>
      <c r="BZ71" s="11" t="str">
        <f t="shared" si="25"/>
        <v/>
      </c>
      <c r="CA71" s="25" t="str">
        <f>IF(S72&lt;=RAK,IF($BX71&lt;RAM,SUM(BZ71:INDEX(Dazx,RAM-BeginnAlter)),""),"")</f>
        <v/>
      </c>
      <c r="CB71" s="24" t="str">
        <f t="shared" si="26"/>
        <v/>
      </c>
      <c r="CC71" s="25">
        <f t="shared" si="27"/>
        <v>7822</v>
      </c>
      <c r="CD71" s="24">
        <f t="shared" si="28"/>
        <v>6.3150000000000004</v>
      </c>
      <c r="CE71" s="24" t="str">
        <f t="shared" si="29"/>
        <v/>
      </c>
      <c r="CF71" s="86"/>
      <c r="CG71" s="35">
        <f t="shared" si="79"/>
        <v>79</v>
      </c>
      <c r="CH71" s="25" t="str">
        <f>IF(CG71&lt;RAM,ROUND(v^($CG71+FaktorAlter)*$H71*($B71*0.5*($P71+$P72)*(VLOOKUP(TRUNC(0.5*($Q71+$Q72),0),Frauen!$AZ$9:$BD$95,5)+(0.5*($Q71+$Q72)-TRUNC(0.5*($Q71+$Q72),0))*(VLOOKUP(TRUNC(0.5*($Q71+$Q72)+1,0),Frauen!$AZ$9:$BD$95,5)-VLOOKUP(TRUNC(0.5*($Q71+$Q72),0),Frauen!$AZ$9:$BD$95,5)))+$C71*0.5*($CN71+$CN72)),RundDx),"")</f>
        <v/>
      </c>
      <c r="CI71" s="25" t="str">
        <f>IF(CG71&lt;RAM,ROUND(SUM(CH71:INDEX(Dawx,RAM-BeginnAlter))+INDEX(Dax,RAM-BeginnAlter+1)*INDEX(äwx,1),RundDx),"")</f>
        <v/>
      </c>
      <c r="CJ71" s="25" t="str">
        <f>IF(CG71&lt;RAM,ROUND(SUM(CI71:INDEX(Nawx,RAM-BeginnAlter))+INDEX(Dax,RAM-BeginnAlter+1)*INDEX(äwx,1),RundDx),"")</f>
        <v/>
      </c>
      <c r="CK71" s="24" t="str">
        <f t="shared" si="56"/>
        <v/>
      </c>
      <c r="CL71" s="25" t="str">
        <f>IF(CG71&lt;RAM,ROUND(v^($CG71+FaktorAlter)*$L71*$D71*0.5*($P71+$P72)*(VLOOKUP(TRUNC(0.5*($Q71+$Q72),0),Frauen!$AZ$9:$BD$95,5)+(0.5*($Q71+$Q72)-TRUNC(0.5*($Q71+$Q72),0))*(VLOOKUP(TRUNC(0.5*($Q71+$Q72)+1,0),Frauen!$AZ$9:$BD$95,5)-VLOOKUP(TRUNC(0.5*($Q71+$Q72),0),Frauen!$AZ$9:$BD$95,5))),RundDx),"")</f>
        <v/>
      </c>
      <c r="CM71" s="25" t="str">
        <f>IF(CG71&lt;RAM,SUM(CL71:INDEX(Diwx,RAM-BeginnAlter))+INDEX(Dix,RAM-BeginnAlter+1)*INDEX(äwx,1),"")</f>
        <v/>
      </c>
      <c r="CN71" s="24" t="str">
        <f t="shared" si="57"/>
        <v/>
      </c>
      <c r="CO71" s="86"/>
      <c r="CP71" s="35">
        <f t="shared" si="58"/>
        <v>127</v>
      </c>
      <c r="CQ71" s="25"/>
      <c r="CR71" s="25"/>
      <c r="CS71" s="24"/>
      <c r="CT71" s="86"/>
      <c r="CU71" s="35">
        <f t="shared" si="80"/>
        <v>79</v>
      </c>
      <c r="CV71" s="25" t="str">
        <f>IF($CU71&gt;=RAM,"",IF($CU71-CV$103&lt;BeginnAlter,"",ROUND(v^($CU71+FaktorAlter)*$L71*$D71*0.5*(VLOOKUP($CU71-CV$103,Frauen!$G$9:$J$102,4)+VLOOKUP($CU71-CV$103+1,Frauen!$G$9:$J$102,4))*0.5*(VLOOKUP($CU71-CV$103,Frauen!$AZ$9:$BD$102,5)+VLOOKUP($CU71-CV$103+1,Frauen!$AZ$9:$BD$102,5)),RundDx)))</f>
        <v/>
      </c>
      <c r="CW71" s="25" t="str">
        <f>IF($CU71&gt;=RAM,"",IF($CU71-CW$103&lt;BeginnAlter,"",ROUND(v^($CU71+FaktorAlter)*$L71*$D71*0.5*(VLOOKUP($CU71-CW$103,Frauen!$G$9:$J$102,4)+VLOOKUP($CU71-CW$103+1,Frauen!$G$9:$J$102,4))*0.5*(VLOOKUP($CU71-CW$103,Frauen!$AZ$9:$BD$102,5)+VLOOKUP($CU71-CW$103+1,Frauen!$AZ$9:$BD$102,5)),RundDx)))</f>
        <v/>
      </c>
      <c r="CX71" s="25" t="str">
        <f>IF($CU71&gt;=RAM,"",IF($CU71-CX$103&lt;BeginnAlter,"",ROUND(v^($CU71+FaktorAlter)*$L71*$D71*0.5*(VLOOKUP($CU71-CX$103,Frauen!$G$9:$J$102,4)+VLOOKUP($CU71-CX$103+1,Frauen!$G$9:$J$102,4))*0.5*(VLOOKUP($CU71-CX$103,Frauen!$AZ$9:$BD$102,5)+VLOOKUP($CU71-CX$103+1,Frauen!$AZ$9:$BD$102,5)),RundDx)))</f>
        <v/>
      </c>
      <c r="CY71" s="25" t="str">
        <f>IF($CU71&gt;=RAM,"",IF($CU71-CY$103&lt;BeginnAlter,"",ROUND(v^($CU71+FaktorAlter)*$L71*$D71*0.5*(VLOOKUP($CU71-CY$103,Frauen!$G$9:$J$102,4)+VLOOKUP($CU71-CY$103+1,Frauen!$G$9:$J$102,4))*0.5*(VLOOKUP($CU71-CY$103,Frauen!$AZ$9:$BD$102,5)+VLOOKUP($CU71-CY$103+1,Frauen!$AZ$9:$BD$102,5)),RundDx)))</f>
        <v/>
      </c>
      <c r="CZ71" s="25" t="str">
        <f>IF($CU71&gt;=RAM,"",IF($CU71-CZ$103&lt;BeginnAlter,"",ROUND(v^($CU71+FaktorAlter)*$L71*$D71*0.5*(VLOOKUP($CU71-CZ$103,Frauen!$G$9:$J$102,4)+VLOOKUP($CU71-CZ$103+1,Frauen!$G$9:$J$102,4))*0.5*(VLOOKUP($CU71-CZ$103,Frauen!$AZ$9:$BD$102,5)+VLOOKUP($CU71-CZ$103+1,Frauen!$AZ$9:$BD$102,5)),RundDx)))</f>
        <v/>
      </c>
      <c r="DA71" s="25" t="str">
        <f>IF($CU71&gt;=RAM,"",IF($CU71-DA$103&lt;BeginnAlter,"",ROUND(v^($CU71+FaktorAlter)*$L71*$D71*0.5*(VLOOKUP($CU71-DA$103,Frauen!$G$9:$J$102,4)+VLOOKUP($CU71-DA$103+1,Frauen!$G$9:$J$102,4))*0.5*(VLOOKUP($CU71-DA$103,Frauen!$AZ$9:$BD$102,5)+VLOOKUP($CU71-DA$103+1,Frauen!$AZ$9:$BD$102,5)),RundDx)))</f>
        <v/>
      </c>
      <c r="DB71" s="25" t="str">
        <f>IF($CU71&gt;=RAM,"",IF($CU71-DB$103&lt;BeginnAlter,"",ROUND(v^($CU71+FaktorAlter)*$L71*$D71*0.5*(VLOOKUP($CU71-DB$103,Frauen!$G$9:$J$102,4)+VLOOKUP($CU71-DB$103+1,Frauen!$G$9:$J$102,4))*0.5*(VLOOKUP($CU71-DB$103,Frauen!$AZ$9:$BD$102,5)+VLOOKUP($CU71-DB$103+1,Frauen!$AZ$9:$BD$102,5)),RundDx)))</f>
        <v/>
      </c>
      <c r="DC71" s="25" t="str">
        <f>IF($CU71&gt;=RAM,"",IF($CU71-DC$103&lt;BeginnAlter,"",ROUND(v^($CU71+FaktorAlter)*$L71*$D71*0.5*(VLOOKUP($CU71-DC$103,Frauen!$G$9:$J$102,4)+VLOOKUP($CU71-DC$103+1,Frauen!$G$9:$J$102,4))*0.5*(VLOOKUP($CU71-DC$103,Frauen!$AZ$9:$BD$102,5)+VLOOKUP($CU71-DC$103+1,Frauen!$AZ$9:$BD$102,5)),RundDx)))</f>
        <v/>
      </c>
      <c r="DD71" s="25" t="str">
        <f>IF($CU71&gt;=RAM,"",IF($CU71-DD$103&lt;BeginnAlter,"",ROUND(v^($CU71+FaktorAlter)*$L71*$D71*0.5*(VLOOKUP($CU71-DD$103,Frauen!$G$9:$J$102,4)+VLOOKUP($CU71-DD$103+1,Frauen!$G$9:$J$102,4))*0.5*(VLOOKUP($CU71-DD$103,Frauen!$AZ$9:$BD$102,5)+VLOOKUP($CU71-DD$103+1,Frauen!$AZ$9:$BD$102,5)),RundDx)))</f>
        <v/>
      </c>
      <c r="DE71" s="25" t="str">
        <f>IF($CU71&gt;=RAM,"",IF($CU71-DE$103&lt;BeginnAlter,"",ROUND(v^($CU71+FaktorAlter)*$L71*$D71*0.5*(VLOOKUP($CU71-DE$103,Frauen!$G$9:$J$102,4)+VLOOKUP($CU71-DE$103+1,Frauen!$G$9:$J$102,4))*0.5*(VLOOKUP($CU71-DE$103,Frauen!$AZ$9:$BD$102,5)+VLOOKUP($CU71-DE$103+1,Frauen!$AZ$9:$BD$102,5)),RundDx)))</f>
        <v/>
      </c>
      <c r="DF71" s="25" t="str">
        <f>IF($CU71&gt;=RAM,"",IF($CU71-DF$103&lt;BeginnAlter,"",ROUND(v^($CU71+FaktorAlter)*$L71*$D71*0.5*(VLOOKUP($CU71-DF$103,Frauen!$G$9:$J$102,4)+VLOOKUP($CU71-DF$103+1,Frauen!$G$9:$J$102,4))*0.5*(VLOOKUP($CU71-DF$103,Frauen!$AZ$9:$BD$102,5)+VLOOKUP($CU71-DF$103+1,Frauen!$AZ$9:$BD$102,5)),RundDx)))</f>
        <v/>
      </c>
      <c r="DG71" s="25" t="str">
        <f>IF($CU71&gt;=RAM,"",IF($CU71-DG$103&lt;BeginnAlter,"",ROUND(v^($CU71+FaktorAlter)*$L71*$D71*0.5*(VLOOKUP($CU71-DG$103,Frauen!$G$9:$J$102,4)+VLOOKUP($CU71-DG$103+1,Frauen!$G$9:$J$102,4))*0.5*(VLOOKUP($CU71-DG$103,Frauen!$AZ$9:$BD$102,5)+VLOOKUP($CU71-DG$103+1,Frauen!$AZ$9:$BD$102,5)),RundDx)))</f>
        <v/>
      </c>
      <c r="DH71" s="25" t="str">
        <f>IF($CU71&gt;=RAM,"",IF($CU71-DH$103&lt;BeginnAlter,"",ROUND(v^($CU71+FaktorAlter)*$L71*$D71*0.5*(VLOOKUP($CU71-DH$103,Frauen!$G$9:$J$102,4)+VLOOKUP($CU71-DH$103+1,Frauen!$G$9:$J$102,4))*0.5*(VLOOKUP($CU71-DH$103,Frauen!$AZ$9:$BD$102,5)+VLOOKUP($CU71-DH$103+1,Frauen!$AZ$9:$BD$102,5)),RundDx)))</f>
        <v/>
      </c>
      <c r="DI71" s="25" t="str">
        <f>IF($CU71&gt;=RAM,"",IF($CU71-DI$103&lt;BeginnAlter,"",ROUND(v^($CU71+FaktorAlter)*$L71*$D71*0.5*(VLOOKUP($CU71-DI$103,Frauen!$G$9:$J$102,4)+VLOOKUP($CU71-DI$103+1,Frauen!$G$9:$J$102,4))*0.5*(VLOOKUP($CU71-DI$103,Frauen!$AZ$9:$BD$102,5)+VLOOKUP($CU71-DI$103+1,Frauen!$AZ$9:$BD$102,5)),RundDx)))</f>
        <v/>
      </c>
      <c r="DJ71" s="25" t="str">
        <f>IF($CU71&gt;=RAM,"",IF($CU71-DJ$103&lt;BeginnAlter,"",ROUND(v^($CU71+FaktorAlter)*$L71*$D71*0.5*(VLOOKUP($CU71-DJ$103,Frauen!$G$9:$J$102,4)+VLOOKUP($CU71-DJ$103+1,Frauen!$G$9:$J$102,4))*0.5*(VLOOKUP($CU71-DJ$103,Frauen!$AZ$9:$BD$102,5)+VLOOKUP($CU71-DJ$103+1,Frauen!$AZ$9:$BD$102,5)),RundDx)))</f>
        <v/>
      </c>
      <c r="DK71" s="25" t="str">
        <f>IF($CU71&gt;=RAM,"",IF($CU71-DK$103&lt;BeginnAlter,"",ROUND(v^($CU71+FaktorAlter)*$L71*$D71*0.5*(VLOOKUP($CU71-DK$103,Frauen!$G$9:$J$102,4)+VLOOKUP($CU71-DK$103+1,Frauen!$G$9:$J$102,4))*0.5*(VLOOKUP($CU71-DK$103,Frauen!$AZ$9:$BD$102,5)+VLOOKUP($CU71-DK$103+1,Frauen!$AZ$9:$BD$102,5)),RundDx)))</f>
        <v/>
      </c>
      <c r="DL71" s="25" t="str">
        <f>IF($CU71&gt;=RAM,"",IF($CU71-DL$103&lt;BeginnAlter,"",ROUND(v^($CU71+FaktorAlter)*$L71*$D71*0.5*(VLOOKUP($CU71-DL$103,Frauen!$G$9:$J$102,4)+VLOOKUP($CU71-DL$103+1,Frauen!$G$9:$J$102,4))*0.5*(VLOOKUP($CU71-DL$103,Frauen!$AZ$9:$BD$102,5)+VLOOKUP($CU71-DL$103+1,Frauen!$AZ$9:$BD$102,5)),RundDx)))</f>
        <v/>
      </c>
      <c r="DM71" s="25" t="str">
        <f>IF($CU71&gt;=RAM,"",IF($CU71-DM$103&lt;BeginnAlter,"",ROUND(v^($CU71+FaktorAlter)*$L71*$D71*0.5*(VLOOKUP($CU71-DM$103,Frauen!$G$9:$J$102,4)+VLOOKUP($CU71-DM$103+1,Frauen!$G$9:$J$102,4))*0.5*(VLOOKUP($CU71-DM$103,Frauen!$AZ$9:$BD$102,5)+VLOOKUP($CU71-DM$103+1,Frauen!$AZ$9:$BD$102,5)),RundDx)))</f>
        <v/>
      </c>
      <c r="DN71" s="25" t="str">
        <f>IF($CU71&gt;=RAM,"",IF($CU71-DN$103&lt;BeginnAlter,"",ROUND(v^($CU71+FaktorAlter)*$L71*$D71*0.5*(VLOOKUP($CU71-DN$103,Frauen!$G$9:$J$102,4)+VLOOKUP($CU71-DN$103+1,Frauen!$G$9:$J$102,4))*0.5*(VLOOKUP($CU71-DN$103,Frauen!$AZ$9:$BD$102,5)+VLOOKUP($CU71-DN$103+1,Frauen!$AZ$9:$BD$102,5)),RundDx)))</f>
        <v/>
      </c>
      <c r="DO71" s="25" t="str">
        <f>IF($CU71&gt;=RAM,"",IF($CU71-DO$103&lt;BeginnAlter,"",ROUND(v^($CU71+FaktorAlter)*$L71*$D71*0.5*(VLOOKUP($CU71-DO$103,Frauen!$G$9:$J$102,4)+VLOOKUP($CU71-DO$103+1,Frauen!$G$9:$J$102,4))*0.5*(VLOOKUP($CU71-DO$103,Frauen!$AZ$9:$BD$102,5)+VLOOKUP($CU71-DO$103+1,Frauen!$AZ$9:$BD$102,5)),RundDx)))</f>
        <v/>
      </c>
      <c r="DP71" s="25" t="str">
        <f>IF($CU71&gt;=RAM,"",IF($CU71-DP$103&lt;BeginnAlter,"",ROUND(v^($CU71+FaktorAlter)*$L71*$D71*0.5*(VLOOKUP($CU71-DP$103,Frauen!$G$9:$J$102,4)+VLOOKUP($CU71-DP$103+1,Frauen!$G$9:$J$102,4))*0.5*(VLOOKUP($CU71-DP$103,Frauen!$AZ$9:$BD$102,5)+VLOOKUP($CU71-DP$103+1,Frauen!$AZ$9:$BD$102,5)),RundDx)))</f>
        <v/>
      </c>
      <c r="DQ71" s="25" t="str">
        <f>IF($CU71&gt;=RAM,"",IF($CU71-DQ$103&lt;BeginnAlter,"",ROUND(v^($CU71+FaktorAlter)*$L71*$D71*0.5*(VLOOKUP($CU71-DQ$103,Frauen!$G$9:$J$102,4)+VLOOKUP($CU71-DQ$103+1,Frauen!$G$9:$J$102,4))*0.5*(VLOOKUP($CU71-DQ$103,Frauen!$AZ$9:$BD$102,5)+VLOOKUP($CU71-DQ$103+1,Frauen!$AZ$9:$BD$102,5)),RundDx)))</f>
        <v/>
      </c>
      <c r="DR71" s="25" t="str">
        <f>IF($CU71&gt;=RAM,"",IF($CU71-DR$103&lt;BeginnAlter,"",ROUND(v^($CU71+FaktorAlter)*$L71*$D71*0.5*(VLOOKUP($CU71-DR$103,Frauen!$G$9:$J$102,4)+VLOOKUP($CU71-DR$103+1,Frauen!$G$9:$J$102,4))*0.5*(VLOOKUP($CU71-DR$103,Frauen!$AZ$9:$BD$102,5)+VLOOKUP($CU71-DR$103+1,Frauen!$AZ$9:$BD$102,5)),RundDx)))</f>
        <v/>
      </c>
      <c r="DS71" s="25" t="str">
        <f>IF($CU71&gt;=RAM,"",IF($CU71-DS$103&lt;BeginnAlter,"",ROUND(v^($CU71+FaktorAlter)*$L71*$D71*0.5*(VLOOKUP($CU71-DS$103,Frauen!$G$9:$J$102,4)+VLOOKUP($CU71-DS$103+1,Frauen!$G$9:$J$102,4))*0.5*(VLOOKUP($CU71-DS$103,Frauen!$AZ$9:$BD$102,5)+VLOOKUP($CU71-DS$103+1,Frauen!$AZ$9:$BD$102,5)),RundDx)))</f>
        <v/>
      </c>
      <c r="DT71" s="25" t="str">
        <f>IF($CU71&gt;=RAM,"",IF($CU71-DT$103&lt;BeginnAlter,"",ROUND(v^($CU71+FaktorAlter)*$L71*$D71*0.5*(VLOOKUP($CU71-DT$103,Frauen!$G$9:$J$102,4)+VLOOKUP($CU71-DT$103+1,Frauen!$G$9:$J$102,4))*0.5*(VLOOKUP($CU71-DT$103,Frauen!$AZ$9:$BD$102,5)+VLOOKUP($CU71-DT$103+1,Frauen!$AZ$9:$BD$102,5)),RundDx)))</f>
        <v/>
      </c>
      <c r="DU71" s="25" t="str">
        <f>IF($CU71&gt;=RAM,"",IF($CU71-DU$103&lt;BeginnAlter,"",ROUND(v^($CU71+FaktorAlter)*$L71*$D71*0.5*(VLOOKUP($CU71-DU$103,Frauen!$G$9:$J$102,4)+VLOOKUP($CU71-DU$103+1,Frauen!$G$9:$J$102,4))*0.5*(VLOOKUP($CU71-DU$103,Frauen!$AZ$9:$BD$102,5)+VLOOKUP($CU71-DU$103+1,Frauen!$AZ$9:$BD$102,5)),RundDx)))</f>
        <v/>
      </c>
      <c r="DV71" s="25" t="str">
        <f>IF($CU71&gt;=RAM,"",IF($CU71-DV$103&lt;BeginnAlter,"",ROUND(v^($CU71+FaktorAlter)*$L71*$D71*0.5*(VLOOKUP($CU71-DV$103,Frauen!$G$9:$J$102,4)+VLOOKUP($CU71-DV$103+1,Frauen!$G$9:$J$102,4))*0.5*(VLOOKUP($CU71-DV$103,Frauen!$AZ$9:$BD$102,5)+VLOOKUP($CU71-DV$103+1,Frauen!$AZ$9:$BD$102,5)),RundDx)))</f>
        <v/>
      </c>
      <c r="DW71" s="25" t="str">
        <f>IF($CU71&gt;=RAM,"",IF($CU71-DW$103&lt;BeginnAlter,"",ROUND(v^($CU71+FaktorAlter)*$L71*$D71*0.5*(VLOOKUP($CU71-DW$103,Frauen!$G$9:$J$102,4)+VLOOKUP($CU71-DW$103+1,Frauen!$G$9:$J$102,4))*0.5*(VLOOKUP($CU71-DW$103,Frauen!$AZ$9:$BD$102,5)+VLOOKUP($CU71-DW$103+1,Frauen!$AZ$9:$BD$102,5)),RundDx)))</f>
        <v/>
      </c>
      <c r="DX71" s="25" t="str">
        <f>IF($CU71&gt;=RAM,"",IF($CU71-DX$103&lt;BeginnAlter,"",ROUND(v^($CU71+FaktorAlter)*$L71*$D71*0.5*(VLOOKUP($CU71-DX$103,Frauen!$G$9:$J$102,4)+VLOOKUP($CU71-DX$103+1,Frauen!$G$9:$J$102,4))*0.5*(VLOOKUP($CU71-DX$103,Frauen!$AZ$9:$BD$102,5)+VLOOKUP($CU71-DX$103+1,Frauen!$AZ$9:$BD$102,5)),RundDx)))</f>
        <v/>
      </c>
      <c r="DY71" s="25" t="str">
        <f>IF($CU71&gt;=RAM,"",IF($CU71-DY$103&lt;BeginnAlter,"",ROUND(v^($CU71+FaktorAlter)*$L71*$D71*0.5*(VLOOKUP($CU71-DY$103,Frauen!$G$9:$J$102,4)+VLOOKUP($CU71-DY$103+1,Frauen!$G$9:$J$102,4))*0.5*(VLOOKUP($CU71-DY$103,Frauen!$AZ$9:$BD$102,5)+VLOOKUP($CU71-DY$103+1,Frauen!$AZ$9:$BD$102,5)),RundDx)))</f>
        <v/>
      </c>
      <c r="DZ71" s="25" t="str">
        <f>IF($CU71&gt;=RAM,"",IF($CU71-DZ$103&lt;BeginnAlter,"",ROUND(v^($CU71+FaktorAlter)*$L71*$D71*0.5*(VLOOKUP($CU71-DZ$103,Frauen!$G$9:$J$102,4)+VLOOKUP($CU71-DZ$103+1,Frauen!$G$9:$J$102,4))*0.5*(VLOOKUP($CU71-DZ$103,Frauen!$AZ$9:$BD$102,5)+VLOOKUP($CU71-DZ$103+1,Frauen!$AZ$9:$BD$102,5)),RundDx)))</f>
        <v/>
      </c>
      <c r="EA71" s="43" t="str">
        <f>IF($CU71&gt;=RAM,"",IF($CU71-EA$103&lt;BeginnAlter,"",ROUND((SUM(CV$56:CV71)+SUM(FN$9:FN$56))/VLOOKUP($CU71,$AH$9:$AI$102,2)/VLOOKUP($CU71-EA$103,Frauen!$G$9:$J$102,4),Rundäx)))</f>
        <v/>
      </c>
      <c r="EB71" s="43" t="str">
        <f>IF($CU71&gt;=RAM,"",IF($CU71-EB$103&lt;BeginnAlter,"",ROUND((SUM(CW$56:CW71)+SUM(FO$9:FO$56))/VLOOKUP($CU71,$AH$9:$AI$102,2)/VLOOKUP($CU71-EB$103,Frauen!$G$9:$J$102,4),Rundäx)))</f>
        <v/>
      </c>
      <c r="EC71" s="43" t="str">
        <f>IF($CU71&gt;=RAM,"",IF($CU71-EC$103&lt;BeginnAlter,"",ROUND((SUM(CX$56:CX71)+SUM(FP$9:FP$56))/VLOOKUP($CU71,$AH$9:$AI$102,2)/VLOOKUP($CU71-EC$103,Frauen!$G$9:$J$102,4),Rundäx)))</f>
        <v/>
      </c>
      <c r="ED71" s="43" t="str">
        <f>IF($CU71&gt;=RAM,"",IF($CU71-ED$103&lt;BeginnAlter,"",ROUND((SUM(CY$56:CY71)+SUM(FQ$9:FQ$56))/VLOOKUP($CU71,$AH$9:$AI$102,2)/VLOOKUP($CU71-ED$103,Frauen!$G$9:$J$102,4),Rundäx)))</f>
        <v/>
      </c>
      <c r="EE71" s="43" t="str">
        <f>IF($CU71&gt;=RAM,"",IF($CU71-EE$103&lt;BeginnAlter,"",ROUND((SUM(CZ$56:CZ71)+SUM(FR$9:FR$56))/VLOOKUP($CU71,$AH$9:$AI$102,2)/VLOOKUP($CU71-EE$103,Frauen!$G$9:$J$102,4),Rundäx)))</f>
        <v/>
      </c>
      <c r="EF71" s="43" t="str">
        <f>IF($CU71&gt;=RAM,"",IF($CU71-EF$103&lt;BeginnAlter,"",ROUND((SUM(DA$56:DA71)+SUM(FS$9:FS$56))/VLOOKUP($CU71,$AH$9:$AI$102,2)/VLOOKUP($CU71-EF$103,Frauen!$G$9:$J$102,4),Rundäx)))</f>
        <v/>
      </c>
      <c r="EG71" s="43" t="str">
        <f>IF($CU71&gt;=RAM,"",IF($CU71-EG$103&lt;BeginnAlter,"",ROUND((SUM(DB$56:DB71)+SUM(FT$9:FT$56))/VLOOKUP($CU71,$AH$9:$AI$102,2)/VLOOKUP($CU71-EG$103,Frauen!$G$9:$J$102,4),Rundäx)))</f>
        <v/>
      </c>
      <c r="EH71" s="43" t="str">
        <f>IF($CU71&gt;=RAM,"",IF($CU71-EH$103&lt;BeginnAlter,"",ROUND((SUM(DC$56:DC71)+SUM(FU$9:FU$56))/VLOOKUP($CU71,$AH$9:$AI$102,2)/VLOOKUP($CU71-EH$103,Frauen!$G$9:$J$102,4),Rundäx)))</f>
        <v/>
      </c>
      <c r="EI71" s="86"/>
      <c r="EJ71" s="35">
        <f t="shared" si="60"/>
        <v>79</v>
      </c>
      <c r="EK71" s="43" t="str">
        <f>IF($CU71&gt;=RAM,"",IF($CU71-EK$103&lt;BeginnAlter,"",ROUND((SUM(DD$56:DD71)+SUM(FV$9:FV$56))/VLOOKUP($CU71,$AH$9:$AI$102,2)/VLOOKUP($CU71-EK$103,Frauen!$G$9:$J$102,4),Rundäx)))</f>
        <v/>
      </c>
      <c r="EL71" s="43" t="str">
        <f>IF($CU71&gt;=RAM,"",IF($CU71-EL$103&lt;BeginnAlter,"",ROUND((SUM(DE$56:DE71)+SUM(FW$9:FW$56))/VLOOKUP($CU71,$AH$9:$AI$102,2)/VLOOKUP($CU71-EL$103,Frauen!$G$9:$J$102,4),Rundäx)))</f>
        <v/>
      </c>
      <c r="EM71" s="43" t="str">
        <f>IF($CU71&gt;=RAM,"",IF($CU71-EM$103&lt;BeginnAlter,"",ROUND((SUM(DF$56:DF71)+SUM(FX$9:FX$56))/VLOOKUP($CU71,$AH$9:$AI$102,2)/VLOOKUP($CU71-EM$103,Frauen!$G$9:$J$102,4),Rundäx)))</f>
        <v/>
      </c>
      <c r="EN71" s="43" t="str">
        <f>IF($CU71&gt;=RAM,"",IF($CU71-EN$103&lt;BeginnAlter,"",ROUND((SUM(DG$56:DG71)+SUM(FY$9:FY$56))/VLOOKUP($CU71,$AH$9:$AI$102,2)/VLOOKUP($CU71-EN$103,Frauen!$G$9:$J$102,4),Rundäx)))</f>
        <v/>
      </c>
      <c r="EO71" s="43" t="str">
        <f>IF($CU71&gt;=RAM,"",IF($CU71-EO$103&lt;BeginnAlter,"",ROUND((SUM(DH$56:DH71)+SUM(FZ$9:FZ$56))/VLOOKUP($CU71,$AH$9:$AI$102,2)/VLOOKUP($CU71-EO$103,Frauen!$G$9:$J$102,4),Rundäx)))</f>
        <v/>
      </c>
      <c r="EP71" s="43" t="str">
        <f>IF($CU71&gt;=RAM,"",IF($CU71-EP$103&lt;BeginnAlter,"",ROUND((SUM(DI$56:DI71)+SUM(GA$9:GA$56))/VLOOKUP($CU71,$AH$9:$AI$102,2)/VLOOKUP($CU71-EP$103,Frauen!$G$9:$J$102,4),Rundäx)))</f>
        <v/>
      </c>
      <c r="EQ71" s="43" t="str">
        <f>IF($CU71&gt;=RAM,"",IF($CU71-EQ$103&lt;BeginnAlter,"",ROUND((SUM(DJ$56:DJ71)+SUM(GB$9:GB$56))/VLOOKUP($CU71,$AH$9:$AI$102,2)/VLOOKUP($CU71-EQ$103,Frauen!$G$9:$J$102,4),Rundäx)))</f>
        <v/>
      </c>
      <c r="ER71" s="43" t="str">
        <f>IF($CU71&gt;=RAM,"",IF($CU71-ER$103&lt;BeginnAlter,"",ROUND((SUM(DK$56:DK71)+SUM(GC$9:GC$56))/VLOOKUP($CU71,$AH$9:$AI$102,2)/VLOOKUP($CU71-ER$103,Frauen!$G$9:$J$102,4),Rundäx)))</f>
        <v/>
      </c>
      <c r="ES71" s="86"/>
      <c r="ET71" s="35">
        <f t="shared" si="61"/>
        <v>79</v>
      </c>
      <c r="EU71" s="43" t="str">
        <f>IF($CU71&gt;=RAM,"",IF($CU71-EU$103&lt;BeginnAlter,"",ROUND((SUM(DL$56:DL71)+SUM(GD$9:GD$56))/VLOOKUP($CU71,$AH$9:$AI$102,2)/VLOOKUP($CU71-EU$103,Frauen!$G$9:$J$102,4),Rundäx)))</f>
        <v/>
      </c>
      <c r="EV71" s="43" t="str">
        <f>IF($CU71&gt;=RAM,"",IF($CU71-EV$103&lt;BeginnAlter,"",ROUND((SUM(DM$56:DM71)+SUM(GE$9:GE$56))/VLOOKUP($CU71,$AH$9:$AI$102,2)/VLOOKUP($CU71-EV$103,Frauen!$G$9:$J$102,4),Rundäx)))</f>
        <v/>
      </c>
      <c r="EW71" s="43" t="str">
        <f>IF($CU71&gt;=RAM,"",IF($CU71-EW$103&lt;BeginnAlter,"",ROUND((SUM(DN$56:DN71)+SUM(GF$9:GF$56))/VLOOKUP($CU71,$AH$9:$AI$102,2)/VLOOKUP($CU71-EW$103,Frauen!$G$9:$J$102,4),Rundäx)))</f>
        <v/>
      </c>
      <c r="EX71" s="43" t="str">
        <f>IF($CU71&gt;=RAM,"",IF($CU71-EX$103&lt;BeginnAlter,"",ROUND((SUM(DO$56:DO71)+SUM(GG$9:GG$56))/VLOOKUP($CU71,$AH$9:$AI$102,2)/VLOOKUP($CU71-EX$103,Frauen!$G$9:$J$102,4),Rundäx)))</f>
        <v/>
      </c>
      <c r="EY71" s="43" t="str">
        <f>IF($CU71&gt;=RAM,"",IF($CU71-EY$103&lt;BeginnAlter,"",ROUND((SUM(DP$56:DP71)+SUM(GH$9:GH$56))/VLOOKUP($CU71,$AH$9:$AI$102,2)/VLOOKUP($CU71-EY$103,Frauen!$G$9:$J$102,4),Rundäx)))</f>
        <v/>
      </c>
      <c r="EZ71" s="43" t="str">
        <f>IF($CU71&gt;=RAM,"",IF($CU71-EZ$103&lt;BeginnAlter,"",ROUND((SUM(DQ$56:DQ71)+SUM(GI$9:GI$56))/VLOOKUP($CU71,$AH$9:$AI$102,2)/VLOOKUP($CU71-EZ$103,Frauen!$G$9:$J$102,4),Rundäx)))</f>
        <v/>
      </c>
      <c r="FA71" s="43" t="str">
        <f>IF($CU71&gt;=RAM,"",IF($CU71-FA$103&lt;BeginnAlter,"",ROUND((SUM(DR$56:DR71)+SUM(GJ$9:GJ$56))/VLOOKUP($CU71,$AH$9:$AI$102,2)/VLOOKUP($CU71-FA$103,Frauen!$G$9:$J$102,4),Rundäx)))</f>
        <v/>
      </c>
      <c r="FB71" s="43" t="str">
        <f>IF($CU71&gt;=RAM,"",IF($CU71-FB$103&lt;BeginnAlter,"",ROUND((SUM(DS$56:DS71)+SUM(GK$9:GK$56))/VLOOKUP($CU71,$AH$9:$AI$102,2)/VLOOKUP($CU71-FB$103,Frauen!$G$9:$J$102,4),Rundäx)))</f>
        <v/>
      </c>
      <c r="FC71" s="86"/>
      <c r="FD71" s="35">
        <f t="shared" si="62"/>
        <v>79</v>
      </c>
      <c r="FE71" s="43" t="str">
        <f>IF($CU71&gt;=RAM,"",IF($CU71-FE$103&lt;BeginnAlter,"",ROUND((SUM(DT$56:DT71)+SUM(GL$9:GL$56))/VLOOKUP($CU71,$AH$9:$AI$102,2)/VLOOKUP($CU71-FE$103,Frauen!$G$9:$J$102,4),Rundäx)))</f>
        <v/>
      </c>
      <c r="FF71" s="43" t="str">
        <f>IF($CU71&gt;=RAM,"",IF($CU71-FF$103&lt;BeginnAlter,"",ROUND((SUM(DU$56:DU71)+SUM(GM$9:GM$56))/VLOOKUP($CU71,$AH$9:$AI$102,2)/VLOOKUP($CU71-FF$103,Frauen!$G$9:$J$102,4),Rundäx)))</f>
        <v/>
      </c>
      <c r="FG71" s="43" t="str">
        <f>IF($CU71&gt;=RAM,"",IF($CU71-FG$103&lt;BeginnAlter,"",ROUND((SUM(DV$56:DV71)+SUM(GN$9:GN$56))/VLOOKUP($CU71,$AH$9:$AI$102,2)/VLOOKUP($CU71-FG$103,Frauen!$G$9:$J$102,4),Rundäx)))</f>
        <v/>
      </c>
      <c r="FH71" s="43" t="str">
        <f>IF($CU71&gt;=RAM,"",IF($CU71-FH$103&lt;BeginnAlter,"",ROUND((SUM(DW$56:DW71)+SUM(GO$9:GO$56))/VLOOKUP($CU71,$AH$9:$AI$102,2)/VLOOKUP($CU71-FH$103,Frauen!$G$9:$J$102,4),Rundäx)))</f>
        <v/>
      </c>
      <c r="FI71" s="43" t="str">
        <f>IF($CU71&gt;=RAM,"",IF($CU71-FI$103&lt;BeginnAlter,"",ROUND((SUM(DX$56:DX71)+SUM(GP$9:GP$56))/VLOOKUP($CU71,$AH$9:$AI$102,2)/VLOOKUP($CU71-FI$103,Frauen!$G$9:$J$102,4),Rundäx)))</f>
        <v/>
      </c>
      <c r="FJ71" s="43" t="str">
        <f>IF($CU71&gt;=RAM,"",IF($CU71-FJ$103&lt;BeginnAlter,"",ROUND((SUM(DY$56:DY71)+SUM(GQ$9:GQ$56))/VLOOKUP($CU71,$AH$9:$AI$102,2)/VLOOKUP($CU71-FJ$103,Frauen!$G$9:$J$102,4),Rundäx)))</f>
        <v/>
      </c>
      <c r="FK71" s="43" t="str">
        <f>IF($CU71&gt;=RAM,"",IF($CU71-FK$103&lt;BeginnAlter,"",ROUND((SUM(DZ$56:DZ71)+SUM(GR$9:GR$56))/VLOOKUP($CU71,$AH$9:$AI$102,2)/VLOOKUP($CU71-FK$103,Frauen!$G$9:$J$102,4),Rundäx)))</f>
        <v/>
      </c>
      <c r="FL71" s="86"/>
      <c r="FM71" s="35">
        <f t="shared" si="68"/>
        <v>127</v>
      </c>
      <c r="FN71" s="25"/>
      <c r="FO71" s="25"/>
      <c r="FP71" s="25"/>
      <c r="FQ71" s="25"/>
      <c r="FR71" s="25"/>
      <c r="FS71" s="25"/>
      <c r="FT71" s="25"/>
      <c r="FU71" s="25"/>
      <c r="FV71" s="25"/>
      <c r="FW71" s="25"/>
      <c r="FX71" s="25"/>
      <c r="FY71" s="25"/>
      <c r="FZ71" s="25"/>
      <c r="GA71" s="25"/>
      <c r="GB71" s="25"/>
      <c r="GC71" s="25"/>
      <c r="GD71" s="25"/>
      <c r="GE71" s="25"/>
      <c r="GF71" s="25"/>
      <c r="GG71" s="25"/>
      <c r="GH71" s="25"/>
      <c r="GI71" s="25"/>
      <c r="GJ71" s="25"/>
      <c r="GK71" s="25"/>
      <c r="GL71" s="25"/>
      <c r="GM71" s="25"/>
      <c r="GN71" s="25"/>
      <c r="GO71" s="25"/>
      <c r="GP71" s="25"/>
      <c r="GQ71" s="25"/>
      <c r="GR71" s="25"/>
      <c r="GS71" s="24"/>
      <c r="GT71" s="24"/>
      <c r="GU71" s="24" t="str">
        <f>IF(FM71&gt;=RAM," ",#REF!/$AI71/Frauen!$J59)</f>
        <v xml:space="preserve"> </v>
      </c>
      <c r="GV71" s="24" t="str">
        <f>IF(FM71&gt;=RAM," ",#REF!/$AI71/Frauen!$J62)</f>
        <v xml:space="preserve"> </v>
      </c>
      <c r="GW71" s="24" t="str">
        <f>IF(FM71&gt;=RAM," ",#REF!/$AI71/Frauen!$J65)</f>
        <v xml:space="preserve"> </v>
      </c>
      <c r="GX71" s="24" t="str">
        <f>IF(FM71&gt;=RAM," ",#REF!/$AI71/Frauen!$J68)</f>
        <v xml:space="preserve"> </v>
      </c>
      <c r="GY71" s="24" t="str">
        <f>IF(FM71&gt;=RAM," ",#REF!/$AI71/Frauen!$J71)</f>
        <v xml:space="preserve"> </v>
      </c>
      <c r="GZ71" s="24" t="str">
        <f>IF(FM71&gt;=RAM," ",#REF!/$AI71/Frauen!$J74)</f>
        <v xml:space="preserve"> </v>
      </c>
      <c r="HA71" s="86"/>
      <c r="HB71" s="35">
        <f t="shared" si="63"/>
        <v>127</v>
      </c>
      <c r="HC71" s="24"/>
      <c r="HD71" s="24"/>
      <c r="HE71" s="24"/>
      <c r="HF71" s="24"/>
      <c r="HG71" s="24"/>
      <c r="HH71" s="24"/>
      <c r="HI71" s="24"/>
      <c r="HJ71" s="24"/>
      <c r="HK71" s="86"/>
      <c r="HL71" s="35">
        <f t="shared" si="64"/>
        <v>127</v>
      </c>
      <c r="HM71" s="24"/>
      <c r="HN71" s="24"/>
      <c r="HO71" s="24"/>
      <c r="HP71" s="24"/>
      <c r="HQ71" s="24"/>
      <c r="HR71" s="24"/>
      <c r="HS71" s="24"/>
      <c r="HT71" s="24"/>
      <c r="HU71" s="86"/>
      <c r="HV71" s="35">
        <f t="shared" si="65"/>
        <v>127</v>
      </c>
      <c r="HW71" s="24"/>
      <c r="HX71" s="24"/>
      <c r="HY71" s="24"/>
      <c r="HZ71" s="24"/>
      <c r="IA71" s="24"/>
      <c r="IB71" s="24"/>
      <c r="IC71" s="24"/>
      <c r="ID71" s="89"/>
      <c r="IE71" s="35">
        <f t="shared" si="81"/>
        <v>79</v>
      </c>
      <c r="IF71" s="25" t="str">
        <f t="shared" si="31"/>
        <v/>
      </c>
      <c r="IG71" s="25" t="str">
        <f>IF($IE71&lt;RAM,IF(S72&lt;=RAK,ROUND(SUM(IF71:INDEX(Dakx,RAM-BeginnAlter))+INDEX(Dax,RAM-BeginnAlter+1)*INDEX(äkx,1),RundDx),0),"")</f>
        <v/>
      </c>
      <c r="IH71" s="25" t="str">
        <f>IF($IE71&lt;RAM,IF(S72&lt;=RAK,ROUND(SUM(IG71:INDEX(Nakx,RAM-BeginnAlter))+INDEX(Dax,RAM-BeginnAlter+1)*INDEX(äkx,1),RundDx),0),"")</f>
        <v/>
      </c>
      <c r="II71" s="24" t="str">
        <f t="shared" si="32"/>
        <v/>
      </c>
      <c r="IJ71" s="25" t="str">
        <f t="shared" si="33"/>
        <v/>
      </c>
      <c r="IK71" s="25" t="str">
        <f>IF($IE71&lt;RAM,IF(S72&lt;=RAK,SUM(IJ71:INDEX(Dikx,RAM-BeginnAlter))+INDEX(Dix,RAM-BeginnAlter+1)*INDEX(äkx,1),0),"")</f>
        <v/>
      </c>
      <c r="IL71" s="24" t="str">
        <f t="shared" si="34"/>
        <v/>
      </c>
      <c r="IM71" s="86"/>
      <c r="IN71" s="35">
        <f t="shared" si="67"/>
        <v>127</v>
      </c>
      <c r="IO71" s="25"/>
      <c r="IP71" s="25"/>
      <c r="IQ71" s="24"/>
      <c r="IR71" s="86"/>
    </row>
    <row r="72" spans="1:252" ht="15.75" customHeight="1" x14ac:dyDescent="0.25">
      <c r="A72" s="35">
        <f t="shared" si="69"/>
        <v>80</v>
      </c>
      <c r="B72" s="77"/>
      <c r="C72" s="77"/>
      <c r="D72" s="77"/>
      <c r="E72" s="77">
        <v>6.0423510634530664E-2</v>
      </c>
      <c r="F72" s="86"/>
      <c r="G72" s="35">
        <f t="shared" si="70"/>
        <v>80</v>
      </c>
      <c r="H72" s="25" t="str">
        <f t="shared" si="37"/>
        <v/>
      </c>
      <c r="I72" s="25" t="str">
        <f t="shared" si="38"/>
        <v/>
      </c>
      <c r="J72" s="25">
        <f t="shared" si="39"/>
        <v>54343</v>
      </c>
      <c r="K72" s="30">
        <f>IF(J72&gt;0,ROUND(SUM(J72:J$102)/J72-0.5,Rundex),"")</f>
        <v>7.9</v>
      </c>
      <c r="L72" s="25">
        <f t="shared" si="0"/>
        <v>54343</v>
      </c>
      <c r="M72" s="30">
        <f>IF(L72&gt;0,ROUND(SUM(L72:L$102)/L72-0.5,Rundex),"")</f>
        <v>7.9</v>
      </c>
      <c r="N72" s="86"/>
      <c r="O72" s="35">
        <f t="shared" si="71"/>
        <v>80</v>
      </c>
      <c r="P72" s="43">
        <v>0.73343816882895352</v>
      </c>
      <c r="Q72" s="78">
        <v>74.729154749133443</v>
      </c>
      <c r="R72" s="43"/>
      <c r="S72" s="78"/>
      <c r="T72" s="15">
        <v>6.9218279523196868E-2</v>
      </c>
      <c r="U72" s="11">
        <f t="shared" si="40"/>
        <v>43765</v>
      </c>
      <c r="V72" s="30">
        <f>IF(U72&gt;0,ROUND(SUM(U72:U$102)/U72-0.5,Rundex),"")</f>
        <v>7.61</v>
      </c>
      <c r="W72" s="86"/>
      <c r="X72" s="35">
        <f t="shared" si="72"/>
        <v>80</v>
      </c>
      <c r="Y72" s="25" t="str">
        <f t="shared" si="1"/>
        <v xml:space="preserve"> </v>
      </c>
      <c r="Z72" s="25" t="str">
        <f>IF($X72&lt;RAM,SUM(Y72:INDEX(Dax,RAM-BeginnAlter))," ")</f>
        <v xml:space="preserve"> </v>
      </c>
      <c r="AA72" s="25" t="str">
        <f t="shared" si="2"/>
        <v xml:space="preserve"> </v>
      </c>
      <c r="AB72" s="25" t="str">
        <f>IF($X72&lt;RAM,SUM(AA72:INDEX(Cax,RAM-BeginnAlter))," ")</f>
        <v xml:space="preserve"> </v>
      </c>
      <c r="AC72" s="25" t="str">
        <f t="shared" si="3"/>
        <v xml:space="preserve"> </v>
      </c>
      <c r="AD72" s="25" t="str">
        <f>IF($X72&lt;RAM,SUM(AC72:INDEX(Caix,RAM-BeginnAlter))," ")</f>
        <v xml:space="preserve"> </v>
      </c>
      <c r="AE72" s="24" t="str">
        <f t="shared" si="4"/>
        <v xml:space="preserve"> </v>
      </c>
      <c r="AF72" s="24" t="str">
        <f t="shared" si="5"/>
        <v xml:space="preserve"> </v>
      </c>
      <c r="AG72" s="86"/>
      <c r="AH72" s="35">
        <f t="shared" si="73"/>
        <v>80</v>
      </c>
      <c r="AI72" s="25" t="str">
        <f t="shared" si="6"/>
        <v xml:space="preserve"> </v>
      </c>
      <c r="AJ72" s="25" t="str">
        <f>IF($AH72&gt;RAM," ",IF($AH72&lt;RAM,SUM(AI72:INDEX(Dix,RAM-BeginnAlter))+INDEX(Nx,RAM-BeginnAlter+1),INDEX(Nx,RAM-BeginnAlter+1)))</f>
        <v xml:space="preserve"> </v>
      </c>
      <c r="AK72" s="25" t="str">
        <f>IF($AH72&lt;RAM,SUM(AI72:INDEX(Dix,RAM-BeginnAlter))," ")</f>
        <v xml:space="preserve"> </v>
      </c>
      <c r="AL72" s="24" t="str">
        <f t="shared" si="7"/>
        <v xml:space="preserve"> </v>
      </c>
      <c r="AM72" s="24" t="str">
        <f t="shared" si="8"/>
        <v xml:space="preserve"> </v>
      </c>
      <c r="AN72" s="24" t="str">
        <f t="shared" si="9"/>
        <v xml:space="preserve"> </v>
      </c>
      <c r="AO72" s="24" t="str">
        <f t="shared" si="10"/>
        <v xml:space="preserve"> </v>
      </c>
      <c r="AP72" s="86"/>
      <c r="AQ72" s="35">
        <f t="shared" si="74"/>
        <v>80</v>
      </c>
      <c r="AR72" s="25">
        <f t="shared" si="11"/>
        <v>9164</v>
      </c>
      <c r="AS72" s="25">
        <f>SUM(AR72:AR$94)</f>
        <v>69052</v>
      </c>
      <c r="AT72" s="25" t="str">
        <f>IF($AQ72&lt;RAM,SUM(AR72:INDEX(Dx,RAM-BeginnAlter))," ")</f>
        <v xml:space="preserve"> </v>
      </c>
      <c r="AU72" s="24">
        <f t="shared" si="12"/>
        <v>7.5350000000000001</v>
      </c>
      <c r="AV72" s="24">
        <f t="shared" si="13"/>
        <v>7.077</v>
      </c>
      <c r="AW72" s="24" t="str">
        <f t="shared" si="14"/>
        <v xml:space="preserve"> </v>
      </c>
      <c r="AX72" s="24" t="str">
        <f t="shared" si="15"/>
        <v xml:space="preserve"> </v>
      </c>
      <c r="AY72" s="86"/>
      <c r="AZ72" s="35">
        <f t="shared" si="75"/>
        <v>80</v>
      </c>
      <c r="BA72" s="25">
        <f t="shared" si="16"/>
        <v>7380</v>
      </c>
      <c r="BB72" s="25">
        <f>SUM(BA72:BA$94)</f>
        <v>53789</v>
      </c>
      <c r="BC72" s="24">
        <f t="shared" si="17"/>
        <v>7.2880000000000003</v>
      </c>
      <c r="BD72" s="24">
        <f t="shared" si="18"/>
        <v>6.83</v>
      </c>
      <c r="BE72" s="86"/>
      <c r="BF72" s="35">
        <f t="shared" si="48"/>
        <v>63</v>
      </c>
      <c r="BG72" s="24" t="str">
        <f t="shared" si="19"/>
        <v/>
      </c>
      <c r="BH72" s="24" t="str">
        <f t="shared" si="20"/>
        <v/>
      </c>
      <c r="BI72" s="86"/>
      <c r="BJ72" s="35">
        <f t="shared" si="76"/>
        <v>80</v>
      </c>
      <c r="BK72" s="25" t="str">
        <f t="shared" si="21"/>
        <v xml:space="preserve"> </v>
      </c>
      <c r="BL72" s="25" t="str">
        <f>IF(BJ72&lt;RAM,SUM(BK72:INDEX(Daix,RAM-BeginnAlter))," ")</f>
        <v xml:space="preserve"> </v>
      </c>
      <c r="BM72" s="25" t="str">
        <f>IF(BJ72&lt;RAM,SUM(BL72:INDEX(Naix,RAM-BeginnAlter))," ")</f>
        <v xml:space="preserve"> </v>
      </c>
      <c r="BN72" s="24" t="str">
        <f t="shared" si="22"/>
        <v xml:space="preserve"> </v>
      </c>
      <c r="BO72" s="24" t="str">
        <f t="shared" si="23"/>
        <v xml:space="preserve"> </v>
      </c>
      <c r="BP72" s="86"/>
      <c r="BQ72" s="35">
        <f t="shared" si="77"/>
        <v>80</v>
      </c>
      <c r="BR72" s="25" t="str">
        <f t="shared" si="51"/>
        <v xml:space="preserve"> </v>
      </c>
      <c r="BS72" s="25" t="str">
        <f>IF(BQ72&lt;RAM,SUM(BR72:INDEX(Daixs,RAM-BeginnAlter))," ")</f>
        <v xml:space="preserve"> </v>
      </c>
      <c r="BT72" s="25" t="str">
        <f>IF(BQ72&lt;RAM,SUM(BS72:INDEX(Naixs,RAM-BeginnAlter))," ")</f>
        <v xml:space="preserve"> </v>
      </c>
      <c r="BU72" s="24" t="str">
        <f t="shared" si="52"/>
        <v xml:space="preserve"> </v>
      </c>
      <c r="BV72" s="24" t="str">
        <f t="shared" si="53"/>
        <v xml:space="preserve"> </v>
      </c>
      <c r="BW72" s="86"/>
      <c r="BX72" s="35">
        <f t="shared" si="78"/>
        <v>80</v>
      </c>
      <c r="BY72" s="10" t="str">
        <f t="shared" si="24"/>
        <v/>
      </c>
      <c r="BZ72" s="11" t="str">
        <f t="shared" si="25"/>
        <v/>
      </c>
      <c r="CA72" s="25" t="str">
        <f>IF(S73&lt;=RAK,IF($BX72&lt;RAM,SUM(BZ72:INDEX(Dazx,RAM-BeginnAlter)),""),"")</f>
        <v/>
      </c>
      <c r="CB72" s="24" t="str">
        <f t="shared" si="26"/>
        <v/>
      </c>
      <c r="CC72" s="25">
        <f t="shared" si="27"/>
        <v>0</v>
      </c>
      <c r="CD72" s="24">
        <f t="shared" si="28"/>
        <v>0</v>
      </c>
      <c r="CE72" s="24" t="str">
        <f t="shared" si="29"/>
        <v/>
      </c>
      <c r="CF72" s="86"/>
      <c r="CG72" s="35">
        <f t="shared" si="79"/>
        <v>80</v>
      </c>
      <c r="CH72" s="25" t="str">
        <f>IF(CG72&lt;RAM,ROUND(v^($CG72+FaktorAlter)*$H72*($B72*0.5*($P72+$P73)*(VLOOKUP(TRUNC(0.5*($Q72+$Q73),0),Frauen!$AZ$9:$BD$95,5)+(0.5*($Q72+$Q73)-TRUNC(0.5*($Q72+$Q73),0))*(VLOOKUP(TRUNC(0.5*($Q72+$Q73)+1,0),Frauen!$AZ$9:$BD$95,5)-VLOOKUP(TRUNC(0.5*($Q72+$Q73),0),Frauen!$AZ$9:$BD$95,5)))+$C72*0.5*($CN72+$CN73)),RundDx),"")</f>
        <v/>
      </c>
      <c r="CI72" s="25" t="str">
        <f>IF(CG72&lt;RAM,ROUND(SUM(CH72:INDEX(Dawx,RAM-BeginnAlter))+INDEX(Dax,RAM-BeginnAlter+1)*INDEX(äwx,1),RundDx),"")</f>
        <v/>
      </c>
      <c r="CJ72" s="25" t="str">
        <f>IF(CG72&lt;RAM,ROUND(SUM(CI72:INDEX(Nawx,RAM-BeginnAlter))+INDEX(Dax,RAM-BeginnAlter+1)*INDEX(äwx,1),RundDx),"")</f>
        <v/>
      </c>
      <c r="CK72" s="24" t="str">
        <f t="shared" si="56"/>
        <v/>
      </c>
      <c r="CL72" s="25" t="str">
        <f>IF(CG72&lt;RAM,ROUND(v^($CG72+FaktorAlter)*$L72*$D72*0.5*($P72+$P73)*(VLOOKUP(TRUNC(0.5*($Q72+$Q73),0),Frauen!$AZ$9:$BD$95,5)+(0.5*($Q72+$Q73)-TRUNC(0.5*($Q72+$Q73),0))*(VLOOKUP(TRUNC(0.5*($Q72+$Q73)+1,0),Frauen!$AZ$9:$BD$95,5)-VLOOKUP(TRUNC(0.5*($Q72+$Q73),0),Frauen!$AZ$9:$BD$95,5))),RundDx),"")</f>
        <v/>
      </c>
      <c r="CM72" s="25" t="str">
        <f>IF(CG72&lt;RAM,SUM(CL72:INDEX(Diwx,RAM-BeginnAlter))+INDEX(Dix,RAM-BeginnAlter+1)*INDEX(äwx,1),"")</f>
        <v/>
      </c>
      <c r="CN72" s="24" t="str">
        <f t="shared" si="57"/>
        <v/>
      </c>
      <c r="CO72" s="86"/>
      <c r="CP72" s="35">
        <f t="shared" si="58"/>
        <v>128</v>
      </c>
      <c r="CQ72" s="25"/>
      <c r="CR72" s="25"/>
      <c r="CS72" s="24"/>
      <c r="CT72" s="86"/>
      <c r="CU72" s="35">
        <f t="shared" si="80"/>
        <v>80</v>
      </c>
      <c r="CV72" s="25" t="str">
        <f>IF($CU72&gt;=RAM,"",IF($CU72-CV$103&lt;BeginnAlter,"",ROUND(v^($CU72+FaktorAlter)*$L72*$D72*0.5*(VLOOKUP($CU72-CV$103,Frauen!$G$9:$J$102,4)+VLOOKUP($CU72-CV$103+1,Frauen!$G$9:$J$102,4))*0.5*(VLOOKUP($CU72-CV$103,Frauen!$AZ$9:$BD$102,5)+VLOOKUP($CU72-CV$103+1,Frauen!$AZ$9:$BD$102,5)),RundDx)))</f>
        <v/>
      </c>
      <c r="CW72" s="25" t="str">
        <f>IF($CU72&gt;=RAM,"",IF($CU72-CW$103&lt;BeginnAlter,"",ROUND(v^($CU72+FaktorAlter)*$L72*$D72*0.5*(VLOOKUP($CU72-CW$103,Frauen!$G$9:$J$102,4)+VLOOKUP($CU72-CW$103+1,Frauen!$G$9:$J$102,4))*0.5*(VLOOKUP($CU72-CW$103,Frauen!$AZ$9:$BD$102,5)+VLOOKUP($CU72-CW$103+1,Frauen!$AZ$9:$BD$102,5)),RundDx)))</f>
        <v/>
      </c>
      <c r="CX72" s="25" t="str">
        <f>IF($CU72&gt;=RAM,"",IF($CU72-CX$103&lt;BeginnAlter,"",ROUND(v^($CU72+FaktorAlter)*$L72*$D72*0.5*(VLOOKUP($CU72-CX$103,Frauen!$G$9:$J$102,4)+VLOOKUP($CU72-CX$103+1,Frauen!$G$9:$J$102,4))*0.5*(VLOOKUP($CU72-CX$103,Frauen!$AZ$9:$BD$102,5)+VLOOKUP($CU72-CX$103+1,Frauen!$AZ$9:$BD$102,5)),RundDx)))</f>
        <v/>
      </c>
      <c r="CY72" s="25" t="str">
        <f>IF($CU72&gt;=RAM,"",IF($CU72-CY$103&lt;BeginnAlter,"",ROUND(v^($CU72+FaktorAlter)*$L72*$D72*0.5*(VLOOKUP($CU72-CY$103,Frauen!$G$9:$J$102,4)+VLOOKUP($CU72-CY$103+1,Frauen!$G$9:$J$102,4))*0.5*(VLOOKUP($CU72-CY$103,Frauen!$AZ$9:$BD$102,5)+VLOOKUP($CU72-CY$103+1,Frauen!$AZ$9:$BD$102,5)),RundDx)))</f>
        <v/>
      </c>
      <c r="CZ72" s="25" t="str">
        <f>IF($CU72&gt;=RAM,"",IF($CU72-CZ$103&lt;BeginnAlter,"",ROUND(v^($CU72+FaktorAlter)*$L72*$D72*0.5*(VLOOKUP($CU72-CZ$103,Frauen!$G$9:$J$102,4)+VLOOKUP($CU72-CZ$103+1,Frauen!$G$9:$J$102,4))*0.5*(VLOOKUP($CU72-CZ$103,Frauen!$AZ$9:$BD$102,5)+VLOOKUP($CU72-CZ$103+1,Frauen!$AZ$9:$BD$102,5)),RundDx)))</f>
        <v/>
      </c>
      <c r="DA72" s="25" t="str">
        <f>IF($CU72&gt;=RAM,"",IF($CU72-DA$103&lt;BeginnAlter,"",ROUND(v^($CU72+FaktorAlter)*$L72*$D72*0.5*(VLOOKUP($CU72-DA$103,Frauen!$G$9:$J$102,4)+VLOOKUP($CU72-DA$103+1,Frauen!$G$9:$J$102,4))*0.5*(VLOOKUP($CU72-DA$103,Frauen!$AZ$9:$BD$102,5)+VLOOKUP($CU72-DA$103+1,Frauen!$AZ$9:$BD$102,5)),RundDx)))</f>
        <v/>
      </c>
      <c r="DB72" s="25" t="str">
        <f>IF($CU72&gt;=RAM,"",IF($CU72-DB$103&lt;BeginnAlter,"",ROUND(v^($CU72+FaktorAlter)*$L72*$D72*0.5*(VLOOKUP($CU72-DB$103,Frauen!$G$9:$J$102,4)+VLOOKUP($CU72-DB$103+1,Frauen!$G$9:$J$102,4))*0.5*(VLOOKUP($CU72-DB$103,Frauen!$AZ$9:$BD$102,5)+VLOOKUP($CU72-DB$103+1,Frauen!$AZ$9:$BD$102,5)),RundDx)))</f>
        <v/>
      </c>
      <c r="DC72" s="25" t="str">
        <f>IF($CU72&gt;=RAM,"",IF($CU72-DC$103&lt;BeginnAlter,"",ROUND(v^($CU72+FaktorAlter)*$L72*$D72*0.5*(VLOOKUP($CU72-DC$103,Frauen!$G$9:$J$102,4)+VLOOKUP($CU72-DC$103+1,Frauen!$G$9:$J$102,4))*0.5*(VLOOKUP($CU72-DC$103,Frauen!$AZ$9:$BD$102,5)+VLOOKUP($CU72-DC$103+1,Frauen!$AZ$9:$BD$102,5)),RundDx)))</f>
        <v/>
      </c>
      <c r="DD72" s="25" t="str">
        <f>IF($CU72&gt;=RAM,"",IF($CU72-DD$103&lt;BeginnAlter,"",ROUND(v^($CU72+FaktorAlter)*$L72*$D72*0.5*(VLOOKUP($CU72-DD$103,Frauen!$G$9:$J$102,4)+VLOOKUP($CU72-DD$103+1,Frauen!$G$9:$J$102,4))*0.5*(VLOOKUP($CU72-DD$103,Frauen!$AZ$9:$BD$102,5)+VLOOKUP($CU72-DD$103+1,Frauen!$AZ$9:$BD$102,5)),RundDx)))</f>
        <v/>
      </c>
      <c r="DE72" s="25" t="str">
        <f>IF($CU72&gt;=RAM,"",IF($CU72-DE$103&lt;BeginnAlter,"",ROUND(v^($CU72+FaktorAlter)*$L72*$D72*0.5*(VLOOKUP($CU72-DE$103,Frauen!$G$9:$J$102,4)+VLOOKUP($CU72-DE$103+1,Frauen!$G$9:$J$102,4))*0.5*(VLOOKUP($CU72-DE$103,Frauen!$AZ$9:$BD$102,5)+VLOOKUP($CU72-DE$103+1,Frauen!$AZ$9:$BD$102,5)),RundDx)))</f>
        <v/>
      </c>
      <c r="DF72" s="25" t="str">
        <f>IF($CU72&gt;=RAM,"",IF($CU72-DF$103&lt;BeginnAlter,"",ROUND(v^($CU72+FaktorAlter)*$L72*$D72*0.5*(VLOOKUP($CU72-DF$103,Frauen!$G$9:$J$102,4)+VLOOKUP($CU72-DF$103+1,Frauen!$G$9:$J$102,4))*0.5*(VLOOKUP($CU72-DF$103,Frauen!$AZ$9:$BD$102,5)+VLOOKUP($CU72-DF$103+1,Frauen!$AZ$9:$BD$102,5)),RundDx)))</f>
        <v/>
      </c>
      <c r="DG72" s="25" t="str">
        <f>IF($CU72&gt;=RAM,"",IF($CU72-DG$103&lt;BeginnAlter,"",ROUND(v^($CU72+FaktorAlter)*$L72*$D72*0.5*(VLOOKUP($CU72-DG$103,Frauen!$G$9:$J$102,4)+VLOOKUP($CU72-DG$103+1,Frauen!$G$9:$J$102,4))*0.5*(VLOOKUP($CU72-DG$103,Frauen!$AZ$9:$BD$102,5)+VLOOKUP($CU72-DG$103+1,Frauen!$AZ$9:$BD$102,5)),RundDx)))</f>
        <v/>
      </c>
      <c r="DH72" s="25" t="str">
        <f>IF($CU72&gt;=RAM,"",IF($CU72-DH$103&lt;BeginnAlter,"",ROUND(v^($CU72+FaktorAlter)*$L72*$D72*0.5*(VLOOKUP($CU72-DH$103,Frauen!$G$9:$J$102,4)+VLOOKUP($CU72-DH$103+1,Frauen!$G$9:$J$102,4))*0.5*(VLOOKUP($CU72-DH$103,Frauen!$AZ$9:$BD$102,5)+VLOOKUP($CU72-DH$103+1,Frauen!$AZ$9:$BD$102,5)),RundDx)))</f>
        <v/>
      </c>
      <c r="DI72" s="25" t="str">
        <f>IF($CU72&gt;=RAM,"",IF($CU72-DI$103&lt;BeginnAlter,"",ROUND(v^($CU72+FaktorAlter)*$L72*$D72*0.5*(VLOOKUP($CU72-DI$103,Frauen!$G$9:$J$102,4)+VLOOKUP($CU72-DI$103+1,Frauen!$G$9:$J$102,4))*0.5*(VLOOKUP($CU72-DI$103,Frauen!$AZ$9:$BD$102,5)+VLOOKUP($CU72-DI$103+1,Frauen!$AZ$9:$BD$102,5)),RundDx)))</f>
        <v/>
      </c>
      <c r="DJ72" s="25" t="str">
        <f>IF($CU72&gt;=RAM,"",IF($CU72-DJ$103&lt;BeginnAlter,"",ROUND(v^($CU72+FaktorAlter)*$L72*$D72*0.5*(VLOOKUP($CU72-DJ$103,Frauen!$G$9:$J$102,4)+VLOOKUP($CU72-DJ$103+1,Frauen!$G$9:$J$102,4))*0.5*(VLOOKUP($CU72-DJ$103,Frauen!$AZ$9:$BD$102,5)+VLOOKUP($CU72-DJ$103+1,Frauen!$AZ$9:$BD$102,5)),RundDx)))</f>
        <v/>
      </c>
      <c r="DK72" s="25" t="str">
        <f>IF($CU72&gt;=RAM,"",IF($CU72-DK$103&lt;BeginnAlter,"",ROUND(v^($CU72+FaktorAlter)*$L72*$D72*0.5*(VLOOKUP($CU72-DK$103,Frauen!$G$9:$J$102,4)+VLOOKUP($CU72-DK$103+1,Frauen!$G$9:$J$102,4))*0.5*(VLOOKUP($CU72-DK$103,Frauen!$AZ$9:$BD$102,5)+VLOOKUP($CU72-DK$103+1,Frauen!$AZ$9:$BD$102,5)),RundDx)))</f>
        <v/>
      </c>
      <c r="DL72" s="25" t="str">
        <f>IF($CU72&gt;=RAM,"",IF($CU72-DL$103&lt;BeginnAlter,"",ROUND(v^($CU72+FaktorAlter)*$L72*$D72*0.5*(VLOOKUP($CU72-DL$103,Frauen!$G$9:$J$102,4)+VLOOKUP($CU72-DL$103+1,Frauen!$G$9:$J$102,4))*0.5*(VLOOKUP($CU72-DL$103,Frauen!$AZ$9:$BD$102,5)+VLOOKUP($CU72-DL$103+1,Frauen!$AZ$9:$BD$102,5)),RundDx)))</f>
        <v/>
      </c>
      <c r="DM72" s="25" t="str">
        <f>IF($CU72&gt;=RAM,"",IF($CU72-DM$103&lt;BeginnAlter,"",ROUND(v^($CU72+FaktorAlter)*$L72*$D72*0.5*(VLOOKUP($CU72-DM$103,Frauen!$G$9:$J$102,4)+VLOOKUP($CU72-DM$103+1,Frauen!$G$9:$J$102,4))*0.5*(VLOOKUP($CU72-DM$103,Frauen!$AZ$9:$BD$102,5)+VLOOKUP($CU72-DM$103+1,Frauen!$AZ$9:$BD$102,5)),RundDx)))</f>
        <v/>
      </c>
      <c r="DN72" s="25" t="str">
        <f>IF($CU72&gt;=RAM,"",IF($CU72-DN$103&lt;BeginnAlter,"",ROUND(v^($CU72+FaktorAlter)*$L72*$D72*0.5*(VLOOKUP($CU72-DN$103,Frauen!$G$9:$J$102,4)+VLOOKUP($CU72-DN$103+1,Frauen!$G$9:$J$102,4))*0.5*(VLOOKUP($CU72-DN$103,Frauen!$AZ$9:$BD$102,5)+VLOOKUP($CU72-DN$103+1,Frauen!$AZ$9:$BD$102,5)),RundDx)))</f>
        <v/>
      </c>
      <c r="DO72" s="25" t="str">
        <f>IF($CU72&gt;=RAM,"",IF($CU72-DO$103&lt;BeginnAlter,"",ROUND(v^($CU72+FaktorAlter)*$L72*$D72*0.5*(VLOOKUP($CU72-DO$103,Frauen!$G$9:$J$102,4)+VLOOKUP($CU72-DO$103+1,Frauen!$G$9:$J$102,4))*0.5*(VLOOKUP($CU72-DO$103,Frauen!$AZ$9:$BD$102,5)+VLOOKUP($CU72-DO$103+1,Frauen!$AZ$9:$BD$102,5)),RundDx)))</f>
        <v/>
      </c>
      <c r="DP72" s="25" t="str">
        <f>IF($CU72&gt;=RAM,"",IF($CU72-DP$103&lt;BeginnAlter,"",ROUND(v^($CU72+FaktorAlter)*$L72*$D72*0.5*(VLOOKUP($CU72-DP$103,Frauen!$G$9:$J$102,4)+VLOOKUP($CU72-DP$103+1,Frauen!$G$9:$J$102,4))*0.5*(VLOOKUP($CU72-DP$103,Frauen!$AZ$9:$BD$102,5)+VLOOKUP($CU72-DP$103+1,Frauen!$AZ$9:$BD$102,5)),RundDx)))</f>
        <v/>
      </c>
      <c r="DQ72" s="25" t="str">
        <f>IF($CU72&gt;=RAM,"",IF($CU72-DQ$103&lt;BeginnAlter,"",ROUND(v^($CU72+FaktorAlter)*$L72*$D72*0.5*(VLOOKUP($CU72-DQ$103,Frauen!$G$9:$J$102,4)+VLOOKUP($CU72-DQ$103+1,Frauen!$G$9:$J$102,4))*0.5*(VLOOKUP($CU72-DQ$103,Frauen!$AZ$9:$BD$102,5)+VLOOKUP($CU72-DQ$103+1,Frauen!$AZ$9:$BD$102,5)),RundDx)))</f>
        <v/>
      </c>
      <c r="DR72" s="25" t="str">
        <f>IF($CU72&gt;=RAM,"",IF($CU72-DR$103&lt;BeginnAlter,"",ROUND(v^($CU72+FaktorAlter)*$L72*$D72*0.5*(VLOOKUP($CU72-DR$103,Frauen!$G$9:$J$102,4)+VLOOKUP($CU72-DR$103+1,Frauen!$G$9:$J$102,4))*0.5*(VLOOKUP($CU72-DR$103,Frauen!$AZ$9:$BD$102,5)+VLOOKUP($CU72-DR$103+1,Frauen!$AZ$9:$BD$102,5)),RundDx)))</f>
        <v/>
      </c>
      <c r="DS72" s="25" t="str">
        <f>IF($CU72&gt;=RAM,"",IF($CU72-DS$103&lt;BeginnAlter,"",ROUND(v^($CU72+FaktorAlter)*$L72*$D72*0.5*(VLOOKUP($CU72-DS$103,Frauen!$G$9:$J$102,4)+VLOOKUP($CU72-DS$103+1,Frauen!$G$9:$J$102,4))*0.5*(VLOOKUP($CU72-DS$103,Frauen!$AZ$9:$BD$102,5)+VLOOKUP($CU72-DS$103+1,Frauen!$AZ$9:$BD$102,5)),RundDx)))</f>
        <v/>
      </c>
      <c r="DT72" s="25" t="str">
        <f>IF($CU72&gt;=RAM,"",IF($CU72-DT$103&lt;BeginnAlter,"",ROUND(v^($CU72+FaktorAlter)*$L72*$D72*0.5*(VLOOKUP($CU72-DT$103,Frauen!$G$9:$J$102,4)+VLOOKUP($CU72-DT$103+1,Frauen!$G$9:$J$102,4))*0.5*(VLOOKUP($CU72-DT$103,Frauen!$AZ$9:$BD$102,5)+VLOOKUP($CU72-DT$103+1,Frauen!$AZ$9:$BD$102,5)),RundDx)))</f>
        <v/>
      </c>
      <c r="DU72" s="25" t="str">
        <f>IF($CU72&gt;=RAM,"",IF($CU72-DU$103&lt;BeginnAlter,"",ROUND(v^($CU72+FaktorAlter)*$L72*$D72*0.5*(VLOOKUP($CU72-DU$103,Frauen!$G$9:$J$102,4)+VLOOKUP($CU72-DU$103+1,Frauen!$G$9:$J$102,4))*0.5*(VLOOKUP($CU72-DU$103,Frauen!$AZ$9:$BD$102,5)+VLOOKUP($CU72-DU$103+1,Frauen!$AZ$9:$BD$102,5)),RundDx)))</f>
        <v/>
      </c>
      <c r="DV72" s="25" t="str">
        <f>IF($CU72&gt;=RAM,"",IF($CU72-DV$103&lt;BeginnAlter,"",ROUND(v^($CU72+FaktorAlter)*$L72*$D72*0.5*(VLOOKUP($CU72-DV$103,Frauen!$G$9:$J$102,4)+VLOOKUP($CU72-DV$103+1,Frauen!$G$9:$J$102,4))*0.5*(VLOOKUP($CU72-DV$103,Frauen!$AZ$9:$BD$102,5)+VLOOKUP($CU72-DV$103+1,Frauen!$AZ$9:$BD$102,5)),RundDx)))</f>
        <v/>
      </c>
      <c r="DW72" s="25" t="str">
        <f>IF($CU72&gt;=RAM,"",IF($CU72-DW$103&lt;BeginnAlter,"",ROUND(v^($CU72+FaktorAlter)*$L72*$D72*0.5*(VLOOKUP($CU72-DW$103,Frauen!$G$9:$J$102,4)+VLOOKUP($CU72-DW$103+1,Frauen!$G$9:$J$102,4))*0.5*(VLOOKUP($CU72-DW$103,Frauen!$AZ$9:$BD$102,5)+VLOOKUP($CU72-DW$103+1,Frauen!$AZ$9:$BD$102,5)),RundDx)))</f>
        <v/>
      </c>
      <c r="DX72" s="25" t="str">
        <f>IF($CU72&gt;=RAM,"",IF($CU72-DX$103&lt;BeginnAlter,"",ROUND(v^($CU72+FaktorAlter)*$L72*$D72*0.5*(VLOOKUP($CU72-DX$103,Frauen!$G$9:$J$102,4)+VLOOKUP($CU72-DX$103+1,Frauen!$G$9:$J$102,4))*0.5*(VLOOKUP($CU72-DX$103,Frauen!$AZ$9:$BD$102,5)+VLOOKUP($CU72-DX$103+1,Frauen!$AZ$9:$BD$102,5)),RundDx)))</f>
        <v/>
      </c>
      <c r="DY72" s="25" t="str">
        <f>IF($CU72&gt;=RAM,"",IF($CU72-DY$103&lt;BeginnAlter,"",ROUND(v^($CU72+FaktorAlter)*$L72*$D72*0.5*(VLOOKUP($CU72-DY$103,Frauen!$G$9:$J$102,4)+VLOOKUP($CU72-DY$103+1,Frauen!$G$9:$J$102,4))*0.5*(VLOOKUP($CU72-DY$103,Frauen!$AZ$9:$BD$102,5)+VLOOKUP($CU72-DY$103+1,Frauen!$AZ$9:$BD$102,5)),RundDx)))</f>
        <v/>
      </c>
      <c r="DZ72" s="25" t="str">
        <f>IF($CU72&gt;=RAM,"",IF($CU72-DZ$103&lt;BeginnAlter,"",ROUND(v^($CU72+FaktorAlter)*$L72*$D72*0.5*(VLOOKUP($CU72-DZ$103,Frauen!$G$9:$J$102,4)+VLOOKUP($CU72-DZ$103+1,Frauen!$G$9:$J$102,4))*0.5*(VLOOKUP($CU72-DZ$103,Frauen!$AZ$9:$BD$102,5)+VLOOKUP($CU72-DZ$103+1,Frauen!$AZ$9:$BD$102,5)),RundDx)))</f>
        <v/>
      </c>
      <c r="EA72" s="43" t="str">
        <f>IF($CU72&gt;=RAM,"",IF($CU72-EA$103&lt;BeginnAlter,"",ROUND((SUM(CV$56:CV72)+SUM(FN$9:FN$56))/VLOOKUP($CU72,$AH$9:$AI$102,2)/VLOOKUP($CU72-EA$103,Frauen!$G$9:$J$102,4),Rundäx)))</f>
        <v/>
      </c>
      <c r="EB72" s="43" t="str">
        <f>IF($CU72&gt;=RAM,"",IF($CU72-EB$103&lt;BeginnAlter,"",ROUND((SUM(CW$56:CW72)+SUM(FO$9:FO$56))/VLOOKUP($CU72,$AH$9:$AI$102,2)/VLOOKUP($CU72-EB$103,Frauen!$G$9:$J$102,4),Rundäx)))</f>
        <v/>
      </c>
      <c r="EC72" s="43" t="str">
        <f>IF($CU72&gt;=RAM,"",IF($CU72-EC$103&lt;BeginnAlter,"",ROUND((SUM(CX$56:CX72)+SUM(FP$9:FP$56))/VLOOKUP($CU72,$AH$9:$AI$102,2)/VLOOKUP($CU72-EC$103,Frauen!$G$9:$J$102,4),Rundäx)))</f>
        <v/>
      </c>
      <c r="ED72" s="43" t="str">
        <f>IF($CU72&gt;=RAM,"",IF($CU72-ED$103&lt;BeginnAlter,"",ROUND((SUM(CY$56:CY72)+SUM(FQ$9:FQ$56))/VLOOKUP($CU72,$AH$9:$AI$102,2)/VLOOKUP($CU72-ED$103,Frauen!$G$9:$J$102,4),Rundäx)))</f>
        <v/>
      </c>
      <c r="EE72" s="43" t="str">
        <f>IF($CU72&gt;=RAM,"",IF($CU72-EE$103&lt;BeginnAlter,"",ROUND((SUM(CZ$56:CZ72)+SUM(FR$9:FR$56))/VLOOKUP($CU72,$AH$9:$AI$102,2)/VLOOKUP($CU72-EE$103,Frauen!$G$9:$J$102,4),Rundäx)))</f>
        <v/>
      </c>
      <c r="EF72" s="43" t="str">
        <f>IF($CU72&gt;=RAM,"",IF($CU72-EF$103&lt;BeginnAlter,"",ROUND((SUM(DA$56:DA72)+SUM(FS$9:FS$56))/VLOOKUP($CU72,$AH$9:$AI$102,2)/VLOOKUP($CU72-EF$103,Frauen!$G$9:$J$102,4),Rundäx)))</f>
        <v/>
      </c>
      <c r="EG72" s="43" t="str">
        <f>IF($CU72&gt;=RAM,"",IF($CU72-EG$103&lt;BeginnAlter,"",ROUND((SUM(DB$56:DB72)+SUM(FT$9:FT$56))/VLOOKUP($CU72,$AH$9:$AI$102,2)/VLOOKUP($CU72-EG$103,Frauen!$G$9:$J$102,4),Rundäx)))</f>
        <v/>
      </c>
      <c r="EH72" s="43" t="str">
        <f>IF($CU72&gt;=RAM,"",IF($CU72-EH$103&lt;BeginnAlter,"",ROUND((SUM(DC$56:DC72)+SUM(FU$9:FU$56))/VLOOKUP($CU72,$AH$9:$AI$102,2)/VLOOKUP($CU72-EH$103,Frauen!$G$9:$J$102,4),Rundäx)))</f>
        <v/>
      </c>
      <c r="EI72" s="86"/>
      <c r="EJ72" s="35">
        <f t="shared" si="60"/>
        <v>80</v>
      </c>
      <c r="EK72" s="43" t="str">
        <f>IF($CU72&gt;=RAM,"",IF($CU72-EK$103&lt;BeginnAlter,"",ROUND((SUM(DD$56:DD72)+SUM(FV$9:FV$56))/VLOOKUP($CU72,$AH$9:$AI$102,2)/VLOOKUP($CU72-EK$103,Frauen!$G$9:$J$102,4),Rundäx)))</f>
        <v/>
      </c>
      <c r="EL72" s="43" t="str">
        <f>IF($CU72&gt;=RAM,"",IF($CU72-EL$103&lt;BeginnAlter,"",ROUND((SUM(DE$56:DE72)+SUM(FW$9:FW$56))/VLOOKUP($CU72,$AH$9:$AI$102,2)/VLOOKUP($CU72-EL$103,Frauen!$G$9:$J$102,4),Rundäx)))</f>
        <v/>
      </c>
      <c r="EM72" s="43" t="str">
        <f>IF($CU72&gt;=RAM,"",IF($CU72-EM$103&lt;BeginnAlter,"",ROUND((SUM(DF$56:DF72)+SUM(FX$9:FX$56))/VLOOKUP($CU72,$AH$9:$AI$102,2)/VLOOKUP($CU72-EM$103,Frauen!$G$9:$J$102,4),Rundäx)))</f>
        <v/>
      </c>
      <c r="EN72" s="43" t="str">
        <f>IF($CU72&gt;=RAM,"",IF($CU72-EN$103&lt;BeginnAlter,"",ROUND((SUM(DG$56:DG72)+SUM(FY$9:FY$56))/VLOOKUP($CU72,$AH$9:$AI$102,2)/VLOOKUP($CU72-EN$103,Frauen!$G$9:$J$102,4),Rundäx)))</f>
        <v/>
      </c>
      <c r="EO72" s="43" t="str">
        <f>IF($CU72&gt;=RAM,"",IF($CU72-EO$103&lt;BeginnAlter,"",ROUND((SUM(DH$56:DH72)+SUM(FZ$9:FZ$56))/VLOOKUP($CU72,$AH$9:$AI$102,2)/VLOOKUP($CU72-EO$103,Frauen!$G$9:$J$102,4),Rundäx)))</f>
        <v/>
      </c>
      <c r="EP72" s="43" t="str">
        <f>IF($CU72&gt;=RAM,"",IF($CU72-EP$103&lt;BeginnAlter,"",ROUND((SUM(DI$56:DI72)+SUM(GA$9:GA$56))/VLOOKUP($CU72,$AH$9:$AI$102,2)/VLOOKUP($CU72-EP$103,Frauen!$G$9:$J$102,4),Rundäx)))</f>
        <v/>
      </c>
      <c r="EQ72" s="43" t="str">
        <f>IF($CU72&gt;=RAM,"",IF($CU72-EQ$103&lt;BeginnAlter,"",ROUND((SUM(DJ$56:DJ72)+SUM(GB$9:GB$56))/VLOOKUP($CU72,$AH$9:$AI$102,2)/VLOOKUP($CU72-EQ$103,Frauen!$G$9:$J$102,4),Rundäx)))</f>
        <v/>
      </c>
      <c r="ER72" s="43" t="str">
        <f>IF($CU72&gt;=RAM,"",IF($CU72-ER$103&lt;BeginnAlter,"",ROUND((SUM(DK$56:DK72)+SUM(GC$9:GC$56))/VLOOKUP($CU72,$AH$9:$AI$102,2)/VLOOKUP($CU72-ER$103,Frauen!$G$9:$J$102,4),Rundäx)))</f>
        <v/>
      </c>
      <c r="ES72" s="86"/>
      <c r="ET72" s="35">
        <f t="shared" si="61"/>
        <v>80</v>
      </c>
      <c r="EU72" s="43" t="str">
        <f>IF($CU72&gt;=RAM,"",IF($CU72-EU$103&lt;BeginnAlter,"",ROUND((SUM(DL$56:DL72)+SUM(GD$9:GD$56))/VLOOKUP($CU72,$AH$9:$AI$102,2)/VLOOKUP($CU72-EU$103,Frauen!$G$9:$J$102,4),Rundäx)))</f>
        <v/>
      </c>
      <c r="EV72" s="43" t="str">
        <f>IF($CU72&gt;=RAM,"",IF($CU72-EV$103&lt;BeginnAlter,"",ROUND((SUM(DM$56:DM72)+SUM(GE$9:GE$56))/VLOOKUP($CU72,$AH$9:$AI$102,2)/VLOOKUP($CU72-EV$103,Frauen!$G$9:$J$102,4),Rundäx)))</f>
        <v/>
      </c>
      <c r="EW72" s="43" t="str">
        <f>IF($CU72&gt;=RAM,"",IF($CU72-EW$103&lt;BeginnAlter,"",ROUND((SUM(DN$56:DN72)+SUM(GF$9:GF$56))/VLOOKUP($CU72,$AH$9:$AI$102,2)/VLOOKUP($CU72-EW$103,Frauen!$G$9:$J$102,4),Rundäx)))</f>
        <v/>
      </c>
      <c r="EX72" s="43" t="str">
        <f>IF($CU72&gt;=RAM,"",IF($CU72-EX$103&lt;BeginnAlter,"",ROUND((SUM(DO$56:DO72)+SUM(GG$9:GG$56))/VLOOKUP($CU72,$AH$9:$AI$102,2)/VLOOKUP($CU72-EX$103,Frauen!$G$9:$J$102,4),Rundäx)))</f>
        <v/>
      </c>
      <c r="EY72" s="43" t="str">
        <f>IF($CU72&gt;=RAM,"",IF($CU72-EY$103&lt;BeginnAlter,"",ROUND((SUM(DP$56:DP72)+SUM(GH$9:GH$56))/VLOOKUP($CU72,$AH$9:$AI$102,2)/VLOOKUP($CU72-EY$103,Frauen!$G$9:$J$102,4),Rundäx)))</f>
        <v/>
      </c>
      <c r="EZ72" s="43" t="str">
        <f>IF($CU72&gt;=RAM,"",IF($CU72-EZ$103&lt;BeginnAlter,"",ROUND((SUM(DQ$56:DQ72)+SUM(GI$9:GI$56))/VLOOKUP($CU72,$AH$9:$AI$102,2)/VLOOKUP($CU72-EZ$103,Frauen!$G$9:$J$102,4),Rundäx)))</f>
        <v/>
      </c>
      <c r="FA72" s="43" t="str">
        <f>IF($CU72&gt;=RAM,"",IF($CU72-FA$103&lt;BeginnAlter,"",ROUND((SUM(DR$56:DR72)+SUM(GJ$9:GJ$56))/VLOOKUP($CU72,$AH$9:$AI$102,2)/VLOOKUP($CU72-FA$103,Frauen!$G$9:$J$102,4),Rundäx)))</f>
        <v/>
      </c>
      <c r="FB72" s="43" t="str">
        <f>IF($CU72&gt;=RAM,"",IF($CU72-FB$103&lt;BeginnAlter,"",ROUND((SUM(DS$56:DS72)+SUM(GK$9:GK$56))/VLOOKUP($CU72,$AH$9:$AI$102,2)/VLOOKUP($CU72-FB$103,Frauen!$G$9:$J$102,4),Rundäx)))</f>
        <v/>
      </c>
      <c r="FC72" s="86"/>
      <c r="FD72" s="35">
        <f t="shared" si="62"/>
        <v>80</v>
      </c>
      <c r="FE72" s="43" t="str">
        <f>IF($CU72&gt;=RAM,"",IF($CU72-FE$103&lt;BeginnAlter,"",ROUND((SUM(DT$56:DT72)+SUM(GL$9:GL$56))/VLOOKUP($CU72,$AH$9:$AI$102,2)/VLOOKUP($CU72-FE$103,Frauen!$G$9:$J$102,4),Rundäx)))</f>
        <v/>
      </c>
      <c r="FF72" s="43" t="str">
        <f>IF($CU72&gt;=RAM,"",IF($CU72-FF$103&lt;BeginnAlter,"",ROUND((SUM(DU$56:DU72)+SUM(GM$9:GM$56))/VLOOKUP($CU72,$AH$9:$AI$102,2)/VLOOKUP($CU72-FF$103,Frauen!$G$9:$J$102,4),Rundäx)))</f>
        <v/>
      </c>
      <c r="FG72" s="43" t="str">
        <f>IF($CU72&gt;=RAM,"",IF($CU72-FG$103&lt;BeginnAlter,"",ROUND((SUM(DV$56:DV72)+SUM(GN$9:GN$56))/VLOOKUP($CU72,$AH$9:$AI$102,2)/VLOOKUP($CU72-FG$103,Frauen!$G$9:$J$102,4),Rundäx)))</f>
        <v/>
      </c>
      <c r="FH72" s="43" t="str">
        <f>IF($CU72&gt;=RAM,"",IF($CU72-FH$103&lt;BeginnAlter,"",ROUND((SUM(DW$56:DW72)+SUM(GO$9:GO$56))/VLOOKUP($CU72,$AH$9:$AI$102,2)/VLOOKUP($CU72-FH$103,Frauen!$G$9:$J$102,4),Rundäx)))</f>
        <v/>
      </c>
      <c r="FI72" s="43" t="str">
        <f>IF($CU72&gt;=RAM,"",IF($CU72-FI$103&lt;BeginnAlter,"",ROUND((SUM(DX$56:DX72)+SUM(GP$9:GP$56))/VLOOKUP($CU72,$AH$9:$AI$102,2)/VLOOKUP($CU72-FI$103,Frauen!$G$9:$J$102,4),Rundäx)))</f>
        <v/>
      </c>
      <c r="FJ72" s="43" t="str">
        <f>IF($CU72&gt;=RAM,"",IF($CU72-FJ$103&lt;BeginnAlter,"",ROUND((SUM(DY$56:DY72)+SUM(GQ$9:GQ$56))/VLOOKUP($CU72,$AH$9:$AI$102,2)/VLOOKUP($CU72-FJ$103,Frauen!$G$9:$J$102,4),Rundäx)))</f>
        <v/>
      </c>
      <c r="FK72" s="43" t="str">
        <f>IF($CU72&gt;=RAM,"",IF($CU72-FK$103&lt;BeginnAlter,"",ROUND((SUM(DZ$56:DZ72)+SUM(GR$9:GR$56))/VLOOKUP($CU72,$AH$9:$AI$102,2)/VLOOKUP($CU72-FK$103,Frauen!$G$9:$J$102,4),Rundäx)))</f>
        <v/>
      </c>
      <c r="FL72" s="86"/>
      <c r="FM72" s="35">
        <f t="shared" si="68"/>
        <v>128</v>
      </c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4"/>
      <c r="GT72" s="24"/>
      <c r="GU72" s="24" t="str">
        <f>IF(FM72&gt;=RAM," ",#REF!/$AI72/Frauen!$J60)</f>
        <v xml:space="preserve"> </v>
      </c>
      <c r="GV72" s="24" t="str">
        <f>IF(FM72&gt;=RAM," ",#REF!/$AI72/Frauen!$J63)</f>
        <v xml:space="preserve"> </v>
      </c>
      <c r="GW72" s="24" t="str">
        <f>IF(FM72&gt;=RAM," ",#REF!/$AI72/Frauen!$J66)</f>
        <v xml:space="preserve"> </v>
      </c>
      <c r="GX72" s="24" t="str">
        <f>IF(FM72&gt;=RAM," ",#REF!/$AI72/Frauen!$J69)</f>
        <v xml:space="preserve"> </v>
      </c>
      <c r="GY72" s="24" t="str">
        <f>IF(FM72&gt;=RAM," ",#REF!/$AI72/Frauen!$J72)</f>
        <v xml:space="preserve"> </v>
      </c>
      <c r="GZ72" s="24" t="str">
        <f>IF(FM72&gt;=RAM," ",#REF!/$AI72/Frauen!$J75)</f>
        <v xml:space="preserve"> </v>
      </c>
      <c r="HA72" s="86"/>
      <c r="HB72" s="35">
        <f t="shared" si="63"/>
        <v>128</v>
      </c>
      <c r="HC72" s="24"/>
      <c r="HD72" s="24"/>
      <c r="HE72" s="24"/>
      <c r="HF72" s="24"/>
      <c r="HG72" s="24"/>
      <c r="HH72" s="24"/>
      <c r="HI72" s="24"/>
      <c r="HJ72" s="24"/>
      <c r="HK72" s="86"/>
      <c r="HL72" s="35">
        <f t="shared" si="64"/>
        <v>128</v>
      </c>
      <c r="HM72" s="24"/>
      <c r="HN72" s="24"/>
      <c r="HO72" s="24"/>
      <c r="HP72" s="24"/>
      <c r="HQ72" s="24"/>
      <c r="HR72" s="24"/>
      <c r="HS72" s="24"/>
      <c r="HT72" s="24"/>
      <c r="HU72" s="86"/>
      <c r="HV72" s="35">
        <f t="shared" si="65"/>
        <v>128</v>
      </c>
      <c r="HW72" s="24"/>
      <c r="HX72" s="24"/>
      <c r="HY72" s="24"/>
      <c r="HZ72" s="24"/>
      <c r="IA72" s="24"/>
      <c r="IB72" s="24"/>
      <c r="IC72" s="24"/>
      <c r="ID72" s="89"/>
      <c r="IE72" s="35">
        <f t="shared" si="81"/>
        <v>80</v>
      </c>
      <c r="IF72" s="25" t="str">
        <f t="shared" si="31"/>
        <v/>
      </c>
      <c r="IG72" s="25" t="str">
        <f>IF($IE72&lt;RAM,IF(S73&lt;=RAK,ROUND(SUM(IF72:INDEX(Dakx,RAM-BeginnAlter))+INDEX(Dax,RAM-BeginnAlter+1)*INDEX(äkx,1),RundDx),0),"")</f>
        <v/>
      </c>
      <c r="IH72" s="25" t="str">
        <f>IF($IE72&lt;RAM,IF(S73&lt;=RAK,ROUND(SUM(IG72:INDEX(Nakx,RAM-BeginnAlter))+INDEX(Dax,RAM-BeginnAlter+1)*INDEX(äkx,1),RundDx),0),"")</f>
        <v/>
      </c>
      <c r="II72" s="24" t="str">
        <f t="shared" si="32"/>
        <v/>
      </c>
      <c r="IJ72" s="25" t="str">
        <f t="shared" si="33"/>
        <v/>
      </c>
      <c r="IK72" s="25" t="str">
        <f>IF($IE72&lt;RAM,IF(S73&lt;=RAK,SUM(IJ72:INDEX(Dikx,RAM-BeginnAlter))+INDEX(Dix,RAM-BeginnAlter+1)*INDEX(äkx,1),0),"")</f>
        <v/>
      </c>
      <c r="IL72" s="24" t="str">
        <f t="shared" si="34"/>
        <v/>
      </c>
      <c r="IM72" s="86"/>
      <c r="IN72" s="35">
        <f t="shared" si="67"/>
        <v>128</v>
      </c>
      <c r="IO72" s="25"/>
      <c r="IP72" s="25"/>
      <c r="IQ72" s="24"/>
      <c r="IR72" s="86"/>
    </row>
    <row r="73" spans="1:252" ht="15.75" customHeight="1" x14ac:dyDescent="0.25">
      <c r="A73" s="35">
        <f t="shared" si="69"/>
        <v>81</v>
      </c>
      <c r="B73" s="77"/>
      <c r="C73" s="77"/>
      <c r="D73" s="77"/>
      <c r="E73" s="77">
        <v>6.6722824986561319E-2</v>
      </c>
      <c r="F73" s="86"/>
      <c r="G73" s="35">
        <f t="shared" si="70"/>
        <v>81</v>
      </c>
      <c r="H73" s="25" t="str">
        <f t="shared" si="37"/>
        <v/>
      </c>
      <c r="I73" s="25" t="str">
        <f t="shared" si="38"/>
        <v/>
      </c>
      <c r="J73" s="25">
        <f t="shared" si="39"/>
        <v>51059</v>
      </c>
      <c r="K73" s="30">
        <f>IF(J73&gt;0,ROUND(SUM(J73:J$102)/J73-0.5,Rundex),"")</f>
        <v>7.38</v>
      </c>
      <c r="L73" s="25">
        <f t="shared" si="0"/>
        <v>51059</v>
      </c>
      <c r="M73" s="30">
        <f>IF(L73&gt;0,ROUND(SUM(L73:L$102)/L73-0.5,Rundex),"")</f>
        <v>7.38</v>
      </c>
      <c r="N73" s="86"/>
      <c r="O73" s="35">
        <f t="shared" si="71"/>
        <v>81</v>
      </c>
      <c r="P73" s="43">
        <v>0.72138708893334025</v>
      </c>
      <c r="Q73" s="78">
        <v>75.625874180880245</v>
      </c>
      <c r="R73" s="43"/>
      <c r="S73" s="78"/>
      <c r="T73" s="15">
        <v>7.5221378989446752E-2</v>
      </c>
      <c r="U73" s="11">
        <f t="shared" si="40"/>
        <v>40736</v>
      </c>
      <c r="V73" s="30">
        <f>IF(U73&gt;0,ROUND(SUM(U73:U$102)/U73-0.5,Rundex),"")</f>
        <v>7.14</v>
      </c>
      <c r="W73" s="86"/>
      <c r="X73" s="35">
        <f t="shared" si="72"/>
        <v>81</v>
      </c>
      <c r="Y73" s="25" t="str">
        <f t="shared" si="1"/>
        <v xml:space="preserve"> </v>
      </c>
      <c r="Z73" s="25" t="str">
        <f>IF($X73&lt;RAM,SUM(Y73:INDEX(Dax,RAM-BeginnAlter))," ")</f>
        <v xml:space="preserve"> </v>
      </c>
      <c r="AA73" s="25" t="str">
        <f t="shared" si="2"/>
        <v xml:space="preserve"> </v>
      </c>
      <c r="AB73" s="25" t="str">
        <f>IF($X73&lt;RAM,SUM(AA73:INDEX(Cax,RAM-BeginnAlter))," ")</f>
        <v xml:space="preserve"> </v>
      </c>
      <c r="AC73" s="25" t="str">
        <f t="shared" si="3"/>
        <v xml:space="preserve"> </v>
      </c>
      <c r="AD73" s="25" t="str">
        <f>IF($X73&lt;RAM,SUM(AC73:INDEX(Caix,RAM-BeginnAlter))," ")</f>
        <v xml:space="preserve"> </v>
      </c>
      <c r="AE73" s="24" t="str">
        <f t="shared" si="4"/>
        <v xml:space="preserve"> </v>
      </c>
      <c r="AF73" s="24" t="str">
        <f t="shared" si="5"/>
        <v xml:space="preserve"> </v>
      </c>
      <c r="AG73" s="86"/>
      <c r="AH73" s="35">
        <f t="shared" si="73"/>
        <v>81</v>
      </c>
      <c r="AI73" s="25" t="str">
        <f t="shared" si="6"/>
        <v xml:space="preserve"> </v>
      </c>
      <c r="AJ73" s="25" t="str">
        <f>IF($AH73&gt;RAM," ",IF($AH73&lt;RAM,SUM(AI73:INDEX(Dix,RAM-BeginnAlter))+INDEX(Nx,RAM-BeginnAlter+1),INDEX(Nx,RAM-BeginnAlter+1)))</f>
        <v xml:space="preserve"> </v>
      </c>
      <c r="AK73" s="25" t="str">
        <f>IF($AH73&lt;RAM,SUM(AI73:INDEX(Dix,RAM-BeginnAlter))," ")</f>
        <v xml:space="preserve"> </v>
      </c>
      <c r="AL73" s="24" t="str">
        <f t="shared" si="7"/>
        <v xml:space="preserve"> </v>
      </c>
      <c r="AM73" s="24" t="str">
        <f t="shared" si="8"/>
        <v xml:space="preserve"> </v>
      </c>
      <c r="AN73" s="24" t="str">
        <f t="shared" si="9"/>
        <v xml:space="preserve"> </v>
      </c>
      <c r="AO73" s="24" t="str">
        <f t="shared" si="10"/>
        <v xml:space="preserve"> </v>
      </c>
      <c r="AP73" s="86"/>
      <c r="AQ73" s="35">
        <f t="shared" si="74"/>
        <v>81</v>
      </c>
      <c r="AR73" s="25">
        <f t="shared" si="11"/>
        <v>8421</v>
      </c>
      <c r="AS73" s="25">
        <f>SUM(AR73:AR$94)</f>
        <v>59888</v>
      </c>
      <c r="AT73" s="25" t="str">
        <f>IF($AQ73&lt;RAM,SUM(AR73:INDEX(Dx,RAM-BeginnAlter))," ")</f>
        <v xml:space="preserve"> </v>
      </c>
      <c r="AU73" s="24">
        <f t="shared" si="12"/>
        <v>7.1120000000000001</v>
      </c>
      <c r="AV73" s="24">
        <f t="shared" si="13"/>
        <v>6.6529999999999996</v>
      </c>
      <c r="AW73" s="24" t="str">
        <f t="shared" si="14"/>
        <v xml:space="preserve"> </v>
      </c>
      <c r="AX73" s="24" t="str">
        <f t="shared" si="15"/>
        <v xml:space="preserve"> </v>
      </c>
      <c r="AY73" s="86"/>
      <c r="AZ73" s="35">
        <f t="shared" si="75"/>
        <v>81</v>
      </c>
      <c r="BA73" s="25">
        <f t="shared" si="16"/>
        <v>6718</v>
      </c>
      <c r="BB73" s="25">
        <f>SUM(BA73:BA$94)</f>
        <v>46409</v>
      </c>
      <c r="BC73" s="24">
        <f t="shared" si="17"/>
        <v>6.9080000000000004</v>
      </c>
      <c r="BD73" s="24">
        <f t="shared" si="18"/>
        <v>6.45</v>
      </c>
      <c r="BE73" s="86"/>
      <c r="BF73" s="35">
        <f t="shared" si="48"/>
        <v>64</v>
      </c>
      <c r="BG73" s="24" t="str">
        <f t="shared" si="19"/>
        <v/>
      </c>
      <c r="BH73" s="24" t="str">
        <f t="shared" si="20"/>
        <v/>
      </c>
      <c r="BI73" s="86"/>
      <c r="BJ73" s="35">
        <f t="shared" si="76"/>
        <v>81</v>
      </c>
      <c r="BK73" s="25" t="str">
        <f t="shared" si="21"/>
        <v xml:space="preserve"> </v>
      </c>
      <c r="BL73" s="25" t="str">
        <f>IF(BJ73&lt;RAM,SUM(BK73:INDEX(Daix,RAM-BeginnAlter))," ")</f>
        <v xml:space="preserve"> </v>
      </c>
      <c r="BM73" s="25" t="str">
        <f>IF(BJ73&lt;RAM,SUM(BL73:INDEX(Naix,RAM-BeginnAlter))," ")</f>
        <v xml:space="preserve"> </v>
      </c>
      <c r="BN73" s="24" t="str">
        <f t="shared" si="22"/>
        <v xml:space="preserve"> </v>
      </c>
      <c r="BO73" s="24" t="str">
        <f t="shared" si="23"/>
        <v xml:space="preserve"> </v>
      </c>
      <c r="BP73" s="86"/>
      <c r="BQ73" s="35">
        <f t="shared" si="77"/>
        <v>81</v>
      </c>
      <c r="BR73" s="25" t="str">
        <f t="shared" si="51"/>
        <v xml:space="preserve"> </v>
      </c>
      <c r="BS73" s="25" t="str">
        <f>IF(BQ73&lt;RAM,SUM(BR73:INDEX(Daixs,RAM-BeginnAlter))," ")</f>
        <v xml:space="preserve"> </v>
      </c>
      <c r="BT73" s="25" t="str">
        <f>IF(BQ73&lt;RAM,SUM(BS73:INDEX(Naixs,RAM-BeginnAlter))," ")</f>
        <v xml:space="preserve"> </v>
      </c>
      <c r="BU73" s="24" t="str">
        <f t="shared" si="52"/>
        <v xml:space="preserve"> </v>
      </c>
      <c r="BV73" s="24" t="str">
        <f t="shared" si="53"/>
        <v xml:space="preserve"> </v>
      </c>
      <c r="BW73" s="86"/>
      <c r="BX73" s="35">
        <f t="shared" si="78"/>
        <v>81</v>
      </c>
      <c r="BY73" s="10" t="str">
        <f t="shared" si="24"/>
        <v/>
      </c>
      <c r="BZ73" s="11" t="str">
        <f t="shared" si="25"/>
        <v/>
      </c>
      <c r="CA73" s="25" t="str">
        <f>IF(S74&lt;=RAK,IF($BX73&lt;RAM,SUM(BZ73:INDEX(Dazx,RAM-BeginnAlter)),""),"")</f>
        <v/>
      </c>
      <c r="CB73" s="24" t="str">
        <f t="shared" si="26"/>
        <v/>
      </c>
      <c r="CC73" s="25">
        <f t="shared" si="27"/>
        <v>0</v>
      </c>
      <c r="CD73" s="24">
        <f t="shared" si="28"/>
        <v>0</v>
      </c>
      <c r="CE73" s="24" t="str">
        <f t="shared" si="29"/>
        <v/>
      </c>
      <c r="CF73" s="86"/>
      <c r="CG73" s="35">
        <f t="shared" si="79"/>
        <v>81</v>
      </c>
      <c r="CH73" s="25" t="str">
        <f>IF(CG73&lt;RAM,ROUND(v^($CG73+FaktorAlter)*$H73*($B73*0.5*($P73+$P74)*(VLOOKUP(TRUNC(0.5*($Q73+$Q74),0),Frauen!$AZ$9:$BD$95,5)+(0.5*($Q73+$Q74)-TRUNC(0.5*($Q73+$Q74),0))*(VLOOKUP(TRUNC(0.5*($Q73+$Q74)+1,0),Frauen!$AZ$9:$BD$95,5)-VLOOKUP(TRUNC(0.5*($Q73+$Q74),0),Frauen!$AZ$9:$BD$95,5)))+$C73*0.5*($CN73+$CN74)),RundDx),"")</f>
        <v/>
      </c>
      <c r="CI73" s="25" t="str">
        <f>IF(CG73&lt;RAM,ROUND(SUM(CH73:INDEX(Dawx,RAM-BeginnAlter))+INDEX(Dax,RAM-BeginnAlter+1)*INDEX(äwx,1),RundDx),"")</f>
        <v/>
      </c>
      <c r="CJ73" s="25" t="str">
        <f>IF(CG73&lt;RAM,ROUND(SUM(CI73:INDEX(Nawx,RAM-BeginnAlter))+INDEX(Dax,RAM-BeginnAlter+1)*INDEX(äwx,1),RundDx),"")</f>
        <v/>
      </c>
      <c r="CK73" s="24" t="str">
        <f t="shared" si="56"/>
        <v/>
      </c>
      <c r="CL73" s="25" t="str">
        <f>IF(CG73&lt;RAM,ROUND(v^($CG73+FaktorAlter)*$L73*$D73*0.5*($P73+$P74)*(VLOOKUP(TRUNC(0.5*($Q73+$Q74),0),Frauen!$AZ$9:$BD$95,5)+(0.5*($Q73+$Q74)-TRUNC(0.5*($Q73+$Q74),0))*(VLOOKUP(TRUNC(0.5*($Q73+$Q74)+1,0),Frauen!$AZ$9:$BD$95,5)-VLOOKUP(TRUNC(0.5*($Q73+$Q74),0),Frauen!$AZ$9:$BD$95,5))),RundDx),"")</f>
        <v/>
      </c>
      <c r="CM73" s="25" t="str">
        <f>IF(CG73&lt;RAM,SUM(CL73:INDEX(Diwx,RAM-BeginnAlter))+INDEX(Dix,RAM-BeginnAlter+1)*INDEX(äwx,1),"")</f>
        <v/>
      </c>
      <c r="CN73" s="24" t="str">
        <f t="shared" si="57"/>
        <v/>
      </c>
      <c r="CO73" s="86"/>
      <c r="CP73" s="35">
        <f t="shared" si="58"/>
        <v>129</v>
      </c>
      <c r="CQ73" s="25"/>
      <c r="CR73" s="25"/>
      <c r="CS73" s="24"/>
      <c r="CT73" s="86"/>
      <c r="CU73" s="35">
        <f t="shared" si="80"/>
        <v>81</v>
      </c>
      <c r="CV73" s="25" t="str">
        <f>IF($CU73&gt;=RAM,"",IF($CU73-CV$103&lt;BeginnAlter,"",ROUND(v^($CU73+FaktorAlter)*$L73*$D73*0.5*(VLOOKUP($CU73-CV$103,Frauen!$G$9:$J$102,4)+VLOOKUP($CU73-CV$103+1,Frauen!$G$9:$J$102,4))*0.5*(VLOOKUP($CU73-CV$103,Frauen!$AZ$9:$BD$102,5)+VLOOKUP($CU73-CV$103+1,Frauen!$AZ$9:$BD$102,5)),RundDx)))</f>
        <v/>
      </c>
      <c r="CW73" s="25" t="str">
        <f>IF($CU73&gt;=RAM,"",IF($CU73-CW$103&lt;BeginnAlter,"",ROUND(v^($CU73+FaktorAlter)*$L73*$D73*0.5*(VLOOKUP($CU73-CW$103,Frauen!$G$9:$J$102,4)+VLOOKUP($CU73-CW$103+1,Frauen!$G$9:$J$102,4))*0.5*(VLOOKUP($CU73-CW$103,Frauen!$AZ$9:$BD$102,5)+VLOOKUP($CU73-CW$103+1,Frauen!$AZ$9:$BD$102,5)),RundDx)))</f>
        <v/>
      </c>
      <c r="CX73" s="25" t="str">
        <f>IF($CU73&gt;=RAM,"",IF($CU73-CX$103&lt;BeginnAlter,"",ROUND(v^($CU73+FaktorAlter)*$L73*$D73*0.5*(VLOOKUP($CU73-CX$103,Frauen!$G$9:$J$102,4)+VLOOKUP($CU73-CX$103+1,Frauen!$G$9:$J$102,4))*0.5*(VLOOKUP($CU73-CX$103,Frauen!$AZ$9:$BD$102,5)+VLOOKUP($CU73-CX$103+1,Frauen!$AZ$9:$BD$102,5)),RundDx)))</f>
        <v/>
      </c>
      <c r="CY73" s="25" t="str">
        <f>IF($CU73&gt;=RAM,"",IF($CU73-CY$103&lt;BeginnAlter,"",ROUND(v^($CU73+FaktorAlter)*$L73*$D73*0.5*(VLOOKUP($CU73-CY$103,Frauen!$G$9:$J$102,4)+VLOOKUP($CU73-CY$103+1,Frauen!$G$9:$J$102,4))*0.5*(VLOOKUP($CU73-CY$103,Frauen!$AZ$9:$BD$102,5)+VLOOKUP($CU73-CY$103+1,Frauen!$AZ$9:$BD$102,5)),RundDx)))</f>
        <v/>
      </c>
      <c r="CZ73" s="25" t="str">
        <f>IF($CU73&gt;=RAM,"",IF($CU73-CZ$103&lt;BeginnAlter,"",ROUND(v^($CU73+FaktorAlter)*$L73*$D73*0.5*(VLOOKUP($CU73-CZ$103,Frauen!$G$9:$J$102,4)+VLOOKUP($CU73-CZ$103+1,Frauen!$G$9:$J$102,4))*0.5*(VLOOKUP($CU73-CZ$103,Frauen!$AZ$9:$BD$102,5)+VLOOKUP($CU73-CZ$103+1,Frauen!$AZ$9:$BD$102,5)),RundDx)))</f>
        <v/>
      </c>
      <c r="DA73" s="25" t="str">
        <f>IF($CU73&gt;=RAM,"",IF($CU73-DA$103&lt;BeginnAlter,"",ROUND(v^($CU73+FaktorAlter)*$L73*$D73*0.5*(VLOOKUP($CU73-DA$103,Frauen!$G$9:$J$102,4)+VLOOKUP($CU73-DA$103+1,Frauen!$G$9:$J$102,4))*0.5*(VLOOKUP($CU73-DA$103,Frauen!$AZ$9:$BD$102,5)+VLOOKUP($CU73-DA$103+1,Frauen!$AZ$9:$BD$102,5)),RundDx)))</f>
        <v/>
      </c>
      <c r="DB73" s="25" t="str">
        <f>IF($CU73&gt;=RAM,"",IF($CU73-DB$103&lt;BeginnAlter,"",ROUND(v^($CU73+FaktorAlter)*$L73*$D73*0.5*(VLOOKUP($CU73-DB$103,Frauen!$G$9:$J$102,4)+VLOOKUP($CU73-DB$103+1,Frauen!$G$9:$J$102,4))*0.5*(VLOOKUP($CU73-DB$103,Frauen!$AZ$9:$BD$102,5)+VLOOKUP($CU73-DB$103+1,Frauen!$AZ$9:$BD$102,5)),RundDx)))</f>
        <v/>
      </c>
      <c r="DC73" s="25" t="str">
        <f>IF($CU73&gt;=RAM,"",IF($CU73-DC$103&lt;BeginnAlter,"",ROUND(v^($CU73+FaktorAlter)*$L73*$D73*0.5*(VLOOKUP($CU73-DC$103,Frauen!$G$9:$J$102,4)+VLOOKUP($CU73-DC$103+1,Frauen!$G$9:$J$102,4))*0.5*(VLOOKUP($CU73-DC$103,Frauen!$AZ$9:$BD$102,5)+VLOOKUP($CU73-DC$103+1,Frauen!$AZ$9:$BD$102,5)),RundDx)))</f>
        <v/>
      </c>
      <c r="DD73" s="25" t="str">
        <f>IF($CU73&gt;=RAM,"",IF($CU73-DD$103&lt;BeginnAlter,"",ROUND(v^($CU73+FaktorAlter)*$L73*$D73*0.5*(VLOOKUP($CU73-DD$103,Frauen!$G$9:$J$102,4)+VLOOKUP($CU73-DD$103+1,Frauen!$G$9:$J$102,4))*0.5*(VLOOKUP($CU73-DD$103,Frauen!$AZ$9:$BD$102,5)+VLOOKUP($CU73-DD$103+1,Frauen!$AZ$9:$BD$102,5)),RundDx)))</f>
        <v/>
      </c>
      <c r="DE73" s="25" t="str">
        <f>IF($CU73&gt;=RAM,"",IF($CU73-DE$103&lt;BeginnAlter,"",ROUND(v^($CU73+FaktorAlter)*$L73*$D73*0.5*(VLOOKUP($CU73-DE$103,Frauen!$G$9:$J$102,4)+VLOOKUP($CU73-DE$103+1,Frauen!$G$9:$J$102,4))*0.5*(VLOOKUP($CU73-DE$103,Frauen!$AZ$9:$BD$102,5)+VLOOKUP($CU73-DE$103+1,Frauen!$AZ$9:$BD$102,5)),RundDx)))</f>
        <v/>
      </c>
      <c r="DF73" s="25" t="str">
        <f>IF($CU73&gt;=RAM,"",IF($CU73-DF$103&lt;BeginnAlter,"",ROUND(v^($CU73+FaktorAlter)*$L73*$D73*0.5*(VLOOKUP($CU73-DF$103,Frauen!$G$9:$J$102,4)+VLOOKUP($CU73-DF$103+1,Frauen!$G$9:$J$102,4))*0.5*(VLOOKUP($CU73-DF$103,Frauen!$AZ$9:$BD$102,5)+VLOOKUP($CU73-DF$103+1,Frauen!$AZ$9:$BD$102,5)),RundDx)))</f>
        <v/>
      </c>
      <c r="DG73" s="25" t="str">
        <f>IF($CU73&gt;=RAM,"",IF($CU73-DG$103&lt;BeginnAlter,"",ROUND(v^($CU73+FaktorAlter)*$L73*$D73*0.5*(VLOOKUP($CU73-DG$103,Frauen!$G$9:$J$102,4)+VLOOKUP($CU73-DG$103+1,Frauen!$G$9:$J$102,4))*0.5*(VLOOKUP($CU73-DG$103,Frauen!$AZ$9:$BD$102,5)+VLOOKUP($CU73-DG$103+1,Frauen!$AZ$9:$BD$102,5)),RundDx)))</f>
        <v/>
      </c>
      <c r="DH73" s="25" t="str">
        <f>IF($CU73&gt;=RAM,"",IF($CU73-DH$103&lt;BeginnAlter,"",ROUND(v^($CU73+FaktorAlter)*$L73*$D73*0.5*(VLOOKUP($CU73-DH$103,Frauen!$G$9:$J$102,4)+VLOOKUP($CU73-DH$103+1,Frauen!$G$9:$J$102,4))*0.5*(VLOOKUP($CU73-DH$103,Frauen!$AZ$9:$BD$102,5)+VLOOKUP($CU73-DH$103+1,Frauen!$AZ$9:$BD$102,5)),RundDx)))</f>
        <v/>
      </c>
      <c r="DI73" s="25" t="str">
        <f>IF($CU73&gt;=RAM,"",IF($CU73-DI$103&lt;BeginnAlter,"",ROUND(v^($CU73+FaktorAlter)*$L73*$D73*0.5*(VLOOKUP($CU73-DI$103,Frauen!$G$9:$J$102,4)+VLOOKUP($CU73-DI$103+1,Frauen!$G$9:$J$102,4))*0.5*(VLOOKUP($CU73-DI$103,Frauen!$AZ$9:$BD$102,5)+VLOOKUP($CU73-DI$103+1,Frauen!$AZ$9:$BD$102,5)),RundDx)))</f>
        <v/>
      </c>
      <c r="DJ73" s="25" t="str">
        <f>IF($CU73&gt;=RAM,"",IF($CU73-DJ$103&lt;BeginnAlter,"",ROUND(v^($CU73+FaktorAlter)*$L73*$D73*0.5*(VLOOKUP($CU73-DJ$103,Frauen!$G$9:$J$102,4)+VLOOKUP($CU73-DJ$103+1,Frauen!$G$9:$J$102,4))*0.5*(VLOOKUP($CU73-DJ$103,Frauen!$AZ$9:$BD$102,5)+VLOOKUP($CU73-DJ$103+1,Frauen!$AZ$9:$BD$102,5)),RundDx)))</f>
        <v/>
      </c>
      <c r="DK73" s="25" t="str">
        <f>IF($CU73&gt;=RAM,"",IF($CU73-DK$103&lt;BeginnAlter,"",ROUND(v^($CU73+FaktorAlter)*$L73*$D73*0.5*(VLOOKUP($CU73-DK$103,Frauen!$G$9:$J$102,4)+VLOOKUP($CU73-DK$103+1,Frauen!$G$9:$J$102,4))*0.5*(VLOOKUP($CU73-DK$103,Frauen!$AZ$9:$BD$102,5)+VLOOKUP($CU73-DK$103+1,Frauen!$AZ$9:$BD$102,5)),RundDx)))</f>
        <v/>
      </c>
      <c r="DL73" s="25" t="str">
        <f>IF($CU73&gt;=RAM,"",IF($CU73-DL$103&lt;BeginnAlter,"",ROUND(v^($CU73+FaktorAlter)*$L73*$D73*0.5*(VLOOKUP($CU73-DL$103,Frauen!$G$9:$J$102,4)+VLOOKUP($CU73-DL$103+1,Frauen!$G$9:$J$102,4))*0.5*(VLOOKUP($CU73-DL$103,Frauen!$AZ$9:$BD$102,5)+VLOOKUP($CU73-DL$103+1,Frauen!$AZ$9:$BD$102,5)),RundDx)))</f>
        <v/>
      </c>
      <c r="DM73" s="25" t="str">
        <f>IF($CU73&gt;=RAM,"",IF($CU73-DM$103&lt;BeginnAlter,"",ROUND(v^($CU73+FaktorAlter)*$L73*$D73*0.5*(VLOOKUP($CU73-DM$103,Frauen!$G$9:$J$102,4)+VLOOKUP($CU73-DM$103+1,Frauen!$G$9:$J$102,4))*0.5*(VLOOKUP($CU73-DM$103,Frauen!$AZ$9:$BD$102,5)+VLOOKUP($CU73-DM$103+1,Frauen!$AZ$9:$BD$102,5)),RundDx)))</f>
        <v/>
      </c>
      <c r="DN73" s="25" t="str">
        <f>IF($CU73&gt;=RAM,"",IF($CU73-DN$103&lt;BeginnAlter,"",ROUND(v^($CU73+FaktorAlter)*$L73*$D73*0.5*(VLOOKUP($CU73-DN$103,Frauen!$G$9:$J$102,4)+VLOOKUP($CU73-DN$103+1,Frauen!$G$9:$J$102,4))*0.5*(VLOOKUP($CU73-DN$103,Frauen!$AZ$9:$BD$102,5)+VLOOKUP($CU73-DN$103+1,Frauen!$AZ$9:$BD$102,5)),RundDx)))</f>
        <v/>
      </c>
      <c r="DO73" s="25" t="str">
        <f>IF($CU73&gt;=RAM,"",IF($CU73-DO$103&lt;BeginnAlter,"",ROUND(v^($CU73+FaktorAlter)*$L73*$D73*0.5*(VLOOKUP($CU73-DO$103,Frauen!$G$9:$J$102,4)+VLOOKUP($CU73-DO$103+1,Frauen!$G$9:$J$102,4))*0.5*(VLOOKUP($CU73-DO$103,Frauen!$AZ$9:$BD$102,5)+VLOOKUP($CU73-DO$103+1,Frauen!$AZ$9:$BD$102,5)),RundDx)))</f>
        <v/>
      </c>
      <c r="DP73" s="25" t="str">
        <f>IF($CU73&gt;=RAM,"",IF($CU73-DP$103&lt;BeginnAlter,"",ROUND(v^($CU73+FaktorAlter)*$L73*$D73*0.5*(VLOOKUP($CU73-DP$103,Frauen!$G$9:$J$102,4)+VLOOKUP($CU73-DP$103+1,Frauen!$G$9:$J$102,4))*0.5*(VLOOKUP($CU73-DP$103,Frauen!$AZ$9:$BD$102,5)+VLOOKUP($CU73-DP$103+1,Frauen!$AZ$9:$BD$102,5)),RundDx)))</f>
        <v/>
      </c>
      <c r="DQ73" s="25" t="str">
        <f>IF($CU73&gt;=RAM,"",IF($CU73-DQ$103&lt;BeginnAlter,"",ROUND(v^($CU73+FaktorAlter)*$L73*$D73*0.5*(VLOOKUP($CU73-DQ$103,Frauen!$G$9:$J$102,4)+VLOOKUP($CU73-DQ$103+1,Frauen!$G$9:$J$102,4))*0.5*(VLOOKUP($CU73-DQ$103,Frauen!$AZ$9:$BD$102,5)+VLOOKUP($CU73-DQ$103+1,Frauen!$AZ$9:$BD$102,5)),RundDx)))</f>
        <v/>
      </c>
      <c r="DR73" s="25" t="str">
        <f>IF($CU73&gt;=RAM,"",IF($CU73-DR$103&lt;BeginnAlter,"",ROUND(v^($CU73+FaktorAlter)*$L73*$D73*0.5*(VLOOKUP($CU73-DR$103,Frauen!$G$9:$J$102,4)+VLOOKUP($CU73-DR$103+1,Frauen!$G$9:$J$102,4))*0.5*(VLOOKUP($CU73-DR$103,Frauen!$AZ$9:$BD$102,5)+VLOOKUP($CU73-DR$103+1,Frauen!$AZ$9:$BD$102,5)),RundDx)))</f>
        <v/>
      </c>
      <c r="DS73" s="25" t="str">
        <f>IF($CU73&gt;=RAM,"",IF($CU73-DS$103&lt;BeginnAlter,"",ROUND(v^($CU73+FaktorAlter)*$L73*$D73*0.5*(VLOOKUP($CU73-DS$103,Frauen!$G$9:$J$102,4)+VLOOKUP($CU73-DS$103+1,Frauen!$G$9:$J$102,4))*0.5*(VLOOKUP($CU73-DS$103,Frauen!$AZ$9:$BD$102,5)+VLOOKUP($CU73-DS$103+1,Frauen!$AZ$9:$BD$102,5)),RundDx)))</f>
        <v/>
      </c>
      <c r="DT73" s="25" t="str">
        <f>IF($CU73&gt;=RAM,"",IF($CU73-DT$103&lt;BeginnAlter,"",ROUND(v^($CU73+FaktorAlter)*$L73*$D73*0.5*(VLOOKUP($CU73-DT$103,Frauen!$G$9:$J$102,4)+VLOOKUP($CU73-DT$103+1,Frauen!$G$9:$J$102,4))*0.5*(VLOOKUP($CU73-DT$103,Frauen!$AZ$9:$BD$102,5)+VLOOKUP($CU73-DT$103+1,Frauen!$AZ$9:$BD$102,5)),RundDx)))</f>
        <v/>
      </c>
      <c r="DU73" s="25" t="str">
        <f>IF($CU73&gt;=RAM,"",IF($CU73-DU$103&lt;BeginnAlter,"",ROUND(v^($CU73+FaktorAlter)*$L73*$D73*0.5*(VLOOKUP($CU73-DU$103,Frauen!$G$9:$J$102,4)+VLOOKUP($CU73-DU$103+1,Frauen!$G$9:$J$102,4))*0.5*(VLOOKUP($CU73-DU$103,Frauen!$AZ$9:$BD$102,5)+VLOOKUP($CU73-DU$103+1,Frauen!$AZ$9:$BD$102,5)),RundDx)))</f>
        <v/>
      </c>
      <c r="DV73" s="25" t="str">
        <f>IF($CU73&gt;=RAM,"",IF($CU73-DV$103&lt;BeginnAlter,"",ROUND(v^($CU73+FaktorAlter)*$L73*$D73*0.5*(VLOOKUP($CU73-DV$103,Frauen!$G$9:$J$102,4)+VLOOKUP($CU73-DV$103+1,Frauen!$G$9:$J$102,4))*0.5*(VLOOKUP($CU73-DV$103,Frauen!$AZ$9:$BD$102,5)+VLOOKUP($CU73-DV$103+1,Frauen!$AZ$9:$BD$102,5)),RundDx)))</f>
        <v/>
      </c>
      <c r="DW73" s="25" t="str">
        <f>IF($CU73&gt;=RAM,"",IF($CU73-DW$103&lt;BeginnAlter,"",ROUND(v^($CU73+FaktorAlter)*$L73*$D73*0.5*(VLOOKUP($CU73-DW$103,Frauen!$G$9:$J$102,4)+VLOOKUP($CU73-DW$103+1,Frauen!$G$9:$J$102,4))*0.5*(VLOOKUP($CU73-DW$103,Frauen!$AZ$9:$BD$102,5)+VLOOKUP($CU73-DW$103+1,Frauen!$AZ$9:$BD$102,5)),RundDx)))</f>
        <v/>
      </c>
      <c r="DX73" s="25" t="str">
        <f>IF($CU73&gt;=RAM,"",IF($CU73-DX$103&lt;BeginnAlter,"",ROUND(v^($CU73+FaktorAlter)*$L73*$D73*0.5*(VLOOKUP($CU73-DX$103,Frauen!$G$9:$J$102,4)+VLOOKUP($CU73-DX$103+1,Frauen!$G$9:$J$102,4))*0.5*(VLOOKUP($CU73-DX$103,Frauen!$AZ$9:$BD$102,5)+VLOOKUP($CU73-DX$103+1,Frauen!$AZ$9:$BD$102,5)),RundDx)))</f>
        <v/>
      </c>
      <c r="DY73" s="25" t="str">
        <f>IF($CU73&gt;=RAM,"",IF($CU73-DY$103&lt;BeginnAlter,"",ROUND(v^($CU73+FaktorAlter)*$L73*$D73*0.5*(VLOOKUP($CU73-DY$103,Frauen!$G$9:$J$102,4)+VLOOKUP($CU73-DY$103+1,Frauen!$G$9:$J$102,4))*0.5*(VLOOKUP($CU73-DY$103,Frauen!$AZ$9:$BD$102,5)+VLOOKUP($CU73-DY$103+1,Frauen!$AZ$9:$BD$102,5)),RundDx)))</f>
        <v/>
      </c>
      <c r="DZ73" s="25" t="str">
        <f>IF($CU73&gt;=RAM,"",IF($CU73-DZ$103&lt;BeginnAlter,"",ROUND(v^($CU73+FaktorAlter)*$L73*$D73*0.5*(VLOOKUP($CU73-DZ$103,Frauen!$G$9:$J$102,4)+VLOOKUP($CU73-DZ$103+1,Frauen!$G$9:$J$102,4))*0.5*(VLOOKUP($CU73-DZ$103,Frauen!$AZ$9:$BD$102,5)+VLOOKUP($CU73-DZ$103+1,Frauen!$AZ$9:$BD$102,5)),RundDx)))</f>
        <v/>
      </c>
      <c r="EA73" s="43" t="str">
        <f>IF($CU73&gt;=RAM,"",IF($CU73-EA$103&lt;BeginnAlter,"",ROUND((SUM(CV$56:CV73)+SUM(FN$9:FN$56))/VLOOKUP($CU73,$AH$9:$AI$102,2)/VLOOKUP($CU73-EA$103,Frauen!$G$9:$J$102,4),Rundäx)))</f>
        <v/>
      </c>
      <c r="EB73" s="43" t="str">
        <f>IF($CU73&gt;=RAM,"",IF($CU73-EB$103&lt;BeginnAlter,"",ROUND((SUM(CW$56:CW73)+SUM(FO$9:FO$56))/VLOOKUP($CU73,$AH$9:$AI$102,2)/VLOOKUP($CU73-EB$103,Frauen!$G$9:$J$102,4),Rundäx)))</f>
        <v/>
      </c>
      <c r="EC73" s="43" t="str">
        <f>IF($CU73&gt;=RAM,"",IF($CU73-EC$103&lt;BeginnAlter,"",ROUND((SUM(CX$56:CX73)+SUM(FP$9:FP$56))/VLOOKUP($CU73,$AH$9:$AI$102,2)/VLOOKUP($CU73-EC$103,Frauen!$G$9:$J$102,4),Rundäx)))</f>
        <v/>
      </c>
      <c r="ED73" s="43" t="str">
        <f>IF($CU73&gt;=RAM,"",IF($CU73-ED$103&lt;BeginnAlter,"",ROUND((SUM(CY$56:CY73)+SUM(FQ$9:FQ$56))/VLOOKUP($CU73,$AH$9:$AI$102,2)/VLOOKUP($CU73-ED$103,Frauen!$G$9:$J$102,4),Rundäx)))</f>
        <v/>
      </c>
      <c r="EE73" s="43" t="str">
        <f>IF($CU73&gt;=RAM,"",IF($CU73-EE$103&lt;BeginnAlter,"",ROUND((SUM(CZ$56:CZ73)+SUM(FR$9:FR$56))/VLOOKUP($CU73,$AH$9:$AI$102,2)/VLOOKUP($CU73-EE$103,Frauen!$G$9:$J$102,4),Rundäx)))</f>
        <v/>
      </c>
      <c r="EF73" s="43" t="str">
        <f>IF($CU73&gt;=RAM,"",IF($CU73-EF$103&lt;BeginnAlter,"",ROUND((SUM(DA$56:DA73)+SUM(FS$9:FS$56))/VLOOKUP($CU73,$AH$9:$AI$102,2)/VLOOKUP($CU73-EF$103,Frauen!$G$9:$J$102,4),Rundäx)))</f>
        <v/>
      </c>
      <c r="EG73" s="43" t="str">
        <f>IF($CU73&gt;=RAM,"",IF($CU73-EG$103&lt;BeginnAlter,"",ROUND((SUM(DB$56:DB73)+SUM(FT$9:FT$56))/VLOOKUP($CU73,$AH$9:$AI$102,2)/VLOOKUP($CU73-EG$103,Frauen!$G$9:$J$102,4),Rundäx)))</f>
        <v/>
      </c>
      <c r="EH73" s="43" t="str">
        <f>IF($CU73&gt;=RAM,"",IF($CU73-EH$103&lt;BeginnAlter,"",ROUND((SUM(DC$56:DC73)+SUM(FU$9:FU$56))/VLOOKUP($CU73,$AH$9:$AI$102,2)/VLOOKUP($CU73-EH$103,Frauen!$G$9:$J$102,4),Rundäx)))</f>
        <v/>
      </c>
      <c r="EI73" s="86"/>
      <c r="EJ73" s="35">
        <f t="shared" si="60"/>
        <v>81</v>
      </c>
      <c r="EK73" s="43" t="str">
        <f>IF($CU73&gt;=RAM,"",IF($CU73-EK$103&lt;BeginnAlter,"",ROUND((SUM(DD$56:DD73)+SUM(FV$9:FV$56))/VLOOKUP($CU73,$AH$9:$AI$102,2)/VLOOKUP($CU73-EK$103,Frauen!$G$9:$J$102,4),Rundäx)))</f>
        <v/>
      </c>
      <c r="EL73" s="43" t="str">
        <f>IF($CU73&gt;=RAM,"",IF($CU73-EL$103&lt;BeginnAlter,"",ROUND((SUM(DE$56:DE73)+SUM(FW$9:FW$56))/VLOOKUP($CU73,$AH$9:$AI$102,2)/VLOOKUP($CU73-EL$103,Frauen!$G$9:$J$102,4),Rundäx)))</f>
        <v/>
      </c>
      <c r="EM73" s="43" t="str">
        <f>IF($CU73&gt;=RAM,"",IF($CU73-EM$103&lt;BeginnAlter,"",ROUND((SUM(DF$56:DF73)+SUM(FX$9:FX$56))/VLOOKUP($CU73,$AH$9:$AI$102,2)/VLOOKUP($CU73-EM$103,Frauen!$G$9:$J$102,4),Rundäx)))</f>
        <v/>
      </c>
      <c r="EN73" s="43" t="str">
        <f>IF($CU73&gt;=RAM,"",IF($CU73-EN$103&lt;BeginnAlter,"",ROUND((SUM(DG$56:DG73)+SUM(FY$9:FY$56))/VLOOKUP($CU73,$AH$9:$AI$102,2)/VLOOKUP($CU73-EN$103,Frauen!$G$9:$J$102,4),Rundäx)))</f>
        <v/>
      </c>
      <c r="EO73" s="43" t="str">
        <f>IF($CU73&gt;=RAM,"",IF($CU73-EO$103&lt;BeginnAlter,"",ROUND((SUM(DH$56:DH73)+SUM(FZ$9:FZ$56))/VLOOKUP($CU73,$AH$9:$AI$102,2)/VLOOKUP($CU73-EO$103,Frauen!$G$9:$J$102,4),Rundäx)))</f>
        <v/>
      </c>
      <c r="EP73" s="43" t="str">
        <f>IF($CU73&gt;=RAM,"",IF($CU73-EP$103&lt;BeginnAlter,"",ROUND((SUM(DI$56:DI73)+SUM(GA$9:GA$56))/VLOOKUP($CU73,$AH$9:$AI$102,2)/VLOOKUP($CU73-EP$103,Frauen!$G$9:$J$102,4),Rundäx)))</f>
        <v/>
      </c>
      <c r="EQ73" s="43" t="str">
        <f>IF($CU73&gt;=RAM,"",IF($CU73-EQ$103&lt;BeginnAlter,"",ROUND((SUM(DJ$56:DJ73)+SUM(GB$9:GB$56))/VLOOKUP($CU73,$AH$9:$AI$102,2)/VLOOKUP($CU73-EQ$103,Frauen!$G$9:$J$102,4),Rundäx)))</f>
        <v/>
      </c>
      <c r="ER73" s="43" t="str">
        <f>IF($CU73&gt;=RAM,"",IF($CU73-ER$103&lt;BeginnAlter,"",ROUND((SUM(DK$56:DK73)+SUM(GC$9:GC$56))/VLOOKUP($CU73,$AH$9:$AI$102,2)/VLOOKUP($CU73-ER$103,Frauen!$G$9:$J$102,4),Rundäx)))</f>
        <v/>
      </c>
      <c r="ES73" s="86"/>
      <c r="ET73" s="35">
        <f t="shared" si="61"/>
        <v>81</v>
      </c>
      <c r="EU73" s="43" t="str">
        <f>IF($CU73&gt;=RAM,"",IF($CU73-EU$103&lt;BeginnAlter,"",ROUND((SUM(DL$56:DL73)+SUM(GD$9:GD$56))/VLOOKUP($CU73,$AH$9:$AI$102,2)/VLOOKUP($CU73-EU$103,Frauen!$G$9:$J$102,4),Rundäx)))</f>
        <v/>
      </c>
      <c r="EV73" s="43" t="str">
        <f>IF($CU73&gt;=RAM,"",IF($CU73-EV$103&lt;BeginnAlter,"",ROUND((SUM(DM$56:DM73)+SUM(GE$9:GE$56))/VLOOKUP($CU73,$AH$9:$AI$102,2)/VLOOKUP($CU73-EV$103,Frauen!$G$9:$J$102,4),Rundäx)))</f>
        <v/>
      </c>
      <c r="EW73" s="43" t="str">
        <f>IF($CU73&gt;=RAM,"",IF($CU73-EW$103&lt;BeginnAlter,"",ROUND((SUM(DN$56:DN73)+SUM(GF$9:GF$56))/VLOOKUP($CU73,$AH$9:$AI$102,2)/VLOOKUP($CU73-EW$103,Frauen!$G$9:$J$102,4),Rundäx)))</f>
        <v/>
      </c>
      <c r="EX73" s="43" t="str">
        <f>IF($CU73&gt;=RAM,"",IF($CU73-EX$103&lt;BeginnAlter,"",ROUND((SUM(DO$56:DO73)+SUM(GG$9:GG$56))/VLOOKUP($CU73,$AH$9:$AI$102,2)/VLOOKUP($CU73-EX$103,Frauen!$G$9:$J$102,4),Rundäx)))</f>
        <v/>
      </c>
      <c r="EY73" s="43" t="str">
        <f>IF($CU73&gt;=RAM,"",IF($CU73-EY$103&lt;BeginnAlter,"",ROUND((SUM(DP$56:DP73)+SUM(GH$9:GH$56))/VLOOKUP($CU73,$AH$9:$AI$102,2)/VLOOKUP($CU73-EY$103,Frauen!$G$9:$J$102,4),Rundäx)))</f>
        <v/>
      </c>
      <c r="EZ73" s="43" t="str">
        <f>IF($CU73&gt;=RAM,"",IF($CU73-EZ$103&lt;BeginnAlter,"",ROUND((SUM(DQ$56:DQ73)+SUM(GI$9:GI$56))/VLOOKUP($CU73,$AH$9:$AI$102,2)/VLOOKUP($CU73-EZ$103,Frauen!$G$9:$J$102,4),Rundäx)))</f>
        <v/>
      </c>
      <c r="FA73" s="43" t="str">
        <f>IF($CU73&gt;=RAM,"",IF($CU73-FA$103&lt;BeginnAlter,"",ROUND((SUM(DR$56:DR73)+SUM(GJ$9:GJ$56))/VLOOKUP($CU73,$AH$9:$AI$102,2)/VLOOKUP($CU73-FA$103,Frauen!$G$9:$J$102,4),Rundäx)))</f>
        <v/>
      </c>
      <c r="FB73" s="43" t="str">
        <f>IF($CU73&gt;=RAM,"",IF($CU73-FB$103&lt;BeginnAlter,"",ROUND((SUM(DS$56:DS73)+SUM(GK$9:GK$56))/VLOOKUP($CU73,$AH$9:$AI$102,2)/VLOOKUP($CU73-FB$103,Frauen!$G$9:$J$102,4),Rundäx)))</f>
        <v/>
      </c>
      <c r="FC73" s="86"/>
      <c r="FD73" s="35">
        <f t="shared" si="62"/>
        <v>81</v>
      </c>
      <c r="FE73" s="43" t="str">
        <f>IF($CU73&gt;=RAM,"",IF($CU73-FE$103&lt;BeginnAlter,"",ROUND((SUM(DT$56:DT73)+SUM(GL$9:GL$56))/VLOOKUP($CU73,$AH$9:$AI$102,2)/VLOOKUP($CU73-FE$103,Frauen!$G$9:$J$102,4),Rundäx)))</f>
        <v/>
      </c>
      <c r="FF73" s="43" t="str">
        <f>IF($CU73&gt;=RAM,"",IF($CU73-FF$103&lt;BeginnAlter,"",ROUND((SUM(DU$56:DU73)+SUM(GM$9:GM$56))/VLOOKUP($CU73,$AH$9:$AI$102,2)/VLOOKUP($CU73-FF$103,Frauen!$G$9:$J$102,4),Rundäx)))</f>
        <v/>
      </c>
      <c r="FG73" s="43" t="str">
        <f>IF($CU73&gt;=RAM,"",IF($CU73-FG$103&lt;BeginnAlter,"",ROUND((SUM(DV$56:DV73)+SUM(GN$9:GN$56))/VLOOKUP($CU73,$AH$9:$AI$102,2)/VLOOKUP($CU73-FG$103,Frauen!$G$9:$J$102,4),Rundäx)))</f>
        <v/>
      </c>
      <c r="FH73" s="43" t="str">
        <f>IF($CU73&gt;=RAM,"",IF($CU73-FH$103&lt;BeginnAlter,"",ROUND((SUM(DW$56:DW73)+SUM(GO$9:GO$56))/VLOOKUP($CU73,$AH$9:$AI$102,2)/VLOOKUP($CU73-FH$103,Frauen!$G$9:$J$102,4),Rundäx)))</f>
        <v/>
      </c>
      <c r="FI73" s="43" t="str">
        <f>IF($CU73&gt;=RAM,"",IF($CU73-FI$103&lt;BeginnAlter,"",ROUND((SUM(DX$56:DX73)+SUM(GP$9:GP$56))/VLOOKUP($CU73,$AH$9:$AI$102,2)/VLOOKUP($CU73-FI$103,Frauen!$G$9:$J$102,4),Rundäx)))</f>
        <v/>
      </c>
      <c r="FJ73" s="43" t="str">
        <f>IF($CU73&gt;=RAM,"",IF($CU73-FJ$103&lt;BeginnAlter,"",ROUND((SUM(DY$56:DY73)+SUM(GQ$9:GQ$56))/VLOOKUP($CU73,$AH$9:$AI$102,2)/VLOOKUP($CU73-FJ$103,Frauen!$G$9:$J$102,4),Rundäx)))</f>
        <v/>
      </c>
      <c r="FK73" s="43" t="str">
        <f>IF($CU73&gt;=RAM,"",IF($CU73-FK$103&lt;BeginnAlter,"",ROUND((SUM(DZ$56:DZ73)+SUM(GR$9:GR$56))/VLOOKUP($CU73,$AH$9:$AI$102,2)/VLOOKUP($CU73-FK$103,Frauen!$G$9:$J$102,4),Rundäx)))</f>
        <v/>
      </c>
      <c r="FL73" s="86"/>
      <c r="FM73" s="35">
        <f t="shared" si="68"/>
        <v>129</v>
      </c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4"/>
      <c r="GT73" s="24"/>
      <c r="GU73" s="24" t="str">
        <f>IF(FM73&gt;=RAM," ",#REF!/$AI73/Frauen!$J61)</f>
        <v xml:space="preserve"> </v>
      </c>
      <c r="GV73" s="24" t="str">
        <f>IF(FM73&gt;=RAM," ",#REF!/$AI73/Frauen!$J64)</f>
        <v xml:space="preserve"> </v>
      </c>
      <c r="GW73" s="24" t="str">
        <f>IF(FM73&gt;=RAM," ",#REF!/$AI73/Frauen!$J67)</f>
        <v xml:space="preserve"> </v>
      </c>
      <c r="GX73" s="24" t="str">
        <f>IF(FM73&gt;=RAM," ",#REF!/$AI73/Frauen!$J70)</f>
        <v xml:space="preserve"> </v>
      </c>
      <c r="GY73" s="24" t="str">
        <f>IF(FM73&gt;=RAM," ",#REF!/$AI73/Frauen!$J73)</f>
        <v xml:space="preserve"> </v>
      </c>
      <c r="GZ73" s="24" t="str">
        <f>IF(FM73&gt;=RAM," ",#REF!/$AI73/Frauen!$J76)</f>
        <v xml:space="preserve"> </v>
      </c>
      <c r="HA73" s="86"/>
      <c r="HB73" s="35">
        <f t="shared" si="63"/>
        <v>129</v>
      </c>
      <c r="HC73" s="24"/>
      <c r="HD73" s="24"/>
      <c r="HE73" s="24"/>
      <c r="HF73" s="24"/>
      <c r="HG73" s="24"/>
      <c r="HH73" s="24"/>
      <c r="HI73" s="24"/>
      <c r="HJ73" s="24"/>
      <c r="HK73" s="86"/>
      <c r="HL73" s="35">
        <f t="shared" si="64"/>
        <v>129</v>
      </c>
      <c r="HM73" s="24"/>
      <c r="HN73" s="24"/>
      <c r="HO73" s="24"/>
      <c r="HP73" s="24"/>
      <c r="HQ73" s="24"/>
      <c r="HR73" s="24"/>
      <c r="HS73" s="24"/>
      <c r="HT73" s="24"/>
      <c r="HU73" s="86"/>
      <c r="HV73" s="35">
        <f t="shared" si="65"/>
        <v>129</v>
      </c>
      <c r="HW73" s="24"/>
      <c r="HX73" s="24"/>
      <c r="HY73" s="24"/>
      <c r="HZ73" s="24"/>
      <c r="IA73" s="24"/>
      <c r="IB73" s="24"/>
      <c r="IC73" s="24"/>
      <c r="ID73" s="89"/>
      <c r="IE73" s="35">
        <f t="shared" si="81"/>
        <v>81</v>
      </c>
      <c r="IF73" s="25" t="str">
        <f t="shared" si="31"/>
        <v/>
      </c>
      <c r="IG73" s="25" t="str">
        <f>IF($IE73&lt;RAM,IF(S74&lt;=RAK,ROUND(SUM(IF73:INDEX(Dakx,RAM-BeginnAlter))+INDEX(Dax,RAM-BeginnAlter+1)*INDEX(äkx,1),RundDx),0),"")</f>
        <v/>
      </c>
      <c r="IH73" s="25" t="str">
        <f>IF($IE73&lt;RAM,IF(S74&lt;=RAK,ROUND(SUM(IG73:INDEX(Nakx,RAM-BeginnAlter))+INDEX(Dax,RAM-BeginnAlter+1)*INDEX(äkx,1),RundDx),0),"")</f>
        <v/>
      </c>
      <c r="II73" s="24" t="str">
        <f t="shared" si="32"/>
        <v/>
      </c>
      <c r="IJ73" s="25" t="str">
        <f t="shared" si="33"/>
        <v/>
      </c>
      <c r="IK73" s="25" t="str">
        <f>IF($IE73&lt;RAM,IF(S74&lt;=RAK,SUM(IJ73:INDEX(Dikx,RAM-BeginnAlter))+INDEX(Dix,RAM-BeginnAlter+1)*INDEX(äkx,1),0),"")</f>
        <v/>
      </c>
      <c r="IL73" s="24" t="str">
        <f t="shared" si="34"/>
        <v/>
      </c>
      <c r="IM73" s="86"/>
      <c r="IN73" s="35">
        <f t="shared" si="67"/>
        <v>129</v>
      </c>
      <c r="IO73" s="25"/>
      <c r="IP73" s="25"/>
      <c r="IQ73" s="24"/>
      <c r="IR73" s="86"/>
    </row>
    <row r="74" spans="1:252" ht="15.75" customHeight="1" x14ac:dyDescent="0.25">
      <c r="A74" s="35">
        <f t="shared" si="69"/>
        <v>82</v>
      </c>
      <c r="B74" s="77"/>
      <c r="C74" s="77"/>
      <c r="D74" s="77"/>
      <c r="E74" s="77">
        <v>7.3892443357764653E-2</v>
      </c>
      <c r="F74" s="86"/>
      <c r="G74" s="35">
        <f t="shared" si="70"/>
        <v>82</v>
      </c>
      <c r="H74" s="25" t="str">
        <f t="shared" si="37"/>
        <v/>
      </c>
      <c r="I74" s="25" t="str">
        <f t="shared" si="38"/>
        <v/>
      </c>
      <c r="J74" s="25">
        <f t="shared" si="39"/>
        <v>47652</v>
      </c>
      <c r="K74" s="30">
        <f>IF(J74&gt;0,ROUND(SUM(J74:J$102)/J74-0.5,Rundex),"")</f>
        <v>6.87</v>
      </c>
      <c r="L74" s="25">
        <f t="shared" ref="L74:L96" si="82">IF(G74&gt;=RAM,J74,ROUND(L75/(1-D74),Rundlx))</f>
        <v>47652</v>
      </c>
      <c r="M74" s="30">
        <f>IF(L74&gt;0,ROUND(SUM(L74:L$102)/L74-0.5,Rundex),"")</f>
        <v>6.87</v>
      </c>
      <c r="N74" s="86"/>
      <c r="O74" s="35">
        <f t="shared" si="71"/>
        <v>82</v>
      </c>
      <c r="P74" s="43">
        <v>0.70728156958467947</v>
      </c>
      <c r="Q74" s="78">
        <v>76.522593612627034</v>
      </c>
      <c r="R74" s="43"/>
      <c r="S74" s="78"/>
      <c r="T74" s="15">
        <v>8.2039310032160029E-2</v>
      </c>
      <c r="U74" s="11">
        <f t="shared" si="40"/>
        <v>37672</v>
      </c>
      <c r="V74" s="30">
        <f>IF(U74&gt;0,ROUND(SUM(U74:U$102)/U74-0.5,Rundex),"")</f>
        <v>6.68</v>
      </c>
      <c r="W74" s="86"/>
      <c r="X74" s="35">
        <f t="shared" si="72"/>
        <v>82</v>
      </c>
      <c r="Y74" s="25" t="str">
        <f t="shared" ref="Y74:Y92" si="83">IF($X74&lt;=RAM,ROUND(v^X74*H74,RundDx)," ")</f>
        <v xml:space="preserve"> </v>
      </c>
      <c r="Z74" s="25" t="str">
        <f>IF($X74&lt;RAM,SUM(Y74:INDEX(Dax,RAM-BeginnAlter))," ")</f>
        <v xml:space="preserve"> </v>
      </c>
      <c r="AA74" s="25" t="str">
        <f t="shared" ref="AA74:AA102" si="84">IF($X74&lt;RAM,ROUND(v^($X74+FaktorAlter)*$H74*$B74,RundCx)," ")</f>
        <v xml:space="preserve"> </v>
      </c>
      <c r="AB74" s="25" t="str">
        <f>IF($X74&lt;RAM,SUM(AA74:INDEX(Cax,RAM-BeginnAlter))," ")</f>
        <v xml:space="preserve"> </v>
      </c>
      <c r="AC74" s="25" t="str">
        <f t="shared" ref="AC74:AC92" si="85">IF($X74&lt;RAM,ROUND(v^(X74+FaktorAlter)*$H74*$C74,RundCx)," ")</f>
        <v xml:space="preserve"> </v>
      </c>
      <c r="AD74" s="25" t="str">
        <f>IF($X74&lt;RAM,SUM(AC74:INDEX(Caix,RAM-BeginnAlter))," ")</f>
        <v xml:space="preserve"> </v>
      </c>
      <c r="AE74" s="24" t="str">
        <f t="shared" ref="AE74:AE92" si="86">IF($X74&lt;RAM,ROUND(Z74/Y74,Rundäx)," ")</f>
        <v xml:space="preserve"> </v>
      </c>
      <c r="AF74" s="24" t="str">
        <f t="shared" ref="AF74:AF92" si="87">IF($X74&lt;RAM,ROUND(AE74-(m-1)/(2*m)*((Y74-INDEX(Dax,RAM-BeginnAlter+1))/Y74),Rundäx)," ")</f>
        <v xml:space="preserve"> </v>
      </c>
      <c r="AG74" s="86"/>
      <c r="AH74" s="35">
        <f t="shared" si="73"/>
        <v>82</v>
      </c>
      <c r="AI74" s="25" t="str">
        <f t="shared" ref="AI74:AI92" si="88">IF($AH74&lt;=RAM,ROUND(v^AH74*L74,RundDx)," ")</f>
        <v xml:space="preserve"> </v>
      </c>
      <c r="AJ74" s="25" t="str">
        <f>IF($AH74&gt;RAM," ",IF($AH74&lt;RAM,SUM(AI74:INDEX(Dix,RAM-BeginnAlter))+INDEX(Nx,RAM-BeginnAlter+1),INDEX(Nx,RAM-BeginnAlter+1)))</f>
        <v xml:space="preserve"> </v>
      </c>
      <c r="AK74" s="25" t="str">
        <f>IF($AH74&lt;RAM,SUM(AI74:INDEX(Dix,RAM-BeginnAlter))," ")</f>
        <v xml:space="preserve"> </v>
      </c>
      <c r="AL74" s="24" t="str">
        <f t="shared" ref="AL74:AL92" si="89">IF($AH74&gt;RAM," ",ROUND(AJ74/AI74,Rundäx))</f>
        <v xml:space="preserve"> </v>
      </c>
      <c r="AM74" s="24" t="str">
        <f t="shared" ref="AM74:AM92" si="90">IF($AH74&gt;RAM," ",ROUND(AJ74/AI74-(m-1)/(2*m),Rundäx))</f>
        <v xml:space="preserve"> </v>
      </c>
      <c r="AN74" s="24" t="str">
        <f t="shared" ref="AN74:AN92" si="91">IF($AH74&lt;RAM,ROUND(AK74/AI74,Rundäx)," ")</f>
        <v xml:space="preserve"> </v>
      </c>
      <c r="AO74" s="24" t="str">
        <f t="shared" ref="AO74:AO92" si="92">IF($AH74&lt;RAM,ROUND(AK74/AI74-(m-1)/(2*m)*(AI74-INDEX(Dix,RAM-BeginnAlter+1))/AI74,Rundäx)," ")</f>
        <v xml:space="preserve"> </v>
      </c>
      <c r="AP74" s="86"/>
      <c r="AQ74" s="35">
        <f t="shared" si="74"/>
        <v>82</v>
      </c>
      <c r="AR74" s="25">
        <f t="shared" ref="AR74:AR92" si="93">ROUND(v^AQ74*J74,RundDx)</f>
        <v>7686</v>
      </c>
      <c r="AS74" s="25">
        <f>SUM(AR74:AR$94)</f>
        <v>51467</v>
      </c>
      <c r="AT74" s="25" t="str">
        <f>IF($AQ74&lt;RAM,SUM(AR74:INDEX(Dx,RAM-BeginnAlter))," ")</f>
        <v xml:space="preserve"> </v>
      </c>
      <c r="AU74" s="24">
        <f t="shared" ref="AU74:AU92" si="94">IF(AR74&gt;0,ROUND(AS74/AR74,Rundäx)," ")</f>
        <v>6.6959999999999997</v>
      </c>
      <c r="AV74" s="24">
        <f t="shared" ref="AV74:AV92" si="95">IF(AR74&gt;0,ROUND(AS74/AR74-(m-1)/(2*m),Rundäx)," ")</f>
        <v>6.2380000000000004</v>
      </c>
      <c r="AW74" s="24" t="str">
        <f t="shared" ref="AW74:AW92" si="96">IF($AQ74&lt;RAM,ROUND(AT74/AR74,Rundäx)," ")</f>
        <v xml:space="preserve"> </v>
      </c>
      <c r="AX74" s="24" t="str">
        <f t="shared" ref="AX74:AX92" si="97">IF($AQ74&lt;RAM,ROUND(AT74/AR74-(m-1)/(2*m)*(AR74-INDEX(Dx,RAM-BeginnAlter+1))/AR74,Rundäx)," ")</f>
        <v xml:space="preserve"> </v>
      </c>
      <c r="AY74" s="86"/>
      <c r="AZ74" s="35">
        <f t="shared" si="75"/>
        <v>82</v>
      </c>
      <c r="BA74" s="25">
        <f t="shared" ref="BA74:BA92" si="98">ROUND(v^AZ74*U74,0)</f>
        <v>6076</v>
      </c>
      <c r="BB74" s="25">
        <f>SUM(BA74:BA$94)</f>
        <v>39691</v>
      </c>
      <c r="BC74" s="24">
        <f t="shared" ref="BC74:BC92" si="99">IF(BA74&gt;0,ROUND(BB74/BA74,Rundäx)," ")</f>
        <v>6.532</v>
      </c>
      <c r="BD74" s="24">
        <f t="shared" ref="BD74:BD102" si="100">IF(BA74&gt;0,ROUND(BB74/BA74-(m-1)/(2*m),Rundäx),0)</f>
        <v>6.0739999999999998</v>
      </c>
      <c r="BE74" s="86"/>
      <c r="BF74" s="35">
        <f t="shared" si="48"/>
        <v>65</v>
      </c>
      <c r="BG74" s="24" t="str">
        <f t="shared" ref="BG74:BG102" si="101">IF($BF74&lt;RAK,IF(Zins&lt;&gt;0,ROUND((1-v^(RAK-$BF74))/(1-v),Rundäx),RAK-$BF74),IF($BF74&gt;RAK,"",0))</f>
        <v/>
      </c>
      <c r="BH74" s="24" t="str">
        <f t="shared" ref="BH74:BH102" si="102">IF($BF74&lt;RAK,IF(Zins&lt;&gt;0,ROUND((1-v^(RAK-$BF74))/(1-v)-(m-1)/(2*m)*(1-v^(RAK-$BF74)),Rundäx),RAK-$BF74),IF($BF74&gt;RAK,"",0))</f>
        <v/>
      </c>
      <c r="BI74" s="86"/>
      <c r="BJ74" s="35">
        <f t="shared" si="76"/>
        <v>82</v>
      </c>
      <c r="BK74" s="25" t="str">
        <f t="shared" ref="BK74:BK92" si="103">IF(BJ74&lt;RAM,ROUND(v^(BJ74+FaktorAlter)*$H74*$C74*0.5*(AM74+AM75),RundDx)," ")</f>
        <v xml:space="preserve"> </v>
      </c>
      <c r="BL74" s="25" t="str">
        <f>IF(BJ74&lt;RAM,SUM(BK74:INDEX(Daix,RAM-BeginnAlter))," ")</f>
        <v xml:space="preserve"> </v>
      </c>
      <c r="BM74" s="25" t="str">
        <f>IF(BJ74&lt;RAM,SUM(BL74:INDEX(Naix,RAM-BeginnAlter))," ")</f>
        <v xml:space="preserve"> </v>
      </c>
      <c r="BN74" s="24" t="str">
        <f t="shared" ref="BN74:BN92" si="104">IF(BJ74&lt;RAM,ROUND(INDEX(Dax,RAM-BeginnAlter+1)/Y74*INDEX(ämx,RAM-BeginnAlter+1),Rundäx)," ")</f>
        <v xml:space="preserve"> </v>
      </c>
      <c r="BO74" s="24" t="str">
        <f t="shared" ref="BO74:BO92" si="105">IF(BJ74&lt;RAM,ROUND(BL74/Y74,Rundäx)," ")</f>
        <v xml:space="preserve"> </v>
      </c>
      <c r="BP74" s="86"/>
      <c r="BQ74" s="35">
        <f t="shared" si="77"/>
        <v>82</v>
      </c>
      <c r="BR74" s="25" t="str">
        <f t="shared" si="51"/>
        <v xml:space="preserve"> </v>
      </c>
      <c r="BS74" s="25" t="str">
        <f>IF(BQ74&lt;RAM,SUM(BR74:INDEX(Daixs,RAM-BeginnAlter))," ")</f>
        <v xml:space="preserve"> </v>
      </c>
      <c r="BT74" s="25" t="str">
        <f>IF(BQ74&lt;RAM,SUM(BS74:INDEX(Naixs,RAM-BeginnAlter))," ")</f>
        <v xml:space="preserve"> </v>
      </c>
      <c r="BU74" s="24" t="str">
        <f t="shared" si="52"/>
        <v xml:space="preserve"> </v>
      </c>
      <c r="BV74" s="24" t="str">
        <f t="shared" si="53"/>
        <v xml:space="preserve"> </v>
      </c>
      <c r="BW74" s="86"/>
      <c r="BX74" s="35">
        <f t="shared" si="78"/>
        <v>82</v>
      </c>
      <c r="BY74" s="10" t="str">
        <f t="shared" ref="BY74:BY102" si="106">IF(S75&lt;=RAK,IF(ROUND($BX74+FaktorAlter+RAK-0.5*($S74+$S75),0)&lt;$BX74+1,"",IF(ROUND($BX74+FaktorAlter+RAK-0.5*($S74+$S75),0)&lt;RAM,0.5*($AM74+$AM75)-v^FaktorAlter*(1-$D74)/(1-0.5*$D74)/$AI75*VLOOKUP(ROUND($BX74+FaktorAlter+RAK-0.5*($S74+$S75),0),$AH$9:$AM$102,2)*VLOOKUP(ROUND($BX74+FaktorAlter+RAK-0.5*($S74+$S75),0),$AH$9:$AM$102,6),IF($BX74&lt;RAM,(0.5*($AM74+$AM75)-v^FaktorAlter*(1-$D74)/(1-0.5*$D74)/$AI75*VLOOKUP(ROUND($BX74+FaktorAlter+RAK-0.5*($S74+$S75),0),$AQ$9:$AX$102,2)*VLOOKUP(ROUND($BX74+FaktorAlter+RAK-0.5*($S74+$S75),0),$AQ$9:$AX$102,6)),""))),"")</f>
        <v/>
      </c>
      <c r="BZ74" s="11" t="str">
        <f t="shared" ref="BZ74:BZ102" si="107">IF(S75&lt;=RAK,IF($BX74&lt;RAM,ROUND(v^($BX74+FaktorAlter)*$H74*$C74*0.5*($R74+$R75)*BY74,RundDx),""),"")</f>
        <v/>
      </c>
      <c r="CA74" s="25" t="str">
        <f>IF(S75&lt;=RAK,IF($BX74&lt;RAM,SUM(BZ74:INDEX(Dazx,RAM-BeginnAlter)),""),"")</f>
        <v/>
      </c>
      <c r="CB74" s="24" t="str">
        <f t="shared" ref="CB74:CB102" si="108">IF(S75&lt;=RAK,IF($BX74&lt;RAM,ROUND($CA74/$Y74,Rundäx),""),"")</f>
        <v/>
      </c>
      <c r="CC74" s="25">
        <f t="shared" ref="CC74:CC102" si="109">IF(AND(S74&lt;=RAK,S74&lt;&gt;""),ROUND((1-MOD($BX74+RAK-S74,1))*INDEX(Dx,INT($BX74+RAK-S74-BeginnAlter+1))+MOD($BX74+RAK-S74,1)*INDEX(Dx,INT($BX74+RAK-S74-BeginnAlter+1)+1),RundDx),0)</f>
        <v>0</v>
      </c>
      <c r="CD74" s="24">
        <f t="shared" ref="CD74:CD102" si="110">IF(AND(S74&lt;=RAK,S74&lt;&gt;""),ROUND((1-MOD($BX74+RAK-MIN(S74,RAK),1))*INDEX(ämx,INT($BX74+RAK-MIN(S74,RAK)-BeginnAlter+1))+MOD($BX74+RAK-MIN(S74,RAK),1)*INDEX(ämx,INT($BX74+RAK-MIN(S74,RAK)-BeginnAlter+1)+1),Rundäx),0)</f>
        <v>0</v>
      </c>
      <c r="CE74" s="24" t="str">
        <f t="shared" ref="CE74:CE102" si="111">IF(S75&lt;=RAK,IF($BX74&lt;=RAM,ROUND((INDEX(ämx,RAM-BeginnAlter+1)-INDEX(Ds25zs,RAM-BeginnAlter+1)/INDEX(Dx,RAM-BeginnAlter+1)*INDEX(äms25zs,RAM-BeginnAlter+1))*INDEX(kx,RAM-BeginnAlter+1)*INDEX(Dax,RAM-BeginnAlter+1)/$Y74,Rundäx),""),"")</f>
        <v/>
      </c>
      <c r="CF74" s="86"/>
      <c r="CG74" s="35">
        <f t="shared" si="79"/>
        <v>82</v>
      </c>
      <c r="CH74" s="25" t="str">
        <f>IF(CG74&lt;RAM,ROUND(v^($CG74+FaktorAlter)*$H74*($B74*0.5*($P74+$P75)*(VLOOKUP(TRUNC(0.5*($Q74+$Q75),0),Frauen!$AZ$9:$BD$95,5)+(0.5*($Q74+$Q75)-TRUNC(0.5*($Q74+$Q75),0))*(VLOOKUP(TRUNC(0.5*($Q74+$Q75)+1,0),Frauen!$AZ$9:$BD$95,5)-VLOOKUP(TRUNC(0.5*($Q74+$Q75),0),Frauen!$AZ$9:$BD$95,5)))+$C74*0.5*($CN74+$CN75)),RundDx),"")</f>
        <v/>
      </c>
      <c r="CI74" s="25" t="str">
        <f>IF(CG74&lt;RAM,ROUND(SUM(CH74:INDEX(Dawx,RAM-BeginnAlter))+INDEX(Dax,RAM-BeginnAlter+1)*INDEX(äwx,1),RundDx),"")</f>
        <v/>
      </c>
      <c r="CJ74" s="25" t="str">
        <f>IF(CG74&lt;RAM,ROUND(SUM(CI74:INDEX(Nawx,RAM-BeginnAlter))+INDEX(Dax,RAM-BeginnAlter+1)*INDEX(äwx,1),RundDx),"")</f>
        <v/>
      </c>
      <c r="CK74" s="24" t="str">
        <f t="shared" si="56"/>
        <v/>
      </c>
      <c r="CL74" s="25" t="str">
        <f>IF(CG74&lt;RAM,ROUND(v^($CG74+FaktorAlter)*$L74*$D74*0.5*($P74+$P75)*(VLOOKUP(TRUNC(0.5*($Q74+$Q75),0),Frauen!$AZ$9:$BD$95,5)+(0.5*($Q74+$Q75)-TRUNC(0.5*($Q74+$Q75),0))*(VLOOKUP(TRUNC(0.5*($Q74+$Q75)+1,0),Frauen!$AZ$9:$BD$95,5)-VLOOKUP(TRUNC(0.5*($Q74+$Q75),0),Frauen!$AZ$9:$BD$95,5))),RundDx),"")</f>
        <v/>
      </c>
      <c r="CM74" s="25" t="str">
        <f>IF(CG74&lt;RAM,SUM(CL74:INDEX(Diwx,RAM-BeginnAlter))+INDEX(Dix,RAM-BeginnAlter+1)*INDEX(äwx,1),"")</f>
        <v/>
      </c>
      <c r="CN74" s="24" t="str">
        <f t="shared" si="57"/>
        <v/>
      </c>
      <c r="CO74" s="86"/>
      <c r="CP74" s="35">
        <f t="shared" si="58"/>
        <v>130</v>
      </c>
      <c r="CQ74" s="25"/>
      <c r="CR74" s="25"/>
      <c r="CS74" s="24"/>
      <c r="CT74" s="86"/>
      <c r="CU74" s="35">
        <f t="shared" si="80"/>
        <v>82</v>
      </c>
      <c r="CV74" s="25" t="str">
        <f>IF($CU74&gt;=RAM,"",IF($CU74-CV$103&lt;BeginnAlter,"",ROUND(v^($CU74+FaktorAlter)*$L74*$D74*0.5*(VLOOKUP($CU74-CV$103,Frauen!$G$9:$J$102,4)+VLOOKUP($CU74-CV$103+1,Frauen!$G$9:$J$102,4))*0.5*(VLOOKUP($CU74-CV$103,Frauen!$AZ$9:$BD$102,5)+VLOOKUP($CU74-CV$103+1,Frauen!$AZ$9:$BD$102,5)),RundDx)))</f>
        <v/>
      </c>
      <c r="CW74" s="25" t="str">
        <f>IF($CU74&gt;=RAM,"",IF($CU74-CW$103&lt;BeginnAlter,"",ROUND(v^($CU74+FaktorAlter)*$L74*$D74*0.5*(VLOOKUP($CU74-CW$103,Frauen!$G$9:$J$102,4)+VLOOKUP($CU74-CW$103+1,Frauen!$G$9:$J$102,4))*0.5*(VLOOKUP($CU74-CW$103,Frauen!$AZ$9:$BD$102,5)+VLOOKUP($CU74-CW$103+1,Frauen!$AZ$9:$BD$102,5)),RundDx)))</f>
        <v/>
      </c>
      <c r="CX74" s="25" t="str">
        <f>IF($CU74&gt;=RAM,"",IF($CU74-CX$103&lt;BeginnAlter,"",ROUND(v^($CU74+FaktorAlter)*$L74*$D74*0.5*(VLOOKUP($CU74-CX$103,Frauen!$G$9:$J$102,4)+VLOOKUP($CU74-CX$103+1,Frauen!$G$9:$J$102,4))*0.5*(VLOOKUP($CU74-CX$103,Frauen!$AZ$9:$BD$102,5)+VLOOKUP($CU74-CX$103+1,Frauen!$AZ$9:$BD$102,5)),RundDx)))</f>
        <v/>
      </c>
      <c r="CY74" s="25" t="str">
        <f>IF($CU74&gt;=RAM,"",IF($CU74-CY$103&lt;BeginnAlter,"",ROUND(v^($CU74+FaktorAlter)*$L74*$D74*0.5*(VLOOKUP($CU74-CY$103,Frauen!$G$9:$J$102,4)+VLOOKUP($CU74-CY$103+1,Frauen!$G$9:$J$102,4))*0.5*(VLOOKUP($CU74-CY$103,Frauen!$AZ$9:$BD$102,5)+VLOOKUP($CU74-CY$103+1,Frauen!$AZ$9:$BD$102,5)),RundDx)))</f>
        <v/>
      </c>
      <c r="CZ74" s="25" t="str">
        <f>IF($CU74&gt;=RAM,"",IF($CU74-CZ$103&lt;BeginnAlter,"",ROUND(v^($CU74+FaktorAlter)*$L74*$D74*0.5*(VLOOKUP($CU74-CZ$103,Frauen!$G$9:$J$102,4)+VLOOKUP($CU74-CZ$103+1,Frauen!$G$9:$J$102,4))*0.5*(VLOOKUP($CU74-CZ$103,Frauen!$AZ$9:$BD$102,5)+VLOOKUP($CU74-CZ$103+1,Frauen!$AZ$9:$BD$102,5)),RundDx)))</f>
        <v/>
      </c>
      <c r="DA74" s="25" t="str">
        <f>IF($CU74&gt;=RAM,"",IF($CU74-DA$103&lt;BeginnAlter,"",ROUND(v^($CU74+FaktorAlter)*$L74*$D74*0.5*(VLOOKUP($CU74-DA$103,Frauen!$G$9:$J$102,4)+VLOOKUP($CU74-DA$103+1,Frauen!$G$9:$J$102,4))*0.5*(VLOOKUP($CU74-DA$103,Frauen!$AZ$9:$BD$102,5)+VLOOKUP($CU74-DA$103+1,Frauen!$AZ$9:$BD$102,5)),RundDx)))</f>
        <v/>
      </c>
      <c r="DB74" s="25" t="str">
        <f>IF($CU74&gt;=RAM,"",IF($CU74-DB$103&lt;BeginnAlter,"",ROUND(v^($CU74+FaktorAlter)*$L74*$D74*0.5*(VLOOKUP($CU74-DB$103,Frauen!$G$9:$J$102,4)+VLOOKUP($CU74-DB$103+1,Frauen!$G$9:$J$102,4))*0.5*(VLOOKUP($CU74-DB$103,Frauen!$AZ$9:$BD$102,5)+VLOOKUP($CU74-DB$103+1,Frauen!$AZ$9:$BD$102,5)),RundDx)))</f>
        <v/>
      </c>
      <c r="DC74" s="25" t="str">
        <f>IF($CU74&gt;=RAM,"",IF($CU74-DC$103&lt;BeginnAlter,"",ROUND(v^($CU74+FaktorAlter)*$L74*$D74*0.5*(VLOOKUP($CU74-DC$103,Frauen!$G$9:$J$102,4)+VLOOKUP($CU74-DC$103+1,Frauen!$G$9:$J$102,4))*0.5*(VLOOKUP($CU74-DC$103,Frauen!$AZ$9:$BD$102,5)+VLOOKUP($CU74-DC$103+1,Frauen!$AZ$9:$BD$102,5)),RundDx)))</f>
        <v/>
      </c>
      <c r="DD74" s="25" t="str">
        <f>IF($CU74&gt;=RAM,"",IF($CU74-DD$103&lt;BeginnAlter,"",ROUND(v^($CU74+FaktorAlter)*$L74*$D74*0.5*(VLOOKUP($CU74-DD$103,Frauen!$G$9:$J$102,4)+VLOOKUP($CU74-DD$103+1,Frauen!$G$9:$J$102,4))*0.5*(VLOOKUP($CU74-DD$103,Frauen!$AZ$9:$BD$102,5)+VLOOKUP($CU74-DD$103+1,Frauen!$AZ$9:$BD$102,5)),RundDx)))</f>
        <v/>
      </c>
      <c r="DE74" s="25" t="str">
        <f>IF($CU74&gt;=RAM,"",IF($CU74-DE$103&lt;BeginnAlter,"",ROUND(v^($CU74+FaktorAlter)*$L74*$D74*0.5*(VLOOKUP($CU74-DE$103,Frauen!$G$9:$J$102,4)+VLOOKUP($CU74-DE$103+1,Frauen!$G$9:$J$102,4))*0.5*(VLOOKUP($CU74-DE$103,Frauen!$AZ$9:$BD$102,5)+VLOOKUP($CU74-DE$103+1,Frauen!$AZ$9:$BD$102,5)),RundDx)))</f>
        <v/>
      </c>
      <c r="DF74" s="25" t="str">
        <f>IF($CU74&gt;=RAM,"",IF($CU74-DF$103&lt;BeginnAlter,"",ROUND(v^($CU74+FaktorAlter)*$L74*$D74*0.5*(VLOOKUP($CU74-DF$103,Frauen!$G$9:$J$102,4)+VLOOKUP($CU74-DF$103+1,Frauen!$G$9:$J$102,4))*0.5*(VLOOKUP($CU74-DF$103,Frauen!$AZ$9:$BD$102,5)+VLOOKUP($CU74-DF$103+1,Frauen!$AZ$9:$BD$102,5)),RundDx)))</f>
        <v/>
      </c>
      <c r="DG74" s="25" t="str">
        <f>IF($CU74&gt;=RAM,"",IF($CU74-DG$103&lt;BeginnAlter,"",ROUND(v^($CU74+FaktorAlter)*$L74*$D74*0.5*(VLOOKUP($CU74-DG$103,Frauen!$G$9:$J$102,4)+VLOOKUP($CU74-DG$103+1,Frauen!$G$9:$J$102,4))*0.5*(VLOOKUP($CU74-DG$103,Frauen!$AZ$9:$BD$102,5)+VLOOKUP($CU74-DG$103+1,Frauen!$AZ$9:$BD$102,5)),RundDx)))</f>
        <v/>
      </c>
      <c r="DH74" s="25" t="str">
        <f>IF($CU74&gt;=RAM,"",IF($CU74-DH$103&lt;BeginnAlter,"",ROUND(v^($CU74+FaktorAlter)*$L74*$D74*0.5*(VLOOKUP($CU74-DH$103,Frauen!$G$9:$J$102,4)+VLOOKUP($CU74-DH$103+1,Frauen!$G$9:$J$102,4))*0.5*(VLOOKUP($CU74-DH$103,Frauen!$AZ$9:$BD$102,5)+VLOOKUP($CU74-DH$103+1,Frauen!$AZ$9:$BD$102,5)),RundDx)))</f>
        <v/>
      </c>
      <c r="DI74" s="25" t="str">
        <f>IF($CU74&gt;=RAM,"",IF($CU74-DI$103&lt;BeginnAlter,"",ROUND(v^($CU74+FaktorAlter)*$L74*$D74*0.5*(VLOOKUP($CU74-DI$103,Frauen!$G$9:$J$102,4)+VLOOKUP($CU74-DI$103+1,Frauen!$G$9:$J$102,4))*0.5*(VLOOKUP($CU74-DI$103,Frauen!$AZ$9:$BD$102,5)+VLOOKUP($CU74-DI$103+1,Frauen!$AZ$9:$BD$102,5)),RundDx)))</f>
        <v/>
      </c>
      <c r="DJ74" s="25" t="str">
        <f>IF($CU74&gt;=RAM,"",IF($CU74-DJ$103&lt;BeginnAlter,"",ROUND(v^($CU74+FaktorAlter)*$L74*$D74*0.5*(VLOOKUP($CU74-DJ$103,Frauen!$G$9:$J$102,4)+VLOOKUP($CU74-DJ$103+1,Frauen!$G$9:$J$102,4))*0.5*(VLOOKUP($CU74-DJ$103,Frauen!$AZ$9:$BD$102,5)+VLOOKUP($CU74-DJ$103+1,Frauen!$AZ$9:$BD$102,5)),RundDx)))</f>
        <v/>
      </c>
      <c r="DK74" s="25" t="str">
        <f>IF($CU74&gt;=RAM,"",IF($CU74-DK$103&lt;BeginnAlter,"",ROUND(v^($CU74+FaktorAlter)*$L74*$D74*0.5*(VLOOKUP($CU74-DK$103,Frauen!$G$9:$J$102,4)+VLOOKUP($CU74-DK$103+1,Frauen!$G$9:$J$102,4))*0.5*(VLOOKUP($CU74-DK$103,Frauen!$AZ$9:$BD$102,5)+VLOOKUP($CU74-DK$103+1,Frauen!$AZ$9:$BD$102,5)),RundDx)))</f>
        <v/>
      </c>
      <c r="DL74" s="25" t="str">
        <f>IF($CU74&gt;=RAM,"",IF($CU74-DL$103&lt;BeginnAlter,"",ROUND(v^($CU74+FaktorAlter)*$L74*$D74*0.5*(VLOOKUP($CU74-DL$103,Frauen!$G$9:$J$102,4)+VLOOKUP($CU74-DL$103+1,Frauen!$G$9:$J$102,4))*0.5*(VLOOKUP($CU74-DL$103,Frauen!$AZ$9:$BD$102,5)+VLOOKUP($CU74-DL$103+1,Frauen!$AZ$9:$BD$102,5)),RundDx)))</f>
        <v/>
      </c>
      <c r="DM74" s="25" t="str">
        <f>IF($CU74&gt;=RAM,"",IF($CU74-DM$103&lt;BeginnAlter,"",ROUND(v^($CU74+FaktorAlter)*$L74*$D74*0.5*(VLOOKUP($CU74-DM$103,Frauen!$G$9:$J$102,4)+VLOOKUP($CU74-DM$103+1,Frauen!$G$9:$J$102,4))*0.5*(VLOOKUP($CU74-DM$103,Frauen!$AZ$9:$BD$102,5)+VLOOKUP($CU74-DM$103+1,Frauen!$AZ$9:$BD$102,5)),RundDx)))</f>
        <v/>
      </c>
      <c r="DN74" s="25" t="str">
        <f>IF($CU74&gt;=RAM,"",IF($CU74-DN$103&lt;BeginnAlter,"",ROUND(v^($CU74+FaktorAlter)*$L74*$D74*0.5*(VLOOKUP($CU74-DN$103,Frauen!$G$9:$J$102,4)+VLOOKUP($CU74-DN$103+1,Frauen!$G$9:$J$102,4))*0.5*(VLOOKUP($CU74-DN$103,Frauen!$AZ$9:$BD$102,5)+VLOOKUP($CU74-DN$103+1,Frauen!$AZ$9:$BD$102,5)),RundDx)))</f>
        <v/>
      </c>
      <c r="DO74" s="25" t="str">
        <f>IF($CU74&gt;=RAM,"",IF($CU74-DO$103&lt;BeginnAlter,"",ROUND(v^($CU74+FaktorAlter)*$L74*$D74*0.5*(VLOOKUP($CU74-DO$103,Frauen!$G$9:$J$102,4)+VLOOKUP($CU74-DO$103+1,Frauen!$G$9:$J$102,4))*0.5*(VLOOKUP($CU74-DO$103,Frauen!$AZ$9:$BD$102,5)+VLOOKUP($CU74-DO$103+1,Frauen!$AZ$9:$BD$102,5)),RundDx)))</f>
        <v/>
      </c>
      <c r="DP74" s="25" t="str">
        <f>IF($CU74&gt;=RAM,"",IF($CU74-DP$103&lt;BeginnAlter,"",ROUND(v^($CU74+FaktorAlter)*$L74*$D74*0.5*(VLOOKUP($CU74-DP$103,Frauen!$G$9:$J$102,4)+VLOOKUP($CU74-DP$103+1,Frauen!$G$9:$J$102,4))*0.5*(VLOOKUP($CU74-DP$103,Frauen!$AZ$9:$BD$102,5)+VLOOKUP($CU74-DP$103+1,Frauen!$AZ$9:$BD$102,5)),RundDx)))</f>
        <v/>
      </c>
      <c r="DQ74" s="25" t="str">
        <f>IF($CU74&gt;=RAM,"",IF($CU74-DQ$103&lt;BeginnAlter,"",ROUND(v^($CU74+FaktorAlter)*$L74*$D74*0.5*(VLOOKUP($CU74-DQ$103,Frauen!$G$9:$J$102,4)+VLOOKUP($CU74-DQ$103+1,Frauen!$G$9:$J$102,4))*0.5*(VLOOKUP($CU74-DQ$103,Frauen!$AZ$9:$BD$102,5)+VLOOKUP($CU74-DQ$103+1,Frauen!$AZ$9:$BD$102,5)),RundDx)))</f>
        <v/>
      </c>
      <c r="DR74" s="25" t="str">
        <f>IF($CU74&gt;=RAM,"",IF($CU74-DR$103&lt;BeginnAlter,"",ROUND(v^($CU74+FaktorAlter)*$L74*$D74*0.5*(VLOOKUP($CU74-DR$103,Frauen!$G$9:$J$102,4)+VLOOKUP($CU74-DR$103+1,Frauen!$G$9:$J$102,4))*0.5*(VLOOKUP($CU74-DR$103,Frauen!$AZ$9:$BD$102,5)+VLOOKUP($CU74-DR$103+1,Frauen!$AZ$9:$BD$102,5)),RundDx)))</f>
        <v/>
      </c>
      <c r="DS74" s="25" t="str">
        <f>IF($CU74&gt;=RAM,"",IF($CU74-DS$103&lt;BeginnAlter,"",ROUND(v^($CU74+FaktorAlter)*$L74*$D74*0.5*(VLOOKUP($CU74-DS$103,Frauen!$G$9:$J$102,4)+VLOOKUP($CU74-DS$103+1,Frauen!$G$9:$J$102,4))*0.5*(VLOOKUP($CU74-DS$103,Frauen!$AZ$9:$BD$102,5)+VLOOKUP($CU74-DS$103+1,Frauen!$AZ$9:$BD$102,5)),RundDx)))</f>
        <v/>
      </c>
      <c r="DT74" s="25" t="str">
        <f>IF($CU74&gt;=RAM,"",IF($CU74-DT$103&lt;BeginnAlter,"",ROUND(v^($CU74+FaktorAlter)*$L74*$D74*0.5*(VLOOKUP($CU74-DT$103,Frauen!$G$9:$J$102,4)+VLOOKUP($CU74-DT$103+1,Frauen!$G$9:$J$102,4))*0.5*(VLOOKUP($CU74-DT$103,Frauen!$AZ$9:$BD$102,5)+VLOOKUP($CU74-DT$103+1,Frauen!$AZ$9:$BD$102,5)),RundDx)))</f>
        <v/>
      </c>
      <c r="DU74" s="25" t="str">
        <f>IF($CU74&gt;=RAM,"",IF($CU74-DU$103&lt;BeginnAlter,"",ROUND(v^($CU74+FaktorAlter)*$L74*$D74*0.5*(VLOOKUP($CU74-DU$103,Frauen!$G$9:$J$102,4)+VLOOKUP($CU74-DU$103+1,Frauen!$G$9:$J$102,4))*0.5*(VLOOKUP($CU74-DU$103,Frauen!$AZ$9:$BD$102,5)+VLOOKUP($CU74-DU$103+1,Frauen!$AZ$9:$BD$102,5)),RundDx)))</f>
        <v/>
      </c>
      <c r="DV74" s="25" t="str">
        <f>IF($CU74&gt;=RAM,"",IF($CU74-DV$103&lt;BeginnAlter,"",ROUND(v^($CU74+FaktorAlter)*$L74*$D74*0.5*(VLOOKUP($CU74-DV$103,Frauen!$G$9:$J$102,4)+VLOOKUP($CU74-DV$103+1,Frauen!$G$9:$J$102,4))*0.5*(VLOOKUP($CU74-DV$103,Frauen!$AZ$9:$BD$102,5)+VLOOKUP($CU74-DV$103+1,Frauen!$AZ$9:$BD$102,5)),RundDx)))</f>
        <v/>
      </c>
      <c r="DW74" s="25" t="str">
        <f>IF($CU74&gt;=RAM,"",IF($CU74-DW$103&lt;BeginnAlter,"",ROUND(v^($CU74+FaktorAlter)*$L74*$D74*0.5*(VLOOKUP($CU74-DW$103,Frauen!$G$9:$J$102,4)+VLOOKUP($CU74-DW$103+1,Frauen!$G$9:$J$102,4))*0.5*(VLOOKUP($CU74-DW$103,Frauen!$AZ$9:$BD$102,5)+VLOOKUP($CU74-DW$103+1,Frauen!$AZ$9:$BD$102,5)),RundDx)))</f>
        <v/>
      </c>
      <c r="DX74" s="25" t="str">
        <f>IF($CU74&gt;=RAM,"",IF($CU74-DX$103&lt;BeginnAlter,"",ROUND(v^($CU74+FaktorAlter)*$L74*$D74*0.5*(VLOOKUP($CU74-DX$103,Frauen!$G$9:$J$102,4)+VLOOKUP($CU74-DX$103+1,Frauen!$G$9:$J$102,4))*0.5*(VLOOKUP($CU74-DX$103,Frauen!$AZ$9:$BD$102,5)+VLOOKUP($CU74-DX$103+1,Frauen!$AZ$9:$BD$102,5)),RundDx)))</f>
        <v/>
      </c>
      <c r="DY74" s="25" t="str">
        <f>IF($CU74&gt;=RAM,"",IF($CU74-DY$103&lt;BeginnAlter,"",ROUND(v^($CU74+FaktorAlter)*$L74*$D74*0.5*(VLOOKUP($CU74-DY$103,Frauen!$G$9:$J$102,4)+VLOOKUP($CU74-DY$103+1,Frauen!$G$9:$J$102,4))*0.5*(VLOOKUP($CU74-DY$103,Frauen!$AZ$9:$BD$102,5)+VLOOKUP($CU74-DY$103+1,Frauen!$AZ$9:$BD$102,5)),RundDx)))</f>
        <v/>
      </c>
      <c r="DZ74" s="25" t="str">
        <f>IF($CU74&gt;=RAM,"",IF($CU74-DZ$103&lt;BeginnAlter,"",ROUND(v^($CU74+FaktorAlter)*$L74*$D74*0.5*(VLOOKUP($CU74-DZ$103,Frauen!$G$9:$J$102,4)+VLOOKUP($CU74-DZ$103+1,Frauen!$G$9:$J$102,4))*0.5*(VLOOKUP($CU74-DZ$103,Frauen!$AZ$9:$BD$102,5)+VLOOKUP($CU74-DZ$103+1,Frauen!$AZ$9:$BD$102,5)),RundDx)))</f>
        <v/>
      </c>
      <c r="EA74" s="43" t="str">
        <f>IF($CU74&gt;=RAM,"",IF($CU74-EA$103&lt;BeginnAlter,"",ROUND((SUM(CV$56:CV74)+SUM(FN$9:FN$56))/VLOOKUP($CU74,$AH$9:$AI$102,2)/VLOOKUP($CU74-EA$103,Frauen!$G$9:$J$102,4),Rundäx)))</f>
        <v/>
      </c>
      <c r="EB74" s="43" t="str">
        <f>IF($CU74&gt;=RAM,"",IF($CU74-EB$103&lt;BeginnAlter,"",ROUND((SUM(CW$56:CW74)+SUM(FO$9:FO$56))/VLOOKUP($CU74,$AH$9:$AI$102,2)/VLOOKUP($CU74-EB$103,Frauen!$G$9:$J$102,4),Rundäx)))</f>
        <v/>
      </c>
      <c r="EC74" s="43" t="str">
        <f>IF($CU74&gt;=RAM,"",IF($CU74-EC$103&lt;BeginnAlter,"",ROUND((SUM(CX$56:CX74)+SUM(FP$9:FP$56))/VLOOKUP($CU74,$AH$9:$AI$102,2)/VLOOKUP($CU74-EC$103,Frauen!$G$9:$J$102,4),Rundäx)))</f>
        <v/>
      </c>
      <c r="ED74" s="43" t="str">
        <f>IF($CU74&gt;=RAM,"",IF($CU74-ED$103&lt;BeginnAlter,"",ROUND((SUM(CY$56:CY74)+SUM(FQ$9:FQ$56))/VLOOKUP($CU74,$AH$9:$AI$102,2)/VLOOKUP($CU74-ED$103,Frauen!$G$9:$J$102,4),Rundäx)))</f>
        <v/>
      </c>
      <c r="EE74" s="43" t="str">
        <f>IF($CU74&gt;=RAM,"",IF($CU74-EE$103&lt;BeginnAlter,"",ROUND((SUM(CZ$56:CZ74)+SUM(FR$9:FR$56))/VLOOKUP($CU74,$AH$9:$AI$102,2)/VLOOKUP($CU74-EE$103,Frauen!$G$9:$J$102,4),Rundäx)))</f>
        <v/>
      </c>
      <c r="EF74" s="43" t="str">
        <f>IF($CU74&gt;=RAM,"",IF($CU74-EF$103&lt;BeginnAlter,"",ROUND((SUM(DA$56:DA74)+SUM(FS$9:FS$56))/VLOOKUP($CU74,$AH$9:$AI$102,2)/VLOOKUP($CU74-EF$103,Frauen!$G$9:$J$102,4),Rundäx)))</f>
        <v/>
      </c>
      <c r="EG74" s="43" t="str">
        <f>IF($CU74&gt;=RAM,"",IF($CU74-EG$103&lt;BeginnAlter,"",ROUND((SUM(DB$56:DB74)+SUM(FT$9:FT$56))/VLOOKUP($CU74,$AH$9:$AI$102,2)/VLOOKUP($CU74-EG$103,Frauen!$G$9:$J$102,4),Rundäx)))</f>
        <v/>
      </c>
      <c r="EH74" s="43" t="str">
        <f>IF($CU74&gt;=RAM,"",IF($CU74-EH$103&lt;BeginnAlter,"",ROUND((SUM(DC$56:DC74)+SUM(FU$9:FU$56))/VLOOKUP($CU74,$AH$9:$AI$102,2)/VLOOKUP($CU74-EH$103,Frauen!$G$9:$J$102,4),Rundäx)))</f>
        <v/>
      </c>
      <c r="EI74" s="86"/>
      <c r="EJ74" s="35">
        <f t="shared" si="60"/>
        <v>82</v>
      </c>
      <c r="EK74" s="43" t="str">
        <f>IF($CU74&gt;=RAM,"",IF($CU74-EK$103&lt;BeginnAlter,"",ROUND((SUM(DD$56:DD74)+SUM(FV$9:FV$56))/VLOOKUP($CU74,$AH$9:$AI$102,2)/VLOOKUP($CU74-EK$103,Frauen!$G$9:$J$102,4),Rundäx)))</f>
        <v/>
      </c>
      <c r="EL74" s="43" t="str">
        <f>IF($CU74&gt;=RAM,"",IF($CU74-EL$103&lt;BeginnAlter,"",ROUND((SUM(DE$56:DE74)+SUM(FW$9:FW$56))/VLOOKUP($CU74,$AH$9:$AI$102,2)/VLOOKUP($CU74-EL$103,Frauen!$G$9:$J$102,4),Rundäx)))</f>
        <v/>
      </c>
      <c r="EM74" s="43" t="str">
        <f>IF($CU74&gt;=RAM,"",IF($CU74-EM$103&lt;BeginnAlter,"",ROUND((SUM(DF$56:DF74)+SUM(FX$9:FX$56))/VLOOKUP($CU74,$AH$9:$AI$102,2)/VLOOKUP($CU74-EM$103,Frauen!$G$9:$J$102,4),Rundäx)))</f>
        <v/>
      </c>
      <c r="EN74" s="43" t="str">
        <f>IF($CU74&gt;=RAM,"",IF($CU74-EN$103&lt;BeginnAlter,"",ROUND((SUM(DG$56:DG74)+SUM(FY$9:FY$56))/VLOOKUP($CU74,$AH$9:$AI$102,2)/VLOOKUP($CU74-EN$103,Frauen!$G$9:$J$102,4),Rundäx)))</f>
        <v/>
      </c>
      <c r="EO74" s="43" t="str">
        <f>IF($CU74&gt;=RAM,"",IF($CU74-EO$103&lt;BeginnAlter,"",ROUND((SUM(DH$56:DH74)+SUM(FZ$9:FZ$56))/VLOOKUP($CU74,$AH$9:$AI$102,2)/VLOOKUP($CU74-EO$103,Frauen!$G$9:$J$102,4),Rundäx)))</f>
        <v/>
      </c>
      <c r="EP74" s="43" t="str">
        <f>IF($CU74&gt;=RAM,"",IF($CU74-EP$103&lt;BeginnAlter,"",ROUND((SUM(DI$56:DI74)+SUM(GA$9:GA$56))/VLOOKUP($CU74,$AH$9:$AI$102,2)/VLOOKUP($CU74-EP$103,Frauen!$G$9:$J$102,4),Rundäx)))</f>
        <v/>
      </c>
      <c r="EQ74" s="43" t="str">
        <f>IF($CU74&gt;=RAM,"",IF($CU74-EQ$103&lt;BeginnAlter,"",ROUND((SUM(DJ$56:DJ74)+SUM(GB$9:GB$56))/VLOOKUP($CU74,$AH$9:$AI$102,2)/VLOOKUP($CU74-EQ$103,Frauen!$G$9:$J$102,4),Rundäx)))</f>
        <v/>
      </c>
      <c r="ER74" s="43" t="str">
        <f>IF($CU74&gt;=RAM,"",IF($CU74-ER$103&lt;BeginnAlter,"",ROUND((SUM(DK$56:DK74)+SUM(GC$9:GC$56))/VLOOKUP($CU74,$AH$9:$AI$102,2)/VLOOKUP($CU74-ER$103,Frauen!$G$9:$J$102,4),Rundäx)))</f>
        <v/>
      </c>
      <c r="ES74" s="86"/>
      <c r="ET74" s="35">
        <f t="shared" si="61"/>
        <v>82</v>
      </c>
      <c r="EU74" s="43" t="str">
        <f>IF($CU74&gt;=RAM,"",IF($CU74-EU$103&lt;BeginnAlter,"",ROUND((SUM(DL$56:DL74)+SUM(GD$9:GD$56))/VLOOKUP($CU74,$AH$9:$AI$102,2)/VLOOKUP($CU74-EU$103,Frauen!$G$9:$J$102,4),Rundäx)))</f>
        <v/>
      </c>
      <c r="EV74" s="43" t="str">
        <f>IF($CU74&gt;=RAM,"",IF($CU74-EV$103&lt;BeginnAlter,"",ROUND((SUM(DM$56:DM74)+SUM(GE$9:GE$56))/VLOOKUP($CU74,$AH$9:$AI$102,2)/VLOOKUP($CU74-EV$103,Frauen!$G$9:$J$102,4),Rundäx)))</f>
        <v/>
      </c>
      <c r="EW74" s="43" t="str">
        <f>IF($CU74&gt;=RAM,"",IF($CU74-EW$103&lt;BeginnAlter,"",ROUND((SUM(DN$56:DN74)+SUM(GF$9:GF$56))/VLOOKUP($CU74,$AH$9:$AI$102,2)/VLOOKUP($CU74-EW$103,Frauen!$G$9:$J$102,4),Rundäx)))</f>
        <v/>
      </c>
      <c r="EX74" s="43" t="str">
        <f>IF($CU74&gt;=RAM,"",IF($CU74-EX$103&lt;BeginnAlter,"",ROUND((SUM(DO$56:DO74)+SUM(GG$9:GG$56))/VLOOKUP($CU74,$AH$9:$AI$102,2)/VLOOKUP($CU74-EX$103,Frauen!$G$9:$J$102,4),Rundäx)))</f>
        <v/>
      </c>
      <c r="EY74" s="43" t="str">
        <f>IF($CU74&gt;=RAM,"",IF($CU74-EY$103&lt;BeginnAlter,"",ROUND((SUM(DP$56:DP74)+SUM(GH$9:GH$56))/VLOOKUP($CU74,$AH$9:$AI$102,2)/VLOOKUP($CU74-EY$103,Frauen!$G$9:$J$102,4),Rundäx)))</f>
        <v/>
      </c>
      <c r="EZ74" s="43" t="str">
        <f>IF($CU74&gt;=RAM,"",IF($CU74-EZ$103&lt;BeginnAlter,"",ROUND((SUM(DQ$56:DQ74)+SUM(GI$9:GI$56))/VLOOKUP($CU74,$AH$9:$AI$102,2)/VLOOKUP($CU74-EZ$103,Frauen!$G$9:$J$102,4),Rundäx)))</f>
        <v/>
      </c>
      <c r="FA74" s="43" t="str">
        <f>IF($CU74&gt;=RAM,"",IF($CU74-FA$103&lt;BeginnAlter,"",ROUND((SUM(DR$56:DR74)+SUM(GJ$9:GJ$56))/VLOOKUP($CU74,$AH$9:$AI$102,2)/VLOOKUP($CU74-FA$103,Frauen!$G$9:$J$102,4),Rundäx)))</f>
        <v/>
      </c>
      <c r="FB74" s="43" t="str">
        <f>IF($CU74&gt;=RAM,"",IF($CU74-FB$103&lt;BeginnAlter,"",ROUND((SUM(DS$56:DS74)+SUM(GK$9:GK$56))/VLOOKUP($CU74,$AH$9:$AI$102,2)/VLOOKUP($CU74-FB$103,Frauen!$G$9:$J$102,4),Rundäx)))</f>
        <v/>
      </c>
      <c r="FC74" s="86"/>
      <c r="FD74" s="35">
        <f t="shared" si="62"/>
        <v>82</v>
      </c>
      <c r="FE74" s="43" t="str">
        <f>IF($CU74&gt;=RAM,"",IF($CU74-FE$103&lt;BeginnAlter,"",ROUND((SUM(DT$56:DT74)+SUM(GL$9:GL$56))/VLOOKUP($CU74,$AH$9:$AI$102,2)/VLOOKUP($CU74-FE$103,Frauen!$G$9:$J$102,4),Rundäx)))</f>
        <v/>
      </c>
      <c r="FF74" s="43" t="str">
        <f>IF($CU74&gt;=RAM,"",IF($CU74-FF$103&lt;BeginnAlter,"",ROUND((SUM(DU$56:DU74)+SUM(GM$9:GM$56))/VLOOKUP($CU74,$AH$9:$AI$102,2)/VLOOKUP($CU74-FF$103,Frauen!$G$9:$J$102,4),Rundäx)))</f>
        <v/>
      </c>
      <c r="FG74" s="43" t="str">
        <f>IF($CU74&gt;=RAM,"",IF($CU74-FG$103&lt;BeginnAlter,"",ROUND((SUM(DV$56:DV74)+SUM(GN$9:GN$56))/VLOOKUP($CU74,$AH$9:$AI$102,2)/VLOOKUP($CU74-FG$103,Frauen!$G$9:$J$102,4),Rundäx)))</f>
        <v/>
      </c>
      <c r="FH74" s="43" t="str">
        <f>IF($CU74&gt;=RAM,"",IF($CU74-FH$103&lt;BeginnAlter,"",ROUND((SUM(DW$56:DW74)+SUM(GO$9:GO$56))/VLOOKUP($CU74,$AH$9:$AI$102,2)/VLOOKUP($CU74-FH$103,Frauen!$G$9:$J$102,4),Rundäx)))</f>
        <v/>
      </c>
      <c r="FI74" s="43" t="str">
        <f>IF($CU74&gt;=RAM,"",IF($CU74-FI$103&lt;BeginnAlter,"",ROUND((SUM(DX$56:DX74)+SUM(GP$9:GP$56))/VLOOKUP($CU74,$AH$9:$AI$102,2)/VLOOKUP($CU74-FI$103,Frauen!$G$9:$J$102,4),Rundäx)))</f>
        <v/>
      </c>
      <c r="FJ74" s="43" t="str">
        <f>IF($CU74&gt;=RAM,"",IF($CU74-FJ$103&lt;BeginnAlter,"",ROUND((SUM(DY$56:DY74)+SUM(GQ$9:GQ$56))/VLOOKUP($CU74,$AH$9:$AI$102,2)/VLOOKUP($CU74-FJ$103,Frauen!$G$9:$J$102,4),Rundäx)))</f>
        <v/>
      </c>
      <c r="FK74" s="43" t="str">
        <f>IF($CU74&gt;=RAM,"",IF($CU74-FK$103&lt;BeginnAlter,"",ROUND((SUM(DZ$56:DZ74)+SUM(GR$9:GR$56))/VLOOKUP($CU74,$AH$9:$AI$102,2)/VLOOKUP($CU74-FK$103,Frauen!$G$9:$J$102,4),Rundäx)))</f>
        <v/>
      </c>
      <c r="FL74" s="86"/>
      <c r="FM74" s="35">
        <f t="shared" si="68"/>
        <v>130</v>
      </c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4"/>
      <c r="GT74" s="24"/>
      <c r="GU74" s="24" t="str">
        <f>IF(FM74&gt;=RAM," ",#REF!/$AI74/Frauen!$J62)</f>
        <v xml:space="preserve"> </v>
      </c>
      <c r="GV74" s="24" t="str">
        <f>IF(FM74&gt;=RAM," ",#REF!/$AI74/Frauen!$J65)</f>
        <v xml:space="preserve"> </v>
      </c>
      <c r="GW74" s="24" t="str">
        <f>IF(FM74&gt;=RAM," ",#REF!/$AI74/Frauen!$J68)</f>
        <v xml:space="preserve"> </v>
      </c>
      <c r="GX74" s="24" t="str">
        <f>IF(FM74&gt;=RAM," ",#REF!/$AI74/Frauen!$J71)</f>
        <v xml:space="preserve"> </v>
      </c>
      <c r="GY74" s="24" t="str">
        <f>IF(FM74&gt;=RAM," ",#REF!/$AI74/Frauen!$J74)</f>
        <v xml:space="preserve"> </v>
      </c>
      <c r="GZ74" s="24" t="str">
        <f>IF(FM74&gt;=RAM," ",#REF!/$AI74/Frauen!$J77)</f>
        <v xml:space="preserve"> </v>
      </c>
      <c r="HA74" s="86"/>
      <c r="HB74" s="35">
        <f t="shared" si="63"/>
        <v>130</v>
      </c>
      <c r="HC74" s="24"/>
      <c r="HD74" s="24"/>
      <c r="HE74" s="24"/>
      <c r="HF74" s="24"/>
      <c r="HG74" s="24"/>
      <c r="HH74" s="24"/>
      <c r="HI74" s="24"/>
      <c r="HJ74" s="24"/>
      <c r="HK74" s="86"/>
      <c r="HL74" s="35">
        <f t="shared" si="64"/>
        <v>130</v>
      </c>
      <c r="HM74" s="24"/>
      <c r="HN74" s="24"/>
      <c r="HO74" s="24"/>
      <c r="HP74" s="24"/>
      <c r="HQ74" s="24"/>
      <c r="HR74" s="24"/>
      <c r="HS74" s="24"/>
      <c r="HT74" s="24"/>
      <c r="HU74" s="86"/>
      <c r="HV74" s="35">
        <f t="shared" si="65"/>
        <v>130</v>
      </c>
      <c r="HW74" s="24"/>
      <c r="HX74" s="24"/>
      <c r="HY74" s="24"/>
      <c r="HZ74" s="24"/>
      <c r="IA74" s="24"/>
      <c r="IB74" s="24"/>
      <c r="IC74" s="24"/>
      <c r="ID74" s="89"/>
      <c r="IE74" s="35">
        <f t="shared" si="81"/>
        <v>82</v>
      </c>
      <c r="IF74" s="25" t="str">
        <f t="shared" ref="IF74:IF102" si="112">IF($IE74&lt;RAM,IF(S75&lt;=RAK,ROUND(v^($IE74+FaktorAlter)*$H74*($B74*0.5*($R74+$R75)*(VLOOKUP(TRUNC(0.5*($S74+$S75),0),$BF$9:$BH$102,3)+(0.5*($S74+$S75)-TRUNC(0.5*($S74+$S75),0))*(VLOOKUP(TRUNC(0.5*($S74+$S75)+1,0),$BF$9:$BH$102,3)-VLOOKUP(TRUNC(0.5*($S74+$S75),0),$BF$9:$BH$102,3)))+$C74*0.5*($IL74+$IL75)),RundDx),0),"")</f>
        <v/>
      </c>
      <c r="IG74" s="25" t="str">
        <f>IF($IE74&lt;RAM,IF(S75&lt;=RAK,ROUND(SUM(IF74:INDEX(Dakx,RAM-BeginnAlter))+INDEX(Dax,RAM-BeginnAlter+1)*INDEX(äkx,1),RundDx),0),"")</f>
        <v/>
      </c>
      <c r="IH74" s="25" t="str">
        <f>IF($IE74&lt;RAM,IF(S75&lt;=RAK,ROUND(SUM(IG74:INDEX(Nakx,RAM-BeginnAlter))+INDEX(Dax,RAM-BeginnAlter+1)*INDEX(äkx,1),RundDx),0),"")</f>
        <v/>
      </c>
      <c r="II74" s="24" t="str">
        <f t="shared" ref="II74:II102" si="113">IF($IE74&lt;RAM,IF(S75&lt;=RAK,ROUND(IG74/$Y74,Rundäx),0),"")</f>
        <v/>
      </c>
      <c r="IJ74" s="25" t="str">
        <f t="shared" ref="IJ74:IJ102" si="114">IF($IE74&lt;RAM,IF(S75&lt;=RAK,ROUND(v^($IE74+FaktorAlter)*$L74*$D74*0.5*($R74+$R75)*(VLOOKUP(TRUNC(0.5*($S74+$S75),0),$BF$9:$BH$102,3)+(0.5*($S74+$S75)-TRUNC(0.5*($S74+$S75),0))*(VLOOKUP(TRUNC(0.5*($S74+$S75)+1,0),$BF$9:$BH$102,3)-VLOOKUP(TRUNC(0.5*($S74+$S75),0),$BF$9:$BH$102,3))),RundDx),0),"")</f>
        <v/>
      </c>
      <c r="IK74" s="25" t="str">
        <f>IF($IE74&lt;RAM,IF(S75&lt;=RAK,SUM(IJ74:INDEX(Dikx,RAM-BeginnAlter))+INDEX(Dix,RAM-BeginnAlter+1)*INDEX(äkx,1),0),"")</f>
        <v/>
      </c>
      <c r="IL74" s="24" t="str">
        <f t="shared" ref="IL74:IL102" si="115">IF($IE74&lt;RAM,IF(S75&lt;=RAK,ROUND(IK74/$AI74,Rundäx),0),IF(IE74&gt;RAM,"",INDEX(äkx,1)))</f>
        <v/>
      </c>
      <c r="IM74" s="86"/>
      <c r="IN74" s="35">
        <f t="shared" si="67"/>
        <v>130</v>
      </c>
      <c r="IO74" s="25"/>
      <c r="IP74" s="25"/>
      <c r="IQ74" s="24"/>
      <c r="IR74" s="86"/>
    </row>
    <row r="75" spans="1:252" ht="15.75" customHeight="1" x14ac:dyDescent="0.25">
      <c r="A75" s="35">
        <f t="shared" si="69"/>
        <v>83</v>
      </c>
      <c r="B75" s="77"/>
      <c r="C75" s="77"/>
      <c r="D75" s="77"/>
      <c r="E75" s="77">
        <v>8.2084399384375395E-2</v>
      </c>
      <c r="F75" s="86"/>
      <c r="G75" s="35">
        <f t="shared" si="70"/>
        <v>83</v>
      </c>
      <c r="H75" s="25" t="str">
        <f t="shared" ref="H75:H100" si="116">IF(G75&lt;=RAM,ROUND(H74*(1-B74-C74),Rundlx),"")</f>
        <v/>
      </c>
      <c r="I75" s="25" t="str">
        <f t="shared" ref="I75:I100" si="117">IF(G75&lt;=RAM,ROUND(H74*C74*(1-D74)/(1-0.5*D74)+I74*(1-D74),RundIx),"")</f>
        <v/>
      </c>
      <c r="J75" s="25">
        <f t="shared" ref="J75:J96" si="118">IF(G75&lt;=RAM,H75+I75,ROUND(J74*(1-E74),Rundlx))</f>
        <v>44131</v>
      </c>
      <c r="K75" s="30">
        <f>IF(J75&gt;0,ROUND(SUM(J75:J$102)/J75-0.5,Rundex),"")</f>
        <v>6.38</v>
      </c>
      <c r="L75" s="25">
        <f t="shared" si="82"/>
        <v>44131</v>
      </c>
      <c r="M75" s="30">
        <f>IF(L75&gt;0,ROUND(SUM(L75:L$102)/L75-0.5,Rundex),"")</f>
        <v>6.38</v>
      </c>
      <c r="N75" s="86"/>
      <c r="O75" s="35">
        <f t="shared" si="71"/>
        <v>83</v>
      </c>
      <c r="P75" s="43">
        <v>0.69098184097795423</v>
      </c>
      <c r="Q75" s="78">
        <v>77.419313044373837</v>
      </c>
      <c r="R75" s="43"/>
      <c r="S75" s="78"/>
      <c r="T75" s="15">
        <v>8.9764469535636882E-2</v>
      </c>
      <c r="U75" s="11">
        <f t="shared" ref="U75:U96" si="119">ROUND(U74*(1-T74),Rundlx)</f>
        <v>34581</v>
      </c>
      <c r="V75" s="30">
        <f>IF(U75&gt;0,ROUND(SUM(U75:U$102)/U75-0.5,Rundex),"")</f>
        <v>6.23</v>
      </c>
      <c r="W75" s="86"/>
      <c r="X75" s="35">
        <f t="shared" si="72"/>
        <v>83</v>
      </c>
      <c r="Y75" s="25" t="str">
        <f t="shared" si="83"/>
        <v xml:space="preserve"> </v>
      </c>
      <c r="Z75" s="25" t="str">
        <f>IF($X75&lt;RAM,SUM(Y75:INDEX(Dax,RAM-BeginnAlter))," ")</f>
        <v xml:space="preserve"> </v>
      </c>
      <c r="AA75" s="25" t="str">
        <f t="shared" si="84"/>
        <v xml:space="preserve"> </v>
      </c>
      <c r="AB75" s="25" t="str">
        <f>IF($X75&lt;RAM,SUM(AA75:INDEX(Cax,RAM-BeginnAlter))," ")</f>
        <v xml:space="preserve"> </v>
      </c>
      <c r="AC75" s="25" t="str">
        <f t="shared" si="85"/>
        <v xml:space="preserve"> </v>
      </c>
      <c r="AD75" s="25" t="str">
        <f>IF($X75&lt;RAM,SUM(AC75:INDEX(Caix,RAM-BeginnAlter))," ")</f>
        <v xml:space="preserve"> </v>
      </c>
      <c r="AE75" s="24" t="str">
        <f t="shared" si="86"/>
        <v xml:space="preserve"> </v>
      </c>
      <c r="AF75" s="24" t="str">
        <f t="shared" si="87"/>
        <v xml:space="preserve"> </v>
      </c>
      <c r="AG75" s="86"/>
      <c r="AH75" s="35">
        <f t="shared" si="73"/>
        <v>83</v>
      </c>
      <c r="AI75" s="25" t="str">
        <f t="shared" si="88"/>
        <v xml:space="preserve"> </v>
      </c>
      <c r="AJ75" s="25" t="str">
        <f>IF($AH75&gt;RAM," ",IF($AH75&lt;RAM,SUM(AI75:INDEX(Dix,RAM-BeginnAlter))+INDEX(Nx,RAM-BeginnAlter+1),INDEX(Nx,RAM-BeginnAlter+1)))</f>
        <v xml:space="preserve"> </v>
      </c>
      <c r="AK75" s="25" t="str">
        <f>IF($AH75&lt;RAM,SUM(AI75:INDEX(Dix,RAM-BeginnAlter))," ")</f>
        <v xml:space="preserve"> </v>
      </c>
      <c r="AL75" s="24" t="str">
        <f t="shared" si="89"/>
        <v xml:space="preserve"> </v>
      </c>
      <c r="AM75" s="24" t="str">
        <f t="shared" si="90"/>
        <v xml:space="preserve"> </v>
      </c>
      <c r="AN75" s="24" t="str">
        <f t="shared" si="91"/>
        <v xml:space="preserve"> </v>
      </c>
      <c r="AO75" s="24" t="str">
        <f t="shared" si="92"/>
        <v xml:space="preserve"> </v>
      </c>
      <c r="AP75" s="86"/>
      <c r="AQ75" s="35">
        <f t="shared" si="74"/>
        <v>83</v>
      </c>
      <c r="AR75" s="25">
        <f t="shared" si="93"/>
        <v>6961</v>
      </c>
      <c r="AS75" s="25">
        <f>SUM(AR75:AR$94)</f>
        <v>43781</v>
      </c>
      <c r="AT75" s="25" t="str">
        <f>IF($AQ75&lt;RAM,SUM(AR75:INDEX(Dx,RAM-BeginnAlter))," ")</f>
        <v xml:space="preserve"> </v>
      </c>
      <c r="AU75" s="24">
        <f t="shared" si="94"/>
        <v>6.2889999999999997</v>
      </c>
      <c r="AV75" s="24">
        <f t="shared" si="95"/>
        <v>5.8310000000000004</v>
      </c>
      <c r="AW75" s="24" t="str">
        <f t="shared" si="96"/>
        <v xml:space="preserve"> </v>
      </c>
      <c r="AX75" s="24" t="str">
        <f t="shared" si="97"/>
        <v xml:space="preserve"> </v>
      </c>
      <c r="AY75" s="86"/>
      <c r="AZ75" s="35">
        <f t="shared" si="75"/>
        <v>83</v>
      </c>
      <c r="BA75" s="25">
        <f t="shared" si="98"/>
        <v>5455</v>
      </c>
      <c r="BB75" s="25">
        <f>SUM(BA75:BA$94)</f>
        <v>33615</v>
      </c>
      <c r="BC75" s="24">
        <f t="shared" si="99"/>
        <v>6.1619999999999999</v>
      </c>
      <c r="BD75" s="24">
        <f t="shared" si="100"/>
        <v>5.7039999999999997</v>
      </c>
      <c r="BE75" s="86"/>
      <c r="BF75" s="35">
        <f t="shared" si="48"/>
        <v>66</v>
      </c>
      <c r="BG75" s="24" t="str">
        <f t="shared" si="101"/>
        <v/>
      </c>
      <c r="BH75" s="24" t="str">
        <f t="shared" si="102"/>
        <v/>
      </c>
      <c r="BI75" s="86"/>
      <c r="BJ75" s="35">
        <f t="shared" si="76"/>
        <v>83</v>
      </c>
      <c r="BK75" s="25" t="str">
        <f t="shared" si="103"/>
        <v xml:space="preserve"> </v>
      </c>
      <c r="BL75" s="25" t="str">
        <f>IF(BJ75&lt;RAM,SUM(BK75:INDEX(Daix,RAM-BeginnAlter))," ")</f>
        <v xml:space="preserve"> </v>
      </c>
      <c r="BM75" s="25" t="str">
        <f>IF(BJ75&lt;RAM,SUM(BL75:INDEX(Naix,RAM-BeginnAlter))," ")</f>
        <v xml:space="preserve"> </v>
      </c>
      <c r="BN75" s="24" t="str">
        <f t="shared" si="104"/>
        <v xml:space="preserve"> </v>
      </c>
      <c r="BO75" s="24" t="str">
        <f t="shared" si="105"/>
        <v xml:space="preserve"> </v>
      </c>
      <c r="BP75" s="86"/>
      <c r="BQ75" s="35">
        <f t="shared" si="77"/>
        <v>83</v>
      </c>
      <c r="BR75" s="25" t="str">
        <f t="shared" si="51"/>
        <v xml:space="preserve"> </v>
      </c>
      <c r="BS75" s="25" t="str">
        <f>IF(BQ75&lt;RAM,SUM(BR75:INDEX(Daixs,RAM-BeginnAlter))," ")</f>
        <v xml:space="preserve"> </v>
      </c>
      <c r="BT75" s="25" t="str">
        <f>IF(BQ75&lt;RAM,SUM(BS75:INDEX(Naixs,RAM-BeginnAlter))," ")</f>
        <v xml:space="preserve"> </v>
      </c>
      <c r="BU75" s="24" t="str">
        <f t="shared" si="52"/>
        <v xml:space="preserve"> </v>
      </c>
      <c r="BV75" s="24" t="str">
        <f t="shared" si="53"/>
        <v xml:space="preserve"> </v>
      </c>
      <c r="BW75" s="86"/>
      <c r="BX75" s="35">
        <f t="shared" si="78"/>
        <v>83</v>
      </c>
      <c r="BY75" s="10" t="str">
        <f t="shared" si="106"/>
        <v/>
      </c>
      <c r="BZ75" s="11" t="str">
        <f t="shared" si="107"/>
        <v/>
      </c>
      <c r="CA75" s="25" t="str">
        <f>IF(S76&lt;=RAK,IF($BX75&lt;RAM,SUM(BZ75:INDEX(Dazx,RAM-BeginnAlter)),""),"")</f>
        <v/>
      </c>
      <c r="CB75" s="24" t="str">
        <f t="shared" si="108"/>
        <v/>
      </c>
      <c r="CC75" s="25">
        <f t="shared" si="109"/>
        <v>0</v>
      </c>
      <c r="CD75" s="24">
        <f t="shared" si="110"/>
        <v>0</v>
      </c>
      <c r="CE75" s="24" t="str">
        <f t="shared" si="111"/>
        <v/>
      </c>
      <c r="CF75" s="86"/>
      <c r="CG75" s="35">
        <f t="shared" si="79"/>
        <v>83</v>
      </c>
      <c r="CH75" s="25" t="str">
        <f>IF(CG75&lt;RAM,ROUND(v^($CG75+FaktorAlter)*$H75*($B75*0.5*($P75+$P76)*(VLOOKUP(TRUNC(0.5*($Q75+$Q76),0),Frauen!$AZ$9:$BD$95,5)+(0.5*($Q75+$Q76)-TRUNC(0.5*($Q75+$Q76),0))*(VLOOKUP(TRUNC(0.5*($Q75+$Q76)+1,0),Frauen!$AZ$9:$BD$95,5)-VLOOKUP(TRUNC(0.5*($Q75+$Q76),0),Frauen!$AZ$9:$BD$95,5)))+$C75*0.5*($CN75+$CN76)),RundDx),"")</f>
        <v/>
      </c>
      <c r="CI75" s="25" t="str">
        <f>IF(CG75&lt;RAM,ROUND(SUM(CH75:INDEX(Dawx,RAM-BeginnAlter))+INDEX(Dax,RAM-BeginnAlter+1)*INDEX(äwx,1),RundDx),"")</f>
        <v/>
      </c>
      <c r="CJ75" s="25" t="str">
        <f>IF(CG75&lt;RAM,ROUND(SUM(CI75:INDEX(Nawx,RAM-BeginnAlter))+INDEX(Dax,RAM-BeginnAlter+1)*INDEX(äwx,1),RundDx),"")</f>
        <v/>
      </c>
      <c r="CK75" s="24" t="str">
        <f t="shared" si="56"/>
        <v/>
      </c>
      <c r="CL75" s="25" t="str">
        <f>IF(CG75&lt;RAM,ROUND(v^($CG75+FaktorAlter)*$L75*$D75*0.5*($P75+$P76)*(VLOOKUP(TRUNC(0.5*($Q75+$Q76),0),Frauen!$AZ$9:$BD$95,5)+(0.5*($Q75+$Q76)-TRUNC(0.5*($Q75+$Q76),0))*(VLOOKUP(TRUNC(0.5*($Q75+$Q76)+1,0),Frauen!$AZ$9:$BD$95,5)-VLOOKUP(TRUNC(0.5*($Q75+$Q76),0),Frauen!$AZ$9:$BD$95,5))),RundDx),"")</f>
        <v/>
      </c>
      <c r="CM75" s="25" t="str">
        <f>IF(CG75&lt;RAM,SUM(CL75:INDEX(Diwx,RAM-BeginnAlter))+INDEX(Dix,RAM-BeginnAlter+1)*INDEX(äwx,1),"")</f>
        <v/>
      </c>
      <c r="CN75" s="24" t="str">
        <f t="shared" si="57"/>
        <v/>
      </c>
      <c r="CO75" s="86"/>
      <c r="CP75" s="35">
        <f t="shared" si="58"/>
        <v>131</v>
      </c>
      <c r="CQ75" s="25"/>
      <c r="CR75" s="25"/>
      <c r="CS75" s="24"/>
      <c r="CT75" s="86"/>
      <c r="CU75" s="35">
        <f t="shared" si="80"/>
        <v>83</v>
      </c>
      <c r="CV75" s="25" t="str">
        <f>IF($CU75&gt;=RAM,"",IF($CU75-CV$103&lt;BeginnAlter,"",ROUND(v^($CU75+FaktorAlter)*$L75*$D75*0.5*(VLOOKUP($CU75-CV$103,Frauen!$G$9:$J$102,4)+VLOOKUP($CU75-CV$103+1,Frauen!$G$9:$J$102,4))*0.5*(VLOOKUP($CU75-CV$103,Frauen!$AZ$9:$BD$102,5)+VLOOKUP($CU75-CV$103+1,Frauen!$AZ$9:$BD$102,5)),RundDx)))</f>
        <v/>
      </c>
      <c r="CW75" s="25" t="str">
        <f>IF($CU75&gt;=RAM,"",IF($CU75-CW$103&lt;BeginnAlter,"",ROUND(v^($CU75+FaktorAlter)*$L75*$D75*0.5*(VLOOKUP($CU75-CW$103,Frauen!$G$9:$J$102,4)+VLOOKUP($CU75-CW$103+1,Frauen!$G$9:$J$102,4))*0.5*(VLOOKUP($CU75-CW$103,Frauen!$AZ$9:$BD$102,5)+VLOOKUP($CU75-CW$103+1,Frauen!$AZ$9:$BD$102,5)),RundDx)))</f>
        <v/>
      </c>
      <c r="CX75" s="25" t="str">
        <f>IF($CU75&gt;=RAM,"",IF($CU75-CX$103&lt;BeginnAlter,"",ROUND(v^($CU75+FaktorAlter)*$L75*$D75*0.5*(VLOOKUP($CU75-CX$103,Frauen!$G$9:$J$102,4)+VLOOKUP($CU75-CX$103+1,Frauen!$G$9:$J$102,4))*0.5*(VLOOKUP($CU75-CX$103,Frauen!$AZ$9:$BD$102,5)+VLOOKUP($CU75-CX$103+1,Frauen!$AZ$9:$BD$102,5)),RundDx)))</f>
        <v/>
      </c>
      <c r="CY75" s="25" t="str">
        <f>IF($CU75&gt;=RAM,"",IF($CU75-CY$103&lt;BeginnAlter,"",ROUND(v^($CU75+FaktorAlter)*$L75*$D75*0.5*(VLOOKUP($CU75-CY$103,Frauen!$G$9:$J$102,4)+VLOOKUP($CU75-CY$103+1,Frauen!$G$9:$J$102,4))*0.5*(VLOOKUP($CU75-CY$103,Frauen!$AZ$9:$BD$102,5)+VLOOKUP($CU75-CY$103+1,Frauen!$AZ$9:$BD$102,5)),RundDx)))</f>
        <v/>
      </c>
      <c r="CZ75" s="25" t="str">
        <f>IF($CU75&gt;=RAM,"",IF($CU75-CZ$103&lt;BeginnAlter,"",ROUND(v^($CU75+FaktorAlter)*$L75*$D75*0.5*(VLOOKUP($CU75-CZ$103,Frauen!$G$9:$J$102,4)+VLOOKUP($CU75-CZ$103+1,Frauen!$G$9:$J$102,4))*0.5*(VLOOKUP($CU75-CZ$103,Frauen!$AZ$9:$BD$102,5)+VLOOKUP($CU75-CZ$103+1,Frauen!$AZ$9:$BD$102,5)),RundDx)))</f>
        <v/>
      </c>
      <c r="DA75" s="25" t="str">
        <f>IF($CU75&gt;=RAM,"",IF($CU75-DA$103&lt;BeginnAlter,"",ROUND(v^($CU75+FaktorAlter)*$L75*$D75*0.5*(VLOOKUP($CU75-DA$103,Frauen!$G$9:$J$102,4)+VLOOKUP($CU75-DA$103+1,Frauen!$G$9:$J$102,4))*0.5*(VLOOKUP($CU75-DA$103,Frauen!$AZ$9:$BD$102,5)+VLOOKUP($CU75-DA$103+1,Frauen!$AZ$9:$BD$102,5)),RundDx)))</f>
        <v/>
      </c>
      <c r="DB75" s="25" t="str">
        <f>IF($CU75&gt;=RAM,"",IF($CU75-DB$103&lt;BeginnAlter,"",ROUND(v^($CU75+FaktorAlter)*$L75*$D75*0.5*(VLOOKUP($CU75-DB$103,Frauen!$G$9:$J$102,4)+VLOOKUP($CU75-DB$103+1,Frauen!$G$9:$J$102,4))*0.5*(VLOOKUP($CU75-DB$103,Frauen!$AZ$9:$BD$102,5)+VLOOKUP($CU75-DB$103+1,Frauen!$AZ$9:$BD$102,5)),RundDx)))</f>
        <v/>
      </c>
      <c r="DC75" s="25" t="str">
        <f>IF($CU75&gt;=RAM,"",IF($CU75-DC$103&lt;BeginnAlter,"",ROUND(v^($CU75+FaktorAlter)*$L75*$D75*0.5*(VLOOKUP($CU75-DC$103,Frauen!$G$9:$J$102,4)+VLOOKUP($CU75-DC$103+1,Frauen!$G$9:$J$102,4))*0.5*(VLOOKUP($CU75-DC$103,Frauen!$AZ$9:$BD$102,5)+VLOOKUP($CU75-DC$103+1,Frauen!$AZ$9:$BD$102,5)),RundDx)))</f>
        <v/>
      </c>
      <c r="DD75" s="25" t="str">
        <f>IF($CU75&gt;=RAM,"",IF($CU75-DD$103&lt;BeginnAlter,"",ROUND(v^($CU75+FaktorAlter)*$L75*$D75*0.5*(VLOOKUP($CU75-DD$103,Frauen!$G$9:$J$102,4)+VLOOKUP($CU75-DD$103+1,Frauen!$G$9:$J$102,4))*0.5*(VLOOKUP($CU75-DD$103,Frauen!$AZ$9:$BD$102,5)+VLOOKUP($CU75-DD$103+1,Frauen!$AZ$9:$BD$102,5)),RundDx)))</f>
        <v/>
      </c>
      <c r="DE75" s="25" t="str">
        <f>IF($CU75&gt;=RAM,"",IF($CU75-DE$103&lt;BeginnAlter,"",ROUND(v^($CU75+FaktorAlter)*$L75*$D75*0.5*(VLOOKUP($CU75-DE$103,Frauen!$G$9:$J$102,4)+VLOOKUP($CU75-DE$103+1,Frauen!$G$9:$J$102,4))*0.5*(VLOOKUP($CU75-DE$103,Frauen!$AZ$9:$BD$102,5)+VLOOKUP($CU75-DE$103+1,Frauen!$AZ$9:$BD$102,5)),RundDx)))</f>
        <v/>
      </c>
      <c r="DF75" s="25" t="str">
        <f>IF($CU75&gt;=RAM,"",IF($CU75-DF$103&lt;BeginnAlter,"",ROUND(v^($CU75+FaktorAlter)*$L75*$D75*0.5*(VLOOKUP($CU75-DF$103,Frauen!$G$9:$J$102,4)+VLOOKUP($CU75-DF$103+1,Frauen!$G$9:$J$102,4))*0.5*(VLOOKUP($CU75-DF$103,Frauen!$AZ$9:$BD$102,5)+VLOOKUP($CU75-DF$103+1,Frauen!$AZ$9:$BD$102,5)),RundDx)))</f>
        <v/>
      </c>
      <c r="DG75" s="25" t="str">
        <f>IF($CU75&gt;=RAM,"",IF($CU75-DG$103&lt;BeginnAlter,"",ROUND(v^($CU75+FaktorAlter)*$L75*$D75*0.5*(VLOOKUP($CU75-DG$103,Frauen!$G$9:$J$102,4)+VLOOKUP($CU75-DG$103+1,Frauen!$G$9:$J$102,4))*0.5*(VLOOKUP($CU75-DG$103,Frauen!$AZ$9:$BD$102,5)+VLOOKUP($CU75-DG$103+1,Frauen!$AZ$9:$BD$102,5)),RundDx)))</f>
        <v/>
      </c>
      <c r="DH75" s="25" t="str">
        <f>IF($CU75&gt;=RAM,"",IF($CU75-DH$103&lt;BeginnAlter,"",ROUND(v^($CU75+FaktorAlter)*$L75*$D75*0.5*(VLOOKUP($CU75-DH$103,Frauen!$G$9:$J$102,4)+VLOOKUP($CU75-DH$103+1,Frauen!$G$9:$J$102,4))*0.5*(VLOOKUP($CU75-DH$103,Frauen!$AZ$9:$BD$102,5)+VLOOKUP($CU75-DH$103+1,Frauen!$AZ$9:$BD$102,5)),RundDx)))</f>
        <v/>
      </c>
      <c r="DI75" s="25" t="str">
        <f>IF($CU75&gt;=RAM,"",IF($CU75-DI$103&lt;BeginnAlter,"",ROUND(v^($CU75+FaktorAlter)*$L75*$D75*0.5*(VLOOKUP($CU75-DI$103,Frauen!$G$9:$J$102,4)+VLOOKUP($CU75-DI$103+1,Frauen!$G$9:$J$102,4))*0.5*(VLOOKUP($CU75-DI$103,Frauen!$AZ$9:$BD$102,5)+VLOOKUP($CU75-DI$103+1,Frauen!$AZ$9:$BD$102,5)),RundDx)))</f>
        <v/>
      </c>
      <c r="DJ75" s="25" t="str">
        <f>IF($CU75&gt;=RAM,"",IF($CU75-DJ$103&lt;BeginnAlter,"",ROUND(v^($CU75+FaktorAlter)*$L75*$D75*0.5*(VLOOKUP($CU75-DJ$103,Frauen!$G$9:$J$102,4)+VLOOKUP($CU75-DJ$103+1,Frauen!$G$9:$J$102,4))*0.5*(VLOOKUP($CU75-DJ$103,Frauen!$AZ$9:$BD$102,5)+VLOOKUP($CU75-DJ$103+1,Frauen!$AZ$9:$BD$102,5)),RundDx)))</f>
        <v/>
      </c>
      <c r="DK75" s="25" t="str">
        <f>IF($CU75&gt;=RAM,"",IF($CU75-DK$103&lt;BeginnAlter,"",ROUND(v^($CU75+FaktorAlter)*$L75*$D75*0.5*(VLOOKUP($CU75-DK$103,Frauen!$G$9:$J$102,4)+VLOOKUP($CU75-DK$103+1,Frauen!$G$9:$J$102,4))*0.5*(VLOOKUP($CU75-DK$103,Frauen!$AZ$9:$BD$102,5)+VLOOKUP($CU75-DK$103+1,Frauen!$AZ$9:$BD$102,5)),RundDx)))</f>
        <v/>
      </c>
      <c r="DL75" s="25" t="str">
        <f>IF($CU75&gt;=RAM,"",IF($CU75-DL$103&lt;BeginnAlter,"",ROUND(v^($CU75+FaktorAlter)*$L75*$D75*0.5*(VLOOKUP($CU75-DL$103,Frauen!$G$9:$J$102,4)+VLOOKUP($CU75-DL$103+1,Frauen!$G$9:$J$102,4))*0.5*(VLOOKUP($CU75-DL$103,Frauen!$AZ$9:$BD$102,5)+VLOOKUP($CU75-DL$103+1,Frauen!$AZ$9:$BD$102,5)),RundDx)))</f>
        <v/>
      </c>
      <c r="DM75" s="25" t="str">
        <f>IF($CU75&gt;=RAM,"",IF($CU75-DM$103&lt;BeginnAlter,"",ROUND(v^($CU75+FaktorAlter)*$L75*$D75*0.5*(VLOOKUP($CU75-DM$103,Frauen!$G$9:$J$102,4)+VLOOKUP($CU75-DM$103+1,Frauen!$G$9:$J$102,4))*0.5*(VLOOKUP($CU75-DM$103,Frauen!$AZ$9:$BD$102,5)+VLOOKUP($CU75-DM$103+1,Frauen!$AZ$9:$BD$102,5)),RundDx)))</f>
        <v/>
      </c>
      <c r="DN75" s="25" t="str">
        <f>IF($CU75&gt;=RAM,"",IF($CU75-DN$103&lt;BeginnAlter,"",ROUND(v^($CU75+FaktorAlter)*$L75*$D75*0.5*(VLOOKUP($CU75-DN$103,Frauen!$G$9:$J$102,4)+VLOOKUP($CU75-DN$103+1,Frauen!$G$9:$J$102,4))*0.5*(VLOOKUP($CU75-DN$103,Frauen!$AZ$9:$BD$102,5)+VLOOKUP($CU75-DN$103+1,Frauen!$AZ$9:$BD$102,5)),RundDx)))</f>
        <v/>
      </c>
      <c r="DO75" s="25" t="str">
        <f>IF($CU75&gt;=RAM,"",IF($CU75-DO$103&lt;BeginnAlter,"",ROUND(v^($CU75+FaktorAlter)*$L75*$D75*0.5*(VLOOKUP($CU75-DO$103,Frauen!$G$9:$J$102,4)+VLOOKUP($CU75-DO$103+1,Frauen!$G$9:$J$102,4))*0.5*(VLOOKUP($CU75-DO$103,Frauen!$AZ$9:$BD$102,5)+VLOOKUP($CU75-DO$103+1,Frauen!$AZ$9:$BD$102,5)),RundDx)))</f>
        <v/>
      </c>
      <c r="DP75" s="25" t="str">
        <f>IF($CU75&gt;=RAM,"",IF($CU75-DP$103&lt;BeginnAlter,"",ROUND(v^($CU75+FaktorAlter)*$L75*$D75*0.5*(VLOOKUP($CU75-DP$103,Frauen!$G$9:$J$102,4)+VLOOKUP($CU75-DP$103+1,Frauen!$G$9:$J$102,4))*0.5*(VLOOKUP($CU75-DP$103,Frauen!$AZ$9:$BD$102,5)+VLOOKUP($CU75-DP$103+1,Frauen!$AZ$9:$BD$102,5)),RundDx)))</f>
        <v/>
      </c>
      <c r="DQ75" s="25" t="str">
        <f>IF($CU75&gt;=RAM,"",IF($CU75-DQ$103&lt;BeginnAlter,"",ROUND(v^($CU75+FaktorAlter)*$L75*$D75*0.5*(VLOOKUP($CU75-DQ$103,Frauen!$G$9:$J$102,4)+VLOOKUP($CU75-DQ$103+1,Frauen!$G$9:$J$102,4))*0.5*(VLOOKUP($CU75-DQ$103,Frauen!$AZ$9:$BD$102,5)+VLOOKUP($CU75-DQ$103+1,Frauen!$AZ$9:$BD$102,5)),RundDx)))</f>
        <v/>
      </c>
      <c r="DR75" s="25" t="str">
        <f>IF($CU75&gt;=RAM,"",IF($CU75-DR$103&lt;BeginnAlter,"",ROUND(v^($CU75+FaktorAlter)*$L75*$D75*0.5*(VLOOKUP($CU75-DR$103,Frauen!$G$9:$J$102,4)+VLOOKUP($CU75-DR$103+1,Frauen!$G$9:$J$102,4))*0.5*(VLOOKUP($CU75-DR$103,Frauen!$AZ$9:$BD$102,5)+VLOOKUP($CU75-DR$103+1,Frauen!$AZ$9:$BD$102,5)),RundDx)))</f>
        <v/>
      </c>
      <c r="DS75" s="25" t="str">
        <f>IF($CU75&gt;=RAM,"",IF($CU75-DS$103&lt;BeginnAlter,"",ROUND(v^($CU75+FaktorAlter)*$L75*$D75*0.5*(VLOOKUP($CU75-DS$103,Frauen!$G$9:$J$102,4)+VLOOKUP($CU75-DS$103+1,Frauen!$G$9:$J$102,4))*0.5*(VLOOKUP($CU75-DS$103,Frauen!$AZ$9:$BD$102,5)+VLOOKUP($CU75-DS$103+1,Frauen!$AZ$9:$BD$102,5)),RundDx)))</f>
        <v/>
      </c>
      <c r="DT75" s="25" t="str">
        <f>IF($CU75&gt;=RAM,"",IF($CU75-DT$103&lt;BeginnAlter,"",ROUND(v^($CU75+FaktorAlter)*$L75*$D75*0.5*(VLOOKUP($CU75-DT$103,Frauen!$G$9:$J$102,4)+VLOOKUP($CU75-DT$103+1,Frauen!$G$9:$J$102,4))*0.5*(VLOOKUP($CU75-DT$103,Frauen!$AZ$9:$BD$102,5)+VLOOKUP($CU75-DT$103+1,Frauen!$AZ$9:$BD$102,5)),RundDx)))</f>
        <v/>
      </c>
      <c r="DU75" s="25" t="str">
        <f>IF($CU75&gt;=RAM,"",IF($CU75-DU$103&lt;BeginnAlter,"",ROUND(v^($CU75+FaktorAlter)*$L75*$D75*0.5*(VLOOKUP($CU75-DU$103,Frauen!$G$9:$J$102,4)+VLOOKUP($CU75-DU$103+1,Frauen!$G$9:$J$102,4))*0.5*(VLOOKUP($CU75-DU$103,Frauen!$AZ$9:$BD$102,5)+VLOOKUP($CU75-DU$103+1,Frauen!$AZ$9:$BD$102,5)),RundDx)))</f>
        <v/>
      </c>
      <c r="DV75" s="25" t="str">
        <f>IF($CU75&gt;=RAM,"",IF($CU75-DV$103&lt;BeginnAlter,"",ROUND(v^($CU75+FaktorAlter)*$L75*$D75*0.5*(VLOOKUP($CU75-DV$103,Frauen!$G$9:$J$102,4)+VLOOKUP($CU75-DV$103+1,Frauen!$G$9:$J$102,4))*0.5*(VLOOKUP($CU75-DV$103,Frauen!$AZ$9:$BD$102,5)+VLOOKUP($CU75-DV$103+1,Frauen!$AZ$9:$BD$102,5)),RundDx)))</f>
        <v/>
      </c>
      <c r="DW75" s="25" t="str">
        <f>IF($CU75&gt;=RAM,"",IF($CU75-DW$103&lt;BeginnAlter,"",ROUND(v^($CU75+FaktorAlter)*$L75*$D75*0.5*(VLOOKUP($CU75-DW$103,Frauen!$G$9:$J$102,4)+VLOOKUP($CU75-DW$103+1,Frauen!$G$9:$J$102,4))*0.5*(VLOOKUP($CU75-DW$103,Frauen!$AZ$9:$BD$102,5)+VLOOKUP($CU75-DW$103+1,Frauen!$AZ$9:$BD$102,5)),RundDx)))</f>
        <v/>
      </c>
      <c r="DX75" s="25" t="str">
        <f>IF($CU75&gt;=RAM,"",IF($CU75-DX$103&lt;BeginnAlter,"",ROUND(v^($CU75+FaktorAlter)*$L75*$D75*0.5*(VLOOKUP($CU75-DX$103,Frauen!$G$9:$J$102,4)+VLOOKUP($CU75-DX$103+1,Frauen!$G$9:$J$102,4))*0.5*(VLOOKUP($CU75-DX$103,Frauen!$AZ$9:$BD$102,5)+VLOOKUP($CU75-DX$103+1,Frauen!$AZ$9:$BD$102,5)),RundDx)))</f>
        <v/>
      </c>
      <c r="DY75" s="25" t="str">
        <f>IF($CU75&gt;=RAM,"",IF($CU75-DY$103&lt;BeginnAlter,"",ROUND(v^($CU75+FaktorAlter)*$L75*$D75*0.5*(VLOOKUP($CU75-DY$103,Frauen!$G$9:$J$102,4)+VLOOKUP($CU75-DY$103+1,Frauen!$G$9:$J$102,4))*0.5*(VLOOKUP($CU75-DY$103,Frauen!$AZ$9:$BD$102,5)+VLOOKUP($CU75-DY$103+1,Frauen!$AZ$9:$BD$102,5)),RundDx)))</f>
        <v/>
      </c>
      <c r="DZ75" s="25" t="str">
        <f>IF($CU75&gt;=RAM,"",IF($CU75-DZ$103&lt;BeginnAlter,"",ROUND(v^($CU75+FaktorAlter)*$L75*$D75*0.5*(VLOOKUP($CU75-DZ$103,Frauen!$G$9:$J$102,4)+VLOOKUP($CU75-DZ$103+1,Frauen!$G$9:$J$102,4))*0.5*(VLOOKUP($CU75-DZ$103,Frauen!$AZ$9:$BD$102,5)+VLOOKUP($CU75-DZ$103+1,Frauen!$AZ$9:$BD$102,5)),RundDx)))</f>
        <v/>
      </c>
      <c r="EA75" s="43" t="str">
        <f>IF($CU75&gt;=RAM,"",IF($CU75-EA$103&lt;BeginnAlter,"",ROUND((SUM(CV$56:CV75)+SUM(FN$9:FN$56))/VLOOKUP($CU75,$AH$9:$AI$102,2)/VLOOKUP($CU75-EA$103,Frauen!$G$9:$J$102,4),Rundäx)))</f>
        <v/>
      </c>
      <c r="EB75" s="43" t="str">
        <f>IF($CU75&gt;=RAM,"",IF($CU75-EB$103&lt;BeginnAlter,"",ROUND((SUM(CW$56:CW75)+SUM(FO$9:FO$56))/VLOOKUP($CU75,$AH$9:$AI$102,2)/VLOOKUP($CU75-EB$103,Frauen!$G$9:$J$102,4),Rundäx)))</f>
        <v/>
      </c>
      <c r="EC75" s="43" t="str">
        <f>IF($CU75&gt;=RAM,"",IF($CU75-EC$103&lt;BeginnAlter,"",ROUND((SUM(CX$56:CX75)+SUM(FP$9:FP$56))/VLOOKUP($CU75,$AH$9:$AI$102,2)/VLOOKUP($CU75-EC$103,Frauen!$G$9:$J$102,4),Rundäx)))</f>
        <v/>
      </c>
      <c r="ED75" s="43" t="str">
        <f>IF($CU75&gt;=RAM,"",IF($CU75-ED$103&lt;BeginnAlter,"",ROUND((SUM(CY$56:CY75)+SUM(FQ$9:FQ$56))/VLOOKUP($CU75,$AH$9:$AI$102,2)/VLOOKUP($CU75-ED$103,Frauen!$G$9:$J$102,4),Rundäx)))</f>
        <v/>
      </c>
      <c r="EE75" s="43" t="str">
        <f>IF($CU75&gt;=RAM,"",IF($CU75-EE$103&lt;BeginnAlter,"",ROUND((SUM(CZ$56:CZ75)+SUM(FR$9:FR$56))/VLOOKUP($CU75,$AH$9:$AI$102,2)/VLOOKUP($CU75-EE$103,Frauen!$G$9:$J$102,4),Rundäx)))</f>
        <v/>
      </c>
      <c r="EF75" s="43" t="str">
        <f>IF($CU75&gt;=RAM,"",IF($CU75-EF$103&lt;BeginnAlter,"",ROUND((SUM(DA$56:DA75)+SUM(FS$9:FS$56))/VLOOKUP($CU75,$AH$9:$AI$102,2)/VLOOKUP($CU75-EF$103,Frauen!$G$9:$J$102,4),Rundäx)))</f>
        <v/>
      </c>
      <c r="EG75" s="43" t="str">
        <f>IF($CU75&gt;=RAM,"",IF($CU75-EG$103&lt;BeginnAlter,"",ROUND((SUM(DB$56:DB75)+SUM(FT$9:FT$56))/VLOOKUP($CU75,$AH$9:$AI$102,2)/VLOOKUP($CU75-EG$103,Frauen!$G$9:$J$102,4),Rundäx)))</f>
        <v/>
      </c>
      <c r="EH75" s="43" t="str">
        <f>IF($CU75&gt;=RAM,"",IF($CU75-EH$103&lt;BeginnAlter,"",ROUND((SUM(DC$56:DC75)+SUM(FU$9:FU$56))/VLOOKUP($CU75,$AH$9:$AI$102,2)/VLOOKUP($CU75-EH$103,Frauen!$G$9:$J$102,4),Rundäx)))</f>
        <v/>
      </c>
      <c r="EI75" s="86"/>
      <c r="EJ75" s="35">
        <f t="shared" si="60"/>
        <v>83</v>
      </c>
      <c r="EK75" s="43" t="str">
        <f>IF($CU75&gt;=RAM,"",IF($CU75-EK$103&lt;BeginnAlter,"",ROUND((SUM(DD$56:DD75)+SUM(FV$9:FV$56))/VLOOKUP($CU75,$AH$9:$AI$102,2)/VLOOKUP($CU75-EK$103,Frauen!$G$9:$J$102,4),Rundäx)))</f>
        <v/>
      </c>
      <c r="EL75" s="43" t="str">
        <f>IF($CU75&gt;=RAM,"",IF($CU75-EL$103&lt;BeginnAlter,"",ROUND((SUM(DE$56:DE75)+SUM(FW$9:FW$56))/VLOOKUP($CU75,$AH$9:$AI$102,2)/VLOOKUP($CU75-EL$103,Frauen!$G$9:$J$102,4),Rundäx)))</f>
        <v/>
      </c>
      <c r="EM75" s="43" t="str">
        <f>IF($CU75&gt;=RAM,"",IF($CU75-EM$103&lt;BeginnAlter,"",ROUND((SUM(DF$56:DF75)+SUM(FX$9:FX$56))/VLOOKUP($CU75,$AH$9:$AI$102,2)/VLOOKUP($CU75-EM$103,Frauen!$G$9:$J$102,4),Rundäx)))</f>
        <v/>
      </c>
      <c r="EN75" s="43" t="str">
        <f>IF($CU75&gt;=RAM,"",IF($CU75-EN$103&lt;BeginnAlter,"",ROUND((SUM(DG$56:DG75)+SUM(FY$9:FY$56))/VLOOKUP($CU75,$AH$9:$AI$102,2)/VLOOKUP($CU75-EN$103,Frauen!$G$9:$J$102,4),Rundäx)))</f>
        <v/>
      </c>
      <c r="EO75" s="43" t="str">
        <f>IF($CU75&gt;=RAM,"",IF($CU75-EO$103&lt;BeginnAlter,"",ROUND((SUM(DH$56:DH75)+SUM(FZ$9:FZ$56))/VLOOKUP($CU75,$AH$9:$AI$102,2)/VLOOKUP($CU75-EO$103,Frauen!$G$9:$J$102,4),Rundäx)))</f>
        <v/>
      </c>
      <c r="EP75" s="43" t="str">
        <f>IF($CU75&gt;=RAM,"",IF($CU75-EP$103&lt;BeginnAlter,"",ROUND((SUM(DI$56:DI75)+SUM(GA$9:GA$56))/VLOOKUP($CU75,$AH$9:$AI$102,2)/VLOOKUP($CU75-EP$103,Frauen!$G$9:$J$102,4),Rundäx)))</f>
        <v/>
      </c>
      <c r="EQ75" s="43" t="str">
        <f>IF($CU75&gt;=RAM,"",IF($CU75-EQ$103&lt;BeginnAlter,"",ROUND((SUM(DJ$56:DJ75)+SUM(GB$9:GB$56))/VLOOKUP($CU75,$AH$9:$AI$102,2)/VLOOKUP($CU75-EQ$103,Frauen!$G$9:$J$102,4),Rundäx)))</f>
        <v/>
      </c>
      <c r="ER75" s="43" t="str">
        <f>IF($CU75&gt;=RAM,"",IF($CU75-ER$103&lt;BeginnAlter,"",ROUND((SUM(DK$56:DK75)+SUM(GC$9:GC$56))/VLOOKUP($CU75,$AH$9:$AI$102,2)/VLOOKUP($CU75-ER$103,Frauen!$G$9:$J$102,4),Rundäx)))</f>
        <v/>
      </c>
      <c r="ES75" s="86"/>
      <c r="ET75" s="35">
        <f t="shared" si="61"/>
        <v>83</v>
      </c>
      <c r="EU75" s="43" t="str">
        <f>IF($CU75&gt;=RAM,"",IF($CU75-EU$103&lt;BeginnAlter,"",ROUND((SUM(DL$56:DL75)+SUM(GD$9:GD$56))/VLOOKUP($CU75,$AH$9:$AI$102,2)/VLOOKUP($CU75-EU$103,Frauen!$G$9:$J$102,4),Rundäx)))</f>
        <v/>
      </c>
      <c r="EV75" s="43" t="str">
        <f>IF($CU75&gt;=RAM,"",IF($CU75-EV$103&lt;BeginnAlter,"",ROUND((SUM(DM$56:DM75)+SUM(GE$9:GE$56))/VLOOKUP($CU75,$AH$9:$AI$102,2)/VLOOKUP($CU75-EV$103,Frauen!$G$9:$J$102,4),Rundäx)))</f>
        <v/>
      </c>
      <c r="EW75" s="43" t="str">
        <f>IF($CU75&gt;=RAM,"",IF($CU75-EW$103&lt;BeginnAlter,"",ROUND((SUM(DN$56:DN75)+SUM(GF$9:GF$56))/VLOOKUP($CU75,$AH$9:$AI$102,2)/VLOOKUP($CU75-EW$103,Frauen!$G$9:$J$102,4),Rundäx)))</f>
        <v/>
      </c>
      <c r="EX75" s="43" t="str">
        <f>IF($CU75&gt;=RAM,"",IF($CU75-EX$103&lt;BeginnAlter,"",ROUND((SUM(DO$56:DO75)+SUM(GG$9:GG$56))/VLOOKUP($CU75,$AH$9:$AI$102,2)/VLOOKUP($CU75-EX$103,Frauen!$G$9:$J$102,4),Rundäx)))</f>
        <v/>
      </c>
      <c r="EY75" s="43" t="str">
        <f>IF($CU75&gt;=RAM,"",IF($CU75-EY$103&lt;BeginnAlter,"",ROUND((SUM(DP$56:DP75)+SUM(GH$9:GH$56))/VLOOKUP($CU75,$AH$9:$AI$102,2)/VLOOKUP($CU75-EY$103,Frauen!$G$9:$J$102,4),Rundäx)))</f>
        <v/>
      </c>
      <c r="EZ75" s="43" t="str">
        <f>IF($CU75&gt;=RAM,"",IF($CU75-EZ$103&lt;BeginnAlter,"",ROUND((SUM(DQ$56:DQ75)+SUM(GI$9:GI$56))/VLOOKUP($CU75,$AH$9:$AI$102,2)/VLOOKUP($CU75-EZ$103,Frauen!$G$9:$J$102,4),Rundäx)))</f>
        <v/>
      </c>
      <c r="FA75" s="43" t="str">
        <f>IF($CU75&gt;=RAM,"",IF($CU75-FA$103&lt;BeginnAlter,"",ROUND((SUM(DR$56:DR75)+SUM(GJ$9:GJ$56))/VLOOKUP($CU75,$AH$9:$AI$102,2)/VLOOKUP($CU75-FA$103,Frauen!$G$9:$J$102,4),Rundäx)))</f>
        <v/>
      </c>
      <c r="FB75" s="43" t="str">
        <f>IF($CU75&gt;=RAM,"",IF($CU75-FB$103&lt;BeginnAlter,"",ROUND((SUM(DS$56:DS75)+SUM(GK$9:GK$56))/VLOOKUP($CU75,$AH$9:$AI$102,2)/VLOOKUP($CU75-FB$103,Frauen!$G$9:$J$102,4),Rundäx)))</f>
        <v/>
      </c>
      <c r="FC75" s="86"/>
      <c r="FD75" s="35">
        <f t="shared" si="62"/>
        <v>83</v>
      </c>
      <c r="FE75" s="43" t="str">
        <f>IF($CU75&gt;=RAM,"",IF($CU75-FE$103&lt;BeginnAlter,"",ROUND((SUM(DT$56:DT75)+SUM(GL$9:GL$56))/VLOOKUP($CU75,$AH$9:$AI$102,2)/VLOOKUP($CU75-FE$103,Frauen!$G$9:$J$102,4),Rundäx)))</f>
        <v/>
      </c>
      <c r="FF75" s="43" t="str">
        <f>IF($CU75&gt;=RAM,"",IF($CU75-FF$103&lt;BeginnAlter,"",ROUND((SUM(DU$56:DU75)+SUM(GM$9:GM$56))/VLOOKUP($CU75,$AH$9:$AI$102,2)/VLOOKUP($CU75-FF$103,Frauen!$G$9:$J$102,4),Rundäx)))</f>
        <v/>
      </c>
      <c r="FG75" s="43" t="str">
        <f>IF($CU75&gt;=RAM,"",IF($CU75-FG$103&lt;BeginnAlter,"",ROUND((SUM(DV$56:DV75)+SUM(GN$9:GN$56))/VLOOKUP($CU75,$AH$9:$AI$102,2)/VLOOKUP($CU75-FG$103,Frauen!$G$9:$J$102,4),Rundäx)))</f>
        <v/>
      </c>
      <c r="FH75" s="43" t="str">
        <f>IF($CU75&gt;=RAM,"",IF($CU75-FH$103&lt;BeginnAlter,"",ROUND((SUM(DW$56:DW75)+SUM(GO$9:GO$56))/VLOOKUP($CU75,$AH$9:$AI$102,2)/VLOOKUP($CU75-FH$103,Frauen!$G$9:$J$102,4),Rundäx)))</f>
        <v/>
      </c>
      <c r="FI75" s="43" t="str">
        <f>IF($CU75&gt;=RAM,"",IF($CU75-FI$103&lt;BeginnAlter,"",ROUND((SUM(DX$56:DX75)+SUM(GP$9:GP$56))/VLOOKUP($CU75,$AH$9:$AI$102,2)/VLOOKUP($CU75-FI$103,Frauen!$G$9:$J$102,4),Rundäx)))</f>
        <v/>
      </c>
      <c r="FJ75" s="43" t="str">
        <f>IF($CU75&gt;=RAM,"",IF($CU75-FJ$103&lt;BeginnAlter,"",ROUND((SUM(DY$56:DY75)+SUM(GQ$9:GQ$56))/VLOOKUP($CU75,$AH$9:$AI$102,2)/VLOOKUP($CU75-FJ$103,Frauen!$G$9:$J$102,4),Rundäx)))</f>
        <v/>
      </c>
      <c r="FK75" s="43" t="str">
        <f>IF($CU75&gt;=RAM,"",IF($CU75-FK$103&lt;BeginnAlter,"",ROUND((SUM(DZ$56:DZ75)+SUM(GR$9:GR$56))/VLOOKUP($CU75,$AH$9:$AI$102,2)/VLOOKUP($CU75-FK$103,Frauen!$G$9:$J$102,4),Rundäx)))</f>
        <v/>
      </c>
      <c r="FL75" s="86"/>
      <c r="FM75" s="35">
        <f t="shared" si="68"/>
        <v>131</v>
      </c>
      <c r="FN75" s="25"/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4"/>
      <c r="GT75" s="24"/>
      <c r="GU75" s="24" t="str">
        <f>IF(FM75&gt;=RAM," ",#REF!/$AI75/Frauen!$J63)</f>
        <v xml:space="preserve"> </v>
      </c>
      <c r="GV75" s="24" t="str">
        <f>IF(FM75&gt;=RAM," ",#REF!/$AI75/Frauen!$J66)</f>
        <v xml:space="preserve"> </v>
      </c>
      <c r="GW75" s="24" t="str">
        <f>IF(FM75&gt;=RAM," ",#REF!/$AI75/Frauen!$J69)</f>
        <v xml:space="preserve"> </v>
      </c>
      <c r="GX75" s="24" t="str">
        <f>IF(FM75&gt;=RAM," ",#REF!/$AI75/Frauen!$J72)</f>
        <v xml:space="preserve"> </v>
      </c>
      <c r="GY75" s="24" t="str">
        <f>IF(FM75&gt;=RAM," ",#REF!/$AI75/Frauen!$J75)</f>
        <v xml:space="preserve"> </v>
      </c>
      <c r="GZ75" s="24" t="str">
        <f>IF(FM75&gt;=RAM," ",#REF!/$AI75/Frauen!$J78)</f>
        <v xml:space="preserve"> </v>
      </c>
      <c r="HA75" s="86"/>
      <c r="HB75" s="35">
        <f t="shared" si="63"/>
        <v>131</v>
      </c>
      <c r="HC75" s="24"/>
      <c r="HD75" s="24"/>
      <c r="HE75" s="24"/>
      <c r="HF75" s="24"/>
      <c r="HG75" s="24"/>
      <c r="HH75" s="24"/>
      <c r="HI75" s="24"/>
      <c r="HJ75" s="24"/>
      <c r="HK75" s="86"/>
      <c r="HL75" s="35">
        <f t="shared" si="64"/>
        <v>131</v>
      </c>
      <c r="HM75" s="24"/>
      <c r="HN75" s="24"/>
      <c r="HO75" s="24"/>
      <c r="HP75" s="24"/>
      <c r="HQ75" s="24"/>
      <c r="HR75" s="24"/>
      <c r="HS75" s="24"/>
      <c r="HT75" s="24"/>
      <c r="HU75" s="86"/>
      <c r="HV75" s="35">
        <f t="shared" si="65"/>
        <v>131</v>
      </c>
      <c r="HW75" s="24"/>
      <c r="HX75" s="24"/>
      <c r="HY75" s="24"/>
      <c r="HZ75" s="24"/>
      <c r="IA75" s="24"/>
      <c r="IB75" s="24"/>
      <c r="IC75" s="24"/>
      <c r="ID75" s="89"/>
      <c r="IE75" s="35">
        <f t="shared" si="81"/>
        <v>83</v>
      </c>
      <c r="IF75" s="25" t="str">
        <f t="shared" si="112"/>
        <v/>
      </c>
      <c r="IG75" s="25" t="str">
        <f>IF($IE75&lt;RAM,IF(S76&lt;=RAK,ROUND(SUM(IF75:INDEX(Dakx,RAM-BeginnAlter))+INDEX(Dax,RAM-BeginnAlter+1)*INDEX(äkx,1),RundDx),0),"")</f>
        <v/>
      </c>
      <c r="IH75" s="25" t="str">
        <f>IF($IE75&lt;RAM,IF(S76&lt;=RAK,ROUND(SUM(IG75:INDEX(Nakx,RAM-BeginnAlter))+INDEX(Dax,RAM-BeginnAlter+1)*INDEX(äkx,1),RundDx),0),"")</f>
        <v/>
      </c>
      <c r="II75" s="24" t="str">
        <f t="shared" si="113"/>
        <v/>
      </c>
      <c r="IJ75" s="25" t="str">
        <f t="shared" si="114"/>
        <v/>
      </c>
      <c r="IK75" s="25" t="str">
        <f>IF($IE75&lt;RAM,IF(S76&lt;=RAK,SUM(IJ75:INDEX(Dikx,RAM-BeginnAlter))+INDEX(Dix,RAM-BeginnAlter+1)*INDEX(äkx,1),0),"")</f>
        <v/>
      </c>
      <c r="IL75" s="24" t="str">
        <f t="shared" si="115"/>
        <v/>
      </c>
      <c r="IM75" s="86"/>
      <c r="IN75" s="35">
        <f t="shared" si="67"/>
        <v>131</v>
      </c>
      <c r="IO75" s="25"/>
      <c r="IP75" s="25"/>
      <c r="IQ75" s="24"/>
      <c r="IR75" s="86"/>
    </row>
    <row r="76" spans="1:252" ht="15.75" customHeight="1" x14ac:dyDescent="0.25">
      <c r="A76" s="35">
        <f t="shared" si="69"/>
        <v>84</v>
      </c>
      <c r="B76" s="77"/>
      <c r="C76" s="77"/>
      <c r="D76" s="77"/>
      <c r="E76" s="77">
        <v>9.1465003501090325E-2</v>
      </c>
      <c r="F76" s="86"/>
      <c r="G76" s="35">
        <f t="shared" si="70"/>
        <v>84</v>
      </c>
      <c r="H76" s="25" t="str">
        <f t="shared" si="116"/>
        <v/>
      </c>
      <c r="I76" s="25" t="str">
        <f t="shared" si="117"/>
        <v/>
      </c>
      <c r="J76" s="25">
        <f t="shared" si="118"/>
        <v>40509</v>
      </c>
      <c r="K76" s="30">
        <f>IF(J76&gt;0,ROUND(SUM(J76:J$102)/J76-0.5,Rundex),"")</f>
        <v>5.9</v>
      </c>
      <c r="L76" s="25">
        <f t="shared" si="82"/>
        <v>40509</v>
      </c>
      <c r="M76" s="30">
        <f>IF(L76&gt;0,ROUND(SUM(L76:L$102)/L76-0.5,Rundex),"")</f>
        <v>5.9</v>
      </c>
      <c r="N76" s="86"/>
      <c r="O76" s="35">
        <f t="shared" si="71"/>
        <v>84</v>
      </c>
      <c r="P76" s="43">
        <v>0.67236566399647257</v>
      </c>
      <c r="Q76" s="78">
        <v>78.316032476120625</v>
      </c>
      <c r="R76" s="43"/>
      <c r="S76" s="78"/>
      <c r="T76" s="15">
        <v>9.8491385686046762E-2</v>
      </c>
      <c r="U76" s="11">
        <f t="shared" si="119"/>
        <v>31477</v>
      </c>
      <c r="V76" s="30">
        <f>IF(U76&gt;0,ROUND(SUM(U76:U$102)/U76-0.5,Rundex),"")</f>
        <v>5.8</v>
      </c>
      <c r="W76" s="86"/>
      <c r="X76" s="35">
        <f t="shared" si="72"/>
        <v>84</v>
      </c>
      <c r="Y76" s="25" t="str">
        <f t="shared" si="83"/>
        <v xml:space="preserve"> </v>
      </c>
      <c r="Z76" s="25" t="str">
        <f>IF($X76&lt;RAM,SUM(Y76:INDEX(Dax,RAM-BeginnAlter))," ")</f>
        <v xml:space="preserve"> </v>
      </c>
      <c r="AA76" s="25" t="str">
        <f t="shared" si="84"/>
        <v xml:space="preserve"> </v>
      </c>
      <c r="AB76" s="25" t="str">
        <f>IF($X76&lt;RAM,SUM(AA76:INDEX(Cax,RAM-BeginnAlter))," ")</f>
        <v xml:space="preserve"> </v>
      </c>
      <c r="AC76" s="25" t="str">
        <f t="shared" si="85"/>
        <v xml:space="preserve"> </v>
      </c>
      <c r="AD76" s="25" t="str">
        <f>IF($X76&lt;RAM,SUM(AC76:INDEX(Caix,RAM-BeginnAlter))," ")</f>
        <v xml:space="preserve"> </v>
      </c>
      <c r="AE76" s="24" t="str">
        <f t="shared" si="86"/>
        <v xml:space="preserve"> </v>
      </c>
      <c r="AF76" s="24" t="str">
        <f t="shared" si="87"/>
        <v xml:space="preserve"> </v>
      </c>
      <c r="AG76" s="86"/>
      <c r="AH76" s="35">
        <f t="shared" si="73"/>
        <v>84</v>
      </c>
      <c r="AI76" s="25" t="str">
        <f t="shared" si="88"/>
        <v xml:space="preserve"> </v>
      </c>
      <c r="AJ76" s="25" t="str">
        <f>IF($AH76&gt;RAM," ",IF($AH76&lt;RAM,SUM(AI76:INDEX(Dix,RAM-BeginnAlter))+INDEX(Nx,RAM-BeginnAlter+1),INDEX(Nx,RAM-BeginnAlter+1)))</f>
        <v xml:space="preserve"> </v>
      </c>
      <c r="AK76" s="25" t="str">
        <f>IF($AH76&lt;RAM,SUM(AI76:INDEX(Dix,RAM-BeginnAlter))," ")</f>
        <v xml:space="preserve"> </v>
      </c>
      <c r="AL76" s="24" t="str">
        <f t="shared" si="89"/>
        <v xml:space="preserve"> </v>
      </c>
      <c r="AM76" s="24" t="str">
        <f t="shared" si="90"/>
        <v xml:space="preserve"> </v>
      </c>
      <c r="AN76" s="24" t="str">
        <f t="shared" si="91"/>
        <v xml:space="preserve"> </v>
      </c>
      <c r="AO76" s="24" t="str">
        <f t="shared" si="92"/>
        <v xml:space="preserve"> </v>
      </c>
      <c r="AP76" s="86"/>
      <c r="AQ76" s="35">
        <f t="shared" si="74"/>
        <v>84</v>
      </c>
      <c r="AR76" s="25">
        <f t="shared" si="93"/>
        <v>6249</v>
      </c>
      <c r="AS76" s="25">
        <f>SUM(AR76:AR$94)</f>
        <v>36820</v>
      </c>
      <c r="AT76" s="25" t="str">
        <f>IF($AQ76&lt;RAM,SUM(AR76:INDEX(Dx,RAM-BeginnAlter))," ")</f>
        <v xml:space="preserve"> </v>
      </c>
      <c r="AU76" s="24">
        <f t="shared" si="94"/>
        <v>5.8920000000000003</v>
      </c>
      <c r="AV76" s="24">
        <f t="shared" si="95"/>
        <v>5.4340000000000002</v>
      </c>
      <c r="AW76" s="24" t="str">
        <f t="shared" si="96"/>
        <v xml:space="preserve"> </v>
      </c>
      <c r="AX76" s="24" t="str">
        <f t="shared" si="97"/>
        <v xml:space="preserve"> </v>
      </c>
      <c r="AY76" s="86"/>
      <c r="AZ76" s="35">
        <f t="shared" si="75"/>
        <v>84</v>
      </c>
      <c r="BA76" s="25">
        <f t="shared" si="98"/>
        <v>4856</v>
      </c>
      <c r="BB76" s="25">
        <f>SUM(BA76:BA$94)</f>
        <v>28160</v>
      </c>
      <c r="BC76" s="24">
        <f t="shared" si="99"/>
        <v>5.7990000000000004</v>
      </c>
      <c r="BD76" s="24">
        <f t="shared" si="100"/>
        <v>5.3410000000000002</v>
      </c>
      <c r="BE76" s="86"/>
      <c r="BF76" s="35">
        <f t="shared" si="48"/>
        <v>67</v>
      </c>
      <c r="BG76" s="24" t="str">
        <f t="shared" si="101"/>
        <v/>
      </c>
      <c r="BH76" s="24" t="str">
        <f t="shared" si="102"/>
        <v/>
      </c>
      <c r="BI76" s="86"/>
      <c r="BJ76" s="35">
        <f t="shared" si="76"/>
        <v>84</v>
      </c>
      <c r="BK76" s="25" t="str">
        <f t="shared" si="103"/>
        <v xml:space="preserve"> </v>
      </c>
      <c r="BL76" s="25" t="str">
        <f>IF(BJ76&lt;RAM,SUM(BK76:INDEX(Daix,RAM-BeginnAlter))," ")</f>
        <v xml:space="preserve"> </v>
      </c>
      <c r="BM76" s="25" t="str">
        <f>IF(BJ76&lt;RAM,SUM(BL76:INDEX(Naix,RAM-BeginnAlter))," ")</f>
        <v xml:space="preserve"> </v>
      </c>
      <c r="BN76" s="24" t="str">
        <f t="shared" si="104"/>
        <v xml:space="preserve"> </v>
      </c>
      <c r="BO76" s="24" t="str">
        <f t="shared" si="105"/>
        <v xml:space="preserve"> </v>
      </c>
      <c r="BP76" s="86"/>
      <c r="BQ76" s="35">
        <f t="shared" si="77"/>
        <v>84</v>
      </c>
      <c r="BR76" s="25" t="str">
        <f t="shared" si="51"/>
        <v xml:space="preserve"> </v>
      </c>
      <c r="BS76" s="25" t="str">
        <f>IF(BQ76&lt;RAM,SUM(BR76:INDEX(Daixs,RAM-BeginnAlter))," ")</f>
        <v xml:space="preserve"> </v>
      </c>
      <c r="BT76" s="25" t="str">
        <f>IF(BQ76&lt;RAM,SUM(BS76:INDEX(Naixs,RAM-BeginnAlter))," ")</f>
        <v xml:space="preserve"> </v>
      </c>
      <c r="BU76" s="24" t="str">
        <f t="shared" si="52"/>
        <v xml:space="preserve"> </v>
      </c>
      <c r="BV76" s="24" t="str">
        <f t="shared" si="53"/>
        <v xml:space="preserve"> </v>
      </c>
      <c r="BW76" s="86"/>
      <c r="BX76" s="35">
        <f t="shared" si="78"/>
        <v>84</v>
      </c>
      <c r="BY76" s="10" t="str">
        <f t="shared" si="106"/>
        <v/>
      </c>
      <c r="BZ76" s="11" t="str">
        <f t="shared" si="107"/>
        <v/>
      </c>
      <c r="CA76" s="25" t="str">
        <f>IF(S77&lt;=RAK,IF($BX76&lt;RAM,SUM(BZ76:INDEX(Dazx,RAM-BeginnAlter)),""),"")</f>
        <v/>
      </c>
      <c r="CB76" s="24" t="str">
        <f t="shared" si="108"/>
        <v/>
      </c>
      <c r="CC76" s="25">
        <f t="shared" si="109"/>
        <v>0</v>
      </c>
      <c r="CD76" s="24">
        <f t="shared" si="110"/>
        <v>0</v>
      </c>
      <c r="CE76" s="24" t="str">
        <f t="shared" si="111"/>
        <v/>
      </c>
      <c r="CF76" s="86"/>
      <c r="CG76" s="35">
        <f t="shared" si="79"/>
        <v>84</v>
      </c>
      <c r="CH76" s="25" t="str">
        <f>IF(CG76&lt;RAM,ROUND(v^($CG76+FaktorAlter)*$H76*($B76*0.5*($P76+$P77)*(VLOOKUP(TRUNC(0.5*($Q76+$Q77),0),Frauen!$AZ$9:$BD$95,5)+(0.5*($Q76+$Q77)-TRUNC(0.5*($Q76+$Q77),0))*(VLOOKUP(TRUNC(0.5*($Q76+$Q77)+1,0),Frauen!$AZ$9:$BD$95,5)-VLOOKUP(TRUNC(0.5*($Q76+$Q77),0),Frauen!$AZ$9:$BD$95,5)))+$C76*0.5*($CN76+$CN77)),RundDx),"")</f>
        <v/>
      </c>
      <c r="CI76" s="25" t="str">
        <f>IF(CG76&lt;RAM,ROUND(SUM(CH76:INDEX(Dawx,RAM-BeginnAlter))+INDEX(Dax,RAM-BeginnAlter+1)*INDEX(äwx,1),RundDx),"")</f>
        <v/>
      </c>
      <c r="CJ76" s="25" t="str">
        <f>IF(CG76&lt;RAM,ROUND(SUM(CI76:INDEX(Nawx,RAM-BeginnAlter))+INDEX(Dax,RAM-BeginnAlter+1)*INDEX(äwx,1),RundDx),"")</f>
        <v/>
      </c>
      <c r="CK76" s="24" t="str">
        <f t="shared" si="56"/>
        <v/>
      </c>
      <c r="CL76" s="25" t="str">
        <f>IF(CG76&lt;RAM,ROUND(v^($CG76+FaktorAlter)*$L76*$D76*0.5*($P76+$P77)*(VLOOKUP(TRUNC(0.5*($Q76+$Q77),0),Frauen!$AZ$9:$BD$95,5)+(0.5*($Q76+$Q77)-TRUNC(0.5*($Q76+$Q77),0))*(VLOOKUP(TRUNC(0.5*($Q76+$Q77)+1,0),Frauen!$AZ$9:$BD$95,5)-VLOOKUP(TRUNC(0.5*($Q76+$Q77),0),Frauen!$AZ$9:$BD$95,5))),RundDx),"")</f>
        <v/>
      </c>
      <c r="CM76" s="25" t="str">
        <f>IF(CG76&lt;RAM,SUM(CL76:INDEX(Diwx,RAM-BeginnAlter))+INDEX(Dix,RAM-BeginnAlter+1)*INDEX(äwx,1),"")</f>
        <v/>
      </c>
      <c r="CN76" s="24" t="str">
        <f t="shared" si="57"/>
        <v/>
      </c>
      <c r="CO76" s="86"/>
      <c r="CP76" s="35">
        <f t="shared" si="58"/>
        <v>132</v>
      </c>
      <c r="CQ76" s="25"/>
      <c r="CR76" s="25"/>
      <c r="CS76" s="24"/>
      <c r="CT76" s="86"/>
      <c r="CU76" s="35">
        <f t="shared" si="80"/>
        <v>84</v>
      </c>
      <c r="CV76" s="25" t="str">
        <f>IF($CU76&gt;=RAM,"",IF($CU76-CV$103&lt;BeginnAlter,"",ROUND(v^($CU76+FaktorAlter)*$L76*$D76*0.5*(VLOOKUP($CU76-CV$103,Frauen!$G$9:$J$102,4)+VLOOKUP($CU76-CV$103+1,Frauen!$G$9:$J$102,4))*0.5*(VLOOKUP($CU76-CV$103,Frauen!$AZ$9:$BD$102,5)+VLOOKUP($CU76-CV$103+1,Frauen!$AZ$9:$BD$102,5)),RundDx)))</f>
        <v/>
      </c>
      <c r="CW76" s="25" t="str">
        <f>IF($CU76&gt;=RAM,"",IF($CU76-CW$103&lt;BeginnAlter,"",ROUND(v^($CU76+FaktorAlter)*$L76*$D76*0.5*(VLOOKUP($CU76-CW$103,Frauen!$G$9:$J$102,4)+VLOOKUP($CU76-CW$103+1,Frauen!$G$9:$J$102,4))*0.5*(VLOOKUP($CU76-CW$103,Frauen!$AZ$9:$BD$102,5)+VLOOKUP($CU76-CW$103+1,Frauen!$AZ$9:$BD$102,5)),RundDx)))</f>
        <v/>
      </c>
      <c r="CX76" s="25" t="str">
        <f>IF($CU76&gt;=RAM,"",IF($CU76-CX$103&lt;BeginnAlter,"",ROUND(v^($CU76+FaktorAlter)*$L76*$D76*0.5*(VLOOKUP($CU76-CX$103,Frauen!$G$9:$J$102,4)+VLOOKUP($CU76-CX$103+1,Frauen!$G$9:$J$102,4))*0.5*(VLOOKUP($CU76-CX$103,Frauen!$AZ$9:$BD$102,5)+VLOOKUP($CU76-CX$103+1,Frauen!$AZ$9:$BD$102,5)),RundDx)))</f>
        <v/>
      </c>
      <c r="CY76" s="25" t="str">
        <f>IF($CU76&gt;=RAM,"",IF($CU76-CY$103&lt;BeginnAlter,"",ROUND(v^($CU76+FaktorAlter)*$L76*$D76*0.5*(VLOOKUP($CU76-CY$103,Frauen!$G$9:$J$102,4)+VLOOKUP($CU76-CY$103+1,Frauen!$G$9:$J$102,4))*0.5*(VLOOKUP($CU76-CY$103,Frauen!$AZ$9:$BD$102,5)+VLOOKUP($CU76-CY$103+1,Frauen!$AZ$9:$BD$102,5)),RundDx)))</f>
        <v/>
      </c>
      <c r="CZ76" s="25" t="str">
        <f>IF($CU76&gt;=RAM,"",IF($CU76-CZ$103&lt;BeginnAlter,"",ROUND(v^($CU76+FaktorAlter)*$L76*$D76*0.5*(VLOOKUP($CU76-CZ$103,Frauen!$G$9:$J$102,4)+VLOOKUP($CU76-CZ$103+1,Frauen!$G$9:$J$102,4))*0.5*(VLOOKUP($CU76-CZ$103,Frauen!$AZ$9:$BD$102,5)+VLOOKUP($CU76-CZ$103+1,Frauen!$AZ$9:$BD$102,5)),RundDx)))</f>
        <v/>
      </c>
      <c r="DA76" s="25" t="str">
        <f>IF($CU76&gt;=RAM,"",IF($CU76-DA$103&lt;BeginnAlter,"",ROUND(v^($CU76+FaktorAlter)*$L76*$D76*0.5*(VLOOKUP($CU76-DA$103,Frauen!$G$9:$J$102,4)+VLOOKUP($CU76-DA$103+1,Frauen!$G$9:$J$102,4))*0.5*(VLOOKUP($CU76-DA$103,Frauen!$AZ$9:$BD$102,5)+VLOOKUP($CU76-DA$103+1,Frauen!$AZ$9:$BD$102,5)),RundDx)))</f>
        <v/>
      </c>
      <c r="DB76" s="25" t="str">
        <f>IF($CU76&gt;=RAM,"",IF($CU76-DB$103&lt;BeginnAlter,"",ROUND(v^($CU76+FaktorAlter)*$L76*$D76*0.5*(VLOOKUP($CU76-DB$103,Frauen!$G$9:$J$102,4)+VLOOKUP($CU76-DB$103+1,Frauen!$G$9:$J$102,4))*0.5*(VLOOKUP($CU76-DB$103,Frauen!$AZ$9:$BD$102,5)+VLOOKUP($CU76-DB$103+1,Frauen!$AZ$9:$BD$102,5)),RundDx)))</f>
        <v/>
      </c>
      <c r="DC76" s="25" t="str">
        <f>IF($CU76&gt;=RAM,"",IF($CU76-DC$103&lt;BeginnAlter,"",ROUND(v^($CU76+FaktorAlter)*$L76*$D76*0.5*(VLOOKUP($CU76-DC$103,Frauen!$G$9:$J$102,4)+VLOOKUP($CU76-DC$103+1,Frauen!$G$9:$J$102,4))*0.5*(VLOOKUP($CU76-DC$103,Frauen!$AZ$9:$BD$102,5)+VLOOKUP($CU76-DC$103+1,Frauen!$AZ$9:$BD$102,5)),RundDx)))</f>
        <v/>
      </c>
      <c r="DD76" s="25" t="str">
        <f>IF($CU76&gt;=RAM,"",IF($CU76-DD$103&lt;BeginnAlter,"",ROUND(v^($CU76+FaktorAlter)*$L76*$D76*0.5*(VLOOKUP($CU76-DD$103,Frauen!$G$9:$J$102,4)+VLOOKUP($CU76-DD$103+1,Frauen!$G$9:$J$102,4))*0.5*(VLOOKUP($CU76-DD$103,Frauen!$AZ$9:$BD$102,5)+VLOOKUP($CU76-DD$103+1,Frauen!$AZ$9:$BD$102,5)),RundDx)))</f>
        <v/>
      </c>
      <c r="DE76" s="25" t="str">
        <f>IF($CU76&gt;=RAM,"",IF($CU76-DE$103&lt;BeginnAlter,"",ROUND(v^($CU76+FaktorAlter)*$L76*$D76*0.5*(VLOOKUP($CU76-DE$103,Frauen!$G$9:$J$102,4)+VLOOKUP($CU76-DE$103+1,Frauen!$G$9:$J$102,4))*0.5*(VLOOKUP($CU76-DE$103,Frauen!$AZ$9:$BD$102,5)+VLOOKUP($CU76-DE$103+1,Frauen!$AZ$9:$BD$102,5)),RundDx)))</f>
        <v/>
      </c>
      <c r="DF76" s="25" t="str">
        <f>IF($CU76&gt;=RAM,"",IF($CU76-DF$103&lt;BeginnAlter,"",ROUND(v^($CU76+FaktorAlter)*$L76*$D76*0.5*(VLOOKUP($CU76-DF$103,Frauen!$G$9:$J$102,4)+VLOOKUP($CU76-DF$103+1,Frauen!$G$9:$J$102,4))*0.5*(VLOOKUP($CU76-DF$103,Frauen!$AZ$9:$BD$102,5)+VLOOKUP($CU76-DF$103+1,Frauen!$AZ$9:$BD$102,5)),RundDx)))</f>
        <v/>
      </c>
      <c r="DG76" s="25" t="str">
        <f>IF($CU76&gt;=RAM,"",IF($CU76-DG$103&lt;BeginnAlter,"",ROUND(v^($CU76+FaktorAlter)*$L76*$D76*0.5*(VLOOKUP($CU76-DG$103,Frauen!$G$9:$J$102,4)+VLOOKUP($CU76-DG$103+1,Frauen!$G$9:$J$102,4))*0.5*(VLOOKUP($CU76-DG$103,Frauen!$AZ$9:$BD$102,5)+VLOOKUP($CU76-DG$103+1,Frauen!$AZ$9:$BD$102,5)),RundDx)))</f>
        <v/>
      </c>
      <c r="DH76" s="25" t="str">
        <f>IF($CU76&gt;=RAM,"",IF($CU76-DH$103&lt;BeginnAlter,"",ROUND(v^($CU76+FaktorAlter)*$L76*$D76*0.5*(VLOOKUP($CU76-DH$103,Frauen!$G$9:$J$102,4)+VLOOKUP($CU76-DH$103+1,Frauen!$G$9:$J$102,4))*0.5*(VLOOKUP($CU76-DH$103,Frauen!$AZ$9:$BD$102,5)+VLOOKUP($CU76-DH$103+1,Frauen!$AZ$9:$BD$102,5)),RundDx)))</f>
        <v/>
      </c>
      <c r="DI76" s="25" t="str">
        <f>IF($CU76&gt;=RAM,"",IF($CU76-DI$103&lt;BeginnAlter,"",ROUND(v^($CU76+FaktorAlter)*$L76*$D76*0.5*(VLOOKUP($CU76-DI$103,Frauen!$G$9:$J$102,4)+VLOOKUP($CU76-DI$103+1,Frauen!$G$9:$J$102,4))*0.5*(VLOOKUP($CU76-DI$103,Frauen!$AZ$9:$BD$102,5)+VLOOKUP($CU76-DI$103+1,Frauen!$AZ$9:$BD$102,5)),RundDx)))</f>
        <v/>
      </c>
      <c r="DJ76" s="25" t="str">
        <f>IF($CU76&gt;=RAM,"",IF($CU76-DJ$103&lt;BeginnAlter,"",ROUND(v^($CU76+FaktorAlter)*$L76*$D76*0.5*(VLOOKUP($CU76-DJ$103,Frauen!$G$9:$J$102,4)+VLOOKUP($CU76-DJ$103+1,Frauen!$G$9:$J$102,4))*0.5*(VLOOKUP($CU76-DJ$103,Frauen!$AZ$9:$BD$102,5)+VLOOKUP($CU76-DJ$103+1,Frauen!$AZ$9:$BD$102,5)),RundDx)))</f>
        <v/>
      </c>
      <c r="DK76" s="25" t="str">
        <f>IF($CU76&gt;=RAM,"",IF($CU76-DK$103&lt;BeginnAlter,"",ROUND(v^($CU76+FaktorAlter)*$L76*$D76*0.5*(VLOOKUP($CU76-DK$103,Frauen!$G$9:$J$102,4)+VLOOKUP($CU76-DK$103+1,Frauen!$G$9:$J$102,4))*0.5*(VLOOKUP($CU76-DK$103,Frauen!$AZ$9:$BD$102,5)+VLOOKUP($CU76-DK$103+1,Frauen!$AZ$9:$BD$102,5)),RundDx)))</f>
        <v/>
      </c>
      <c r="DL76" s="25" t="str">
        <f>IF($CU76&gt;=RAM,"",IF($CU76-DL$103&lt;BeginnAlter,"",ROUND(v^($CU76+FaktorAlter)*$L76*$D76*0.5*(VLOOKUP($CU76-DL$103,Frauen!$G$9:$J$102,4)+VLOOKUP($CU76-DL$103+1,Frauen!$G$9:$J$102,4))*0.5*(VLOOKUP($CU76-DL$103,Frauen!$AZ$9:$BD$102,5)+VLOOKUP($CU76-DL$103+1,Frauen!$AZ$9:$BD$102,5)),RundDx)))</f>
        <v/>
      </c>
      <c r="DM76" s="25" t="str">
        <f>IF($CU76&gt;=RAM,"",IF($CU76-DM$103&lt;BeginnAlter,"",ROUND(v^($CU76+FaktorAlter)*$L76*$D76*0.5*(VLOOKUP($CU76-DM$103,Frauen!$G$9:$J$102,4)+VLOOKUP($CU76-DM$103+1,Frauen!$G$9:$J$102,4))*0.5*(VLOOKUP($CU76-DM$103,Frauen!$AZ$9:$BD$102,5)+VLOOKUP($CU76-DM$103+1,Frauen!$AZ$9:$BD$102,5)),RundDx)))</f>
        <v/>
      </c>
      <c r="DN76" s="25" t="str">
        <f>IF($CU76&gt;=RAM,"",IF($CU76-DN$103&lt;BeginnAlter,"",ROUND(v^($CU76+FaktorAlter)*$L76*$D76*0.5*(VLOOKUP($CU76-DN$103,Frauen!$G$9:$J$102,4)+VLOOKUP($CU76-DN$103+1,Frauen!$G$9:$J$102,4))*0.5*(VLOOKUP($CU76-DN$103,Frauen!$AZ$9:$BD$102,5)+VLOOKUP($CU76-DN$103+1,Frauen!$AZ$9:$BD$102,5)),RundDx)))</f>
        <v/>
      </c>
      <c r="DO76" s="25" t="str">
        <f>IF($CU76&gt;=RAM,"",IF($CU76-DO$103&lt;BeginnAlter,"",ROUND(v^($CU76+FaktorAlter)*$L76*$D76*0.5*(VLOOKUP($CU76-DO$103,Frauen!$G$9:$J$102,4)+VLOOKUP($CU76-DO$103+1,Frauen!$G$9:$J$102,4))*0.5*(VLOOKUP($CU76-DO$103,Frauen!$AZ$9:$BD$102,5)+VLOOKUP($CU76-DO$103+1,Frauen!$AZ$9:$BD$102,5)),RundDx)))</f>
        <v/>
      </c>
      <c r="DP76" s="25" t="str">
        <f>IF($CU76&gt;=RAM,"",IF($CU76-DP$103&lt;BeginnAlter,"",ROUND(v^($CU76+FaktorAlter)*$L76*$D76*0.5*(VLOOKUP($CU76-DP$103,Frauen!$G$9:$J$102,4)+VLOOKUP($CU76-DP$103+1,Frauen!$G$9:$J$102,4))*0.5*(VLOOKUP($CU76-DP$103,Frauen!$AZ$9:$BD$102,5)+VLOOKUP($CU76-DP$103+1,Frauen!$AZ$9:$BD$102,5)),RundDx)))</f>
        <v/>
      </c>
      <c r="DQ76" s="25" t="str">
        <f>IF($CU76&gt;=RAM,"",IF($CU76-DQ$103&lt;BeginnAlter,"",ROUND(v^($CU76+FaktorAlter)*$L76*$D76*0.5*(VLOOKUP($CU76-DQ$103,Frauen!$G$9:$J$102,4)+VLOOKUP($CU76-DQ$103+1,Frauen!$G$9:$J$102,4))*0.5*(VLOOKUP($CU76-DQ$103,Frauen!$AZ$9:$BD$102,5)+VLOOKUP($CU76-DQ$103+1,Frauen!$AZ$9:$BD$102,5)),RundDx)))</f>
        <v/>
      </c>
      <c r="DR76" s="25" t="str">
        <f>IF($CU76&gt;=RAM,"",IF($CU76-DR$103&lt;BeginnAlter,"",ROUND(v^($CU76+FaktorAlter)*$L76*$D76*0.5*(VLOOKUP($CU76-DR$103,Frauen!$G$9:$J$102,4)+VLOOKUP($CU76-DR$103+1,Frauen!$G$9:$J$102,4))*0.5*(VLOOKUP($CU76-DR$103,Frauen!$AZ$9:$BD$102,5)+VLOOKUP($CU76-DR$103+1,Frauen!$AZ$9:$BD$102,5)),RundDx)))</f>
        <v/>
      </c>
      <c r="DS76" s="25" t="str">
        <f>IF($CU76&gt;=RAM,"",IF($CU76-DS$103&lt;BeginnAlter,"",ROUND(v^($CU76+FaktorAlter)*$L76*$D76*0.5*(VLOOKUP($CU76-DS$103,Frauen!$G$9:$J$102,4)+VLOOKUP($CU76-DS$103+1,Frauen!$G$9:$J$102,4))*0.5*(VLOOKUP($CU76-DS$103,Frauen!$AZ$9:$BD$102,5)+VLOOKUP($CU76-DS$103+1,Frauen!$AZ$9:$BD$102,5)),RundDx)))</f>
        <v/>
      </c>
      <c r="DT76" s="25" t="str">
        <f>IF($CU76&gt;=RAM,"",IF($CU76-DT$103&lt;BeginnAlter,"",ROUND(v^($CU76+FaktorAlter)*$L76*$D76*0.5*(VLOOKUP($CU76-DT$103,Frauen!$G$9:$J$102,4)+VLOOKUP($CU76-DT$103+1,Frauen!$G$9:$J$102,4))*0.5*(VLOOKUP($CU76-DT$103,Frauen!$AZ$9:$BD$102,5)+VLOOKUP($CU76-DT$103+1,Frauen!$AZ$9:$BD$102,5)),RundDx)))</f>
        <v/>
      </c>
      <c r="DU76" s="25" t="str">
        <f>IF($CU76&gt;=RAM,"",IF($CU76-DU$103&lt;BeginnAlter,"",ROUND(v^($CU76+FaktorAlter)*$L76*$D76*0.5*(VLOOKUP($CU76-DU$103,Frauen!$G$9:$J$102,4)+VLOOKUP($CU76-DU$103+1,Frauen!$G$9:$J$102,4))*0.5*(VLOOKUP($CU76-DU$103,Frauen!$AZ$9:$BD$102,5)+VLOOKUP($CU76-DU$103+1,Frauen!$AZ$9:$BD$102,5)),RundDx)))</f>
        <v/>
      </c>
      <c r="DV76" s="25" t="str">
        <f>IF($CU76&gt;=RAM,"",IF($CU76-DV$103&lt;BeginnAlter,"",ROUND(v^($CU76+FaktorAlter)*$L76*$D76*0.5*(VLOOKUP($CU76-DV$103,Frauen!$G$9:$J$102,4)+VLOOKUP($CU76-DV$103+1,Frauen!$G$9:$J$102,4))*0.5*(VLOOKUP($CU76-DV$103,Frauen!$AZ$9:$BD$102,5)+VLOOKUP($CU76-DV$103+1,Frauen!$AZ$9:$BD$102,5)),RundDx)))</f>
        <v/>
      </c>
      <c r="DW76" s="25" t="str">
        <f>IF($CU76&gt;=RAM,"",IF($CU76-DW$103&lt;BeginnAlter,"",ROUND(v^($CU76+FaktorAlter)*$L76*$D76*0.5*(VLOOKUP($CU76-DW$103,Frauen!$G$9:$J$102,4)+VLOOKUP($CU76-DW$103+1,Frauen!$G$9:$J$102,4))*0.5*(VLOOKUP($CU76-DW$103,Frauen!$AZ$9:$BD$102,5)+VLOOKUP($CU76-DW$103+1,Frauen!$AZ$9:$BD$102,5)),RundDx)))</f>
        <v/>
      </c>
      <c r="DX76" s="25" t="str">
        <f>IF($CU76&gt;=RAM,"",IF($CU76-DX$103&lt;BeginnAlter,"",ROUND(v^($CU76+FaktorAlter)*$L76*$D76*0.5*(VLOOKUP($CU76-DX$103,Frauen!$G$9:$J$102,4)+VLOOKUP($CU76-DX$103+1,Frauen!$G$9:$J$102,4))*0.5*(VLOOKUP($CU76-DX$103,Frauen!$AZ$9:$BD$102,5)+VLOOKUP($CU76-DX$103+1,Frauen!$AZ$9:$BD$102,5)),RundDx)))</f>
        <v/>
      </c>
      <c r="DY76" s="25" t="str">
        <f>IF($CU76&gt;=RAM,"",IF($CU76-DY$103&lt;BeginnAlter,"",ROUND(v^($CU76+FaktorAlter)*$L76*$D76*0.5*(VLOOKUP($CU76-DY$103,Frauen!$G$9:$J$102,4)+VLOOKUP($CU76-DY$103+1,Frauen!$G$9:$J$102,4))*0.5*(VLOOKUP($CU76-DY$103,Frauen!$AZ$9:$BD$102,5)+VLOOKUP($CU76-DY$103+1,Frauen!$AZ$9:$BD$102,5)),RundDx)))</f>
        <v/>
      </c>
      <c r="DZ76" s="25" t="str">
        <f>IF($CU76&gt;=RAM,"",IF($CU76-DZ$103&lt;BeginnAlter,"",ROUND(v^($CU76+FaktorAlter)*$L76*$D76*0.5*(VLOOKUP($CU76-DZ$103,Frauen!$G$9:$J$102,4)+VLOOKUP($CU76-DZ$103+1,Frauen!$G$9:$J$102,4))*0.5*(VLOOKUP($CU76-DZ$103,Frauen!$AZ$9:$BD$102,5)+VLOOKUP($CU76-DZ$103+1,Frauen!$AZ$9:$BD$102,5)),RundDx)))</f>
        <v/>
      </c>
      <c r="EA76" s="43" t="str">
        <f>IF($CU76&gt;=RAM,"",IF($CU76-EA$103&lt;BeginnAlter,"",ROUND((SUM(CV$56:CV76)+SUM(FN$9:FN$56))/VLOOKUP($CU76,$AH$9:$AI$102,2)/VLOOKUP($CU76-EA$103,Frauen!$G$9:$J$102,4),Rundäx)))</f>
        <v/>
      </c>
      <c r="EB76" s="43" t="str">
        <f>IF($CU76&gt;=RAM,"",IF($CU76-EB$103&lt;BeginnAlter,"",ROUND((SUM(CW$56:CW76)+SUM(FO$9:FO$56))/VLOOKUP($CU76,$AH$9:$AI$102,2)/VLOOKUP($CU76-EB$103,Frauen!$G$9:$J$102,4),Rundäx)))</f>
        <v/>
      </c>
      <c r="EC76" s="43" t="str">
        <f>IF($CU76&gt;=RAM,"",IF($CU76-EC$103&lt;BeginnAlter,"",ROUND((SUM(CX$56:CX76)+SUM(FP$9:FP$56))/VLOOKUP($CU76,$AH$9:$AI$102,2)/VLOOKUP($CU76-EC$103,Frauen!$G$9:$J$102,4),Rundäx)))</f>
        <v/>
      </c>
      <c r="ED76" s="43" t="str">
        <f>IF($CU76&gt;=RAM,"",IF($CU76-ED$103&lt;BeginnAlter,"",ROUND((SUM(CY$56:CY76)+SUM(FQ$9:FQ$56))/VLOOKUP($CU76,$AH$9:$AI$102,2)/VLOOKUP($CU76-ED$103,Frauen!$G$9:$J$102,4),Rundäx)))</f>
        <v/>
      </c>
      <c r="EE76" s="43" t="str">
        <f>IF($CU76&gt;=RAM,"",IF($CU76-EE$103&lt;BeginnAlter,"",ROUND((SUM(CZ$56:CZ76)+SUM(FR$9:FR$56))/VLOOKUP($CU76,$AH$9:$AI$102,2)/VLOOKUP($CU76-EE$103,Frauen!$G$9:$J$102,4),Rundäx)))</f>
        <v/>
      </c>
      <c r="EF76" s="43" t="str">
        <f>IF($CU76&gt;=RAM,"",IF($CU76-EF$103&lt;BeginnAlter,"",ROUND((SUM(DA$56:DA76)+SUM(FS$9:FS$56))/VLOOKUP($CU76,$AH$9:$AI$102,2)/VLOOKUP($CU76-EF$103,Frauen!$G$9:$J$102,4),Rundäx)))</f>
        <v/>
      </c>
      <c r="EG76" s="43" t="str">
        <f>IF($CU76&gt;=RAM,"",IF($CU76-EG$103&lt;BeginnAlter,"",ROUND((SUM(DB$56:DB76)+SUM(FT$9:FT$56))/VLOOKUP($CU76,$AH$9:$AI$102,2)/VLOOKUP($CU76-EG$103,Frauen!$G$9:$J$102,4),Rundäx)))</f>
        <v/>
      </c>
      <c r="EH76" s="43" t="str">
        <f>IF($CU76&gt;=RAM,"",IF($CU76-EH$103&lt;BeginnAlter,"",ROUND((SUM(DC$56:DC76)+SUM(FU$9:FU$56))/VLOOKUP($CU76,$AH$9:$AI$102,2)/VLOOKUP($CU76-EH$103,Frauen!$G$9:$J$102,4),Rundäx)))</f>
        <v/>
      </c>
      <c r="EI76" s="86"/>
      <c r="EJ76" s="35">
        <f t="shared" si="60"/>
        <v>84</v>
      </c>
      <c r="EK76" s="43" t="str">
        <f>IF($CU76&gt;=RAM,"",IF($CU76-EK$103&lt;BeginnAlter,"",ROUND((SUM(DD$56:DD76)+SUM(FV$9:FV$56))/VLOOKUP($CU76,$AH$9:$AI$102,2)/VLOOKUP($CU76-EK$103,Frauen!$G$9:$J$102,4),Rundäx)))</f>
        <v/>
      </c>
      <c r="EL76" s="43" t="str">
        <f>IF($CU76&gt;=RAM,"",IF($CU76-EL$103&lt;BeginnAlter,"",ROUND((SUM(DE$56:DE76)+SUM(FW$9:FW$56))/VLOOKUP($CU76,$AH$9:$AI$102,2)/VLOOKUP($CU76-EL$103,Frauen!$G$9:$J$102,4),Rundäx)))</f>
        <v/>
      </c>
      <c r="EM76" s="43" t="str">
        <f>IF($CU76&gt;=RAM,"",IF($CU76-EM$103&lt;BeginnAlter,"",ROUND((SUM(DF$56:DF76)+SUM(FX$9:FX$56))/VLOOKUP($CU76,$AH$9:$AI$102,2)/VLOOKUP($CU76-EM$103,Frauen!$G$9:$J$102,4),Rundäx)))</f>
        <v/>
      </c>
      <c r="EN76" s="43" t="str">
        <f>IF($CU76&gt;=RAM,"",IF($CU76-EN$103&lt;BeginnAlter,"",ROUND((SUM(DG$56:DG76)+SUM(FY$9:FY$56))/VLOOKUP($CU76,$AH$9:$AI$102,2)/VLOOKUP($CU76-EN$103,Frauen!$G$9:$J$102,4),Rundäx)))</f>
        <v/>
      </c>
      <c r="EO76" s="43" t="str">
        <f>IF($CU76&gt;=RAM,"",IF($CU76-EO$103&lt;BeginnAlter,"",ROUND((SUM(DH$56:DH76)+SUM(FZ$9:FZ$56))/VLOOKUP($CU76,$AH$9:$AI$102,2)/VLOOKUP($CU76-EO$103,Frauen!$G$9:$J$102,4),Rundäx)))</f>
        <v/>
      </c>
      <c r="EP76" s="43" t="str">
        <f>IF($CU76&gt;=RAM,"",IF($CU76-EP$103&lt;BeginnAlter,"",ROUND((SUM(DI$56:DI76)+SUM(GA$9:GA$56))/VLOOKUP($CU76,$AH$9:$AI$102,2)/VLOOKUP($CU76-EP$103,Frauen!$G$9:$J$102,4),Rundäx)))</f>
        <v/>
      </c>
      <c r="EQ76" s="43" t="str">
        <f>IF($CU76&gt;=RAM,"",IF($CU76-EQ$103&lt;BeginnAlter,"",ROUND((SUM(DJ$56:DJ76)+SUM(GB$9:GB$56))/VLOOKUP($CU76,$AH$9:$AI$102,2)/VLOOKUP($CU76-EQ$103,Frauen!$G$9:$J$102,4),Rundäx)))</f>
        <v/>
      </c>
      <c r="ER76" s="43" t="str">
        <f>IF($CU76&gt;=RAM,"",IF($CU76-ER$103&lt;BeginnAlter,"",ROUND((SUM(DK$56:DK76)+SUM(GC$9:GC$56))/VLOOKUP($CU76,$AH$9:$AI$102,2)/VLOOKUP($CU76-ER$103,Frauen!$G$9:$J$102,4),Rundäx)))</f>
        <v/>
      </c>
      <c r="ES76" s="86"/>
      <c r="ET76" s="35">
        <f t="shared" si="61"/>
        <v>84</v>
      </c>
      <c r="EU76" s="43" t="str">
        <f>IF($CU76&gt;=RAM,"",IF($CU76-EU$103&lt;BeginnAlter,"",ROUND((SUM(DL$56:DL76)+SUM(GD$9:GD$56))/VLOOKUP($CU76,$AH$9:$AI$102,2)/VLOOKUP($CU76-EU$103,Frauen!$G$9:$J$102,4),Rundäx)))</f>
        <v/>
      </c>
      <c r="EV76" s="43" t="str">
        <f>IF($CU76&gt;=RAM,"",IF($CU76-EV$103&lt;BeginnAlter,"",ROUND((SUM(DM$56:DM76)+SUM(GE$9:GE$56))/VLOOKUP($CU76,$AH$9:$AI$102,2)/VLOOKUP($CU76-EV$103,Frauen!$G$9:$J$102,4),Rundäx)))</f>
        <v/>
      </c>
      <c r="EW76" s="43" t="str">
        <f>IF($CU76&gt;=RAM,"",IF($CU76-EW$103&lt;BeginnAlter,"",ROUND((SUM(DN$56:DN76)+SUM(GF$9:GF$56))/VLOOKUP($CU76,$AH$9:$AI$102,2)/VLOOKUP($CU76-EW$103,Frauen!$G$9:$J$102,4),Rundäx)))</f>
        <v/>
      </c>
      <c r="EX76" s="43" t="str">
        <f>IF($CU76&gt;=RAM,"",IF($CU76-EX$103&lt;BeginnAlter,"",ROUND((SUM(DO$56:DO76)+SUM(GG$9:GG$56))/VLOOKUP($CU76,$AH$9:$AI$102,2)/VLOOKUP($CU76-EX$103,Frauen!$G$9:$J$102,4),Rundäx)))</f>
        <v/>
      </c>
      <c r="EY76" s="43" t="str">
        <f>IF($CU76&gt;=RAM,"",IF($CU76-EY$103&lt;BeginnAlter,"",ROUND((SUM(DP$56:DP76)+SUM(GH$9:GH$56))/VLOOKUP($CU76,$AH$9:$AI$102,2)/VLOOKUP($CU76-EY$103,Frauen!$G$9:$J$102,4),Rundäx)))</f>
        <v/>
      </c>
      <c r="EZ76" s="43" t="str">
        <f>IF($CU76&gt;=RAM,"",IF($CU76-EZ$103&lt;BeginnAlter,"",ROUND((SUM(DQ$56:DQ76)+SUM(GI$9:GI$56))/VLOOKUP($CU76,$AH$9:$AI$102,2)/VLOOKUP($CU76-EZ$103,Frauen!$G$9:$J$102,4),Rundäx)))</f>
        <v/>
      </c>
      <c r="FA76" s="43" t="str">
        <f>IF($CU76&gt;=RAM,"",IF($CU76-FA$103&lt;BeginnAlter,"",ROUND((SUM(DR$56:DR76)+SUM(GJ$9:GJ$56))/VLOOKUP($CU76,$AH$9:$AI$102,2)/VLOOKUP($CU76-FA$103,Frauen!$G$9:$J$102,4),Rundäx)))</f>
        <v/>
      </c>
      <c r="FB76" s="43" t="str">
        <f>IF($CU76&gt;=RAM,"",IF($CU76-FB$103&lt;BeginnAlter,"",ROUND((SUM(DS$56:DS76)+SUM(GK$9:GK$56))/VLOOKUP($CU76,$AH$9:$AI$102,2)/VLOOKUP($CU76-FB$103,Frauen!$G$9:$J$102,4),Rundäx)))</f>
        <v/>
      </c>
      <c r="FC76" s="86"/>
      <c r="FD76" s="35">
        <f t="shared" si="62"/>
        <v>84</v>
      </c>
      <c r="FE76" s="43" t="str">
        <f>IF($CU76&gt;=RAM,"",IF($CU76-FE$103&lt;BeginnAlter,"",ROUND((SUM(DT$56:DT76)+SUM(GL$9:GL$56))/VLOOKUP($CU76,$AH$9:$AI$102,2)/VLOOKUP($CU76-FE$103,Frauen!$G$9:$J$102,4),Rundäx)))</f>
        <v/>
      </c>
      <c r="FF76" s="43" t="str">
        <f>IF($CU76&gt;=RAM,"",IF($CU76-FF$103&lt;BeginnAlter,"",ROUND((SUM(DU$56:DU76)+SUM(GM$9:GM$56))/VLOOKUP($CU76,$AH$9:$AI$102,2)/VLOOKUP($CU76-FF$103,Frauen!$G$9:$J$102,4),Rundäx)))</f>
        <v/>
      </c>
      <c r="FG76" s="43" t="str">
        <f>IF($CU76&gt;=RAM,"",IF($CU76-FG$103&lt;BeginnAlter,"",ROUND((SUM(DV$56:DV76)+SUM(GN$9:GN$56))/VLOOKUP($CU76,$AH$9:$AI$102,2)/VLOOKUP($CU76-FG$103,Frauen!$G$9:$J$102,4),Rundäx)))</f>
        <v/>
      </c>
      <c r="FH76" s="43" t="str">
        <f>IF($CU76&gt;=RAM,"",IF($CU76-FH$103&lt;BeginnAlter,"",ROUND((SUM(DW$56:DW76)+SUM(GO$9:GO$56))/VLOOKUP($CU76,$AH$9:$AI$102,2)/VLOOKUP($CU76-FH$103,Frauen!$G$9:$J$102,4),Rundäx)))</f>
        <v/>
      </c>
      <c r="FI76" s="43" t="str">
        <f>IF($CU76&gt;=RAM,"",IF($CU76-FI$103&lt;BeginnAlter,"",ROUND((SUM(DX$56:DX76)+SUM(GP$9:GP$56))/VLOOKUP($CU76,$AH$9:$AI$102,2)/VLOOKUP($CU76-FI$103,Frauen!$G$9:$J$102,4),Rundäx)))</f>
        <v/>
      </c>
      <c r="FJ76" s="43" t="str">
        <f>IF($CU76&gt;=RAM,"",IF($CU76-FJ$103&lt;BeginnAlter,"",ROUND((SUM(DY$56:DY76)+SUM(GQ$9:GQ$56))/VLOOKUP($CU76,$AH$9:$AI$102,2)/VLOOKUP($CU76-FJ$103,Frauen!$G$9:$J$102,4),Rundäx)))</f>
        <v/>
      </c>
      <c r="FK76" s="43" t="str">
        <f>IF($CU76&gt;=RAM,"",IF($CU76-FK$103&lt;BeginnAlter,"",ROUND((SUM(DZ$56:DZ76)+SUM(GR$9:GR$56))/VLOOKUP($CU76,$AH$9:$AI$102,2)/VLOOKUP($CU76-FK$103,Frauen!$G$9:$J$102,4),Rundäx)))</f>
        <v/>
      </c>
      <c r="FL76" s="86"/>
      <c r="FM76" s="35">
        <f t="shared" si="68"/>
        <v>132</v>
      </c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4"/>
      <c r="GT76" s="24"/>
      <c r="GU76" s="24" t="str">
        <f>IF(FM76&gt;=RAM," ",#REF!/$AI76/Frauen!$J64)</f>
        <v xml:space="preserve"> </v>
      </c>
      <c r="GV76" s="24" t="str">
        <f>IF(FM76&gt;=RAM," ",#REF!/$AI76/Frauen!$J67)</f>
        <v xml:space="preserve"> </v>
      </c>
      <c r="GW76" s="24" t="str">
        <f>IF(FM76&gt;=RAM," ",#REF!/$AI76/Frauen!$J70)</f>
        <v xml:space="preserve"> </v>
      </c>
      <c r="GX76" s="24" t="str">
        <f>IF(FM76&gt;=RAM," ",#REF!/$AI76/Frauen!$J73)</f>
        <v xml:space="preserve"> </v>
      </c>
      <c r="GY76" s="24" t="str">
        <f>IF(FM76&gt;=RAM," ",#REF!/$AI76/Frauen!$J76)</f>
        <v xml:space="preserve"> </v>
      </c>
      <c r="GZ76" s="24" t="str">
        <f>IF(FM76&gt;=RAM," ",#REF!/$AI76/Frauen!$J79)</f>
        <v xml:space="preserve"> </v>
      </c>
      <c r="HA76" s="86"/>
      <c r="HB76" s="35">
        <f t="shared" si="63"/>
        <v>132</v>
      </c>
      <c r="HC76" s="24"/>
      <c r="HD76" s="24"/>
      <c r="HE76" s="24"/>
      <c r="HF76" s="24"/>
      <c r="HG76" s="24"/>
      <c r="HH76" s="24"/>
      <c r="HI76" s="24"/>
      <c r="HJ76" s="24"/>
      <c r="HK76" s="86"/>
      <c r="HL76" s="35">
        <f t="shared" si="64"/>
        <v>132</v>
      </c>
      <c r="HM76" s="24"/>
      <c r="HN76" s="24"/>
      <c r="HO76" s="24"/>
      <c r="HP76" s="24"/>
      <c r="HQ76" s="24"/>
      <c r="HR76" s="24"/>
      <c r="HS76" s="24"/>
      <c r="HT76" s="24"/>
      <c r="HU76" s="86"/>
      <c r="HV76" s="35">
        <f t="shared" si="65"/>
        <v>132</v>
      </c>
      <c r="HW76" s="24"/>
      <c r="HX76" s="24"/>
      <c r="HY76" s="24"/>
      <c r="HZ76" s="24"/>
      <c r="IA76" s="24"/>
      <c r="IB76" s="24"/>
      <c r="IC76" s="24"/>
      <c r="ID76" s="89"/>
      <c r="IE76" s="35">
        <f t="shared" si="81"/>
        <v>84</v>
      </c>
      <c r="IF76" s="25" t="str">
        <f t="shared" si="112"/>
        <v/>
      </c>
      <c r="IG76" s="25" t="str">
        <f>IF($IE76&lt;RAM,IF(S77&lt;=RAK,ROUND(SUM(IF76:INDEX(Dakx,RAM-BeginnAlter))+INDEX(Dax,RAM-BeginnAlter+1)*INDEX(äkx,1),RundDx),0),"")</f>
        <v/>
      </c>
      <c r="IH76" s="25" t="str">
        <f>IF($IE76&lt;RAM,IF(S77&lt;=RAK,ROUND(SUM(IG76:INDEX(Nakx,RAM-BeginnAlter))+INDEX(Dax,RAM-BeginnAlter+1)*INDEX(äkx,1),RundDx),0),"")</f>
        <v/>
      </c>
      <c r="II76" s="24" t="str">
        <f t="shared" si="113"/>
        <v/>
      </c>
      <c r="IJ76" s="25" t="str">
        <f t="shared" si="114"/>
        <v/>
      </c>
      <c r="IK76" s="25" t="str">
        <f>IF($IE76&lt;RAM,IF(S77&lt;=RAK,SUM(IJ76:INDEX(Dikx,RAM-BeginnAlter))+INDEX(Dix,RAM-BeginnAlter+1)*INDEX(äkx,1),0),"")</f>
        <v/>
      </c>
      <c r="IL76" s="24" t="str">
        <f t="shared" si="115"/>
        <v/>
      </c>
      <c r="IM76" s="86"/>
      <c r="IN76" s="35">
        <f t="shared" si="67"/>
        <v>132</v>
      </c>
      <c r="IO76" s="25"/>
      <c r="IP76" s="25"/>
      <c r="IQ76" s="24"/>
      <c r="IR76" s="86"/>
    </row>
    <row r="77" spans="1:252" ht="15.75" customHeight="1" x14ac:dyDescent="0.25">
      <c r="A77" s="35">
        <f t="shared" ref="A77:A102" si="120">1+A76</f>
        <v>85</v>
      </c>
      <c r="B77" s="77"/>
      <c r="C77" s="77"/>
      <c r="D77" s="77"/>
      <c r="E77" s="77">
        <v>0.10221484294106847</v>
      </c>
      <c r="F77" s="86"/>
      <c r="G77" s="35">
        <f t="shared" ref="G77:G102" si="121">1+G76</f>
        <v>85</v>
      </c>
      <c r="H77" s="25" t="str">
        <f t="shared" si="116"/>
        <v/>
      </c>
      <c r="I77" s="25" t="str">
        <f t="shared" si="117"/>
        <v/>
      </c>
      <c r="J77" s="25">
        <f t="shared" si="118"/>
        <v>36804</v>
      </c>
      <c r="K77" s="30">
        <f>IF(J77&gt;0,ROUND(SUM(J77:J$102)/J77-0.5,Rundex),"")</f>
        <v>5.45</v>
      </c>
      <c r="L77" s="25">
        <f t="shared" si="82"/>
        <v>36804</v>
      </c>
      <c r="M77" s="30">
        <f>IF(L77&gt;0,ROUND(SUM(L77:L$102)/L77-0.5,Rundex),"")</f>
        <v>5.45</v>
      </c>
      <c r="N77" s="86"/>
      <c r="O77" s="35">
        <f t="shared" ref="O77:O102" si="122">1+O76</f>
        <v>85</v>
      </c>
      <c r="P77" s="43">
        <v>0.65133226947069955</v>
      </c>
      <c r="Q77" s="78">
        <v>79.212751907867428</v>
      </c>
      <c r="R77" s="43"/>
      <c r="S77" s="78"/>
      <c r="T77" s="15">
        <v>0.10831632588829831</v>
      </c>
      <c r="U77" s="11">
        <f t="shared" si="119"/>
        <v>28377</v>
      </c>
      <c r="V77" s="30">
        <f>IF(U77&gt;0,ROUND(SUM(U77:U$102)/U77-0.5,Rundex),"")</f>
        <v>5.38</v>
      </c>
      <c r="W77" s="86"/>
      <c r="X77" s="35">
        <f t="shared" ref="X77:X92" si="123">1+X76</f>
        <v>85</v>
      </c>
      <c r="Y77" s="25" t="str">
        <f t="shared" si="83"/>
        <v xml:space="preserve"> </v>
      </c>
      <c r="Z77" s="25" t="str">
        <f>IF($X77&lt;RAM,SUM(Y77:INDEX(Dax,RAM-BeginnAlter))," ")</f>
        <v xml:space="preserve"> </v>
      </c>
      <c r="AA77" s="25" t="str">
        <f t="shared" si="84"/>
        <v xml:space="preserve"> </v>
      </c>
      <c r="AB77" s="25" t="str">
        <f>IF($X77&lt;RAM,SUM(AA77:INDEX(Cax,RAM-BeginnAlter))," ")</f>
        <v xml:space="preserve"> </v>
      </c>
      <c r="AC77" s="25" t="str">
        <f t="shared" si="85"/>
        <v xml:space="preserve"> </v>
      </c>
      <c r="AD77" s="25" t="str">
        <f>IF($X77&lt;RAM,SUM(AC77:INDEX(Caix,RAM-BeginnAlter))," ")</f>
        <v xml:space="preserve"> </v>
      </c>
      <c r="AE77" s="24" t="str">
        <f t="shared" si="86"/>
        <v xml:space="preserve"> </v>
      </c>
      <c r="AF77" s="24" t="str">
        <f t="shared" si="87"/>
        <v xml:space="preserve"> </v>
      </c>
      <c r="AG77" s="86"/>
      <c r="AH77" s="35">
        <f t="shared" ref="AH77:AH92" si="124">1+AH76</f>
        <v>85</v>
      </c>
      <c r="AI77" s="25" t="str">
        <f t="shared" si="88"/>
        <v xml:space="preserve"> </v>
      </c>
      <c r="AJ77" s="25" t="str">
        <f>IF($AH77&gt;RAM," ",IF($AH77&lt;RAM,SUM(AI77:INDEX(Dix,RAM-BeginnAlter))+INDEX(Nx,RAM-BeginnAlter+1),INDEX(Nx,RAM-BeginnAlter+1)))</f>
        <v xml:space="preserve"> </v>
      </c>
      <c r="AK77" s="25" t="str">
        <f>IF($AH77&lt;RAM,SUM(AI77:INDEX(Dix,RAM-BeginnAlter))," ")</f>
        <v xml:space="preserve"> </v>
      </c>
      <c r="AL77" s="24" t="str">
        <f t="shared" si="89"/>
        <v xml:space="preserve"> </v>
      </c>
      <c r="AM77" s="24" t="str">
        <f t="shared" si="90"/>
        <v xml:space="preserve"> </v>
      </c>
      <c r="AN77" s="24" t="str">
        <f t="shared" si="91"/>
        <v xml:space="preserve"> </v>
      </c>
      <c r="AO77" s="24" t="str">
        <f t="shared" si="92"/>
        <v xml:space="preserve"> </v>
      </c>
      <c r="AP77" s="86"/>
      <c r="AQ77" s="35">
        <f t="shared" ref="AQ77:AQ92" si="125">1+AQ76</f>
        <v>85</v>
      </c>
      <c r="AR77" s="25">
        <f t="shared" si="93"/>
        <v>5553</v>
      </c>
      <c r="AS77" s="25">
        <f>SUM(AR77:AR$94)</f>
        <v>30571</v>
      </c>
      <c r="AT77" s="25" t="str">
        <f>IF($AQ77&lt;RAM,SUM(AR77:INDEX(Dx,RAM-BeginnAlter))," ")</f>
        <v xml:space="preserve"> </v>
      </c>
      <c r="AU77" s="24">
        <f t="shared" si="94"/>
        <v>5.5049999999999999</v>
      </c>
      <c r="AV77" s="24">
        <f t="shared" si="95"/>
        <v>5.0469999999999997</v>
      </c>
      <c r="AW77" s="24" t="str">
        <f t="shared" si="96"/>
        <v xml:space="preserve"> </v>
      </c>
      <c r="AX77" s="24" t="str">
        <f t="shared" si="97"/>
        <v xml:space="preserve"> </v>
      </c>
      <c r="AY77" s="86"/>
      <c r="AZ77" s="35">
        <f t="shared" ref="AZ77:AZ92" si="126">1+AZ76</f>
        <v>85</v>
      </c>
      <c r="BA77" s="25">
        <f t="shared" si="98"/>
        <v>4281</v>
      </c>
      <c r="BB77" s="25">
        <f>SUM(BA77:BA$94)</f>
        <v>23304</v>
      </c>
      <c r="BC77" s="24">
        <f t="shared" si="99"/>
        <v>5.444</v>
      </c>
      <c r="BD77" s="24">
        <f t="shared" si="100"/>
        <v>4.9850000000000003</v>
      </c>
      <c r="BE77" s="86"/>
      <c r="BF77" s="35">
        <f t="shared" ref="BF77:BF92" si="127">1+BF76</f>
        <v>68</v>
      </c>
      <c r="BG77" s="24" t="str">
        <f t="shared" si="101"/>
        <v/>
      </c>
      <c r="BH77" s="24" t="str">
        <f t="shared" si="102"/>
        <v/>
      </c>
      <c r="BI77" s="86"/>
      <c r="BJ77" s="35">
        <f t="shared" ref="BJ77:BJ92" si="128">1+BJ76</f>
        <v>85</v>
      </c>
      <c r="BK77" s="25" t="str">
        <f t="shared" si="103"/>
        <v xml:space="preserve"> </v>
      </c>
      <c r="BL77" s="25" t="str">
        <f>IF(BJ77&lt;RAM,SUM(BK77:INDEX(Daix,RAM-BeginnAlter))," ")</f>
        <v xml:space="preserve"> </v>
      </c>
      <c r="BM77" s="25" t="str">
        <f>IF(BJ77&lt;RAM,SUM(BL77:INDEX(Naix,RAM-BeginnAlter))," ")</f>
        <v xml:space="preserve"> </v>
      </c>
      <c r="BN77" s="24" t="str">
        <f t="shared" si="104"/>
        <v xml:space="preserve"> </v>
      </c>
      <c r="BO77" s="24" t="str">
        <f t="shared" si="105"/>
        <v xml:space="preserve"> </v>
      </c>
      <c r="BP77" s="86"/>
      <c r="BQ77" s="35">
        <f t="shared" ref="BQ77:BQ92" si="129">1+BQ76</f>
        <v>85</v>
      </c>
      <c r="BR77" s="25" t="str">
        <f t="shared" si="51"/>
        <v xml:space="preserve"> </v>
      </c>
      <c r="BS77" s="25" t="str">
        <f>IF(BQ77&lt;RAM,SUM(BR77:INDEX(Daixs,RAM-BeginnAlter))," ")</f>
        <v xml:space="preserve"> </v>
      </c>
      <c r="BT77" s="25" t="str">
        <f>IF(BQ77&lt;RAM,SUM(BS77:INDEX(Naixs,RAM-BeginnAlter))," ")</f>
        <v xml:space="preserve"> </v>
      </c>
      <c r="BU77" s="24" t="str">
        <f t="shared" si="52"/>
        <v xml:space="preserve"> </v>
      </c>
      <c r="BV77" s="24" t="str">
        <f t="shared" si="53"/>
        <v xml:space="preserve"> </v>
      </c>
      <c r="BW77" s="86"/>
      <c r="BX77" s="35">
        <f t="shared" ref="BX77:BX92" si="130">1+BX76</f>
        <v>85</v>
      </c>
      <c r="BY77" s="10" t="str">
        <f t="shared" si="106"/>
        <v/>
      </c>
      <c r="BZ77" s="11" t="str">
        <f t="shared" si="107"/>
        <v/>
      </c>
      <c r="CA77" s="25" t="str">
        <f>IF(S78&lt;=RAK,IF($BX77&lt;RAM,SUM(BZ77:INDEX(Dazx,RAM-BeginnAlter)),""),"")</f>
        <v/>
      </c>
      <c r="CB77" s="24" t="str">
        <f t="shared" si="108"/>
        <v/>
      </c>
      <c r="CC77" s="25">
        <f t="shared" si="109"/>
        <v>0</v>
      </c>
      <c r="CD77" s="24">
        <f t="shared" si="110"/>
        <v>0</v>
      </c>
      <c r="CE77" s="24" t="str">
        <f t="shared" si="111"/>
        <v/>
      </c>
      <c r="CF77" s="86"/>
      <c r="CG77" s="35">
        <f t="shared" ref="CG77:CG92" si="131">1+CG76</f>
        <v>85</v>
      </c>
      <c r="CH77" s="25" t="str">
        <f>IF(CG77&lt;RAM,ROUND(v^($CG77+FaktorAlter)*$H77*($B77*0.5*($P77+$P78)*(VLOOKUP(TRUNC(0.5*($Q77+$Q78),0),Frauen!$AZ$9:$BD$95,5)+(0.5*($Q77+$Q78)-TRUNC(0.5*($Q77+$Q78),0))*(VLOOKUP(TRUNC(0.5*($Q77+$Q78)+1,0),Frauen!$AZ$9:$BD$95,5)-VLOOKUP(TRUNC(0.5*($Q77+$Q78),0),Frauen!$AZ$9:$BD$95,5)))+$C77*0.5*($CN77+$CN78)),RundDx),"")</f>
        <v/>
      </c>
      <c r="CI77" s="25" t="str">
        <f>IF(CG77&lt;RAM,ROUND(SUM(CH77:INDEX(Dawx,RAM-BeginnAlter))+INDEX(Dax,RAM-BeginnAlter+1)*INDEX(äwx,1),RundDx),"")</f>
        <v/>
      </c>
      <c r="CJ77" s="25" t="str">
        <f>IF(CG77&lt;RAM,ROUND(SUM(CI77:INDEX(Nawx,RAM-BeginnAlter))+INDEX(Dax,RAM-BeginnAlter+1)*INDEX(äwx,1),RundDx),"")</f>
        <v/>
      </c>
      <c r="CK77" s="24" t="str">
        <f t="shared" si="56"/>
        <v/>
      </c>
      <c r="CL77" s="25" t="str">
        <f>IF(CG77&lt;RAM,ROUND(v^($CG77+FaktorAlter)*$L77*$D77*0.5*($P77+$P78)*(VLOOKUP(TRUNC(0.5*($Q77+$Q78),0),Frauen!$AZ$9:$BD$95,5)+(0.5*($Q77+$Q78)-TRUNC(0.5*($Q77+$Q78),0))*(VLOOKUP(TRUNC(0.5*($Q77+$Q78)+1,0),Frauen!$AZ$9:$BD$95,5)-VLOOKUP(TRUNC(0.5*($Q77+$Q78),0),Frauen!$AZ$9:$BD$95,5))),RundDx),"")</f>
        <v/>
      </c>
      <c r="CM77" s="25" t="str">
        <f>IF(CG77&lt;RAM,SUM(CL77:INDEX(Diwx,RAM-BeginnAlter))+INDEX(Dix,RAM-BeginnAlter+1)*INDEX(äwx,1),"")</f>
        <v/>
      </c>
      <c r="CN77" s="24" t="str">
        <f t="shared" si="57"/>
        <v/>
      </c>
      <c r="CO77" s="86"/>
      <c r="CP77" s="35">
        <f t="shared" si="58"/>
        <v>133</v>
      </c>
      <c r="CQ77" s="25"/>
      <c r="CR77" s="25"/>
      <c r="CS77" s="24"/>
      <c r="CT77" s="86"/>
      <c r="CU77" s="35">
        <f t="shared" ref="CU77:CU92" si="132">1+CU76</f>
        <v>85</v>
      </c>
      <c r="CV77" s="25" t="str">
        <f>IF($CU77&gt;=RAM,"",IF($CU77-CV$103&lt;BeginnAlter,"",ROUND(v^($CU77+FaktorAlter)*$L77*$D77*0.5*(VLOOKUP($CU77-CV$103,Frauen!$G$9:$J$102,4)+VLOOKUP($CU77-CV$103+1,Frauen!$G$9:$J$102,4))*0.5*(VLOOKUP($CU77-CV$103,Frauen!$AZ$9:$BD$102,5)+VLOOKUP($CU77-CV$103+1,Frauen!$AZ$9:$BD$102,5)),RundDx)))</f>
        <v/>
      </c>
      <c r="CW77" s="25" t="str">
        <f>IF($CU77&gt;=RAM,"",IF($CU77-CW$103&lt;BeginnAlter,"",ROUND(v^($CU77+FaktorAlter)*$L77*$D77*0.5*(VLOOKUP($CU77-CW$103,Frauen!$G$9:$J$102,4)+VLOOKUP($CU77-CW$103+1,Frauen!$G$9:$J$102,4))*0.5*(VLOOKUP($CU77-CW$103,Frauen!$AZ$9:$BD$102,5)+VLOOKUP($CU77-CW$103+1,Frauen!$AZ$9:$BD$102,5)),RundDx)))</f>
        <v/>
      </c>
      <c r="CX77" s="25" t="str">
        <f>IF($CU77&gt;=RAM,"",IF($CU77-CX$103&lt;BeginnAlter,"",ROUND(v^($CU77+FaktorAlter)*$L77*$D77*0.5*(VLOOKUP($CU77-CX$103,Frauen!$G$9:$J$102,4)+VLOOKUP($CU77-CX$103+1,Frauen!$G$9:$J$102,4))*0.5*(VLOOKUP($CU77-CX$103,Frauen!$AZ$9:$BD$102,5)+VLOOKUP($CU77-CX$103+1,Frauen!$AZ$9:$BD$102,5)),RundDx)))</f>
        <v/>
      </c>
      <c r="CY77" s="25" t="str">
        <f>IF($CU77&gt;=RAM,"",IF($CU77-CY$103&lt;BeginnAlter,"",ROUND(v^($CU77+FaktorAlter)*$L77*$D77*0.5*(VLOOKUP($CU77-CY$103,Frauen!$G$9:$J$102,4)+VLOOKUP($CU77-CY$103+1,Frauen!$G$9:$J$102,4))*0.5*(VLOOKUP($CU77-CY$103,Frauen!$AZ$9:$BD$102,5)+VLOOKUP($CU77-CY$103+1,Frauen!$AZ$9:$BD$102,5)),RundDx)))</f>
        <v/>
      </c>
      <c r="CZ77" s="25" t="str">
        <f>IF($CU77&gt;=RAM,"",IF($CU77-CZ$103&lt;BeginnAlter,"",ROUND(v^($CU77+FaktorAlter)*$L77*$D77*0.5*(VLOOKUP($CU77-CZ$103,Frauen!$G$9:$J$102,4)+VLOOKUP($CU77-CZ$103+1,Frauen!$G$9:$J$102,4))*0.5*(VLOOKUP($CU77-CZ$103,Frauen!$AZ$9:$BD$102,5)+VLOOKUP($CU77-CZ$103+1,Frauen!$AZ$9:$BD$102,5)),RundDx)))</f>
        <v/>
      </c>
      <c r="DA77" s="25" t="str">
        <f>IF($CU77&gt;=RAM,"",IF($CU77-DA$103&lt;BeginnAlter,"",ROUND(v^($CU77+FaktorAlter)*$L77*$D77*0.5*(VLOOKUP($CU77-DA$103,Frauen!$G$9:$J$102,4)+VLOOKUP($CU77-DA$103+1,Frauen!$G$9:$J$102,4))*0.5*(VLOOKUP($CU77-DA$103,Frauen!$AZ$9:$BD$102,5)+VLOOKUP($CU77-DA$103+1,Frauen!$AZ$9:$BD$102,5)),RundDx)))</f>
        <v/>
      </c>
      <c r="DB77" s="25" t="str">
        <f>IF($CU77&gt;=RAM,"",IF($CU77-DB$103&lt;BeginnAlter,"",ROUND(v^($CU77+FaktorAlter)*$L77*$D77*0.5*(VLOOKUP($CU77-DB$103,Frauen!$G$9:$J$102,4)+VLOOKUP($CU77-DB$103+1,Frauen!$G$9:$J$102,4))*0.5*(VLOOKUP($CU77-DB$103,Frauen!$AZ$9:$BD$102,5)+VLOOKUP($CU77-DB$103+1,Frauen!$AZ$9:$BD$102,5)),RundDx)))</f>
        <v/>
      </c>
      <c r="DC77" s="25" t="str">
        <f>IF($CU77&gt;=RAM,"",IF($CU77-DC$103&lt;BeginnAlter,"",ROUND(v^($CU77+FaktorAlter)*$L77*$D77*0.5*(VLOOKUP($CU77-DC$103,Frauen!$G$9:$J$102,4)+VLOOKUP($CU77-DC$103+1,Frauen!$G$9:$J$102,4))*0.5*(VLOOKUP($CU77-DC$103,Frauen!$AZ$9:$BD$102,5)+VLOOKUP($CU77-DC$103+1,Frauen!$AZ$9:$BD$102,5)),RundDx)))</f>
        <v/>
      </c>
      <c r="DD77" s="25" t="str">
        <f>IF($CU77&gt;=RAM,"",IF($CU77-DD$103&lt;BeginnAlter,"",ROUND(v^($CU77+FaktorAlter)*$L77*$D77*0.5*(VLOOKUP($CU77-DD$103,Frauen!$G$9:$J$102,4)+VLOOKUP($CU77-DD$103+1,Frauen!$G$9:$J$102,4))*0.5*(VLOOKUP($CU77-DD$103,Frauen!$AZ$9:$BD$102,5)+VLOOKUP($CU77-DD$103+1,Frauen!$AZ$9:$BD$102,5)),RundDx)))</f>
        <v/>
      </c>
      <c r="DE77" s="25" t="str">
        <f>IF($CU77&gt;=RAM,"",IF($CU77-DE$103&lt;BeginnAlter,"",ROUND(v^($CU77+FaktorAlter)*$L77*$D77*0.5*(VLOOKUP($CU77-DE$103,Frauen!$G$9:$J$102,4)+VLOOKUP($CU77-DE$103+1,Frauen!$G$9:$J$102,4))*0.5*(VLOOKUP($CU77-DE$103,Frauen!$AZ$9:$BD$102,5)+VLOOKUP($CU77-DE$103+1,Frauen!$AZ$9:$BD$102,5)),RundDx)))</f>
        <v/>
      </c>
      <c r="DF77" s="25" t="str">
        <f>IF($CU77&gt;=RAM,"",IF($CU77-DF$103&lt;BeginnAlter,"",ROUND(v^($CU77+FaktorAlter)*$L77*$D77*0.5*(VLOOKUP($CU77-DF$103,Frauen!$G$9:$J$102,4)+VLOOKUP($CU77-DF$103+1,Frauen!$G$9:$J$102,4))*0.5*(VLOOKUP($CU77-DF$103,Frauen!$AZ$9:$BD$102,5)+VLOOKUP($CU77-DF$103+1,Frauen!$AZ$9:$BD$102,5)),RundDx)))</f>
        <v/>
      </c>
      <c r="DG77" s="25" t="str">
        <f>IF($CU77&gt;=RAM,"",IF($CU77-DG$103&lt;BeginnAlter,"",ROUND(v^($CU77+FaktorAlter)*$L77*$D77*0.5*(VLOOKUP($CU77-DG$103,Frauen!$G$9:$J$102,4)+VLOOKUP($CU77-DG$103+1,Frauen!$G$9:$J$102,4))*0.5*(VLOOKUP($CU77-DG$103,Frauen!$AZ$9:$BD$102,5)+VLOOKUP($CU77-DG$103+1,Frauen!$AZ$9:$BD$102,5)),RundDx)))</f>
        <v/>
      </c>
      <c r="DH77" s="25" t="str">
        <f>IF($CU77&gt;=RAM,"",IF($CU77-DH$103&lt;BeginnAlter,"",ROUND(v^($CU77+FaktorAlter)*$L77*$D77*0.5*(VLOOKUP($CU77-DH$103,Frauen!$G$9:$J$102,4)+VLOOKUP($CU77-DH$103+1,Frauen!$G$9:$J$102,4))*0.5*(VLOOKUP($CU77-DH$103,Frauen!$AZ$9:$BD$102,5)+VLOOKUP($CU77-DH$103+1,Frauen!$AZ$9:$BD$102,5)),RundDx)))</f>
        <v/>
      </c>
      <c r="DI77" s="25" t="str">
        <f>IF($CU77&gt;=RAM,"",IF($CU77-DI$103&lt;BeginnAlter,"",ROUND(v^($CU77+FaktorAlter)*$L77*$D77*0.5*(VLOOKUP($CU77-DI$103,Frauen!$G$9:$J$102,4)+VLOOKUP($CU77-DI$103+1,Frauen!$G$9:$J$102,4))*0.5*(VLOOKUP($CU77-DI$103,Frauen!$AZ$9:$BD$102,5)+VLOOKUP($CU77-DI$103+1,Frauen!$AZ$9:$BD$102,5)),RundDx)))</f>
        <v/>
      </c>
      <c r="DJ77" s="25" t="str">
        <f>IF($CU77&gt;=RAM,"",IF($CU77-DJ$103&lt;BeginnAlter,"",ROUND(v^($CU77+FaktorAlter)*$L77*$D77*0.5*(VLOOKUP($CU77-DJ$103,Frauen!$G$9:$J$102,4)+VLOOKUP($CU77-DJ$103+1,Frauen!$G$9:$J$102,4))*0.5*(VLOOKUP($CU77-DJ$103,Frauen!$AZ$9:$BD$102,5)+VLOOKUP($CU77-DJ$103+1,Frauen!$AZ$9:$BD$102,5)),RundDx)))</f>
        <v/>
      </c>
      <c r="DK77" s="25" t="str">
        <f>IF($CU77&gt;=RAM,"",IF($CU77-DK$103&lt;BeginnAlter,"",ROUND(v^($CU77+FaktorAlter)*$L77*$D77*0.5*(VLOOKUP($CU77-DK$103,Frauen!$G$9:$J$102,4)+VLOOKUP($CU77-DK$103+1,Frauen!$G$9:$J$102,4))*0.5*(VLOOKUP($CU77-DK$103,Frauen!$AZ$9:$BD$102,5)+VLOOKUP($CU77-DK$103+1,Frauen!$AZ$9:$BD$102,5)),RundDx)))</f>
        <v/>
      </c>
      <c r="DL77" s="25" t="str">
        <f>IF($CU77&gt;=RAM,"",IF($CU77-DL$103&lt;BeginnAlter,"",ROUND(v^($CU77+FaktorAlter)*$L77*$D77*0.5*(VLOOKUP($CU77-DL$103,Frauen!$G$9:$J$102,4)+VLOOKUP($CU77-DL$103+1,Frauen!$G$9:$J$102,4))*0.5*(VLOOKUP($CU77-DL$103,Frauen!$AZ$9:$BD$102,5)+VLOOKUP($CU77-DL$103+1,Frauen!$AZ$9:$BD$102,5)),RundDx)))</f>
        <v/>
      </c>
      <c r="DM77" s="25" t="str">
        <f>IF($CU77&gt;=RAM,"",IF($CU77-DM$103&lt;BeginnAlter,"",ROUND(v^($CU77+FaktorAlter)*$L77*$D77*0.5*(VLOOKUP($CU77-DM$103,Frauen!$G$9:$J$102,4)+VLOOKUP($CU77-DM$103+1,Frauen!$G$9:$J$102,4))*0.5*(VLOOKUP($CU77-DM$103,Frauen!$AZ$9:$BD$102,5)+VLOOKUP($CU77-DM$103+1,Frauen!$AZ$9:$BD$102,5)),RundDx)))</f>
        <v/>
      </c>
      <c r="DN77" s="25" t="str">
        <f>IF($CU77&gt;=RAM,"",IF($CU77-DN$103&lt;BeginnAlter,"",ROUND(v^($CU77+FaktorAlter)*$L77*$D77*0.5*(VLOOKUP($CU77-DN$103,Frauen!$G$9:$J$102,4)+VLOOKUP($CU77-DN$103+1,Frauen!$G$9:$J$102,4))*0.5*(VLOOKUP($CU77-DN$103,Frauen!$AZ$9:$BD$102,5)+VLOOKUP($CU77-DN$103+1,Frauen!$AZ$9:$BD$102,5)),RundDx)))</f>
        <v/>
      </c>
      <c r="DO77" s="25" t="str">
        <f>IF($CU77&gt;=RAM,"",IF($CU77-DO$103&lt;BeginnAlter,"",ROUND(v^($CU77+FaktorAlter)*$L77*$D77*0.5*(VLOOKUP($CU77-DO$103,Frauen!$G$9:$J$102,4)+VLOOKUP($CU77-DO$103+1,Frauen!$G$9:$J$102,4))*0.5*(VLOOKUP($CU77-DO$103,Frauen!$AZ$9:$BD$102,5)+VLOOKUP($CU77-DO$103+1,Frauen!$AZ$9:$BD$102,5)),RundDx)))</f>
        <v/>
      </c>
      <c r="DP77" s="25" t="str">
        <f>IF($CU77&gt;=RAM,"",IF($CU77-DP$103&lt;BeginnAlter,"",ROUND(v^($CU77+FaktorAlter)*$L77*$D77*0.5*(VLOOKUP($CU77-DP$103,Frauen!$G$9:$J$102,4)+VLOOKUP($CU77-DP$103+1,Frauen!$G$9:$J$102,4))*0.5*(VLOOKUP($CU77-DP$103,Frauen!$AZ$9:$BD$102,5)+VLOOKUP($CU77-DP$103+1,Frauen!$AZ$9:$BD$102,5)),RundDx)))</f>
        <v/>
      </c>
      <c r="DQ77" s="25" t="str">
        <f>IF($CU77&gt;=RAM,"",IF($CU77-DQ$103&lt;BeginnAlter,"",ROUND(v^($CU77+FaktorAlter)*$L77*$D77*0.5*(VLOOKUP($CU77-DQ$103,Frauen!$G$9:$J$102,4)+VLOOKUP($CU77-DQ$103+1,Frauen!$G$9:$J$102,4))*0.5*(VLOOKUP($CU77-DQ$103,Frauen!$AZ$9:$BD$102,5)+VLOOKUP($CU77-DQ$103+1,Frauen!$AZ$9:$BD$102,5)),RundDx)))</f>
        <v/>
      </c>
      <c r="DR77" s="25" t="str">
        <f>IF($CU77&gt;=RAM,"",IF($CU77-DR$103&lt;BeginnAlter,"",ROUND(v^($CU77+FaktorAlter)*$L77*$D77*0.5*(VLOOKUP($CU77-DR$103,Frauen!$G$9:$J$102,4)+VLOOKUP($CU77-DR$103+1,Frauen!$G$9:$J$102,4))*0.5*(VLOOKUP($CU77-DR$103,Frauen!$AZ$9:$BD$102,5)+VLOOKUP($CU77-DR$103+1,Frauen!$AZ$9:$BD$102,5)),RundDx)))</f>
        <v/>
      </c>
      <c r="DS77" s="25" t="str">
        <f>IF($CU77&gt;=RAM,"",IF($CU77-DS$103&lt;BeginnAlter,"",ROUND(v^($CU77+FaktorAlter)*$L77*$D77*0.5*(VLOOKUP($CU77-DS$103,Frauen!$G$9:$J$102,4)+VLOOKUP($CU77-DS$103+1,Frauen!$G$9:$J$102,4))*0.5*(VLOOKUP($CU77-DS$103,Frauen!$AZ$9:$BD$102,5)+VLOOKUP($CU77-DS$103+1,Frauen!$AZ$9:$BD$102,5)),RundDx)))</f>
        <v/>
      </c>
      <c r="DT77" s="25" t="str">
        <f>IF($CU77&gt;=RAM,"",IF($CU77-DT$103&lt;BeginnAlter,"",ROUND(v^($CU77+FaktorAlter)*$L77*$D77*0.5*(VLOOKUP($CU77-DT$103,Frauen!$G$9:$J$102,4)+VLOOKUP($CU77-DT$103+1,Frauen!$G$9:$J$102,4))*0.5*(VLOOKUP($CU77-DT$103,Frauen!$AZ$9:$BD$102,5)+VLOOKUP($CU77-DT$103+1,Frauen!$AZ$9:$BD$102,5)),RundDx)))</f>
        <v/>
      </c>
      <c r="DU77" s="25" t="str">
        <f>IF($CU77&gt;=RAM,"",IF($CU77-DU$103&lt;BeginnAlter,"",ROUND(v^($CU77+FaktorAlter)*$L77*$D77*0.5*(VLOOKUP($CU77-DU$103,Frauen!$G$9:$J$102,4)+VLOOKUP($CU77-DU$103+1,Frauen!$G$9:$J$102,4))*0.5*(VLOOKUP($CU77-DU$103,Frauen!$AZ$9:$BD$102,5)+VLOOKUP($CU77-DU$103+1,Frauen!$AZ$9:$BD$102,5)),RundDx)))</f>
        <v/>
      </c>
      <c r="DV77" s="25" t="str">
        <f>IF($CU77&gt;=RAM,"",IF($CU77-DV$103&lt;BeginnAlter,"",ROUND(v^($CU77+FaktorAlter)*$L77*$D77*0.5*(VLOOKUP($CU77-DV$103,Frauen!$G$9:$J$102,4)+VLOOKUP($CU77-DV$103+1,Frauen!$G$9:$J$102,4))*0.5*(VLOOKUP($CU77-DV$103,Frauen!$AZ$9:$BD$102,5)+VLOOKUP($CU77-DV$103+1,Frauen!$AZ$9:$BD$102,5)),RundDx)))</f>
        <v/>
      </c>
      <c r="DW77" s="25" t="str">
        <f>IF($CU77&gt;=RAM,"",IF($CU77-DW$103&lt;BeginnAlter,"",ROUND(v^($CU77+FaktorAlter)*$L77*$D77*0.5*(VLOOKUP($CU77-DW$103,Frauen!$G$9:$J$102,4)+VLOOKUP($CU77-DW$103+1,Frauen!$G$9:$J$102,4))*0.5*(VLOOKUP($CU77-DW$103,Frauen!$AZ$9:$BD$102,5)+VLOOKUP($CU77-DW$103+1,Frauen!$AZ$9:$BD$102,5)),RundDx)))</f>
        <v/>
      </c>
      <c r="DX77" s="25" t="str">
        <f>IF($CU77&gt;=RAM,"",IF($CU77-DX$103&lt;BeginnAlter,"",ROUND(v^($CU77+FaktorAlter)*$L77*$D77*0.5*(VLOOKUP($CU77-DX$103,Frauen!$G$9:$J$102,4)+VLOOKUP($CU77-DX$103+1,Frauen!$G$9:$J$102,4))*0.5*(VLOOKUP($CU77-DX$103,Frauen!$AZ$9:$BD$102,5)+VLOOKUP($CU77-DX$103+1,Frauen!$AZ$9:$BD$102,5)),RundDx)))</f>
        <v/>
      </c>
      <c r="DY77" s="25" t="str">
        <f>IF($CU77&gt;=RAM,"",IF($CU77-DY$103&lt;BeginnAlter,"",ROUND(v^($CU77+FaktorAlter)*$L77*$D77*0.5*(VLOOKUP($CU77-DY$103,Frauen!$G$9:$J$102,4)+VLOOKUP($CU77-DY$103+1,Frauen!$G$9:$J$102,4))*0.5*(VLOOKUP($CU77-DY$103,Frauen!$AZ$9:$BD$102,5)+VLOOKUP($CU77-DY$103+1,Frauen!$AZ$9:$BD$102,5)),RundDx)))</f>
        <v/>
      </c>
      <c r="DZ77" s="25" t="str">
        <f>IF($CU77&gt;=RAM,"",IF($CU77-DZ$103&lt;BeginnAlter,"",ROUND(v^($CU77+FaktorAlter)*$L77*$D77*0.5*(VLOOKUP($CU77-DZ$103,Frauen!$G$9:$J$102,4)+VLOOKUP($CU77-DZ$103+1,Frauen!$G$9:$J$102,4))*0.5*(VLOOKUP($CU77-DZ$103,Frauen!$AZ$9:$BD$102,5)+VLOOKUP($CU77-DZ$103+1,Frauen!$AZ$9:$BD$102,5)),RundDx)))</f>
        <v/>
      </c>
      <c r="EA77" s="43" t="str">
        <f>IF($CU77&gt;=RAM,"",IF($CU77-EA$103&lt;BeginnAlter,"",ROUND((SUM(CV$56:CV77)+SUM(FN$9:FN$56))/VLOOKUP($CU77,$AH$9:$AI$102,2)/VLOOKUP($CU77-EA$103,Frauen!$G$9:$J$102,4),Rundäx)))</f>
        <v/>
      </c>
      <c r="EB77" s="43" t="str">
        <f>IF($CU77&gt;=RAM,"",IF($CU77-EB$103&lt;BeginnAlter,"",ROUND((SUM(CW$56:CW77)+SUM(FO$9:FO$56))/VLOOKUP($CU77,$AH$9:$AI$102,2)/VLOOKUP($CU77-EB$103,Frauen!$G$9:$J$102,4),Rundäx)))</f>
        <v/>
      </c>
      <c r="EC77" s="43" t="str">
        <f>IF($CU77&gt;=RAM,"",IF($CU77-EC$103&lt;BeginnAlter,"",ROUND((SUM(CX$56:CX77)+SUM(FP$9:FP$56))/VLOOKUP($CU77,$AH$9:$AI$102,2)/VLOOKUP($CU77-EC$103,Frauen!$G$9:$J$102,4),Rundäx)))</f>
        <v/>
      </c>
      <c r="ED77" s="43" t="str">
        <f>IF($CU77&gt;=RAM,"",IF($CU77-ED$103&lt;BeginnAlter,"",ROUND((SUM(CY$56:CY77)+SUM(FQ$9:FQ$56))/VLOOKUP($CU77,$AH$9:$AI$102,2)/VLOOKUP($CU77-ED$103,Frauen!$G$9:$J$102,4),Rundäx)))</f>
        <v/>
      </c>
      <c r="EE77" s="43" t="str">
        <f>IF($CU77&gt;=RAM,"",IF($CU77-EE$103&lt;BeginnAlter,"",ROUND((SUM(CZ$56:CZ77)+SUM(FR$9:FR$56))/VLOOKUP($CU77,$AH$9:$AI$102,2)/VLOOKUP($CU77-EE$103,Frauen!$G$9:$J$102,4),Rundäx)))</f>
        <v/>
      </c>
      <c r="EF77" s="43" t="str">
        <f>IF($CU77&gt;=RAM,"",IF($CU77-EF$103&lt;BeginnAlter,"",ROUND((SUM(DA$56:DA77)+SUM(FS$9:FS$56))/VLOOKUP($CU77,$AH$9:$AI$102,2)/VLOOKUP($CU77-EF$103,Frauen!$G$9:$J$102,4),Rundäx)))</f>
        <v/>
      </c>
      <c r="EG77" s="43" t="str">
        <f>IF($CU77&gt;=RAM,"",IF($CU77-EG$103&lt;BeginnAlter,"",ROUND((SUM(DB$56:DB77)+SUM(FT$9:FT$56))/VLOOKUP($CU77,$AH$9:$AI$102,2)/VLOOKUP($CU77-EG$103,Frauen!$G$9:$J$102,4),Rundäx)))</f>
        <v/>
      </c>
      <c r="EH77" s="43" t="str">
        <f>IF($CU77&gt;=RAM,"",IF($CU77-EH$103&lt;BeginnAlter,"",ROUND((SUM(DC$56:DC77)+SUM(FU$9:FU$56))/VLOOKUP($CU77,$AH$9:$AI$102,2)/VLOOKUP($CU77-EH$103,Frauen!$G$9:$J$102,4),Rundäx)))</f>
        <v/>
      </c>
      <c r="EI77" s="86"/>
      <c r="EJ77" s="35">
        <f t="shared" ref="EJ77:EJ92" si="133">1+EJ76</f>
        <v>85</v>
      </c>
      <c r="EK77" s="43" t="str">
        <f>IF($CU77&gt;=RAM,"",IF($CU77-EK$103&lt;BeginnAlter,"",ROUND((SUM(DD$56:DD77)+SUM(FV$9:FV$56))/VLOOKUP($CU77,$AH$9:$AI$102,2)/VLOOKUP($CU77-EK$103,Frauen!$G$9:$J$102,4),Rundäx)))</f>
        <v/>
      </c>
      <c r="EL77" s="43" t="str">
        <f>IF($CU77&gt;=RAM,"",IF($CU77-EL$103&lt;BeginnAlter,"",ROUND((SUM(DE$56:DE77)+SUM(FW$9:FW$56))/VLOOKUP($CU77,$AH$9:$AI$102,2)/VLOOKUP($CU77-EL$103,Frauen!$G$9:$J$102,4),Rundäx)))</f>
        <v/>
      </c>
      <c r="EM77" s="43" t="str">
        <f>IF($CU77&gt;=RAM,"",IF($CU77-EM$103&lt;BeginnAlter,"",ROUND((SUM(DF$56:DF77)+SUM(FX$9:FX$56))/VLOOKUP($CU77,$AH$9:$AI$102,2)/VLOOKUP($CU77-EM$103,Frauen!$G$9:$J$102,4),Rundäx)))</f>
        <v/>
      </c>
      <c r="EN77" s="43" t="str">
        <f>IF($CU77&gt;=RAM,"",IF($CU77-EN$103&lt;BeginnAlter,"",ROUND((SUM(DG$56:DG77)+SUM(FY$9:FY$56))/VLOOKUP($CU77,$AH$9:$AI$102,2)/VLOOKUP($CU77-EN$103,Frauen!$G$9:$J$102,4),Rundäx)))</f>
        <v/>
      </c>
      <c r="EO77" s="43" t="str">
        <f>IF($CU77&gt;=RAM,"",IF($CU77-EO$103&lt;BeginnAlter,"",ROUND((SUM(DH$56:DH77)+SUM(FZ$9:FZ$56))/VLOOKUP($CU77,$AH$9:$AI$102,2)/VLOOKUP($CU77-EO$103,Frauen!$G$9:$J$102,4),Rundäx)))</f>
        <v/>
      </c>
      <c r="EP77" s="43" t="str">
        <f>IF($CU77&gt;=RAM,"",IF($CU77-EP$103&lt;BeginnAlter,"",ROUND((SUM(DI$56:DI77)+SUM(GA$9:GA$56))/VLOOKUP($CU77,$AH$9:$AI$102,2)/VLOOKUP($CU77-EP$103,Frauen!$G$9:$J$102,4),Rundäx)))</f>
        <v/>
      </c>
      <c r="EQ77" s="43" t="str">
        <f>IF($CU77&gt;=RAM,"",IF($CU77-EQ$103&lt;BeginnAlter,"",ROUND((SUM(DJ$56:DJ77)+SUM(GB$9:GB$56))/VLOOKUP($CU77,$AH$9:$AI$102,2)/VLOOKUP($CU77-EQ$103,Frauen!$G$9:$J$102,4),Rundäx)))</f>
        <v/>
      </c>
      <c r="ER77" s="43" t="str">
        <f>IF($CU77&gt;=RAM,"",IF($CU77-ER$103&lt;BeginnAlter,"",ROUND((SUM(DK$56:DK77)+SUM(GC$9:GC$56))/VLOOKUP($CU77,$AH$9:$AI$102,2)/VLOOKUP($CU77-ER$103,Frauen!$G$9:$J$102,4),Rundäx)))</f>
        <v/>
      </c>
      <c r="ES77" s="86"/>
      <c r="ET77" s="35">
        <f t="shared" ref="ET77:ET92" si="134">1+ET76</f>
        <v>85</v>
      </c>
      <c r="EU77" s="43" t="str">
        <f>IF($CU77&gt;=RAM,"",IF($CU77-EU$103&lt;BeginnAlter,"",ROUND((SUM(DL$56:DL77)+SUM(GD$9:GD$56))/VLOOKUP($CU77,$AH$9:$AI$102,2)/VLOOKUP($CU77-EU$103,Frauen!$G$9:$J$102,4),Rundäx)))</f>
        <v/>
      </c>
      <c r="EV77" s="43" t="str">
        <f>IF($CU77&gt;=RAM,"",IF($CU77-EV$103&lt;BeginnAlter,"",ROUND((SUM(DM$56:DM77)+SUM(GE$9:GE$56))/VLOOKUP($CU77,$AH$9:$AI$102,2)/VLOOKUP($CU77-EV$103,Frauen!$G$9:$J$102,4),Rundäx)))</f>
        <v/>
      </c>
      <c r="EW77" s="43" t="str">
        <f>IF($CU77&gt;=RAM,"",IF($CU77-EW$103&lt;BeginnAlter,"",ROUND((SUM(DN$56:DN77)+SUM(GF$9:GF$56))/VLOOKUP($CU77,$AH$9:$AI$102,2)/VLOOKUP($CU77-EW$103,Frauen!$G$9:$J$102,4),Rundäx)))</f>
        <v/>
      </c>
      <c r="EX77" s="43" t="str">
        <f>IF($CU77&gt;=RAM,"",IF($CU77-EX$103&lt;BeginnAlter,"",ROUND((SUM(DO$56:DO77)+SUM(GG$9:GG$56))/VLOOKUP($CU77,$AH$9:$AI$102,2)/VLOOKUP($CU77-EX$103,Frauen!$G$9:$J$102,4),Rundäx)))</f>
        <v/>
      </c>
      <c r="EY77" s="43" t="str">
        <f>IF($CU77&gt;=RAM,"",IF($CU77-EY$103&lt;BeginnAlter,"",ROUND((SUM(DP$56:DP77)+SUM(GH$9:GH$56))/VLOOKUP($CU77,$AH$9:$AI$102,2)/VLOOKUP($CU77-EY$103,Frauen!$G$9:$J$102,4),Rundäx)))</f>
        <v/>
      </c>
      <c r="EZ77" s="43" t="str">
        <f>IF($CU77&gt;=RAM,"",IF($CU77-EZ$103&lt;BeginnAlter,"",ROUND((SUM(DQ$56:DQ77)+SUM(GI$9:GI$56))/VLOOKUP($CU77,$AH$9:$AI$102,2)/VLOOKUP($CU77-EZ$103,Frauen!$G$9:$J$102,4),Rundäx)))</f>
        <v/>
      </c>
      <c r="FA77" s="43" t="str">
        <f>IF($CU77&gt;=RAM,"",IF($CU77-FA$103&lt;BeginnAlter,"",ROUND((SUM(DR$56:DR77)+SUM(GJ$9:GJ$56))/VLOOKUP($CU77,$AH$9:$AI$102,2)/VLOOKUP($CU77-FA$103,Frauen!$G$9:$J$102,4),Rundäx)))</f>
        <v/>
      </c>
      <c r="FB77" s="43" t="str">
        <f>IF($CU77&gt;=RAM,"",IF($CU77-FB$103&lt;BeginnAlter,"",ROUND((SUM(DS$56:DS77)+SUM(GK$9:GK$56))/VLOOKUP($CU77,$AH$9:$AI$102,2)/VLOOKUP($CU77-FB$103,Frauen!$G$9:$J$102,4),Rundäx)))</f>
        <v/>
      </c>
      <c r="FC77" s="86"/>
      <c r="FD77" s="35">
        <f t="shared" ref="FD77:FD92" si="135">1+FD76</f>
        <v>85</v>
      </c>
      <c r="FE77" s="43" t="str">
        <f>IF($CU77&gt;=RAM,"",IF($CU77-FE$103&lt;BeginnAlter,"",ROUND((SUM(DT$56:DT77)+SUM(GL$9:GL$56))/VLOOKUP($CU77,$AH$9:$AI$102,2)/VLOOKUP($CU77-FE$103,Frauen!$G$9:$J$102,4),Rundäx)))</f>
        <v/>
      </c>
      <c r="FF77" s="43" t="str">
        <f>IF($CU77&gt;=RAM,"",IF($CU77-FF$103&lt;BeginnAlter,"",ROUND((SUM(DU$56:DU77)+SUM(GM$9:GM$56))/VLOOKUP($CU77,$AH$9:$AI$102,2)/VLOOKUP($CU77-FF$103,Frauen!$G$9:$J$102,4),Rundäx)))</f>
        <v/>
      </c>
      <c r="FG77" s="43" t="str">
        <f>IF($CU77&gt;=RAM,"",IF($CU77-FG$103&lt;BeginnAlter,"",ROUND((SUM(DV$56:DV77)+SUM(GN$9:GN$56))/VLOOKUP($CU77,$AH$9:$AI$102,2)/VLOOKUP($CU77-FG$103,Frauen!$G$9:$J$102,4),Rundäx)))</f>
        <v/>
      </c>
      <c r="FH77" s="43" t="str">
        <f>IF($CU77&gt;=RAM,"",IF($CU77-FH$103&lt;BeginnAlter,"",ROUND((SUM(DW$56:DW77)+SUM(GO$9:GO$56))/VLOOKUP($CU77,$AH$9:$AI$102,2)/VLOOKUP($CU77-FH$103,Frauen!$G$9:$J$102,4),Rundäx)))</f>
        <v/>
      </c>
      <c r="FI77" s="43" t="str">
        <f>IF($CU77&gt;=RAM,"",IF($CU77-FI$103&lt;BeginnAlter,"",ROUND((SUM(DX$56:DX77)+SUM(GP$9:GP$56))/VLOOKUP($CU77,$AH$9:$AI$102,2)/VLOOKUP($CU77-FI$103,Frauen!$G$9:$J$102,4),Rundäx)))</f>
        <v/>
      </c>
      <c r="FJ77" s="43" t="str">
        <f>IF($CU77&gt;=RAM,"",IF($CU77-FJ$103&lt;BeginnAlter,"",ROUND((SUM(DY$56:DY77)+SUM(GQ$9:GQ$56))/VLOOKUP($CU77,$AH$9:$AI$102,2)/VLOOKUP($CU77-FJ$103,Frauen!$G$9:$J$102,4),Rundäx)))</f>
        <v/>
      </c>
      <c r="FK77" s="43" t="str">
        <f>IF($CU77&gt;=RAM,"",IF($CU77-FK$103&lt;BeginnAlter,"",ROUND((SUM(DZ$56:DZ77)+SUM(GR$9:GR$56))/VLOOKUP($CU77,$AH$9:$AI$102,2)/VLOOKUP($CU77-FK$103,Frauen!$G$9:$J$102,4),Rundäx)))</f>
        <v/>
      </c>
      <c r="FL77" s="86"/>
      <c r="FM77" s="35">
        <f t="shared" ref="FM77:FM92" si="136">1+FM76</f>
        <v>133</v>
      </c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4"/>
      <c r="GT77" s="24"/>
      <c r="GU77" s="24" t="str">
        <f>IF(FM77&gt;=RAM," ",#REF!/$AI77/Frauen!$J65)</f>
        <v xml:space="preserve"> </v>
      </c>
      <c r="GV77" s="24" t="str">
        <f>IF(FM77&gt;=RAM," ",#REF!/$AI77/Frauen!$J68)</f>
        <v xml:space="preserve"> </v>
      </c>
      <c r="GW77" s="24" t="str">
        <f>IF(FM77&gt;=RAM," ",#REF!/$AI77/Frauen!$J71)</f>
        <v xml:space="preserve"> </v>
      </c>
      <c r="GX77" s="24" t="str">
        <f>IF(FM77&gt;=RAM," ",#REF!/$AI77/Frauen!$J74)</f>
        <v xml:space="preserve"> </v>
      </c>
      <c r="GY77" s="24" t="str">
        <f>IF(FM77&gt;=RAM," ",#REF!/$AI77/Frauen!$J77)</f>
        <v xml:space="preserve"> </v>
      </c>
      <c r="GZ77" s="24" t="str">
        <f>IF(FM77&gt;=RAM," ",#REF!/$AI77/Frauen!$J80)</f>
        <v xml:space="preserve"> </v>
      </c>
      <c r="HA77" s="86"/>
      <c r="HB77" s="35">
        <f t="shared" ref="HB77:HB92" si="137">1+HB76</f>
        <v>133</v>
      </c>
      <c r="HC77" s="24"/>
      <c r="HD77" s="24"/>
      <c r="HE77" s="24"/>
      <c r="HF77" s="24"/>
      <c r="HG77" s="24"/>
      <c r="HH77" s="24"/>
      <c r="HI77" s="24"/>
      <c r="HJ77" s="24"/>
      <c r="HK77" s="86"/>
      <c r="HL77" s="35">
        <f t="shared" ref="HL77:HL92" si="138">1+HL76</f>
        <v>133</v>
      </c>
      <c r="HM77" s="24"/>
      <c r="HN77" s="24"/>
      <c r="HO77" s="24"/>
      <c r="HP77" s="24"/>
      <c r="HQ77" s="24"/>
      <c r="HR77" s="24"/>
      <c r="HS77" s="24"/>
      <c r="HT77" s="24"/>
      <c r="HU77" s="86"/>
      <c r="HV77" s="35">
        <f t="shared" ref="HV77:HV92" si="139">1+HV76</f>
        <v>133</v>
      </c>
      <c r="HW77" s="24"/>
      <c r="HX77" s="24"/>
      <c r="HY77" s="24"/>
      <c r="HZ77" s="24"/>
      <c r="IA77" s="24"/>
      <c r="IB77" s="24"/>
      <c r="IC77" s="24"/>
      <c r="ID77" s="89"/>
      <c r="IE77" s="35">
        <f t="shared" ref="IE77:IE92" si="140">1+IE76</f>
        <v>85</v>
      </c>
      <c r="IF77" s="25" t="str">
        <f t="shared" si="112"/>
        <v/>
      </c>
      <c r="IG77" s="25" t="str">
        <f>IF($IE77&lt;RAM,IF(S78&lt;=RAK,ROUND(SUM(IF77:INDEX(Dakx,RAM-BeginnAlter))+INDEX(Dax,RAM-BeginnAlter+1)*INDEX(äkx,1),RundDx),0),"")</f>
        <v/>
      </c>
      <c r="IH77" s="25" t="str">
        <f>IF($IE77&lt;RAM,IF(S78&lt;=RAK,ROUND(SUM(IG77:INDEX(Nakx,RAM-BeginnAlter))+INDEX(Dax,RAM-BeginnAlter+1)*INDEX(äkx,1),RundDx),0),"")</f>
        <v/>
      </c>
      <c r="II77" s="24" t="str">
        <f t="shared" si="113"/>
        <v/>
      </c>
      <c r="IJ77" s="25" t="str">
        <f t="shared" si="114"/>
        <v/>
      </c>
      <c r="IK77" s="25" t="str">
        <f>IF($IE77&lt;RAM,IF(S78&lt;=RAK,SUM(IJ77:INDEX(Dikx,RAM-BeginnAlter))+INDEX(Dix,RAM-BeginnAlter+1)*INDEX(äkx,1),0),"")</f>
        <v/>
      </c>
      <c r="IL77" s="24" t="str">
        <f t="shared" si="115"/>
        <v/>
      </c>
      <c r="IM77" s="86"/>
      <c r="IN77" s="35">
        <f t="shared" ref="IN77:IN92" si="141">1+IN76</f>
        <v>133</v>
      </c>
      <c r="IO77" s="25"/>
      <c r="IP77" s="25"/>
      <c r="IQ77" s="24"/>
      <c r="IR77" s="86"/>
    </row>
    <row r="78" spans="1:252" ht="15.75" customHeight="1" x14ac:dyDescent="0.25">
      <c r="A78" s="35">
        <f t="shared" si="120"/>
        <v>86</v>
      </c>
      <c r="B78" s="77"/>
      <c r="C78" s="77"/>
      <c r="D78" s="77"/>
      <c r="E78" s="77">
        <v>0.11452878173593117</v>
      </c>
      <c r="F78" s="86"/>
      <c r="G78" s="35">
        <f t="shared" si="121"/>
        <v>86</v>
      </c>
      <c r="H78" s="25" t="str">
        <f t="shared" si="116"/>
        <v/>
      </c>
      <c r="I78" s="25" t="str">
        <f t="shared" si="117"/>
        <v/>
      </c>
      <c r="J78" s="25">
        <f t="shared" si="118"/>
        <v>33042</v>
      </c>
      <c r="K78" s="30">
        <f>IF(J78&gt;0,ROUND(SUM(J78:J$102)/J78-0.5,Rundex),"")</f>
        <v>5.01</v>
      </c>
      <c r="L78" s="25">
        <f t="shared" si="82"/>
        <v>33042</v>
      </c>
      <c r="M78" s="30">
        <f>IF(L78&gt;0,ROUND(SUM(L78:L$102)/L78-0.5,Rundex),"")</f>
        <v>5.01</v>
      </c>
      <c r="N78" s="86"/>
      <c r="O78" s="35">
        <f t="shared" si="122"/>
        <v>86</v>
      </c>
      <c r="P78" s="43">
        <v>0.62780649811621414</v>
      </c>
      <c r="Q78" s="78">
        <v>80.109471339614217</v>
      </c>
      <c r="R78" s="43"/>
      <c r="S78" s="78"/>
      <c r="T78" s="15">
        <v>0.11933690468291008</v>
      </c>
      <c r="U78" s="11">
        <f t="shared" si="119"/>
        <v>25303</v>
      </c>
      <c r="V78" s="30">
        <f>IF(U78&gt;0,ROUND(SUM(U78:U$102)/U78-0.5,Rundex),"")</f>
        <v>4.97</v>
      </c>
      <c r="W78" s="86"/>
      <c r="X78" s="35">
        <f t="shared" si="123"/>
        <v>86</v>
      </c>
      <c r="Y78" s="25" t="str">
        <f t="shared" si="83"/>
        <v xml:space="preserve"> </v>
      </c>
      <c r="Z78" s="25" t="str">
        <f>IF($X78&lt;RAM,SUM(Y78:INDEX(Dax,RAM-BeginnAlter))," ")</f>
        <v xml:space="preserve"> </v>
      </c>
      <c r="AA78" s="25" t="str">
        <f t="shared" si="84"/>
        <v xml:space="preserve"> </v>
      </c>
      <c r="AB78" s="25" t="str">
        <f>IF($X78&lt;RAM,SUM(AA78:INDEX(Cax,RAM-BeginnAlter))," ")</f>
        <v xml:space="preserve"> </v>
      </c>
      <c r="AC78" s="25" t="str">
        <f t="shared" si="85"/>
        <v xml:space="preserve"> </v>
      </c>
      <c r="AD78" s="25" t="str">
        <f>IF($X78&lt;RAM,SUM(AC78:INDEX(Caix,RAM-BeginnAlter))," ")</f>
        <v xml:space="preserve"> </v>
      </c>
      <c r="AE78" s="24" t="str">
        <f t="shared" si="86"/>
        <v xml:space="preserve"> </v>
      </c>
      <c r="AF78" s="24" t="str">
        <f t="shared" si="87"/>
        <v xml:space="preserve"> </v>
      </c>
      <c r="AG78" s="86"/>
      <c r="AH78" s="35">
        <f t="shared" si="124"/>
        <v>86</v>
      </c>
      <c r="AI78" s="25" t="str">
        <f t="shared" si="88"/>
        <v xml:space="preserve"> </v>
      </c>
      <c r="AJ78" s="25" t="str">
        <f>IF($AH78&gt;RAM," ",IF($AH78&lt;RAM,SUM(AI78:INDEX(Dix,RAM-BeginnAlter))+INDEX(Nx,RAM-BeginnAlter+1),INDEX(Nx,RAM-BeginnAlter+1)))</f>
        <v xml:space="preserve"> </v>
      </c>
      <c r="AK78" s="25" t="str">
        <f>IF($AH78&lt;RAM,SUM(AI78:INDEX(Dix,RAM-BeginnAlter))," ")</f>
        <v xml:space="preserve"> </v>
      </c>
      <c r="AL78" s="24" t="str">
        <f t="shared" si="89"/>
        <v xml:space="preserve"> </v>
      </c>
      <c r="AM78" s="24" t="str">
        <f t="shared" si="90"/>
        <v xml:space="preserve"> </v>
      </c>
      <c r="AN78" s="24" t="str">
        <f t="shared" si="91"/>
        <v xml:space="preserve"> </v>
      </c>
      <c r="AO78" s="24" t="str">
        <f t="shared" si="92"/>
        <v xml:space="preserve"> </v>
      </c>
      <c r="AP78" s="86"/>
      <c r="AQ78" s="35">
        <f t="shared" si="125"/>
        <v>86</v>
      </c>
      <c r="AR78" s="25">
        <f t="shared" si="93"/>
        <v>4876</v>
      </c>
      <c r="AS78" s="25">
        <f>SUM(AR78:AR$94)</f>
        <v>25018</v>
      </c>
      <c r="AT78" s="25" t="str">
        <f>IF($AQ78&lt;RAM,SUM(AR78:INDEX(Dx,RAM-BeginnAlter))," ")</f>
        <v xml:space="preserve"> </v>
      </c>
      <c r="AU78" s="24">
        <f t="shared" si="94"/>
        <v>5.1310000000000002</v>
      </c>
      <c r="AV78" s="24">
        <f t="shared" si="95"/>
        <v>4.673</v>
      </c>
      <c r="AW78" s="24" t="str">
        <f t="shared" si="96"/>
        <v xml:space="preserve"> </v>
      </c>
      <c r="AX78" s="24" t="str">
        <f t="shared" si="97"/>
        <v xml:space="preserve"> </v>
      </c>
      <c r="AY78" s="86"/>
      <c r="AZ78" s="35">
        <f t="shared" si="126"/>
        <v>86</v>
      </c>
      <c r="BA78" s="25">
        <f t="shared" si="98"/>
        <v>3734</v>
      </c>
      <c r="BB78" s="25">
        <f>SUM(BA78:BA$94)</f>
        <v>19023</v>
      </c>
      <c r="BC78" s="24">
        <f t="shared" si="99"/>
        <v>5.0949999999999998</v>
      </c>
      <c r="BD78" s="24">
        <f t="shared" si="100"/>
        <v>4.6360000000000001</v>
      </c>
      <c r="BE78" s="86"/>
      <c r="BF78" s="35">
        <f t="shared" si="127"/>
        <v>69</v>
      </c>
      <c r="BG78" s="24" t="str">
        <f t="shared" si="101"/>
        <v/>
      </c>
      <c r="BH78" s="24" t="str">
        <f t="shared" si="102"/>
        <v/>
      </c>
      <c r="BI78" s="86"/>
      <c r="BJ78" s="35">
        <f t="shared" si="128"/>
        <v>86</v>
      </c>
      <c r="BK78" s="25" t="str">
        <f t="shared" si="103"/>
        <v xml:space="preserve"> </v>
      </c>
      <c r="BL78" s="25" t="str">
        <f>IF(BJ78&lt;RAM,SUM(BK78:INDEX(Daix,RAM-BeginnAlter))," ")</f>
        <v xml:space="preserve"> </v>
      </c>
      <c r="BM78" s="25" t="str">
        <f>IF(BJ78&lt;RAM,SUM(BL78:INDEX(Naix,RAM-BeginnAlter))," ")</f>
        <v xml:space="preserve"> </v>
      </c>
      <c r="BN78" s="24" t="str">
        <f t="shared" si="104"/>
        <v xml:space="preserve"> </v>
      </c>
      <c r="BO78" s="24" t="str">
        <f t="shared" si="105"/>
        <v xml:space="preserve"> </v>
      </c>
      <c r="BP78" s="86"/>
      <c r="BQ78" s="35">
        <f t="shared" si="129"/>
        <v>86</v>
      </c>
      <c r="BR78" s="25" t="str">
        <f t="shared" ref="BR78:BR92" si="142">IF(BQ78&lt;RAM,ROUND(v^(BQ78+FaktorAlter)*C78*H78*(0.5*(AM78+AM79)-v^FaktorAlter*(1-D78)/(1-0.5*D78)*INDEX(Dix,RAM-BeginnAlter+1)/AI79*INDEX(äimx,RAM-BeginnAlter+1)),RundDx)," ")</f>
        <v xml:space="preserve"> </v>
      </c>
      <c r="BS78" s="25" t="str">
        <f>IF(BQ78&lt;RAM,SUM(BR78:INDEX(Daixs,RAM-BeginnAlter))," ")</f>
        <v xml:space="preserve"> </v>
      </c>
      <c r="BT78" s="25" t="str">
        <f>IF(BQ78&lt;RAM,SUM(BS78:INDEX(Naixs,RAM-BeginnAlter))," ")</f>
        <v xml:space="preserve"> </v>
      </c>
      <c r="BU78" s="24" t="str">
        <f t="shared" ref="BU78:BU92" si="143">IF(BQ78&lt;RAM,ROUND((1-I78/L78)*INDEX(ämx,RAM-BeginnAlter+1)/Y78*INDEX(Dx,RAM-BeginnAlter+1),Rundäx)," ")</f>
        <v xml:space="preserve"> </v>
      </c>
      <c r="BV78" s="24" t="str">
        <f t="shared" ref="BV78:BV92" si="144">IF(BQ78&lt;RAM,ROUND(BS78/Y78,Rundäx)," ")</f>
        <v xml:space="preserve"> </v>
      </c>
      <c r="BW78" s="86"/>
      <c r="BX78" s="35">
        <f t="shared" si="130"/>
        <v>86</v>
      </c>
      <c r="BY78" s="10" t="str">
        <f t="shared" si="106"/>
        <v/>
      </c>
      <c r="BZ78" s="11" t="str">
        <f t="shared" si="107"/>
        <v/>
      </c>
      <c r="CA78" s="25" t="str">
        <f>IF(S79&lt;=RAK,IF($BX78&lt;RAM,SUM(BZ78:INDEX(Dazx,RAM-BeginnAlter)),""),"")</f>
        <v/>
      </c>
      <c r="CB78" s="24" t="str">
        <f t="shared" si="108"/>
        <v/>
      </c>
      <c r="CC78" s="25">
        <f t="shared" si="109"/>
        <v>0</v>
      </c>
      <c r="CD78" s="24">
        <f t="shared" si="110"/>
        <v>0</v>
      </c>
      <c r="CE78" s="24" t="str">
        <f t="shared" si="111"/>
        <v/>
      </c>
      <c r="CF78" s="86"/>
      <c r="CG78" s="35">
        <f t="shared" si="131"/>
        <v>86</v>
      </c>
      <c r="CH78" s="25" t="str">
        <f>IF(CG78&lt;RAM,ROUND(v^($CG78+FaktorAlter)*$H78*($B78*0.5*($P78+$P79)*(VLOOKUP(TRUNC(0.5*($Q78+$Q79),0),Frauen!$AZ$9:$BD$95,5)+(0.5*($Q78+$Q79)-TRUNC(0.5*($Q78+$Q79),0))*(VLOOKUP(TRUNC(0.5*($Q78+$Q79)+1,0),Frauen!$AZ$9:$BD$95,5)-VLOOKUP(TRUNC(0.5*($Q78+$Q79),0),Frauen!$AZ$9:$BD$95,5)))+$C78*0.5*($CN78+$CN79)),RundDx),"")</f>
        <v/>
      </c>
      <c r="CI78" s="25" t="str">
        <f>IF(CG78&lt;RAM,ROUND(SUM(CH78:INDEX(Dawx,RAM-BeginnAlter))+INDEX(Dax,RAM-BeginnAlter+1)*INDEX(äwx,1),RundDx),"")</f>
        <v/>
      </c>
      <c r="CJ78" s="25" t="str">
        <f>IF(CG78&lt;RAM,ROUND(SUM(CI78:INDEX(Nawx,RAM-BeginnAlter))+INDEX(Dax,RAM-BeginnAlter+1)*INDEX(äwx,1),RundDx),"")</f>
        <v/>
      </c>
      <c r="CK78" s="24" t="str">
        <f t="shared" ref="CK78:CK92" si="145">IF(CG78&lt;RAM,ROUND(CI78/$Y78,Rundäx),"")</f>
        <v/>
      </c>
      <c r="CL78" s="25" t="str">
        <f>IF(CG78&lt;RAM,ROUND(v^($CG78+FaktorAlter)*$L78*$D78*0.5*($P78+$P79)*(VLOOKUP(TRUNC(0.5*($Q78+$Q79),0),Frauen!$AZ$9:$BD$95,5)+(0.5*($Q78+$Q79)-TRUNC(0.5*($Q78+$Q79),0))*(VLOOKUP(TRUNC(0.5*($Q78+$Q79)+1,0),Frauen!$AZ$9:$BD$95,5)-VLOOKUP(TRUNC(0.5*($Q78+$Q79),0),Frauen!$AZ$9:$BD$95,5))),RundDx),"")</f>
        <v/>
      </c>
      <c r="CM78" s="25" t="str">
        <f>IF(CG78&lt;RAM,SUM(CL78:INDEX(Diwx,RAM-BeginnAlter))+INDEX(Dix,RAM-BeginnAlter+1)*INDEX(äwx,1),"")</f>
        <v/>
      </c>
      <c r="CN78" s="24" t="str">
        <f t="shared" ref="CN78:CN92" si="146">IF(CG78&lt;RAM,ROUND(CM78/$AI78,Rundäx),IF(CG78&gt;RAM,"",INDEX(äwx,1)))</f>
        <v/>
      </c>
      <c r="CO78" s="86"/>
      <c r="CP78" s="35">
        <f t="shared" ref="CP78:CP102" si="147">1+CP77</f>
        <v>134</v>
      </c>
      <c r="CQ78" s="25"/>
      <c r="CR78" s="25"/>
      <c r="CS78" s="24"/>
      <c r="CT78" s="86"/>
      <c r="CU78" s="35">
        <f t="shared" si="132"/>
        <v>86</v>
      </c>
      <c r="CV78" s="25" t="str">
        <f>IF($CU78&gt;=RAM,"",IF($CU78-CV$103&lt;BeginnAlter,"",ROUND(v^($CU78+FaktorAlter)*$L78*$D78*0.5*(VLOOKUP($CU78-CV$103,Frauen!$G$9:$J$102,4)+VLOOKUP($CU78-CV$103+1,Frauen!$G$9:$J$102,4))*0.5*(VLOOKUP($CU78-CV$103,Frauen!$AZ$9:$BD$102,5)+VLOOKUP($CU78-CV$103+1,Frauen!$AZ$9:$BD$102,5)),RundDx)))</f>
        <v/>
      </c>
      <c r="CW78" s="25" t="str">
        <f>IF($CU78&gt;=RAM,"",IF($CU78-CW$103&lt;BeginnAlter,"",ROUND(v^($CU78+FaktorAlter)*$L78*$D78*0.5*(VLOOKUP($CU78-CW$103,Frauen!$G$9:$J$102,4)+VLOOKUP($CU78-CW$103+1,Frauen!$G$9:$J$102,4))*0.5*(VLOOKUP($CU78-CW$103,Frauen!$AZ$9:$BD$102,5)+VLOOKUP($CU78-CW$103+1,Frauen!$AZ$9:$BD$102,5)),RundDx)))</f>
        <v/>
      </c>
      <c r="CX78" s="25" t="str">
        <f>IF($CU78&gt;=RAM,"",IF($CU78-CX$103&lt;BeginnAlter,"",ROUND(v^($CU78+FaktorAlter)*$L78*$D78*0.5*(VLOOKUP($CU78-CX$103,Frauen!$G$9:$J$102,4)+VLOOKUP($CU78-CX$103+1,Frauen!$G$9:$J$102,4))*0.5*(VLOOKUP($CU78-CX$103,Frauen!$AZ$9:$BD$102,5)+VLOOKUP($CU78-CX$103+1,Frauen!$AZ$9:$BD$102,5)),RundDx)))</f>
        <v/>
      </c>
      <c r="CY78" s="25" t="str">
        <f>IF($CU78&gt;=RAM,"",IF($CU78-CY$103&lt;BeginnAlter,"",ROUND(v^($CU78+FaktorAlter)*$L78*$D78*0.5*(VLOOKUP($CU78-CY$103,Frauen!$G$9:$J$102,4)+VLOOKUP($CU78-CY$103+1,Frauen!$G$9:$J$102,4))*0.5*(VLOOKUP($CU78-CY$103,Frauen!$AZ$9:$BD$102,5)+VLOOKUP($CU78-CY$103+1,Frauen!$AZ$9:$BD$102,5)),RundDx)))</f>
        <v/>
      </c>
      <c r="CZ78" s="25" t="str">
        <f>IF($CU78&gt;=RAM,"",IF($CU78-CZ$103&lt;BeginnAlter,"",ROUND(v^($CU78+FaktorAlter)*$L78*$D78*0.5*(VLOOKUP($CU78-CZ$103,Frauen!$G$9:$J$102,4)+VLOOKUP($CU78-CZ$103+1,Frauen!$G$9:$J$102,4))*0.5*(VLOOKUP($CU78-CZ$103,Frauen!$AZ$9:$BD$102,5)+VLOOKUP($CU78-CZ$103+1,Frauen!$AZ$9:$BD$102,5)),RundDx)))</f>
        <v/>
      </c>
      <c r="DA78" s="25" t="str">
        <f>IF($CU78&gt;=RAM,"",IF($CU78-DA$103&lt;BeginnAlter,"",ROUND(v^($CU78+FaktorAlter)*$L78*$D78*0.5*(VLOOKUP($CU78-DA$103,Frauen!$G$9:$J$102,4)+VLOOKUP($CU78-DA$103+1,Frauen!$G$9:$J$102,4))*0.5*(VLOOKUP($CU78-DA$103,Frauen!$AZ$9:$BD$102,5)+VLOOKUP($CU78-DA$103+1,Frauen!$AZ$9:$BD$102,5)),RundDx)))</f>
        <v/>
      </c>
      <c r="DB78" s="25" t="str">
        <f>IF($CU78&gt;=RAM,"",IF($CU78-DB$103&lt;BeginnAlter,"",ROUND(v^($CU78+FaktorAlter)*$L78*$D78*0.5*(VLOOKUP($CU78-DB$103,Frauen!$G$9:$J$102,4)+VLOOKUP($CU78-DB$103+1,Frauen!$G$9:$J$102,4))*0.5*(VLOOKUP($CU78-DB$103,Frauen!$AZ$9:$BD$102,5)+VLOOKUP($CU78-DB$103+1,Frauen!$AZ$9:$BD$102,5)),RundDx)))</f>
        <v/>
      </c>
      <c r="DC78" s="25" t="str">
        <f>IF($CU78&gt;=RAM,"",IF($CU78-DC$103&lt;BeginnAlter,"",ROUND(v^($CU78+FaktorAlter)*$L78*$D78*0.5*(VLOOKUP($CU78-DC$103,Frauen!$G$9:$J$102,4)+VLOOKUP($CU78-DC$103+1,Frauen!$G$9:$J$102,4))*0.5*(VLOOKUP($CU78-DC$103,Frauen!$AZ$9:$BD$102,5)+VLOOKUP($CU78-DC$103+1,Frauen!$AZ$9:$BD$102,5)),RundDx)))</f>
        <v/>
      </c>
      <c r="DD78" s="25" t="str">
        <f>IF($CU78&gt;=RAM,"",IF($CU78-DD$103&lt;BeginnAlter,"",ROUND(v^($CU78+FaktorAlter)*$L78*$D78*0.5*(VLOOKUP($CU78-DD$103,Frauen!$G$9:$J$102,4)+VLOOKUP($CU78-DD$103+1,Frauen!$G$9:$J$102,4))*0.5*(VLOOKUP($CU78-DD$103,Frauen!$AZ$9:$BD$102,5)+VLOOKUP($CU78-DD$103+1,Frauen!$AZ$9:$BD$102,5)),RundDx)))</f>
        <v/>
      </c>
      <c r="DE78" s="25" t="str">
        <f>IF($CU78&gt;=RAM,"",IF($CU78-DE$103&lt;BeginnAlter,"",ROUND(v^($CU78+FaktorAlter)*$L78*$D78*0.5*(VLOOKUP($CU78-DE$103,Frauen!$G$9:$J$102,4)+VLOOKUP($CU78-DE$103+1,Frauen!$G$9:$J$102,4))*0.5*(VLOOKUP($CU78-DE$103,Frauen!$AZ$9:$BD$102,5)+VLOOKUP($CU78-DE$103+1,Frauen!$AZ$9:$BD$102,5)),RundDx)))</f>
        <v/>
      </c>
      <c r="DF78" s="25" t="str">
        <f>IF($CU78&gt;=RAM,"",IF($CU78-DF$103&lt;BeginnAlter,"",ROUND(v^($CU78+FaktorAlter)*$L78*$D78*0.5*(VLOOKUP($CU78-DF$103,Frauen!$G$9:$J$102,4)+VLOOKUP($CU78-DF$103+1,Frauen!$G$9:$J$102,4))*0.5*(VLOOKUP($CU78-DF$103,Frauen!$AZ$9:$BD$102,5)+VLOOKUP($CU78-DF$103+1,Frauen!$AZ$9:$BD$102,5)),RundDx)))</f>
        <v/>
      </c>
      <c r="DG78" s="25" t="str">
        <f>IF($CU78&gt;=RAM,"",IF($CU78-DG$103&lt;BeginnAlter,"",ROUND(v^($CU78+FaktorAlter)*$L78*$D78*0.5*(VLOOKUP($CU78-DG$103,Frauen!$G$9:$J$102,4)+VLOOKUP($CU78-DG$103+1,Frauen!$G$9:$J$102,4))*0.5*(VLOOKUP($CU78-DG$103,Frauen!$AZ$9:$BD$102,5)+VLOOKUP($CU78-DG$103+1,Frauen!$AZ$9:$BD$102,5)),RundDx)))</f>
        <v/>
      </c>
      <c r="DH78" s="25" t="str">
        <f>IF($CU78&gt;=RAM,"",IF($CU78-DH$103&lt;BeginnAlter,"",ROUND(v^($CU78+FaktorAlter)*$L78*$D78*0.5*(VLOOKUP($CU78-DH$103,Frauen!$G$9:$J$102,4)+VLOOKUP($CU78-DH$103+1,Frauen!$G$9:$J$102,4))*0.5*(VLOOKUP($CU78-DH$103,Frauen!$AZ$9:$BD$102,5)+VLOOKUP($CU78-DH$103+1,Frauen!$AZ$9:$BD$102,5)),RundDx)))</f>
        <v/>
      </c>
      <c r="DI78" s="25" t="str">
        <f>IF($CU78&gt;=RAM,"",IF($CU78-DI$103&lt;BeginnAlter,"",ROUND(v^($CU78+FaktorAlter)*$L78*$D78*0.5*(VLOOKUP($CU78-DI$103,Frauen!$G$9:$J$102,4)+VLOOKUP($CU78-DI$103+1,Frauen!$G$9:$J$102,4))*0.5*(VLOOKUP($CU78-DI$103,Frauen!$AZ$9:$BD$102,5)+VLOOKUP($CU78-DI$103+1,Frauen!$AZ$9:$BD$102,5)),RundDx)))</f>
        <v/>
      </c>
      <c r="DJ78" s="25" t="str">
        <f>IF($CU78&gt;=RAM,"",IF($CU78-DJ$103&lt;BeginnAlter,"",ROUND(v^($CU78+FaktorAlter)*$L78*$D78*0.5*(VLOOKUP($CU78-DJ$103,Frauen!$G$9:$J$102,4)+VLOOKUP($CU78-DJ$103+1,Frauen!$G$9:$J$102,4))*0.5*(VLOOKUP($CU78-DJ$103,Frauen!$AZ$9:$BD$102,5)+VLOOKUP($CU78-DJ$103+1,Frauen!$AZ$9:$BD$102,5)),RundDx)))</f>
        <v/>
      </c>
      <c r="DK78" s="25" t="str">
        <f>IF($CU78&gt;=RAM,"",IF($CU78-DK$103&lt;BeginnAlter,"",ROUND(v^($CU78+FaktorAlter)*$L78*$D78*0.5*(VLOOKUP($CU78-DK$103,Frauen!$G$9:$J$102,4)+VLOOKUP($CU78-DK$103+1,Frauen!$G$9:$J$102,4))*0.5*(VLOOKUP($CU78-DK$103,Frauen!$AZ$9:$BD$102,5)+VLOOKUP($CU78-DK$103+1,Frauen!$AZ$9:$BD$102,5)),RundDx)))</f>
        <v/>
      </c>
      <c r="DL78" s="25" t="str">
        <f>IF($CU78&gt;=RAM,"",IF($CU78-DL$103&lt;BeginnAlter,"",ROUND(v^($CU78+FaktorAlter)*$L78*$D78*0.5*(VLOOKUP($CU78-DL$103,Frauen!$G$9:$J$102,4)+VLOOKUP($CU78-DL$103+1,Frauen!$G$9:$J$102,4))*0.5*(VLOOKUP($CU78-DL$103,Frauen!$AZ$9:$BD$102,5)+VLOOKUP($CU78-DL$103+1,Frauen!$AZ$9:$BD$102,5)),RundDx)))</f>
        <v/>
      </c>
      <c r="DM78" s="25" t="str">
        <f>IF($CU78&gt;=RAM,"",IF($CU78-DM$103&lt;BeginnAlter,"",ROUND(v^($CU78+FaktorAlter)*$L78*$D78*0.5*(VLOOKUP($CU78-DM$103,Frauen!$G$9:$J$102,4)+VLOOKUP($CU78-DM$103+1,Frauen!$G$9:$J$102,4))*0.5*(VLOOKUP($CU78-DM$103,Frauen!$AZ$9:$BD$102,5)+VLOOKUP($CU78-DM$103+1,Frauen!$AZ$9:$BD$102,5)),RundDx)))</f>
        <v/>
      </c>
      <c r="DN78" s="25" t="str">
        <f>IF($CU78&gt;=RAM,"",IF($CU78-DN$103&lt;BeginnAlter,"",ROUND(v^($CU78+FaktorAlter)*$L78*$D78*0.5*(VLOOKUP($CU78-DN$103,Frauen!$G$9:$J$102,4)+VLOOKUP($CU78-DN$103+1,Frauen!$G$9:$J$102,4))*0.5*(VLOOKUP($CU78-DN$103,Frauen!$AZ$9:$BD$102,5)+VLOOKUP($CU78-DN$103+1,Frauen!$AZ$9:$BD$102,5)),RundDx)))</f>
        <v/>
      </c>
      <c r="DO78" s="25" t="str">
        <f>IF($CU78&gt;=RAM,"",IF($CU78-DO$103&lt;BeginnAlter,"",ROUND(v^($CU78+FaktorAlter)*$L78*$D78*0.5*(VLOOKUP($CU78-DO$103,Frauen!$G$9:$J$102,4)+VLOOKUP($CU78-DO$103+1,Frauen!$G$9:$J$102,4))*0.5*(VLOOKUP($CU78-DO$103,Frauen!$AZ$9:$BD$102,5)+VLOOKUP($CU78-DO$103+1,Frauen!$AZ$9:$BD$102,5)),RundDx)))</f>
        <v/>
      </c>
      <c r="DP78" s="25" t="str">
        <f>IF($CU78&gt;=RAM,"",IF($CU78-DP$103&lt;BeginnAlter,"",ROUND(v^($CU78+FaktorAlter)*$L78*$D78*0.5*(VLOOKUP($CU78-DP$103,Frauen!$G$9:$J$102,4)+VLOOKUP($CU78-DP$103+1,Frauen!$G$9:$J$102,4))*0.5*(VLOOKUP($CU78-DP$103,Frauen!$AZ$9:$BD$102,5)+VLOOKUP($CU78-DP$103+1,Frauen!$AZ$9:$BD$102,5)),RundDx)))</f>
        <v/>
      </c>
      <c r="DQ78" s="25" t="str">
        <f>IF($CU78&gt;=RAM,"",IF($CU78-DQ$103&lt;BeginnAlter,"",ROUND(v^($CU78+FaktorAlter)*$L78*$D78*0.5*(VLOOKUP($CU78-DQ$103,Frauen!$G$9:$J$102,4)+VLOOKUP($CU78-DQ$103+1,Frauen!$G$9:$J$102,4))*0.5*(VLOOKUP($CU78-DQ$103,Frauen!$AZ$9:$BD$102,5)+VLOOKUP($CU78-DQ$103+1,Frauen!$AZ$9:$BD$102,5)),RundDx)))</f>
        <v/>
      </c>
      <c r="DR78" s="25" t="str">
        <f>IF($CU78&gt;=RAM,"",IF($CU78-DR$103&lt;BeginnAlter,"",ROUND(v^($CU78+FaktorAlter)*$L78*$D78*0.5*(VLOOKUP($CU78-DR$103,Frauen!$G$9:$J$102,4)+VLOOKUP($CU78-DR$103+1,Frauen!$G$9:$J$102,4))*0.5*(VLOOKUP($CU78-DR$103,Frauen!$AZ$9:$BD$102,5)+VLOOKUP($CU78-DR$103+1,Frauen!$AZ$9:$BD$102,5)),RundDx)))</f>
        <v/>
      </c>
      <c r="DS78" s="25" t="str">
        <f>IF($CU78&gt;=RAM,"",IF($CU78-DS$103&lt;BeginnAlter,"",ROUND(v^($CU78+FaktorAlter)*$L78*$D78*0.5*(VLOOKUP($CU78-DS$103,Frauen!$G$9:$J$102,4)+VLOOKUP($CU78-DS$103+1,Frauen!$G$9:$J$102,4))*0.5*(VLOOKUP($CU78-DS$103,Frauen!$AZ$9:$BD$102,5)+VLOOKUP($CU78-DS$103+1,Frauen!$AZ$9:$BD$102,5)),RundDx)))</f>
        <v/>
      </c>
      <c r="DT78" s="25" t="str">
        <f>IF($CU78&gt;=RAM,"",IF($CU78-DT$103&lt;BeginnAlter,"",ROUND(v^($CU78+FaktorAlter)*$L78*$D78*0.5*(VLOOKUP($CU78-DT$103,Frauen!$G$9:$J$102,4)+VLOOKUP($CU78-DT$103+1,Frauen!$G$9:$J$102,4))*0.5*(VLOOKUP($CU78-DT$103,Frauen!$AZ$9:$BD$102,5)+VLOOKUP($CU78-DT$103+1,Frauen!$AZ$9:$BD$102,5)),RundDx)))</f>
        <v/>
      </c>
      <c r="DU78" s="25" t="str">
        <f>IF($CU78&gt;=RAM,"",IF($CU78-DU$103&lt;BeginnAlter,"",ROUND(v^($CU78+FaktorAlter)*$L78*$D78*0.5*(VLOOKUP($CU78-DU$103,Frauen!$G$9:$J$102,4)+VLOOKUP($CU78-DU$103+1,Frauen!$G$9:$J$102,4))*0.5*(VLOOKUP($CU78-DU$103,Frauen!$AZ$9:$BD$102,5)+VLOOKUP($CU78-DU$103+1,Frauen!$AZ$9:$BD$102,5)),RundDx)))</f>
        <v/>
      </c>
      <c r="DV78" s="25" t="str">
        <f>IF($CU78&gt;=RAM,"",IF($CU78-DV$103&lt;BeginnAlter,"",ROUND(v^($CU78+FaktorAlter)*$L78*$D78*0.5*(VLOOKUP($CU78-DV$103,Frauen!$G$9:$J$102,4)+VLOOKUP($CU78-DV$103+1,Frauen!$G$9:$J$102,4))*0.5*(VLOOKUP($CU78-DV$103,Frauen!$AZ$9:$BD$102,5)+VLOOKUP($CU78-DV$103+1,Frauen!$AZ$9:$BD$102,5)),RundDx)))</f>
        <v/>
      </c>
      <c r="DW78" s="25" t="str">
        <f>IF($CU78&gt;=RAM,"",IF($CU78-DW$103&lt;BeginnAlter,"",ROUND(v^($CU78+FaktorAlter)*$L78*$D78*0.5*(VLOOKUP($CU78-DW$103,Frauen!$G$9:$J$102,4)+VLOOKUP($CU78-DW$103+1,Frauen!$G$9:$J$102,4))*0.5*(VLOOKUP($CU78-DW$103,Frauen!$AZ$9:$BD$102,5)+VLOOKUP($CU78-DW$103+1,Frauen!$AZ$9:$BD$102,5)),RundDx)))</f>
        <v/>
      </c>
      <c r="DX78" s="25" t="str">
        <f>IF($CU78&gt;=RAM,"",IF($CU78-DX$103&lt;BeginnAlter,"",ROUND(v^($CU78+FaktorAlter)*$L78*$D78*0.5*(VLOOKUP($CU78-DX$103,Frauen!$G$9:$J$102,4)+VLOOKUP($CU78-DX$103+1,Frauen!$G$9:$J$102,4))*0.5*(VLOOKUP($CU78-DX$103,Frauen!$AZ$9:$BD$102,5)+VLOOKUP($CU78-DX$103+1,Frauen!$AZ$9:$BD$102,5)),RundDx)))</f>
        <v/>
      </c>
      <c r="DY78" s="25" t="str">
        <f>IF($CU78&gt;=RAM,"",IF($CU78-DY$103&lt;BeginnAlter,"",ROUND(v^($CU78+FaktorAlter)*$L78*$D78*0.5*(VLOOKUP($CU78-DY$103,Frauen!$G$9:$J$102,4)+VLOOKUP($CU78-DY$103+1,Frauen!$G$9:$J$102,4))*0.5*(VLOOKUP($CU78-DY$103,Frauen!$AZ$9:$BD$102,5)+VLOOKUP($CU78-DY$103+1,Frauen!$AZ$9:$BD$102,5)),RundDx)))</f>
        <v/>
      </c>
      <c r="DZ78" s="25" t="str">
        <f>IF($CU78&gt;=RAM,"",IF($CU78-DZ$103&lt;BeginnAlter,"",ROUND(v^($CU78+FaktorAlter)*$L78*$D78*0.5*(VLOOKUP($CU78-DZ$103,Frauen!$G$9:$J$102,4)+VLOOKUP($CU78-DZ$103+1,Frauen!$G$9:$J$102,4))*0.5*(VLOOKUP($CU78-DZ$103,Frauen!$AZ$9:$BD$102,5)+VLOOKUP($CU78-DZ$103+1,Frauen!$AZ$9:$BD$102,5)),RundDx)))</f>
        <v/>
      </c>
      <c r="EA78" s="43" t="str">
        <f>IF($CU78&gt;=RAM,"",IF($CU78-EA$103&lt;BeginnAlter,"",ROUND((SUM(CV$56:CV78)+SUM(FN$9:FN$56))/VLOOKUP($CU78,$AH$9:$AI$102,2)/VLOOKUP($CU78-EA$103,Frauen!$G$9:$J$102,4),Rundäx)))</f>
        <v/>
      </c>
      <c r="EB78" s="43" t="str">
        <f>IF($CU78&gt;=RAM,"",IF($CU78-EB$103&lt;BeginnAlter,"",ROUND((SUM(CW$56:CW78)+SUM(FO$9:FO$56))/VLOOKUP($CU78,$AH$9:$AI$102,2)/VLOOKUP($CU78-EB$103,Frauen!$G$9:$J$102,4),Rundäx)))</f>
        <v/>
      </c>
      <c r="EC78" s="43" t="str">
        <f>IF($CU78&gt;=RAM,"",IF($CU78-EC$103&lt;BeginnAlter,"",ROUND((SUM(CX$56:CX78)+SUM(FP$9:FP$56))/VLOOKUP($CU78,$AH$9:$AI$102,2)/VLOOKUP($CU78-EC$103,Frauen!$G$9:$J$102,4),Rundäx)))</f>
        <v/>
      </c>
      <c r="ED78" s="43" t="str">
        <f>IF($CU78&gt;=RAM,"",IF($CU78-ED$103&lt;BeginnAlter,"",ROUND((SUM(CY$56:CY78)+SUM(FQ$9:FQ$56))/VLOOKUP($CU78,$AH$9:$AI$102,2)/VLOOKUP($CU78-ED$103,Frauen!$G$9:$J$102,4),Rundäx)))</f>
        <v/>
      </c>
      <c r="EE78" s="43" t="str">
        <f>IF($CU78&gt;=RAM,"",IF($CU78-EE$103&lt;BeginnAlter,"",ROUND((SUM(CZ$56:CZ78)+SUM(FR$9:FR$56))/VLOOKUP($CU78,$AH$9:$AI$102,2)/VLOOKUP($CU78-EE$103,Frauen!$G$9:$J$102,4),Rundäx)))</f>
        <v/>
      </c>
      <c r="EF78" s="43" t="str">
        <f>IF($CU78&gt;=RAM,"",IF($CU78-EF$103&lt;BeginnAlter,"",ROUND((SUM(DA$56:DA78)+SUM(FS$9:FS$56))/VLOOKUP($CU78,$AH$9:$AI$102,2)/VLOOKUP($CU78-EF$103,Frauen!$G$9:$J$102,4),Rundäx)))</f>
        <v/>
      </c>
      <c r="EG78" s="43" t="str">
        <f>IF($CU78&gt;=RAM,"",IF($CU78-EG$103&lt;BeginnAlter,"",ROUND((SUM(DB$56:DB78)+SUM(FT$9:FT$56))/VLOOKUP($CU78,$AH$9:$AI$102,2)/VLOOKUP($CU78-EG$103,Frauen!$G$9:$J$102,4),Rundäx)))</f>
        <v/>
      </c>
      <c r="EH78" s="43" t="str">
        <f>IF($CU78&gt;=RAM,"",IF($CU78-EH$103&lt;BeginnAlter,"",ROUND((SUM(DC$56:DC78)+SUM(FU$9:FU$56))/VLOOKUP($CU78,$AH$9:$AI$102,2)/VLOOKUP($CU78-EH$103,Frauen!$G$9:$J$102,4),Rundäx)))</f>
        <v/>
      </c>
      <c r="EI78" s="86"/>
      <c r="EJ78" s="35">
        <f t="shared" si="133"/>
        <v>86</v>
      </c>
      <c r="EK78" s="43" t="str">
        <f>IF($CU78&gt;=RAM,"",IF($CU78-EK$103&lt;BeginnAlter,"",ROUND((SUM(DD$56:DD78)+SUM(FV$9:FV$56))/VLOOKUP($CU78,$AH$9:$AI$102,2)/VLOOKUP($CU78-EK$103,Frauen!$G$9:$J$102,4),Rundäx)))</f>
        <v/>
      </c>
      <c r="EL78" s="43" t="str">
        <f>IF($CU78&gt;=RAM,"",IF($CU78-EL$103&lt;BeginnAlter,"",ROUND((SUM(DE$56:DE78)+SUM(FW$9:FW$56))/VLOOKUP($CU78,$AH$9:$AI$102,2)/VLOOKUP($CU78-EL$103,Frauen!$G$9:$J$102,4),Rundäx)))</f>
        <v/>
      </c>
      <c r="EM78" s="43" t="str">
        <f>IF($CU78&gt;=RAM,"",IF($CU78-EM$103&lt;BeginnAlter,"",ROUND((SUM(DF$56:DF78)+SUM(FX$9:FX$56))/VLOOKUP($CU78,$AH$9:$AI$102,2)/VLOOKUP($CU78-EM$103,Frauen!$G$9:$J$102,4),Rundäx)))</f>
        <v/>
      </c>
      <c r="EN78" s="43" t="str">
        <f>IF($CU78&gt;=RAM,"",IF($CU78-EN$103&lt;BeginnAlter,"",ROUND((SUM(DG$56:DG78)+SUM(FY$9:FY$56))/VLOOKUP($CU78,$AH$9:$AI$102,2)/VLOOKUP($CU78-EN$103,Frauen!$G$9:$J$102,4),Rundäx)))</f>
        <v/>
      </c>
      <c r="EO78" s="43" t="str">
        <f>IF($CU78&gt;=RAM,"",IF($CU78-EO$103&lt;BeginnAlter,"",ROUND((SUM(DH$56:DH78)+SUM(FZ$9:FZ$56))/VLOOKUP($CU78,$AH$9:$AI$102,2)/VLOOKUP($CU78-EO$103,Frauen!$G$9:$J$102,4),Rundäx)))</f>
        <v/>
      </c>
      <c r="EP78" s="43" t="str">
        <f>IF($CU78&gt;=RAM,"",IF($CU78-EP$103&lt;BeginnAlter,"",ROUND((SUM(DI$56:DI78)+SUM(GA$9:GA$56))/VLOOKUP($CU78,$AH$9:$AI$102,2)/VLOOKUP($CU78-EP$103,Frauen!$G$9:$J$102,4),Rundäx)))</f>
        <v/>
      </c>
      <c r="EQ78" s="43" t="str">
        <f>IF($CU78&gt;=RAM,"",IF($CU78-EQ$103&lt;BeginnAlter,"",ROUND((SUM(DJ$56:DJ78)+SUM(GB$9:GB$56))/VLOOKUP($CU78,$AH$9:$AI$102,2)/VLOOKUP($CU78-EQ$103,Frauen!$G$9:$J$102,4),Rundäx)))</f>
        <v/>
      </c>
      <c r="ER78" s="43" t="str">
        <f>IF($CU78&gt;=RAM,"",IF($CU78-ER$103&lt;BeginnAlter,"",ROUND((SUM(DK$56:DK78)+SUM(GC$9:GC$56))/VLOOKUP($CU78,$AH$9:$AI$102,2)/VLOOKUP($CU78-ER$103,Frauen!$G$9:$J$102,4),Rundäx)))</f>
        <v/>
      </c>
      <c r="ES78" s="86"/>
      <c r="ET78" s="35">
        <f t="shared" si="134"/>
        <v>86</v>
      </c>
      <c r="EU78" s="43" t="str">
        <f>IF($CU78&gt;=RAM,"",IF($CU78-EU$103&lt;BeginnAlter,"",ROUND((SUM(DL$56:DL78)+SUM(GD$9:GD$56))/VLOOKUP($CU78,$AH$9:$AI$102,2)/VLOOKUP($CU78-EU$103,Frauen!$G$9:$J$102,4),Rundäx)))</f>
        <v/>
      </c>
      <c r="EV78" s="43" t="str">
        <f>IF($CU78&gt;=RAM,"",IF($CU78-EV$103&lt;BeginnAlter,"",ROUND((SUM(DM$56:DM78)+SUM(GE$9:GE$56))/VLOOKUP($CU78,$AH$9:$AI$102,2)/VLOOKUP($CU78-EV$103,Frauen!$G$9:$J$102,4),Rundäx)))</f>
        <v/>
      </c>
      <c r="EW78" s="43" t="str">
        <f>IF($CU78&gt;=RAM,"",IF($CU78-EW$103&lt;BeginnAlter,"",ROUND((SUM(DN$56:DN78)+SUM(GF$9:GF$56))/VLOOKUP($CU78,$AH$9:$AI$102,2)/VLOOKUP($CU78-EW$103,Frauen!$G$9:$J$102,4),Rundäx)))</f>
        <v/>
      </c>
      <c r="EX78" s="43" t="str">
        <f>IF($CU78&gt;=RAM,"",IF($CU78-EX$103&lt;BeginnAlter,"",ROUND((SUM(DO$56:DO78)+SUM(GG$9:GG$56))/VLOOKUP($CU78,$AH$9:$AI$102,2)/VLOOKUP($CU78-EX$103,Frauen!$G$9:$J$102,4),Rundäx)))</f>
        <v/>
      </c>
      <c r="EY78" s="43" t="str">
        <f>IF($CU78&gt;=RAM,"",IF($CU78-EY$103&lt;BeginnAlter,"",ROUND((SUM(DP$56:DP78)+SUM(GH$9:GH$56))/VLOOKUP($CU78,$AH$9:$AI$102,2)/VLOOKUP($CU78-EY$103,Frauen!$G$9:$J$102,4),Rundäx)))</f>
        <v/>
      </c>
      <c r="EZ78" s="43" t="str">
        <f>IF($CU78&gt;=RAM,"",IF($CU78-EZ$103&lt;BeginnAlter,"",ROUND((SUM(DQ$56:DQ78)+SUM(GI$9:GI$56))/VLOOKUP($CU78,$AH$9:$AI$102,2)/VLOOKUP($CU78-EZ$103,Frauen!$G$9:$J$102,4),Rundäx)))</f>
        <v/>
      </c>
      <c r="FA78" s="43" t="str">
        <f>IF($CU78&gt;=RAM,"",IF($CU78-FA$103&lt;BeginnAlter,"",ROUND((SUM(DR$56:DR78)+SUM(GJ$9:GJ$56))/VLOOKUP($CU78,$AH$9:$AI$102,2)/VLOOKUP($CU78-FA$103,Frauen!$G$9:$J$102,4),Rundäx)))</f>
        <v/>
      </c>
      <c r="FB78" s="43" t="str">
        <f>IF($CU78&gt;=RAM,"",IF($CU78-FB$103&lt;BeginnAlter,"",ROUND((SUM(DS$56:DS78)+SUM(GK$9:GK$56))/VLOOKUP($CU78,$AH$9:$AI$102,2)/VLOOKUP($CU78-FB$103,Frauen!$G$9:$J$102,4),Rundäx)))</f>
        <v/>
      </c>
      <c r="FC78" s="86"/>
      <c r="FD78" s="35">
        <f t="shared" si="135"/>
        <v>86</v>
      </c>
      <c r="FE78" s="43" t="str">
        <f>IF($CU78&gt;=RAM,"",IF($CU78-FE$103&lt;BeginnAlter,"",ROUND((SUM(DT$56:DT78)+SUM(GL$9:GL$56))/VLOOKUP($CU78,$AH$9:$AI$102,2)/VLOOKUP($CU78-FE$103,Frauen!$G$9:$J$102,4),Rundäx)))</f>
        <v/>
      </c>
      <c r="FF78" s="43" t="str">
        <f>IF($CU78&gt;=RAM,"",IF($CU78-FF$103&lt;BeginnAlter,"",ROUND((SUM(DU$56:DU78)+SUM(GM$9:GM$56))/VLOOKUP($CU78,$AH$9:$AI$102,2)/VLOOKUP($CU78-FF$103,Frauen!$G$9:$J$102,4),Rundäx)))</f>
        <v/>
      </c>
      <c r="FG78" s="43" t="str">
        <f>IF($CU78&gt;=RAM,"",IF($CU78-FG$103&lt;BeginnAlter,"",ROUND((SUM(DV$56:DV78)+SUM(GN$9:GN$56))/VLOOKUP($CU78,$AH$9:$AI$102,2)/VLOOKUP($CU78-FG$103,Frauen!$G$9:$J$102,4),Rundäx)))</f>
        <v/>
      </c>
      <c r="FH78" s="43" t="str">
        <f>IF($CU78&gt;=RAM,"",IF($CU78-FH$103&lt;BeginnAlter,"",ROUND((SUM(DW$56:DW78)+SUM(GO$9:GO$56))/VLOOKUP($CU78,$AH$9:$AI$102,2)/VLOOKUP($CU78-FH$103,Frauen!$G$9:$J$102,4),Rundäx)))</f>
        <v/>
      </c>
      <c r="FI78" s="43" t="str">
        <f>IF($CU78&gt;=RAM,"",IF($CU78-FI$103&lt;BeginnAlter,"",ROUND((SUM(DX$56:DX78)+SUM(GP$9:GP$56))/VLOOKUP($CU78,$AH$9:$AI$102,2)/VLOOKUP($CU78-FI$103,Frauen!$G$9:$J$102,4),Rundäx)))</f>
        <v/>
      </c>
      <c r="FJ78" s="43" t="str">
        <f>IF($CU78&gt;=RAM,"",IF($CU78-FJ$103&lt;BeginnAlter,"",ROUND((SUM(DY$56:DY78)+SUM(GQ$9:GQ$56))/VLOOKUP($CU78,$AH$9:$AI$102,2)/VLOOKUP($CU78-FJ$103,Frauen!$G$9:$J$102,4),Rundäx)))</f>
        <v/>
      </c>
      <c r="FK78" s="43" t="str">
        <f>IF($CU78&gt;=RAM,"",IF($CU78-FK$103&lt;BeginnAlter,"",ROUND((SUM(DZ$56:DZ78)+SUM(GR$9:GR$56))/VLOOKUP($CU78,$AH$9:$AI$102,2)/VLOOKUP($CU78-FK$103,Frauen!$G$9:$J$102,4),Rundäx)))</f>
        <v/>
      </c>
      <c r="FL78" s="86"/>
      <c r="FM78" s="35">
        <f t="shared" si="136"/>
        <v>134</v>
      </c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4"/>
      <c r="GT78" s="24"/>
      <c r="GU78" s="24" t="str">
        <f>IF(FM78&gt;=RAM," ",#REF!/$AI78/Frauen!$J66)</f>
        <v xml:space="preserve"> </v>
      </c>
      <c r="GV78" s="24" t="str">
        <f>IF(FM78&gt;=RAM," ",#REF!/$AI78/Frauen!$J69)</f>
        <v xml:space="preserve"> </v>
      </c>
      <c r="GW78" s="24" t="str">
        <f>IF(FM78&gt;=RAM," ",#REF!/$AI78/Frauen!$J72)</f>
        <v xml:space="preserve"> </v>
      </c>
      <c r="GX78" s="24" t="str">
        <f>IF(FM78&gt;=RAM," ",#REF!/$AI78/Frauen!$J75)</f>
        <v xml:space="preserve"> </v>
      </c>
      <c r="GY78" s="24" t="str">
        <f>IF(FM78&gt;=RAM," ",#REF!/$AI78/Frauen!$J78)</f>
        <v xml:space="preserve"> </v>
      </c>
      <c r="GZ78" s="24" t="str">
        <f>IF(FM78&gt;=RAM," ",#REF!/$AI78/Frauen!$J81)</f>
        <v xml:space="preserve"> </v>
      </c>
      <c r="HA78" s="86"/>
      <c r="HB78" s="35">
        <f t="shared" si="137"/>
        <v>134</v>
      </c>
      <c r="HC78" s="24"/>
      <c r="HD78" s="24"/>
      <c r="HE78" s="24"/>
      <c r="HF78" s="24"/>
      <c r="HG78" s="24"/>
      <c r="HH78" s="24"/>
      <c r="HI78" s="24"/>
      <c r="HJ78" s="24"/>
      <c r="HK78" s="86"/>
      <c r="HL78" s="35">
        <f t="shared" si="138"/>
        <v>134</v>
      </c>
      <c r="HM78" s="24"/>
      <c r="HN78" s="24"/>
      <c r="HO78" s="24"/>
      <c r="HP78" s="24"/>
      <c r="HQ78" s="24"/>
      <c r="HR78" s="24"/>
      <c r="HS78" s="24"/>
      <c r="HT78" s="24"/>
      <c r="HU78" s="86"/>
      <c r="HV78" s="35">
        <f t="shared" si="139"/>
        <v>134</v>
      </c>
      <c r="HW78" s="24"/>
      <c r="HX78" s="24"/>
      <c r="HY78" s="24"/>
      <c r="HZ78" s="24"/>
      <c r="IA78" s="24"/>
      <c r="IB78" s="24"/>
      <c r="IC78" s="24"/>
      <c r="ID78" s="89"/>
      <c r="IE78" s="35">
        <f t="shared" si="140"/>
        <v>86</v>
      </c>
      <c r="IF78" s="25" t="str">
        <f t="shared" si="112"/>
        <v/>
      </c>
      <c r="IG78" s="25" t="str">
        <f>IF($IE78&lt;RAM,IF(S79&lt;=RAK,ROUND(SUM(IF78:INDEX(Dakx,RAM-BeginnAlter))+INDEX(Dax,RAM-BeginnAlter+1)*INDEX(äkx,1),RundDx),0),"")</f>
        <v/>
      </c>
      <c r="IH78" s="25" t="str">
        <f>IF($IE78&lt;RAM,IF(S79&lt;=RAK,ROUND(SUM(IG78:INDEX(Nakx,RAM-BeginnAlter))+INDEX(Dax,RAM-BeginnAlter+1)*INDEX(äkx,1),RundDx),0),"")</f>
        <v/>
      </c>
      <c r="II78" s="24" t="str">
        <f t="shared" si="113"/>
        <v/>
      </c>
      <c r="IJ78" s="25" t="str">
        <f t="shared" si="114"/>
        <v/>
      </c>
      <c r="IK78" s="25" t="str">
        <f>IF($IE78&lt;RAM,IF(S79&lt;=RAK,SUM(IJ78:INDEX(Dikx,RAM-BeginnAlter))+INDEX(Dix,RAM-BeginnAlter+1)*INDEX(äkx,1),0),"")</f>
        <v/>
      </c>
      <c r="IL78" s="24" t="str">
        <f t="shared" si="115"/>
        <v/>
      </c>
      <c r="IM78" s="86"/>
      <c r="IN78" s="35">
        <f t="shared" si="141"/>
        <v>134</v>
      </c>
      <c r="IO78" s="25"/>
      <c r="IP78" s="25"/>
      <c r="IQ78" s="24"/>
      <c r="IR78" s="86"/>
    </row>
    <row r="79" spans="1:252" ht="15.75" customHeight="1" x14ac:dyDescent="0.25">
      <c r="A79" s="35">
        <f t="shared" si="120"/>
        <v>87</v>
      </c>
      <c r="B79" s="77"/>
      <c r="C79" s="77"/>
      <c r="D79" s="77"/>
      <c r="E79" s="77">
        <v>0.12861596071576181</v>
      </c>
      <c r="F79" s="86"/>
      <c r="G79" s="35">
        <f t="shared" si="121"/>
        <v>87</v>
      </c>
      <c r="H79" s="25" t="str">
        <f t="shared" si="116"/>
        <v/>
      </c>
      <c r="I79" s="25" t="str">
        <f t="shared" si="117"/>
        <v/>
      </c>
      <c r="J79" s="25">
        <f t="shared" si="118"/>
        <v>29258</v>
      </c>
      <c r="K79" s="30">
        <f>IF(J79&gt;0,ROUND(SUM(J79:J$102)/J79-0.5,Rundex),"")</f>
        <v>4.5999999999999996</v>
      </c>
      <c r="L79" s="25">
        <f t="shared" si="82"/>
        <v>29258</v>
      </c>
      <c r="M79" s="30">
        <f>IF(L79&gt;0,ROUND(SUM(L79:L$102)/L79-0.5,Rundex),"")</f>
        <v>4.5999999999999996</v>
      </c>
      <c r="N79" s="86"/>
      <c r="O79" s="35">
        <f t="shared" si="122"/>
        <v>87</v>
      </c>
      <c r="P79" s="43">
        <v>0.60174314115094729</v>
      </c>
      <c r="Q79" s="78">
        <v>81.00619077136102</v>
      </c>
      <c r="R79" s="43"/>
      <c r="S79" s="78"/>
      <c r="T79" s="15">
        <v>0.13165169166288027</v>
      </c>
      <c r="U79" s="11">
        <f t="shared" si="119"/>
        <v>22283</v>
      </c>
      <c r="V79" s="30">
        <f>IF(U79&gt;0,ROUND(SUM(U79:U$102)/U79-0.5,Rundex),"")</f>
        <v>4.58</v>
      </c>
      <c r="W79" s="86"/>
      <c r="X79" s="35">
        <f t="shared" si="123"/>
        <v>87</v>
      </c>
      <c r="Y79" s="25" t="str">
        <f t="shared" si="83"/>
        <v xml:space="preserve"> </v>
      </c>
      <c r="Z79" s="25" t="str">
        <f>IF($X79&lt;RAM,SUM(Y79:INDEX(Dax,RAM-BeginnAlter))," ")</f>
        <v xml:space="preserve"> </v>
      </c>
      <c r="AA79" s="25" t="str">
        <f t="shared" si="84"/>
        <v xml:space="preserve"> </v>
      </c>
      <c r="AB79" s="25" t="str">
        <f>IF($X79&lt;RAM,SUM(AA79:INDEX(Cax,RAM-BeginnAlter))," ")</f>
        <v xml:space="preserve"> </v>
      </c>
      <c r="AC79" s="25" t="str">
        <f t="shared" si="85"/>
        <v xml:space="preserve"> </v>
      </c>
      <c r="AD79" s="25" t="str">
        <f>IF($X79&lt;RAM,SUM(AC79:INDEX(Caix,RAM-BeginnAlter))," ")</f>
        <v xml:space="preserve"> </v>
      </c>
      <c r="AE79" s="24" t="str">
        <f t="shared" si="86"/>
        <v xml:space="preserve"> </v>
      </c>
      <c r="AF79" s="24" t="str">
        <f t="shared" si="87"/>
        <v xml:space="preserve"> </v>
      </c>
      <c r="AG79" s="86"/>
      <c r="AH79" s="35">
        <f t="shared" si="124"/>
        <v>87</v>
      </c>
      <c r="AI79" s="25" t="str">
        <f t="shared" si="88"/>
        <v xml:space="preserve"> </v>
      </c>
      <c r="AJ79" s="25" t="str">
        <f>IF($AH79&gt;RAM," ",IF($AH79&lt;RAM,SUM(AI79:INDEX(Dix,RAM-BeginnAlter))+INDEX(Nx,RAM-BeginnAlter+1),INDEX(Nx,RAM-BeginnAlter+1)))</f>
        <v xml:space="preserve"> </v>
      </c>
      <c r="AK79" s="25" t="str">
        <f>IF($AH79&lt;RAM,SUM(AI79:INDEX(Dix,RAM-BeginnAlter))," ")</f>
        <v xml:space="preserve"> </v>
      </c>
      <c r="AL79" s="24" t="str">
        <f t="shared" si="89"/>
        <v xml:space="preserve"> </v>
      </c>
      <c r="AM79" s="24" t="str">
        <f t="shared" si="90"/>
        <v xml:space="preserve"> </v>
      </c>
      <c r="AN79" s="24" t="str">
        <f t="shared" si="91"/>
        <v xml:space="preserve"> </v>
      </c>
      <c r="AO79" s="24" t="str">
        <f t="shared" si="92"/>
        <v xml:space="preserve"> </v>
      </c>
      <c r="AP79" s="86"/>
      <c r="AQ79" s="35">
        <f t="shared" si="125"/>
        <v>87</v>
      </c>
      <c r="AR79" s="25">
        <f t="shared" si="93"/>
        <v>4222</v>
      </c>
      <c r="AS79" s="25">
        <f>SUM(AR79:AR$94)</f>
        <v>20142</v>
      </c>
      <c r="AT79" s="25" t="str">
        <f>IF($AQ79&lt;RAM,SUM(AR79:INDEX(Dx,RAM-BeginnAlter))," ")</f>
        <v xml:space="preserve"> </v>
      </c>
      <c r="AU79" s="24">
        <f t="shared" si="94"/>
        <v>4.7709999999999999</v>
      </c>
      <c r="AV79" s="24">
        <f t="shared" si="95"/>
        <v>4.3120000000000003</v>
      </c>
      <c r="AW79" s="24" t="str">
        <f t="shared" si="96"/>
        <v xml:space="preserve"> </v>
      </c>
      <c r="AX79" s="24" t="str">
        <f t="shared" si="97"/>
        <v xml:space="preserve"> </v>
      </c>
      <c r="AY79" s="86"/>
      <c r="AZ79" s="35">
        <f t="shared" si="126"/>
        <v>87</v>
      </c>
      <c r="BA79" s="25">
        <f t="shared" si="98"/>
        <v>3216</v>
      </c>
      <c r="BB79" s="25">
        <f>SUM(BA79:BA$94)</f>
        <v>15289</v>
      </c>
      <c r="BC79" s="24">
        <f t="shared" si="99"/>
        <v>4.7539999999999996</v>
      </c>
      <c r="BD79" s="24">
        <f t="shared" si="100"/>
        <v>4.2960000000000003</v>
      </c>
      <c r="BE79" s="86"/>
      <c r="BF79" s="35">
        <f t="shared" si="127"/>
        <v>70</v>
      </c>
      <c r="BG79" s="24" t="str">
        <f t="shared" si="101"/>
        <v/>
      </c>
      <c r="BH79" s="24" t="str">
        <f t="shared" si="102"/>
        <v/>
      </c>
      <c r="BI79" s="86"/>
      <c r="BJ79" s="35">
        <f t="shared" si="128"/>
        <v>87</v>
      </c>
      <c r="BK79" s="25" t="str">
        <f t="shared" si="103"/>
        <v xml:space="preserve"> </v>
      </c>
      <c r="BL79" s="25" t="str">
        <f>IF(BJ79&lt;RAM,SUM(BK79:INDEX(Daix,RAM-BeginnAlter))," ")</f>
        <v xml:space="preserve"> </v>
      </c>
      <c r="BM79" s="25" t="str">
        <f>IF(BJ79&lt;RAM,SUM(BL79:INDEX(Naix,RAM-BeginnAlter))," ")</f>
        <v xml:space="preserve"> </v>
      </c>
      <c r="BN79" s="24" t="str">
        <f t="shared" si="104"/>
        <v xml:space="preserve"> </v>
      </c>
      <c r="BO79" s="24" t="str">
        <f t="shared" si="105"/>
        <v xml:space="preserve"> </v>
      </c>
      <c r="BP79" s="86"/>
      <c r="BQ79" s="35">
        <f t="shared" si="129"/>
        <v>87</v>
      </c>
      <c r="BR79" s="25" t="str">
        <f t="shared" si="142"/>
        <v xml:space="preserve"> </v>
      </c>
      <c r="BS79" s="25" t="str">
        <f>IF(BQ79&lt;RAM,SUM(BR79:INDEX(Daixs,RAM-BeginnAlter))," ")</f>
        <v xml:space="preserve"> </v>
      </c>
      <c r="BT79" s="25" t="str">
        <f>IF(BQ79&lt;RAM,SUM(BS79:INDEX(Naixs,RAM-BeginnAlter))," ")</f>
        <v xml:space="preserve"> </v>
      </c>
      <c r="BU79" s="24" t="str">
        <f t="shared" si="143"/>
        <v xml:space="preserve"> </v>
      </c>
      <c r="BV79" s="24" t="str">
        <f t="shared" si="144"/>
        <v xml:space="preserve"> </v>
      </c>
      <c r="BW79" s="86"/>
      <c r="BX79" s="35">
        <f t="shared" si="130"/>
        <v>87</v>
      </c>
      <c r="BY79" s="10" t="str">
        <f t="shared" si="106"/>
        <v/>
      </c>
      <c r="BZ79" s="11" t="str">
        <f t="shared" si="107"/>
        <v/>
      </c>
      <c r="CA79" s="25" t="str">
        <f>IF(S80&lt;=RAK,IF($BX79&lt;RAM,SUM(BZ79:INDEX(Dazx,RAM-BeginnAlter)),""),"")</f>
        <v/>
      </c>
      <c r="CB79" s="24" t="str">
        <f t="shared" si="108"/>
        <v/>
      </c>
      <c r="CC79" s="25">
        <f t="shared" si="109"/>
        <v>0</v>
      </c>
      <c r="CD79" s="24">
        <f t="shared" si="110"/>
        <v>0</v>
      </c>
      <c r="CE79" s="24" t="str">
        <f t="shared" si="111"/>
        <v/>
      </c>
      <c r="CF79" s="86"/>
      <c r="CG79" s="35">
        <f t="shared" si="131"/>
        <v>87</v>
      </c>
      <c r="CH79" s="25" t="str">
        <f>IF(CG79&lt;RAM,ROUND(v^($CG79+FaktorAlter)*$H79*($B79*0.5*($P79+$P80)*(VLOOKUP(TRUNC(0.5*($Q79+$Q80),0),Frauen!$AZ$9:$BD$95,5)+(0.5*($Q79+$Q80)-TRUNC(0.5*($Q79+$Q80),0))*(VLOOKUP(TRUNC(0.5*($Q79+$Q80)+1,0),Frauen!$AZ$9:$BD$95,5)-VLOOKUP(TRUNC(0.5*($Q79+$Q80),0),Frauen!$AZ$9:$BD$95,5)))+$C79*0.5*($CN79+$CN80)),RundDx),"")</f>
        <v/>
      </c>
      <c r="CI79" s="25" t="str">
        <f>IF(CG79&lt;RAM,ROUND(SUM(CH79:INDEX(Dawx,RAM-BeginnAlter))+INDEX(Dax,RAM-BeginnAlter+1)*INDEX(äwx,1),RundDx),"")</f>
        <v/>
      </c>
      <c r="CJ79" s="25" t="str">
        <f>IF(CG79&lt;RAM,ROUND(SUM(CI79:INDEX(Nawx,RAM-BeginnAlter))+INDEX(Dax,RAM-BeginnAlter+1)*INDEX(äwx,1),RundDx),"")</f>
        <v/>
      </c>
      <c r="CK79" s="24" t="str">
        <f t="shared" si="145"/>
        <v/>
      </c>
      <c r="CL79" s="25" t="str">
        <f>IF(CG79&lt;RAM,ROUND(v^($CG79+FaktorAlter)*$L79*$D79*0.5*($P79+$P80)*(VLOOKUP(TRUNC(0.5*($Q79+$Q80),0),Frauen!$AZ$9:$BD$95,5)+(0.5*($Q79+$Q80)-TRUNC(0.5*($Q79+$Q80),0))*(VLOOKUP(TRUNC(0.5*($Q79+$Q80)+1,0),Frauen!$AZ$9:$BD$95,5)-VLOOKUP(TRUNC(0.5*($Q79+$Q80),0),Frauen!$AZ$9:$BD$95,5))),RundDx),"")</f>
        <v/>
      </c>
      <c r="CM79" s="25" t="str">
        <f>IF(CG79&lt;RAM,SUM(CL79:INDEX(Diwx,RAM-BeginnAlter))+INDEX(Dix,RAM-BeginnAlter+1)*INDEX(äwx,1),"")</f>
        <v/>
      </c>
      <c r="CN79" s="24" t="str">
        <f t="shared" si="146"/>
        <v/>
      </c>
      <c r="CO79" s="86"/>
      <c r="CP79" s="35">
        <f t="shared" si="147"/>
        <v>135</v>
      </c>
      <c r="CQ79" s="25"/>
      <c r="CR79" s="25"/>
      <c r="CS79" s="24"/>
      <c r="CT79" s="86"/>
      <c r="CU79" s="35">
        <f t="shared" si="132"/>
        <v>87</v>
      </c>
      <c r="CV79" s="25" t="str">
        <f>IF($CU79&gt;=RAM,"",IF($CU79-CV$103&lt;BeginnAlter,"",ROUND(v^($CU79+FaktorAlter)*$L79*$D79*0.5*(VLOOKUP($CU79-CV$103,Frauen!$G$9:$J$102,4)+VLOOKUP($CU79-CV$103+1,Frauen!$G$9:$J$102,4))*0.5*(VLOOKUP($CU79-CV$103,Frauen!$AZ$9:$BD$102,5)+VLOOKUP($CU79-CV$103+1,Frauen!$AZ$9:$BD$102,5)),RundDx)))</f>
        <v/>
      </c>
      <c r="CW79" s="25" t="str">
        <f>IF($CU79&gt;=RAM,"",IF($CU79-CW$103&lt;BeginnAlter,"",ROUND(v^($CU79+FaktorAlter)*$L79*$D79*0.5*(VLOOKUP($CU79-CW$103,Frauen!$G$9:$J$102,4)+VLOOKUP($CU79-CW$103+1,Frauen!$G$9:$J$102,4))*0.5*(VLOOKUP($CU79-CW$103,Frauen!$AZ$9:$BD$102,5)+VLOOKUP($CU79-CW$103+1,Frauen!$AZ$9:$BD$102,5)),RundDx)))</f>
        <v/>
      </c>
      <c r="CX79" s="25" t="str">
        <f>IF($CU79&gt;=RAM,"",IF($CU79-CX$103&lt;BeginnAlter,"",ROUND(v^($CU79+FaktorAlter)*$L79*$D79*0.5*(VLOOKUP($CU79-CX$103,Frauen!$G$9:$J$102,4)+VLOOKUP($CU79-CX$103+1,Frauen!$G$9:$J$102,4))*0.5*(VLOOKUP($CU79-CX$103,Frauen!$AZ$9:$BD$102,5)+VLOOKUP($CU79-CX$103+1,Frauen!$AZ$9:$BD$102,5)),RundDx)))</f>
        <v/>
      </c>
      <c r="CY79" s="25" t="str">
        <f>IF($CU79&gt;=RAM,"",IF($CU79-CY$103&lt;BeginnAlter,"",ROUND(v^($CU79+FaktorAlter)*$L79*$D79*0.5*(VLOOKUP($CU79-CY$103,Frauen!$G$9:$J$102,4)+VLOOKUP($CU79-CY$103+1,Frauen!$G$9:$J$102,4))*0.5*(VLOOKUP($CU79-CY$103,Frauen!$AZ$9:$BD$102,5)+VLOOKUP($CU79-CY$103+1,Frauen!$AZ$9:$BD$102,5)),RundDx)))</f>
        <v/>
      </c>
      <c r="CZ79" s="25" t="str">
        <f>IF($CU79&gt;=RAM,"",IF($CU79-CZ$103&lt;BeginnAlter,"",ROUND(v^($CU79+FaktorAlter)*$L79*$D79*0.5*(VLOOKUP($CU79-CZ$103,Frauen!$G$9:$J$102,4)+VLOOKUP($CU79-CZ$103+1,Frauen!$G$9:$J$102,4))*0.5*(VLOOKUP($CU79-CZ$103,Frauen!$AZ$9:$BD$102,5)+VLOOKUP($CU79-CZ$103+1,Frauen!$AZ$9:$BD$102,5)),RundDx)))</f>
        <v/>
      </c>
      <c r="DA79" s="25" t="str">
        <f>IF($CU79&gt;=RAM,"",IF($CU79-DA$103&lt;BeginnAlter,"",ROUND(v^($CU79+FaktorAlter)*$L79*$D79*0.5*(VLOOKUP($CU79-DA$103,Frauen!$G$9:$J$102,4)+VLOOKUP($CU79-DA$103+1,Frauen!$G$9:$J$102,4))*0.5*(VLOOKUP($CU79-DA$103,Frauen!$AZ$9:$BD$102,5)+VLOOKUP($CU79-DA$103+1,Frauen!$AZ$9:$BD$102,5)),RundDx)))</f>
        <v/>
      </c>
      <c r="DB79" s="25" t="str">
        <f>IF($CU79&gt;=RAM,"",IF($CU79-DB$103&lt;BeginnAlter,"",ROUND(v^($CU79+FaktorAlter)*$L79*$D79*0.5*(VLOOKUP($CU79-DB$103,Frauen!$G$9:$J$102,4)+VLOOKUP($CU79-DB$103+1,Frauen!$G$9:$J$102,4))*0.5*(VLOOKUP($CU79-DB$103,Frauen!$AZ$9:$BD$102,5)+VLOOKUP($CU79-DB$103+1,Frauen!$AZ$9:$BD$102,5)),RundDx)))</f>
        <v/>
      </c>
      <c r="DC79" s="25" t="str">
        <f>IF($CU79&gt;=RAM,"",IF($CU79-DC$103&lt;BeginnAlter,"",ROUND(v^($CU79+FaktorAlter)*$L79*$D79*0.5*(VLOOKUP($CU79-DC$103,Frauen!$G$9:$J$102,4)+VLOOKUP($CU79-DC$103+1,Frauen!$G$9:$J$102,4))*0.5*(VLOOKUP($CU79-DC$103,Frauen!$AZ$9:$BD$102,5)+VLOOKUP($CU79-DC$103+1,Frauen!$AZ$9:$BD$102,5)),RundDx)))</f>
        <v/>
      </c>
      <c r="DD79" s="25" t="str">
        <f>IF($CU79&gt;=RAM,"",IF($CU79-DD$103&lt;BeginnAlter,"",ROUND(v^($CU79+FaktorAlter)*$L79*$D79*0.5*(VLOOKUP($CU79-DD$103,Frauen!$G$9:$J$102,4)+VLOOKUP($CU79-DD$103+1,Frauen!$G$9:$J$102,4))*0.5*(VLOOKUP($CU79-DD$103,Frauen!$AZ$9:$BD$102,5)+VLOOKUP($CU79-DD$103+1,Frauen!$AZ$9:$BD$102,5)),RundDx)))</f>
        <v/>
      </c>
      <c r="DE79" s="25" t="str">
        <f>IF($CU79&gt;=RAM,"",IF($CU79-DE$103&lt;BeginnAlter,"",ROUND(v^($CU79+FaktorAlter)*$L79*$D79*0.5*(VLOOKUP($CU79-DE$103,Frauen!$G$9:$J$102,4)+VLOOKUP($CU79-DE$103+1,Frauen!$G$9:$J$102,4))*0.5*(VLOOKUP($CU79-DE$103,Frauen!$AZ$9:$BD$102,5)+VLOOKUP($CU79-DE$103+1,Frauen!$AZ$9:$BD$102,5)),RundDx)))</f>
        <v/>
      </c>
      <c r="DF79" s="25" t="str">
        <f>IF($CU79&gt;=RAM,"",IF($CU79-DF$103&lt;BeginnAlter,"",ROUND(v^($CU79+FaktorAlter)*$L79*$D79*0.5*(VLOOKUP($CU79-DF$103,Frauen!$G$9:$J$102,4)+VLOOKUP($CU79-DF$103+1,Frauen!$G$9:$J$102,4))*0.5*(VLOOKUP($CU79-DF$103,Frauen!$AZ$9:$BD$102,5)+VLOOKUP($CU79-DF$103+1,Frauen!$AZ$9:$BD$102,5)),RundDx)))</f>
        <v/>
      </c>
      <c r="DG79" s="25" t="str">
        <f>IF($CU79&gt;=RAM,"",IF($CU79-DG$103&lt;BeginnAlter,"",ROUND(v^($CU79+FaktorAlter)*$L79*$D79*0.5*(VLOOKUP($CU79-DG$103,Frauen!$G$9:$J$102,4)+VLOOKUP($CU79-DG$103+1,Frauen!$G$9:$J$102,4))*0.5*(VLOOKUP($CU79-DG$103,Frauen!$AZ$9:$BD$102,5)+VLOOKUP($CU79-DG$103+1,Frauen!$AZ$9:$BD$102,5)),RundDx)))</f>
        <v/>
      </c>
      <c r="DH79" s="25" t="str">
        <f>IF($CU79&gt;=RAM,"",IF($CU79-DH$103&lt;BeginnAlter,"",ROUND(v^($CU79+FaktorAlter)*$L79*$D79*0.5*(VLOOKUP($CU79-DH$103,Frauen!$G$9:$J$102,4)+VLOOKUP($CU79-DH$103+1,Frauen!$G$9:$J$102,4))*0.5*(VLOOKUP($CU79-DH$103,Frauen!$AZ$9:$BD$102,5)+VLOOKUP($CU79-DH$103+1,Frauen!$AZ$9:$BD$102,5)),RundDx)))</f>
        <v/>
      </c>
      <c r="DI79" s="25" t="str">
        <f>IF($CU79&gt;=RAM,"",IF($CU79-DI$103&lt;BeginnAlter,"",ROUND(v^($CU79+FaktorAlter)*$L79*$D79*0.5*(VLOOKUP($CU79-DI$103,Frauen!$G$9:$J$102,4)+VLOOKUP($CU79-DI$103+1,Frauen!$G$9:$J$102,4))*0.5*(VLOOKUP($CU79-DI$103,Frauen!$AZ$9:$BD$102,5)+VLOOKUP($CU79-DI$103+1,Frauen!$AZ$9:$BD$102,5)),RundDx)))</f>
        <v/>
      </c>
      <c r="DJ79" s="25" t="str">
        <f>IF($CU79&gt;=RAM,"",IF($CU79-DJ$103&lt;BeginnAlter,"",ROUND(v^($CU79+FaktorAlter)*$L79*$D79*0.5*(VLOOKUP($CU79-DJ$103,Frauen!$G$9:$J$102,4)+VLOOKUP($CU79-DJ$103+1,Frauen!$G$9:$J$102,4))*0.5*(VLOOKUP($CU79-DJ$103,Frauen!$AZ$9:$BD$102,5)+VLOOKUP($CU79-DJ$103+1,Frauen!$AZ$9:$BD$102,5)),RundDx)))</f>
        <v/>
      </c>
      <c r="DK79" s="25" t="str">
        <f>IF($CU79&gt;=RAM,"",IF($CU79-DK$103&lt;BeginnAlter,"",ROUND(v^($CU79+FaktorAlter)*$L79*$D79*0.5*(VLOOKUP($CU79-DK$103,Frauen!$G$9:$J$102,4)+VLOOKUP($CU79-DK$103+1,Frauen!$G$9:$J$102,4))*0.5*(VLOOKUP($CU79-DK$103,Frauen!$AZ$9:$BD$102,5)+VLOOKUP($CU79-DK$103+1,Frauen!$AZ$9:$BD$102,5)),RundDx)))</f>
        <v/>
      </c>
      <c r="DL79" s="25" t="str">
        <f>IF($CU79&gt;=RAM,"",IF($CU79-DL$103&lt;BeginnAlter,"",ROUND(v^($CU79+FaktorAlter)*$L79*$D79*0.5*(VLOOKUP($CU79-DL$103,Frauen!$G$9:$J$102,4)+VLOOKUP($CU79-DL$103+1,Frauen!$G$9:$J$102,4))*0.5*(VLOOKUP($CU79-DL$103,Frauen!$AZ$9:$BD$102,5)+VLOOKUP($CU79-DL$103+1,Frauen!$AZ$9:$BD$102,5)),RundDx)))</f>
        <v/>
      </c>
      <c r="DM79" s="25" t="str">
        <f>IF($CU79&gt;=RAM,"",IF($CU79-DM$103&lt;BeginnAlter,"",ROUND(v^($CU79+FaktorAlter)*$L79*$D79*0.5*(VLOOKUP($CU79-DM$103,Frauen!$G$9:$J$102,4)+VLOOKUP($CU79-DM$103+1,Frauen!$G$9:$J$102,4))*0.5*(VLOOKUP($CU79-DM$103,Frauen!$AZ$9:$BD$102,5)+VLOOKUP($CU79-DM$103+1,Frauen!$AZ$9:$BD$102,5)),RundDx)))</f>
        <v/>
      </c>
      <c r="DN79" s="25" t="str">
        <f>IF($CU79&gt;=RAM,"",IF($CU79-DN$103&lt;BeginnAlter,"",ROUND(v^($CU79+FaktorAlter)*$L79*$D79*0.5*(VLOOKUP($CU79-DN$103,Frauen!$G$9:$J$102,4)+VLOOKUP($CU79-DN$103+1,Frauen!$G$9:$J$102,4))*0.5*(VLOOKUP($CU79-DN$103,Frauen!$AZ$9:$BD$102,5)+VLOOKUP($CU79-DN$103+1,Frauen!$AZ$9:$BD$102,5)),RundDx)))</f>
        <v/>
      </c>
      <c r="DO79" s="25" t="str">
        <f>IF($CU79&gt;=RAM,"",IF($CU79-DO$103&lt;BeginnAlter,"",ROUND(v^($CU79+FaktorAlter)*$L79*$D79*0.5*(VLOOKUP($CU79-DO$103,Frauen!$G$9:$J$102,4)+VLOOKUP($CU79-DO$103+1,Frauen!$G$9:$J$102,4))*0.5*(VLOOKUP($CU79-DO$103,Frauen!$AZ$9:$BD$102,5)+VLOOKUP($CU79-DO$103+1,Frauen!$AZ$9:$BD$102,5)),RundDx)))</f>
        <v/>
      </c>
      <c r="DP79" s="25" t="str">
        <f>IF($CU79&gt;=RAM,"",IF($CU79-DP$103&lt;BeginnAlter,"",ROUND(v^($CU79+FaktorAlter)*$L79*$D79*0.5*(VLOOKUP($CU79-DP$103,Frauen!$G$9:$J$102,4)+VLOOKUP($CU79-DP$103+1,Frauen!$G$9:$J$102,4))*0.5*(VLOOKUP($CU79-DP$103,Frauen!$AZ$9:$BD$102,5)+VLOOKUP($CU79-DP$103+1,Frauen!$AZ$9:$BD$102,5)),RundDx)))</f>
        <v/>
      </c>
      <c r="DQ79" s="25" t="str">
        <f>IF($CU79&gt;=RAM,"",IF($CU79-DQ$103&lt;BeginnAlter,"",ROUND(v^($CU79+FaktorAlter)*$L79*$D79*0.5*(VLOOKUP($CU79-DQ$103,Frauen!$G$9:$J$102,4)+VLOOKUP($CU79-DQ$103+1,Frauen!$G$9:$J$102,4))*0.5*(VLOOKUP($CU79-DQ$103,Frauen!$AZ$9:$BD$102,5)+VLOOKUP($CU79-DQ$103+1,Frauen!$AZ$9:$BD$102,5)),RundDx)))</f>
        <v/>
      </c>
      <c r="DR79" s="25" t="str">
        <f>IF($CU79&gt;=RAM,"",IF($CU79-DR$103&lt;BeginnAlter,"",ROUND(v^($CU79+FaktorAlter)*$L79*$D79*0.5*(VLOOKUP($CU79-DR$103,Frauen!$G$9:$J$102,4)+VLOOKUP($CU79-DR$103+1,Frauen!$G$9:$J$102,4))*0.5*(VLOOKUP($CU79-DR$103,Frauen!$AZ$9:$BD$102,5)+VLOOKUP($CU79-DR$103+1,Frauen!$AZ$9:$BD$102,5)),RundDx)))</f>
        <v/>
      </c>
      <c r="DS79" s="25" t="str">
        <f>IF($CU79&gt;=RAM,"",IF($CU79-DS$103&lt;BeginnAlter,"",ROUND(v^($CU79+FaktorAlter)*$L79*$D79*0.5*(VLOOKUP($CU79-DS$103,Frauen!$G$9:$J$102,4)+VLOOKUP($CU79-DS$103+1,Frauen!$G$9:$J$102,4))*0.5*(VLOOKUP($CU79-DS$103,Frauen!$AZ$9:$BD$102,5)+VLOOKUP($CU79-DS$103+1,Frauen!$AZ$9:$BD$102,5)),RundDx)))</f>
        <v/>
      </c>
      <c r="DT79" s="25" t="str">
        <f>IF($CU79&gt;=RAM,"",IF($CU79-DT$103&lt;BeginnAlter,"",ROUND(v^($CU79+FaktorAlter)*$L79*$D79*0.5*(VLOOKUP($CU79-DT$103,Frauen!$G$9:$J$102,4)+VLOOKUP($CU79-DT$103+1,Frauen!$G$9:$J$102,4))*0.5*(VLOOKUP($CU79-DT$103,Frauen!$AZ$9:$BD$102,5)+VLOOKUP($CU79-DT$103+1,Frauen!$AZ$9:$BD$102,5)),RundDx)))</f>
        <v/>
      </c>
      <c r="DU79" s="25" t="str">
        <f>IF($CU79&gt;=RAM,"",IF($CU79-DU$103&lt;BeginnAlter,"",ROUND(v^($CU79+FaktorAlter)*$L79*$D79*0.5*(VLOOKUP($CU79-DU$103,Frauen!$G$9:$J$102,4)+VLOOKUP($CU79-DU$103+1,Frauen!$G$9:$J$102,4))*0.5*(VLOOKUP($CU79-DU$103,Frauen!$AZ$9:$BD$102,5)+VLOOKUP($CU79-DU$103+1,Frauen!$AZ$9:$BD$102,5)),RundDx)))</f>
        <v/>
      </c>
      <c r="DV79" s="25" t="str">
        <f>IF($CU79&gt;=RAM,"",IF($CU79-DV$103&lt;BeginnAlter,"",ROUND(v^($CU79+FaktorAlter)*$L79*$D79*0.5*(VLOOKUP($CU79-DV$103,Frauen!$G$9:$J$102,4)+VLOOKUP($CU79-DV$103+1,Frauen!$G$9:$J$102,4))*0.5*(VLOOKUP($CU79-DV$103,Frauen!$AZ$9:$BD$102,5)+VLOOKUP($CU79-DV$103+1,Frauen!$AZ$9:$BD$102,5)),RundDx)))</f>
        <v/>
      </c>
      <c r="DW79" s="25" t="str">
        <f>IF($CU79&gt;=RAM,"",IF($CU79-DW$103&lt;BeginnAlter,"",ROUND(v^($CU79+FaktorAlter)*$L79*$D79*0.5*(VLOOKUP($CU79-DW$103,Frauen!$G$9:$J$102,4)+VLOOKUP($CU79-DW$103+1,Frauen!$G$9:$J$102,4))*0.5*(VLOOKUP($CU79-DW$103,Frauen!$AZ$9:$BD$102,5)+VLOOKUP($CU79-DW$103+1,Frauen!$AZ$9:$BD$102,5)),RundDx)))</f>
        <v/>
      </c>
      <c r="DX79" s="25" t="str">
        <f>IF($CU79&gt;=RAM,"",IF($CU79-DX$103&lt;BeginnAlter,"",ROUND(v^($CU79+FaktorAlter)*$L79*$D79*0.5*(VLOOKUP($CU79-DX$103,Frauen!$G$9:$J$102,4)+VLOOKUP($CU79-DX$103+1,Frauen!$G$9:$J$102,4))*0.5*(VLOOKUP($CU79-DX$103,Frauen!$AZ$9:$BD$102,5)+VLOOKUP($CU79-DX$103+1,Frauen!$AZ$9:$BD$102,5)),RundDx)))</f>
        <v/>
      </c>
      <c r="DY79" s="25" t="str">
        <f>IF($CU79&gt;=RAM,"",IF($CU79-DY$103&lt;BeginnAlter,"",ROUND(v^($CU79+FaktorAlter)*$L79*$D79*0.5*(VLOOKUP($CU79-DY$103,Frauen!$G$9:$J$102,4)+VLOOKUP($CU79-DY$103+1,Frauen!$G$9:$J$102,4))*0.5*(VLOOKUP($CU79-DY$103,Frauen!$AZ$9:$BD$102,5)+VLOOKUP($CU79-DY$103+1,Frauen!$AZ$9:$BD$102,5)),RundDx)))</f>
        <v/>
      </c>
      <c r="DZ79" s="25" t="str">
        <f>IF($CU79&gt;=RAM,"",IF($CU79-DZ$103&lt;BeginnAlter,"",ROUND(v^($CU79+FaktorAlter)*$L79*$D79*0.5*(VLOOKUP($CU79-DZ$103,Frauen!$G$9:$J$102,4)+VLOOKUP($CU79-DZ$103+1,Frauen!$G$9:$J$102,4))*0.5*(VLOOKUP($CU79-DZ$103,Frauen!$AZ$9:$BD$102,5)+VLOOKUP($CU79-DZ$103+1,Frauen!$AZ$9:$BD$102,5)),RundDx)))</f>
        <v/>
      </c>
      <c r="EA79" s="43" t="str">
        <f>IF($CU79&gt;=RAM,"",IF($CU79-EA$103&lt;BeginnAlter,"",ROUND((SUM(CV$56:CV79)+SUM(FN$9:FN$56))/VLOOKUP($CU79,$AH$9:$AI$102,2)/VLOOKUP($CU79-EA$103,Frauen!$G$9:$J$102,4),Rundäx)))</f>
        <v/>
      </c>
      <c r="EB79" s="43" t="str">
        <f>IF($CU79&gt;=RAM,"",IF($CU79-EB$103&lt;BeginnAlter,"",ROUND((SUM(CW$56:CW79)+SUM(FO$9:FO$56))/VLOOKUP($CU79,$AH$9:$AI$102,2)/VLOOKUP($CU79-EB$103,Frauen!$G$9:$J$102,4),Rundäx)))</f>
        <v/>
      </c>
      <c r="EC79" s="43" t="str">
        <f>IF($CU79&gt;=RAM,"",IF($CU79-EC$103&lt;BeginnAlter,"",ROUND((SUM(CX$56:CX79)+SUM(FP$9:FP$56))/VLOOKUP($CU79,$AH$9:$AI$102,2)/VLOOKUP($CU79-EC$103,Frauen!$G$9:$J$102,4),Rundäx)))</f>
        <v/>
      </c>
      <c r="ED79" s="43" t="str">
        <f>IF($CU79&gt;=RAM,"",IF($CU79-ED$103&lt;BeginnAlter,"",ROUND((SUM(CY$56:CY79)+SUM(FQ$9:FQ$56))/VLOOKUP($CU79,$AH$9:$AI$102,2)/VLOOKUP($CU79-ED$103,Frauen!$G$9:$J$102,4),Rundäx)))</f>
        <v/>
      </c>
      <c r="EE79" s="43" t="str">
        <f>IF($CU79&gt;=RAM,"",IF($CU79-EE$103&lt;BeginnAlter,"",ROUND((SUM(CZ$56:CZ79)+SUM(FR$9:FR$56))/VLOOKUP($CU79,$AH$9:$AI$102,2)/VLOOKUP($CU79-EE$103,Frauen!$G$9:$J$102,4),Rundäx)))</f>
        <v/>
      </c>
      <c r="EF79" s="43" t="str">
        <f>IF($CU79&gt;=RAM,"",IF($CU79-EF$103&lt;BeginnAlter,"",ROUND((SUM(DA$56:DA79)+SUM(FS$9:FS$56))/VLOOKUP($CU79,$AH$9:$AI$102,2)/VLOOKUP($CU79-EF$103,Frauen!$G$9:$J$102,4),Rundäx)))</f>
        <v/>
      </c>
      <c r="EG79" s="43" t="str">
        <f>IF($CU79&gt;=RAM,"",IF($CU79-EG$103&lt;BeginnAlter,"",ROUND((SUM(DB$56:DB79)+SUM(FT$9:FT$56))/VLOOKUP($CU79,$AH$9:$AI$102,2)/VLOOKUP($CU79-EG$103,Frauen!$G$9:$J$102,4),Rundäx)))</f>
        <v/>
      </c>
      <c r="EH79" s="43" t="str">
        <f>IF($CU79&gt;=RAM,"",IF($CU79-EH$103&lt;BeginnAlter,"",ROUND((SUM(DC$56:DC79)+SUM(FU$9:FU$56))/VLOOKUP($CU79,$AH$9:$AI$102,2)/VLOOKUP($CU79-EH$103,Frauen!$G$9:$J$102,4),Rundäx)))</f>
        <v/>
      </c>
      <c r="EI79" s="86"/>
      <c r="EJ79" s="35">
        <f t="shared" si="133"/>
        <v>87</v>
      </c>
      <c r="EK79" s="43" t="str">
        <f>IF($CU79&gt;=RAM,"",IF($CU79-EK$103&lt;BeginnAlter,"",ROUND((SUM(DD$56:DD79)+SUM(FV$9:FV$56))/VLOOKUP($CU79,$AH$9:$AI$102,2)/VLOOKUP($CU79-EK$103,Frauen!$G$9:$J$102,4),Rundäx)))</f>
        <v/>
      </c>
      <c r="EL79" s="43" t="str">
        <f>IF($CU79&gt;=RAM,"",IF($CU79-EL$103&lt;BeginnAlter,"",ROUND((SUM(DE$56:DE79)+SUM(FW$9:FW$56))/VLOOKUP($CU79,$AH$9:$AI$102,2)/VLOOKUP($CU79-EL$103,Frauen!$G$9:$J$102,4),Rundäx)))</f>
        <v/>
      </c>
      <c r="EM79" s="43" t="str">
        <f>IF($CU79&gt;=RAM,"",IF($CU79-EM$103&lt;BeginnAlter,"",ROUND((SUM(DF$56:DF79)+SUM(FX$9:FX$56))/VLOOKUP($CU79,$AH$9:$AI$102,2)/VLOOKUP($CU79-EM$103,Frauen!$G$9:$J$102,4),Rundäx)))</f>
        <v/>
      </c>
      <c r="EN79" s="43" t="str">
        <f>IF($CU79&gt;=RAM,"",IF($CU79-EN$103&lt;BeginnAlter,"",ROUND((SUM(DG$56:DG79)+SUM(FY$9:FY$56))/VLOOKUP($CU79,$AH$9:$AI$102,2)/VLOOKUP($CU79-EN$103,Frauen!$G$9:$J$102,4),Rundäx)))</f>
        <v/>
      </c>
      <c r="EO79" s="43" t="str">
        <f>IF($CU79&gt;=RAM,"",IF($CU79-EO$103&lt;BeginnAlter,"",ROUND((SUM(DH$56:DH79)+SUM(FZ$9:FZ$56))/VLOOKUP($CU79,$AH$9:$AI$102,2)/VLOOKUP($CU79-EO$103,Frauen!$G$9:$J$102,4),Rundäx)))</f>
        <v/>
      </c>
      <c r="EP79" s="43" t="str">
        <f>IF($CU79&gt;=RAM,"",IF($CU79-EP$103&lt;BeginnAlter,"",ROUND((SUM(DI$56:DI79)+SUM(GA$9:GA$56))/VLOOKUP($CU79,$AH$9:$AI$102,2)/VLOOKUP($CU79-EP$103,Frauen!$G$9:$J$102,4),Rundäx)))</f>
        <v/>
      </c>
      <c r="EQ79" s="43" t="str">
        <f>IF($CU79&gt;=RAM,"",IF($CU79-EQ$103&lt;BeginnAlter,"",ROUND((SUM(DJ$56:DJ79)+SUM(GB$9:GB$56))/VLOOKUP($CU79,$AH$9:$AI$102,2)/VLOOKUP($CU79-EQ$103,Frauen!$G$9:$J$102,4),Rundäx)))</f>
        <v/>
      </c>
      <c r="ER79" s="43" t="str">
        <f>IF($CU79&gt;=RAM,"",IF($CU79-ER$103&lt;BeginnAlter,"",ROUND((SUM(DK$56:DK79)+SUM(GC$9:GC$56))/VLOOKUP($CU79,$AH$9:$AI$102,2)/VLOOKUP($CU79-ER$103,Frauen!$G$9:$J$102,4),Rundäx)))</f>
        <v/>
      </c>
      <c r="ES79" s="86"/>
      <c r="ET79" s="35">
        <f t="shared" si="134"/>
        <v>87</v>
      </c>
      <c r="EU79" s="43" t="str">
        <f>IF($CU79&gt;=RAM,"",IF($CU79-EU$103&lt;BeginnAlter,"",ROUND((SUM(DL$56:DL79)+SUM(GD$9:GD$56))/VLOOKUP($CU79,$AH$9:$AI$102,2)/VLOOKUP($CU79-EU$103,Frauen!$G$9:$J$102,4),Rundäx)))</f>
        <v/>
      </c>
      <c r="EV79" s="43" t="str">
        <f>IF($CU79&gt;=RAM,"",IF($CU79-EV$103&lt;BeginnAlter,"",ROUND((SUM(DM$56:DM79)+SUM(GE$9:GE$56))/VLOOKUP($CU79,$AH$9:$AI$102,2)/VLOOKUP($CU79-EV$103,Frauen!$G$9:$J$102,4),Rundäx)))</f>
        <v/>
      </c>
      <c r="EW79" s="43" t="str">
        <f>IF($CU79&gt;=RAM,"",IF($CU79-EW$103&lt;BeginnAlter,"",ROUND((SUM(DN$56:DN79)+SUM(GF$9:GF$56))/VLOOKUP($CU79,$AH$9:$AI$102,2)/VLOOKUP($CU79-EW$103,Frauen!$G$9:$J$102,4),Rundäx)))</f>
        <v/>
      </c>
      <c r="EX79" s="43" t="str">
        <f>IF($CU79&gt;=RAM,"",IF($CU79-EX$103&lt;BeginnAlter,"",ROUND((SUM(DO$56:DO79)+SUM(GG$9:GG$56))/VLOOKUP($CU79,$AH$9:$AI$102,2)/VLOOKUP($CU79-EX$103,Frauen!$G$9:$J$102,4),Rundäx)))</f>
        <v/>
      </c>
      <c r="EY79" s="43" t="str">
        <f>IF($CU79&gt;=RAM,"",IF($CU79-EY$103&lt;BeginnAlter,"",ROUND((SUM(DP$56:DP79)+SUM(GH$9:GH$56))/VLOOKUP($CU79,$AH$9:$AI$102,2)/VLOOKUP($CU79-EY$103,Frauen!$G$9:$J$102,4),Rundäx)))</f>
        <v/>
      </c>
      <c r="EZ79" s="43" t="str">
        <f>IF($CU79&gt;=RAM,"",IF($CU79-EZ$103&lt;BeginnAlter,"",ROUND((SUM(DQ$56:DQ79)+SUM(GI$9:GI$56))/VLOOKUP($CU79,$AH$9:$AI$102,2)/VLOOKUP($CU79-EZ$103,Frauen!$G$9:$J$102,4),Rundäx)))</f>
        <v/>
      </c>
      <c r="FA79" s="43" t="str">
        <f>IF($CU79&gt;=RAM,"",IF($CU79-FA$103&lt;BeginnAlter,"",ROUND((SUM(DR$56:DR79)+SUM(GJ$9:GJ$56))/VLOOKUP($CU79,$AH$9:$AI$102,2)/VLOOKUP($CU79-FA$103,Frauen!$G$9:$J$102,4),Rundäx)))</f>
        <v/>
      </c>
      <c r="FB79" s="43" t="str">
        <f>IF($CU79&gt;=RAM,"",IF($CU79-FB$103&lt;BeginnAlter,"",ROUND((SUM(DS$56:DS79)+SUM(GK$9:GK$56))/VLOOKUP($CU79,$AH$9:$AI$102,2)/VLOOKUP($CU79-FB$103,Frauen!$G$9:$J$102,4),Rundäx)))</f>
        <v/>
      </c>
      <c r="FC79" s="86"/>
      <c r="FD79" s="35">
        <f t="shared" si="135"/>
        <v>87</v>
      </c>
      <c r="FE79" s="43" t="str">
        <f>IF($CU79&gt;=RAM,"",IF($CU79-FE$103&lt;BeginnAlter,"",ROUND((SUM(DT$56:DT79)+SUM(GL$9:GL$56))/VLOOKUP($CU79,$AH$9:$AI$102,2)/VLOOKUP($CU79-FE$103,Frauen!$G$9:$J$102,4),Rundäx)))</f>
        <v/>
      </c>
      <c r="FF79" s="43" t="str">
        <f>IF($CU79&gt;=RAM,"",IF($CU79-FF$103&lt;BeginnAlter,"",ROUND((SUM(DU$56:DU79)+SUM(GM$9:GM$56))/VLOOKUP($CU79,$AH$9:$AI$102,2)/VLOOKUP($CU79-FF$103,Frauen!$G$9:$J$102,4),Rundäx)))</f>
        <v/>
      </c>
      <c r="FG79" s="43" t="str">
        <f>IF($CU79&gt;=RAM,"",IF($CU79-FG$103&lt;BeginnAlter,"",ROUND((SUM(DV$56:DV79)+SUM(GN$9:GN$56))/VLOOKUP($CU79,$AH$9:$AI$102,2)/VLOOKUP($CU79-FG$103,Frauen!$G$9:$J$102,4),Rundäx)))</f>
        <v/>
      </c>
      <c r="FH79" s="43" t="str">
        <f>IF($CU79&gt;=RAM,"",IF($CU79-FH$103&lt;BeginnAlter,"",ROUND((SUM(DW$56:DW79)+SUM(GO$9:GO$56))/VLOOKUP($CU79,$AH$9:$AI$102,2)/VLOOKUP($CU79-FH$103,Frauen!$G$9:$J$102,4),Rundäx)))</f>
        <v/>
      </c>
      <c r="FI79" s="43" t="str">
        <f>IF($CU79&gt;=RAM,"",IF($CU79-FI$103&lt;BeginnAlter,"",ROUND((SUM(DX$56:DX79)+SUM(GP$9:GP$56))/VLOOKUP($CU79,$AH$9:$AI$102,2)/VLOOKUP($CU79-FI$103,Frauen!$G$9:$J$102,4),Rundäx)))</f>
        <v/>
      </c>
      <c r="FJ79" s="43" t="str">
        <f>IF($CU79&gt;=RAM,"",IF($CU79-FJ$103&lt;BeginnAlter,"",ROUND((SUM(DY$56:DY79)+SUM(GQ$9:GQ$56))/VLOOKUP($CU79,$AH$9:$AI$102,2)/VLOOKUP($CU79-FJ$103,Frauen!$G$9:$J$102,4),Rundäx)))</f>
        <v/>
      </c>
      <c r="FK79" s="43" t="str">
        <f>IF($CU79&gt;=RAM,"",IF($CU79-FK$103&lt;BeginnAlter,"",ROUND((SUM(DZ$56:DZ79)+SUM(GR$9:GR$56))/VLOOKUP($CU79,$AH$9:$AI$102,2)/VLOOKUP($CU79-FK$103,Frauen!$G$9:$J$102,4),Rundäx)))</f>
        <v/>
      </c>
      <c r="FL79" s="86"/>
      <c r="FM79" s="35">
        <f t="shared" si="136"/>
        <v>135</v>
      </c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4"/>
      <c r="GT79" s="24"/>
      <c r="GU79" s="24" t="str">
        <f>IF(FM79&gt;=RAM," ",#REF!/$AI79/Frauen!$J67)</f>
        <v xml:space="preserve"> </v>
      </c>
      <c r="GV79" s="24" t="str">
        <f>IF(FM79&gt;=RAM," ",#REF!/$AI79/Frauen!$J70)</f>
        <v xml:space="preserve"> </v>
      </c>
      <c r="GW79" s="24" t="str">
        <f>IF(FM79&gt;=RAM," ",#REF!/$AI79/Frauen!$J73)</f>
        <v xml:space="preserve"> </v>
      </c>
      <c r="GX79" s="24" t="str">
        <f>IF(FM79&gt;=RAM," ",#REF!/$AI79/Frauen!$J76)</f>
        <v xml:space="preserve"> </v>
      </c>
      <c r="GY79" s="24" t="str">
        <f>IF(FM79&gt;=RAM," ",#REF!/$AI79/Frauen!$J79)</f>
        <v xml:space="preserve"> </v>
      </c>
      <c r="GZ79" s="24" t="str">
        <f>IF(FM79&gt;=RAM," ",#REF!/$AI79/Frauen!$J82)</f>
        <v xml:space="preserve"> </v>
      </c>
      <c r="HA79" s="86"/>
      <c r="HB79" s="35">
        <f t="shared" si="137"/>
        <v>135</v>
      </c>
      <c r="HC79" s="24"/>
      <c r="HD79" s="24"/>
      <c r="HE79" s="24"/>
      <c r="HF79" s="24"/>
      <c r="HG79" s="24"/>
      <c r="HH79" s="24"/>
      <c r="HI79" s="24"/>
      <c r="HJ79" s="24"/>
      <c r="HK79" s="86"/>
      <c r="HL79" s="35">
        <f t="shared" si="138"/>
        <v>135</v>
      </c>
      <c r="HM79" s="24"/>
      <c r="HN79" s="24"/>
      <c r="HO79" s="24"/>
      <c r="HP79" s="24"/>
      <c r="HQ79" s="24"/>
      <c r="HR79" s="24"/>
      <c r="HS79" s="24"/>
      <c r="HT79" s="24"/>
      <c r="HU79" s="86"/>
      <c r="HV79" s="35">
        <f t="shared" si="139"/>
        <v>135</v>
      </c>
      <c r="HW79" s="24"/>
      <c r="HX79" s="24"/>
      <c r="HY79" s="24"/>
      <c r="HZ79" s="24"/>
      <c r="IA79" s="24"/>
      <c r="IB79" s="24"/>
      <c r="IC79" s="24"/>
      <c r="ID79" s="89"/>
      <c r="IE79" s="35">
        <f t="shared" si="140"/>
        <v>87</v>
      </c>
      <c r="IF79" s="25" t="str">
        <f t="shared" si="112"/>
        <v/>
      </c>
      <c r="IG79" s="25" t="str">
        <f>IF($IE79&lt;RAM,IF(S80&lt;=RAK,ROUND(SUM(IF79:INDEX(Dakx,RAM-BeginnAlter))+INDEX(Dax,RAM-BeginnAlter+1)*INDEX(äkx,1),RundDx),0),"")</f>
        <v/>
      </c>
      <c r="IH79" s="25" t="str">
        <f>IF($IE79&lt;RAM,IF(S80&lt;=RAK,ROUND(SUM(IG79:INDEX(Nakx,RAM-BeginnAlter))+INDEX(Dax,RAM-BeginnAlter+1)*INDEX(äkx,1),RundDx),0),"")</f>
        <v/>
      </c>
      <c r="II79" s="24" t="str">
        <f t="shared" si="113"/>
        <v/>
      </c>
      <c r="IJ79" s="25" t="str">
        <f t="shared" si="114"/>
        <v/>
      </c>
      <c r="IK79" s="25" t="str">
        <f>IF($IE79&lt;RAM,IF(S80&lt;=RAK,SUM(IJ79:INDEX(Dikx,RAM-BeginnAlter))+INDEX(Dix,RAM-BeginnAlter+1)*INDEX(äkx,1),0),"")</f>
        <v/>
      </c>
      <c r="IL79" s="24" t="str">
        <f t="shared" si="115"/>
        <v/>
      </c>
      <c r="IM79" s="86"/>
      <c r="IN79" s="35">
        <f t="shared" si="141"/>
        <v>135</v>
      </c>
      <c r="IO79" s="25"/>
      <c r="IP79" s="25"/>
      <c r="IQ79" s="24"/>
      <c r="IR79" s="86"/>
    </row>
    <row r="80" spans="1:252" ht="15.75" customHeight="1" x14ac:dyDescent="0.25">
      <c r="A80" s="35">
        <f t="shared" si="120"/>
        <v>88</v>
      </c>
      <c r="B80" s="77"/>
      <c r="C80" s="77"/>
      <c r="D80" s="77"/>
      <c r="E80" s="77">
        <v>0.144699797509106</v>
      </c>
      <c r="F80" s="86"/>
      <c r="G80" s="35">
        <f t="shared" si="121"/>
        <v>88</v>
      </c>
      <c r="H80" s="25" t="str">
        <f t="shared" si="116"/>
        <v/>
      </c>
      <c r="I80" s="25" t="str">
        <f t="shared" si="117"/>
        <v/>
      </c>
      <c r="J80" s="25">
        <f t="shared" si="118"/>
        <v>25495</v>
      </c>
      <c r="K80" s="30">
        <f>IF(J80&gt;0,ROUND(SUM(J80:J$102)/J80-0.5,Rundex),"")</f>
        <v>4.2</v>
      </c>
      <c r="L80" s="25">
        <f t="shared" si="82"/>
        <v>25495</v>
      </c>
      <c r="M80" s="30">
        <f>IF(L80&gt;0,ROUND(SUM(L80:L$102)/L80-0.5,Rundex),"")</f>
        <v>4.2</v>
      </c>
      <c r="N80" s="86"/>
      <c r="O80" s="35">
        <f t="shared" si="122"/>
        <v>88</v>
      </c>
      <c r="P80" s="43">
        <v>0.57313148159163729</v>
      </c>
      <c r="Q80" s="78">
        <v>81.902910203107808</v>
      </c>
      <c r="R80" s="43"/>
      <c r="S80" s="78"/>
      <c r="T80" s="15">
        <v>0.14535981939055731</v>
      </c>
      <c r="U80" s="11">
        <f t="shared" si="119"/>
        <v>19349</v>
      </c>
      <c r="V80" s="30">
        <f>IF(U80&gt;0,ROUND(SUM(U80:U$102)/U80-0.5,Rundex),"")</f>
        <v>4.2</v>
      </c>
      <c r="W80" s="86"/>
      <c r="X80" s="35">
        <f t="shared" si="123"/>
        <v>88</v>
      </c>
      <c r="Y80" s="25" t="str">
        <f t="shared" si="83"/>
        <v xml:space="preserve"> </v>
      </c>
      <c r="Z80" s="25" t="str">
        <f>IF($X80&lt;RAM,SUM(Y80:INDEX(Dax,RAM-BeginnAlter))," ")</f>
        <v xml:space="preserve"> </v>
      </c>
      <c r="AA80" s="25" t="str">
        <f t="shared" si="84"/>
        <v xml:space="preserve"> </v>
      </c>
      <c r="AB80" s="25" t="str">
        <f>IF($X80&lt;RAM,SUM(AA80:INDEX(Cax,RAM-BeginnAlter))," ")</f>
        <v xml:space="preserve"> </v>
      </c>
      <c r="AC80" s="25" t="str">
        <f t="shared" si="85"/>
        <v xml:space="preserve"> </v>
      </c>
      <c r="AD80" s="25" t="str">
        <f>IF($X80&lt;RAM,SUM(AC80:INDEX(Caix,RAM-BeginnAlter))," ")</f>
        <v xml:space="preserve"> </v>
      </c>
      <c r="AE80" s="24" t="str">
        <f t="shared" si="86"/>
        <v xml:space="preserve"> </v>
      </c>
      <c r="AF80" s="24" t="str">
        <f t="shared" si="87"/>
        <v xml:space="preserve"> </v>
      </c>
      <c r="AG80" s="86"/>
      <c r="AH80" s="35">
        <f t="shared" si="124"/>
        <v>88</v>
      </c>
      <c r="AI80" s="25" t="str">
        <f t="shared" si="88"/>
        <v xml:space="preserve"> </v>
      </c>
      <c r="AJ80" s="25" t="str">
        <f>IF($AH80&gt;RAM," ",IF($AH80&lt;RAM,SUM(AI80:INDEX(Dix,RAM-BeginnAlter))+INDEX(Nx,RAM-BeginnAlter+1),INDEX(Nx,RAM-BeginnAlter+1)))</f>
        <v xml:space="preserve"> </v>
      </c>
      <c r="AK80" s="25" t="str">
        <f>IF($AH80&lt;RAM,SUM(AI80:INDEX(Dix,RAM-BeginnAlter))," ")</f>
        <v xml:space="preserve"> </v>
      </c>
      <c r="AL80" s="24" t="str">
        <f t="shared" si="89"/>
        <v xml:space="preserve"> </v>
      </c>
      <c r="AM80" s="24" t="str">
        <f t="shared" si="90"/>
        <v xml:space="preserve"> </v>
      </c>
      <c r="AN80" s="24" t="str">
        <f t="shared" si="91"/>
        <v xml:space="preserve"> </v>
      </c>
      <c r="AO80" s="24" t="str">
        <f t="shared" si="92"/>
        <v xml:space="preserve"> </v>
      </c>
      <c r="AP80" s="86"/>
      <c r="AQ80" s="35">
        <f t="shared" si="125"/>
        <v>88</v>
      </c>
      <c r="AR80" s="25">
        <f t="shared" si="93"/>
        <v>3598</v>
      </c>
      <c r="AS80" s="25">
        <f>SUM(AR80:AR$94)</f>
        <v>15920</v>
      </c>
      <c r="AT80" s="25" t="str">
        <f>IF($AQ80&lt;RAM,SUM(AR80:INDEX(Dx,RAM-BeginnAlter))," ")</f>
        <v xml:space="preserve"> </v>
      </c>
      <c r="AU80" s="24">
        <f t="shared" si="94"/>
        <v>4.4249999999999998</v>
      </c>
      <c r="AV80" s="24">
        <f t="shared" si="95"/>
        <v>3.9660000000000002</v>
      </c>
      <c r="AW80" s="24" t="str">
        <f t="shared" si="96"/>
        <v xml:space="preserve"> </v>
      </c>
      <c r="AX80" s="24" t="str">
        <f t="shared" si="97"/>
        <v xml:space="preserve"> </v>
      </c>
      <c r="AY80" s="86"/>
      <c r="AZ80" s="35">
        <f t="shared" si="126"/>
        <v>88</v>
      </c>
      <c r="BA80" s="25">
        <f t="shared" si="98"/>
        <v>2731</v>
      </c>
      <c r="BB80" s="25">
        <f>SUM(BA80:BA$94)</f>
        <v>12073</v>
      </c>
      <c r="BC80" s="24">
        <f t="shared" si="99"/>
        <v>4.4210000000000003</v>
      </c>
      <c r="BD80" s="24">
        <f t="shared" si="100"/>
        <v>3.9620000000000002</v>
      </c>
      <c r="BE80" s="86"/>
      <c r="BF80" s="35">
        <f t="shared" si="127"/>
        <v>71</v>
      </c>
      <c r="BG80" s="24" t="str">
        <f t="shared" si="101"/>
        <v/>
      </c>
      <c r="BH80" s="24" t="str">
        <f t="shared" si="102"/>
        <v/>
      </c>
      <c r="BI80" s="86"/>
      <c r="BJ80" s="35">
        <f t="shared" si="128"/>
        <v>88</v>
      </c>
      <c r="BK80" s="25" t="str">
        <f t="shared" si="103"/>
        <v xml:space="preserve"> </v>
      </c>
      <c r="BL80" s="25" t="str">
        <f>IF(BJ80&lt;RAM,SUM(BK80:INDEX(Daix,RAM-BeginnAlter))," ")</f>
        <v xml:space="preserve"> </v>
      </c>
      <c r="BM80" s="25" t="str">
        <f>IF(BJ80&lt;RAM,SUM(BL80:INDEX(Naix,RAM-BeginnAlter))," ")</f>
        <v xml:space="preserve"> </v>
      </c>
      <c r="BN80" s="24" t="str">
        <f t="shared" si="104"/>
        <v xml:space="preserve"> </v>
      </c>
      <c r="BO80" s="24" t="str">
        <f t="shared" si="105"/>
        <v xml:space="preserve"> </v>
      </c>
      <c r="BP80" s="86"/>
      <c r="BQ80" s="35">
        <f t="shared" si="129"/>
        <v>88</v>
      </c>
      <c r="BR80" s="25" t="str">
        <f t="shared" si="142"/>
        <v xml:space="preserve"> </v>
      </c>
      <c r="BS80" s="25" t="str">
        <f>IF(BQ80&lt;RAM,SUM(BR80:INDEX(Daixs,RAM-BeginnAlter))," ")</f>
        <v xml:space="preserve"> </v>
      </c>
      <c r="BT80" s="25" t="str">
        <f>IF(BQ80&lt;RAM,SUM(BS80:INDEX(Naixs,RAM-BeginnAlter))," ")</f>
        <v xml:space="preserve"> </v>
      </c>
      <c r="BU80" s="24" t="str">
        <f t="shared" si="143"/>
        <v xml:space="preserve"> </v>
      </c>
      <c r="BV80" s="24" t="str">
        <f t="shared" si="144"/>
        <v xml:space="preserve"> </v>
      </c>
      <c r="BW80" s="86"/>
      <c r="BX80" s="35">
        <f t="shared" si="130"/>
        <v>88</v>
      </c>
      <c r="BY80" s="10" t="str">
        <f t="shared" si="106"/>
        <v/>
      </c>
      <c r="BZ80" s="11" t="str">
        <f t="shared" si="107"/>
        <v/>
      </c>
      <c r="CA80" s="25" t="str">
        <f>IF(S81&lt;=RAK,IF($BX80&lt;RAM,SUM(BZ80:INDEX(Dazx,RAM-BeginnAlter)),""),"")</f>
        <v/>
      </c>
      <c r="CB80" s="24" t="str">
        <f t="shared" si="108"/>
        <v/>
      </c>
      <c r="CC80" s="25">
        <f t="shared" si="109"/>
        <v>0</v>
      </c>
      <c r="CD80" s="24">
        <f t="shared" si="110"/>
        <v>0</v>
      </c>
      <c r="CE80" s="24" t="str">
        <f t="shared" si="111"/>
        <v/>
      </c>
      <c r="CF80" s="86"/>
      <c r="CG80" s="35">
        <f t="shared" si="131"/>
        <v>88</v>
      </c>
      <c r="CH80" s="25" t="str">
        <f>IF(CG80&lt;RAM,ROUND(v^($CG80+FaktorAlter)*$H80*($B80*0.5*($P80+$P81)*(VLOOKUP(TRUNC(0.5*($Q80+$Q81),0),Frauen!$AZ$9:$BD$95,5)+(0.5*($Q80+$Q81)-TRUNC(0.5*($Q80+$Q81),0))*(VLOOKUP(TRUNC(0.5*($Q80+$Q81)+1,0),Frauen!$AZ$9:$BD$95,5)-VLOOKUP(TRUNC(0.5*($Q80+$Q81),0),Frauen!$AZ$9:$BD$95,5)))+$C80*0.5*($CN80+$CN81)),RundDx),"")</f>
        <v/>
      </c>
      <c r="CI80" s="25" t="str">
        <f>IF(CG80&lt;RAM,ROUND(SUM(CH80:INDEX(Dawx,RAM-BeginnAlter))+INDEX(Dax,RAM-BeginnAlter+1)*INDEX(äwx,1),RundDx),"")</f>
        <v/>
      </c>
      <c r="CJ80" s="25" t="str">
        <f>IF(CG80&lt;RAM,ROUND(SUM(CI80:INDEX(Nawx,RAM-BeginnAlter))+INDEX(Dax,RAM-BeginnAlter+1)*INDEX(äwx,1),RundDx),"")</f>
        <v/>
      </c>
      <c r="CK80" s="24" t="str">
        <f t="shared" si="145"/>
        <v/>
      </c>
      <c r="CL80" s="25" t="str">
        <f>IF(CG80&lt;RAM,ROUND(v^($CG80+FaktorAlter)*$L80*$D80*0.5*($P80+$P81)*(VLOOKUP(TRUNC(0.5*($Q80+$Q81),0),Frauen!$AZ$9:$BD$95,5)+(0.5*($Q80+$Q81)-TRUNC(0.5*($Q80+$Q81),0))*(VLOOKUP(TRUNC(0.5*($Q80+$Q81)+1,0),Frauen!$AZ$9:$BD$95,5)-VLOOKUP(TRUNC(0.5*($Q80+$Q81),0),Frauen!$AZ$9:$BD$95,5))),RundDx),"")</f>
        <v/>
      </c>
      <c r="CM80" s="25" t="str">
        <f>IF(CG80&lt;RAM,SUM(CL80:INDEX(Diwx,RAM-BeginnAlter))+INDEX(Dix,RAM-BeginnAlter+1)*INDEX(äwx,1),"")</f>
        <v/>
      </c>
      <c r="CN80" s="24" t="str">
        <f t="shared" si="146"/>
        <v/>
      </c>
      <c r="CO80" s="86"/>
      <c r="CP80" s="35">
        <f t="shared" si="147"/>
        <v>136</v>
      </c>
      <c r="CQ80" s="25"/>
      <c r="CR80" s="25"/>
      <c r="CS80" s="24"/>
      <c r="CT80" s="86"/>
      <c r="CU80" s="35">
        <f t="shared" si="132"/>
        <v>88</v>
      </c>
      <c r="CV80" s="25" t="str">
        <f>IF($CU80&gt;=RAM,"",IF($CU80-CV$103&lt;BeginnAlter,"",ROUND(v^($CU80+FaktorAlter)*$L80*$D80*0.5*(VLOOKUP($CU80-CV$103,Frauen!$G$9:$J$102,4)+VLOOKUP($CU80-CV$103+1,Frauen!$G$9:$J$102,4))*0.5*(VLOOKUP($CU80-CV$103,Frauen!$AZ$9:$BD$102,5)+VLOOKUP($CU80-CV$103+1,Frauen!$AZ$9:$BD$102,5)),RundDx)))</f>
        <v/>
      </c>
      <c r="CW80" s="25" t="str">
        <f>IF($CU80&gt;=RAM,"",IF($CU80-CW$103&lt;BeginnAlter,"",ROUND(v^($CU80+FaktorAlter)*$L80*$D80*0.5*(VLOOKUP($CU80-CW$103,Frauen!$G$9:$J$102,4)+VLOOKUP($CU80-CW$103+1,Frauen!$G$9:$J$102,4))*0.5*(VLOOKUP($CU80-CW$103,Frauen!$AZ$9:$BD$102,5)+VLOOKUP($CU80-CW$103+1,Frauen!$AZ$9:$BD$102,5)),RundDx)))</f>
        <v/>
      </c>
      <c r="CX80" s="25" t="str">
        <f>IF($CU80&gt;=RAM,"",IF($CU80-CX$103&lt;BeginnAlter,"",ROUND(v^($CU80+FaktorAlter)*$L80*$D80*0.5*(VLOOKUP($CU80-CX$103,Frauen!$G$9:$J$102,4)+VLOOKUP($CU80-CX$103+1,Frauen!$G$9:$J$102,4))*0.5*(VLOOKUP($CU80-CX$103,Frauen!$AZ$9:$BD$102,5)+VLOOKUP($CU80-CX$103+1,Frauen!$AZ$9:$BD$102,5)),RundDx)))</f>
        <v/>
      </c>
      <c r="CY80" s="25" t="str">
        <f>IF($CU80&gt;=RAM,"",IF($CU80-CY$103&lt;BeginnAlter,"",ROUND(v^($CU80+FaktorAlter)*$L80*$D80*0.5*(VLOOKUP($CU80-CY$103,Frauen!$G$9:$J$102,4)+VLOOKUP($CU80-CY$103+1,Frauen!$G$9:$J$102,4))*0.5*(VLOOKUP($CU80-CY$103,Frauen!$AZ$9:$BD$102,5)+VLOOKUP($CU80-CY$103+1,Frauen!$AZ$9:$BD$102,5)),RundDx)))</f>
        <v/>
      </c>
      <c r="CZ80" s="25" t="str">
        <f>IF($CU80&gt;=RAM,"",IF($CU80-CZ$103&lt;BeginnAlter,"",ROUND(v^($CU80+FaktorAlter)*$L80*$D80*0.5*(VLOOKUP($CU80-CZ$103,Frauen!$G$9:$J$102,4)+VLOOKUP($CU80-CZ$103+1,Frauen!$G$9:$J$102,4))*0.5*(VLOOKUP($CU80-CZ$103,Frauen!$AZ$9:$BD$102,5)+VLOOKUP($CU80-CZ$103+1,Frauen!$AZ$9:$BD$102,5)),RundDx)))</f>
        <v/>
      </c>
      <c r="DA80" s="25" t="str">
        <f>IF($CU80&gt;=RAM,"",IF($CU80-DA$103&lt;BeginnAlter,"",ROUND(v^($CU80+FaktorAlter)*$L80*$D80*0.5*(VLOOKUP($CU80-DA$103,Frauen!$G$9:$J$102,4)+VLOOKUP($CU80-DA$103+1,Frauen!$G$9:$J$102,4))*0.5*(VLOOKUP($CU80-DA$103,Frauen!$AZ$9:$BD$102,5)+VLOOKUP($CU80-DA$103+1,Frauen!$AZ$9:$BD$102,5)),RundDx)))</f>
        <v/>
      </c>
      <c r="DB80" s="25" t="str">
        <f>IF($CU80&gt;=RAM,"",IF($CU80-DB$103&lt;BeginnAlter,"",ROUND(v^($CU80+FaktorAlter)*$L80*$D80*0.5*(VLOOKUP($CU80-DB$103,Frauen!$G$9:$J$102,4)+VLOOKUP($CU80-DB$103+1,Frauen!$G$9:$J$102,4))*0.5*(VLOOKUP($CU80-DB$103,Frauen!$AZ$9:$BD$102,5)+VLOOKUP($CU80-DB$103+1,Frauen!$AZ$9:$BD$102,5)),RundDx)))</f>
        <v/>
      </c>
      <c r="DC80" s="25" t="str">
        <f>IF($CU80&gt;=RAM,"",IF($CU80-DC$103&lt;BeginnAlter,"",ROUND(v^($CU80+FaktorAlter)*$L80*$D80*0.5*(VLOOKUP($CU80-DC$103,Frauen!$G$9:$J$102,4)+VLOOKUP($CU80-DC$103+1,Frauen!$G$9:$J$102,4))*0.5*(VLOOKUP($CU80-DC$103,Frauen!$AZ$9:$BD$102,5)+VLOOKUP($CU80-DC$103+1,Frauen!$AZ$9:$BD$102,5)),RundDx)))</f>
        <v/>
      </c>
      <c r="DD80" s="25" t="str">
        <f>IF($CU80&gt;=RAM,"",IF($CU80-DD$103&lt;BeginnAlter,"",ROUND(v^($CU80+FaktorAlter)*$L80*$D80*0.5*(VLOOKUP($CU80-DD$103,Frauen!$G$9:$J$102,4)+VLOOKUP($CU80-DD$103+1,Frauen!$G$9:$J$102,4))*0.5*(VLOOKUP($CU80-DD$103,Frauen!$AZ$9:$BD$102,5)+VLOOKUP($CU80-DD$103+1,Frauen!$AZ$9:$BD$102,5)),RundDx)))</f>
        <v/>
      </c>
      <c r="DE80" s="25" t="str">
        <f>IF($CU80&gt;=RAM,"",IF($CU80-DE$103&lt;BeginnAlter,"",ROUND(v^($CU80+FaktorAlter)*$L80*$D80*0.5*(VLOOKUP($CU80-DE$103,Frauen!$G$9:$J$102,4)+VLOOKUP($CU80-DE$103+1,Frauen!$G$9:$J$102,4))*0.5*(VLOOKUP($CU80-DE$103,Frauen!$AZ$9:$BD$102,5)+VLOOKUP($CU80-DE$103+1,Frauen!$AZ$9:$BD$102,5)),RundDx)))</f>
        <v/>
      </c>
      <c r="DF80" s="25" t="str">
        <f>IF($CU80&gt;=RAM,"",IF($CU80-DF$103&lt;BeginnAlter,"",ROUND(v^($CU80+FaktorAlter)*$L80*$D80*0.5*(VLOOKUP($CU80-DF$103,Frauen!$G$9:$J$102,4)+VLOOKUP($CU80-DF$103+1,Frauen!$G$9:$J$102,4))*0.5*(VLOOKUP($CU80-DF$103,Frauen!$AZ$9:$BD$102,5)+VLOOKUP($CU80-DF$103+1,Frauen!$AZ$9:$BD$102,5)),RundDx)))</f>
        <v/>
      </c>
      <c r="DG80" s="25" t="str">
        <f>IF($CU80&gt;=RAM,"",IF($CU80-DG$103&lt;BeginnAlter,"",ROUND(v^($CU80+FaktorAlter)*$L80*$D80*0.5*(VLOOKUP($CU80-DG$103,Frauen!$G$9:$J$102,4)+VLOOKUP($CU80-DG$103+1,Frauen!$G$9:$J$102,4))*0.5*(VLOOKUP($CU80-DG$103,Frauen!$AZ$9:$BD$102,5)+VLOOKUP($CU80-DG$103+1,Frauen!$AZ$9:$BD$102,5)),RundDx)))</f>
        <v/>
      </c>
      <c r="DH80" s="25" t="str">
        <f>IF($CU80&gt;=RAM,"",IF($CU80-DH$103&lt;BeginnAlter,"",ROUND(v^($CU80+FaktorAlter)*$L80*$D80*0.5*(VLOOKUP($CU80-DH$103,Frauen!$G$9:$J$102,4)+VLOOKUP($CU80-DH$103+1,Frauen!$G$9:$J$102,4))*0.5*(VLOOKUP($CU80-DH$103,Frauen!$AZ$9:$BD$102,5)+VLOOKUP($CU80-DH$103+1,Frauen!$AZ$9:$BD$102,5)),RundDx)))</f>
        <v/>
      </c>
      <c r="DI80" s="25" t="str">
        <f>IF($CU80&gt;=RAM,"",IF($CU80-DI$103&lt;BeginnAlter,"",ROUND(v^($CU80+FaktorAlter)*$L80*$D80*0.5*(VLOOKUP($CU80-DI$103,Frauen!$G$9:$J$102,4)+VLOOKUP($CU80-DI$103+1,Frauen!$G$9:$J$102,4))*0.5*(VLOOKUP($CU80-DI$103,Frauen!$AZ$9:$BD$102,5)+VLOOKUP($CU80-DI$103+1,Frauen!$AZ$9:$BD$102,5)),RundDx)))</f>
        <v/>
      </c>
      <c r="DJ80" s="25" t="str">
        <f>IF($CU80&gt;=RAM,"",IF($CU80-DJ$103&lt;BeginnAlter,"",ROUND(v^($CU80+FaktorAlter)*$L80*$D80*0.5*(VLOOKUP($CU80-DJ$103,Frauen!$G$9:$J$102,4)+VLOOKUP($CU80-DJ$103+1,Frauen!$G$9:$J$102,4))*0.5*(VLOOKUP($CU80-DJ$103,Frauen!$AZ$9:$BD$102,5)+VLOOKUP($CU80-DJ$103+1,Frauen!$AZ$9:$BD$102,5)),RundDx)))</f>
        <v/>
      </c>
      <c r="DK80" s="25" t="str">
        <f>IF($CU80&gt;=RAM,"",IF($CU80-DK$103&lt;BeginnAlter,"",ROUND(v^($CU80+FaktorAlter)*$L80*$D80*0.5*(VLOOKUP($CU80-DK$103,Frauen!$G$9:$J$102,4)+VLOOKUP($CU80-DK$103+1,Frauen!$G$9:$J$102,4))*0.5*(VLOOKUP($CU80-DK$103,Frauen!$AZ$9:$BD$102,5)+VLOOKUP($CU80-DK$103+1,Frauen!$AZ$9:$BD$102,5)),RundDx)))</f>
        <v/>
      </c>
      <c r="DL80" s="25" t="str">
        <f>IF($CU80&gt;=RAM,"",IF($CU80-DL$103&lt;BeginnAlter,"",ROUND(v^($CU80+FaktorAlter)*$L80*$D80*0.5*(VLOOKUP($CU80-DL$103,Frauen!$G$9:$J$102,4)+VLOOKUP($CU80-DL$103+1,Frauen!$G$9:$J$102,4))*0.5*(VLOOKUP($CU80-DL$103,Frauen!$AZ$9:$BD$102,5)+VLOOKUP($CU80-DL$103+1,Frauen!$AZ$9:$BD$102,5)),RundDx)))</f>
        <v/>
      </c>
      <c r="DM80" s="25" t="str">
        <f>IF($CU80&gt;=RAM,"",IF($CU80-DM$103&lt;BeginnAlter,"",ROUND(v^($CU80+FaktorAlter)*$L80*$D80*0.5*(VLOOKUP($CU80-DM$103,Frauen!$G$9:$J$102,4)+VLOOKUP($CU80-DM$103+1,Frauen!$G$9:$J$102,4))*0.5*(VLOOKUP($CU80-DM$103,Frauen!$AZ$9:$BD$102,5)+VLOOKUP($CU80-DM$103+1,Frauen!$AZ$9:$BD$102,5)),RundDx)))</f>
        <v/>
      </c>
      <c r="DN80" s="25" t="str">
        <f>IF($CU80&gt;=RAM,"",IF($CU80-DN$103&lt;BeginnAlter,"",ROUND(v^($CU80+FaktorAlter)*$L80*$D80*0.5*(VLOOKUP($CU80-DN$103,Frauen!$G$9:$J$102,4)+VLOOKUP($CU80-DN$103+1,Frauen!$G$9:$J$102,4))*0.5*(VLOOKUP($CU80-DN$103,Frauen!$AZ$9:$BD$102,5)+VLOOKUP($CU80-DN$103+1,Frauen!$AZ$9:$BD$102,5)),RundDx)))</f>
        <v/>
      </c>
      <c r="DO80" s="25" t="str">
        <f>IF($CU80&gt;=RAM,"",IF($CU80-DO$103&lt;BeginnAlter,"",ROUND(v^($CU80+FaktorAlter)*$L80*$D80*0.5*(VLOOKUP($CU80-DO$103,Frauen!$G$9:$J$102,4)+VLOOKUP($CU80-DO$103+1,Frauen!$G$9:$J$102,4))*0.5*(VLOOKUP($CU80-DO$103,Frauen!$AZ$9:$BD$102,5)+VLOOKUP($CU80-DO$103+1,Frauen!$AZ$9:$BD$102,5)),RundDx)))</f>
        <v/>
      </c>
      <c r="DP80" s="25" t="str">
        <f>IF($CU80&gt;=RAM,"",IF($CU80-DP$103&lt;BeginnAlter,"",ROUND(v^($CU80+FaktorAlter)*$L80*$D80*0.5*(VLOOKUP($CU80-DP$103,Frauen!$G$9:$J$102,4)+VLOOKUP($CU80-DP$103+1,Frauen!$G$9:$J$102,4))*0.5*(VLOOKUP($CU80-DP$103,Frauen!$AZ$9:$BD$102,5)+VLOOKUP($CU80-DP$103+1,Frauen!$AZ$9:$BD$102,5)),RundDx)))</f>
        <v/>
      </c>
      <c r="DQ80" s="25" t="str">
        <f>IF($CU80&gt;=RAM,"",IF($CU80-DQ$103&lt;BeginnAlter,"",ROUND(v^($CU80+FaktorAlter)*$L80*$D80*0.5*(VLOOKUP($CU80-DQ$103,Frauen!$G$9:$J$102,4)+VLOOKUP($CU80-DQ$103+1,Frauen!$G$9:$J$102,4))*0.5*(VLOOKUP($CU80-DQ$103,Frauen!$AZ$9:$BD$102,5)+VLOOKUP($CU80-DQ$103+1,Frauen!$AZ$9:$BD$102,5)),RundDx)))</f>
        <v/>
      </c>
      <c r="DR80" s="25" t="str">
        <f>IF($CU80&gt;=RAM,"",IF($CU80-DR$103&lt;BeginnAlter,"",ROUND(v^($CU80+FaktorAlter)*$L80*$D80*0.5*(VLOOKUP($CU80-DR$103,Frauen!$G$9:$J$102,4)+VLOOKUP($CU80-DR$103+1,Frauen!$G$9:$J$102,4))*0.5*(VLOOKUP($CU80-DR$103,Frauen!$AZ$9:$BD$102,5)+VLOOKUP($CU80-DR$103+1,Frauen!$AZ$9:$BD$102,5)),RundDx)))</f>
        <v/>
      </c>
      <c r="DS80" s="25" t="str">
        <f>IF($CU80&gt;=RAM,"",IF($CU80-DS$103&lt;BeginnAlter,"",ROUND(v^($CU80+FaktorAlter)*$L80*$D80*0.5*(VLOOKUP($CU80-DS$103,Frauen!$G$9:$J$102,4)+VLOOKUP($CU80-DS$103+1,Frauen!$G$9:$J$102,4))*0.5*(VLOOKUP($CU80-DS$103,Frauen!$AZ$9:$BD$102,5)+VLOOKUP($CU80-DS$103+1,Frauen!$AZ$9:$BD$102,5)),RundDx)))</f>
        <v/>
      </c>
      <c r="DT80" s="25" t="str">
        <f>IF($CU80&gt;=RAM,"",IF($CU80-DT$103&lt;BeginnAlter,"",ROUND(v^($CU80+FaktorAlter)*$L80*$D80*0.5*(VLOOKUP($CU80-DT$103,Frauen!$G$9:$J$102,4)+VLOOKUP($CU80-DT$103+1,Frauen!$G$9:$J$102,4))*0.5*(VLOOKUP($CU80-DT$103,Frauen!$AZ$9:$BD$102,5)+VLOOKUP($CU80-DT$103+1,Frauen!$AZ$9:$BD$102,5)),RundDx)))</f>
        <v/>
      </c>
      <c r="DU80" s="25" t="str">
        <f>IF($CU80&gt;=RAM,"",IF($CU80-DU$103&lt;BeginnAlter,"",ROUND(v^($CU80+FaktorAlter)*$L80*$D80*0.5*(VLOOKUP($CU80-DU$103,Frauen!$G$9:$J$102,4)+VLOOKUP($CU80-DU$103+1,Frauen!$G$9:$J$102,4))*0.5*(VLOOKUP($CU80-DU$103,Frauen!$AZ$9:$BD$102,5)+VLOOKUP($CU80-DU$103+1,Frauen!$AZ$9:$BD$102,5)),RundDx)))</f>
        <v/>
      </c>
      <c r="DV80" s="25" t="str">
        <f>IF($CU80&gt;=RAM,"",IF($CU80-DV$103&lt;BeginnAlter,"",ROUND(v^($CU80+FaktorAlter)*$L80*$D80*0.5*(VLOOKUP($CU80-DV$103,Frauen!$G$9:$J$102,4)+VLOOKUP($CU80-DV$103+1,Frauen!$G$9:$J$102,4))*0.5*(VLOOKUP($CU80-DV$103,Frauen!$AZ$9:$BD$102,5)+VLOOKUP($CU80-DV$103+1,Frauen!$AZ$9:$BD$102,5)),RundDx)))</f>
        <v/>
      </c>
      <c r="DW80" s="25" t="str">
        <f>IF($CU80&gt;=RAM,"",IF($CU80-DW$103&lt;BeginnAlter,"",ROUND(v^($CU80+FaktorAlter)*$L80*$D80*0.5*(VLOOKUP($CU80-DW$103,Frauen!$G$9:$J$102,4)+VLOOKUP($CU80-DW$103+1,Frauen!$G$9:$J$102,4))*0.5*(VLOOKUP($CU80-DW$103,Frauen!$AZ$9:$BD$102,5)+VLOOKUP($CU80-DW$103+1,Frauen!$AZ$9:$BD$102,5)),RundDx)))</f>
        <v/>
      </c>
      <c r="DX80" s="25" t="str">
        <f>IF($CU80&gt;=RAM,"",IF($CU80-DX$103&lt;BeginnAlter,"",ROUND(v^($CU80+FaktorAlter)*$L80*$D80*0.5*(VLOOKUP($CU80-DX$103,Frauen!$G$9:$J$102,4)+VLOOKUP($CU80-DX$103+1,Frauen!$G$9:$J$102,4))*0.5*(VLOOKUP($CU80-DX$103,Frauen!$AZ$9:$BD$102,5)+VLOOKUP($CU80-DX$103+1,Frauen!$AZ$9:$BD$102,5)),RundDx)))</f>
        <v/>
      </c>
      <c r="DY80" s="25" t="str">
        <f>IF($CU80&gt;=RAM,"",IF($CU80-DY$103&lt;BeginnAlter,"",ROUND(v^($CU80+FaktorAlter)*$L80*$D80*0.5*(VLOOKUP($CU80-DY$103,Frauen!$G$9:$J$102,4)+VLOOKUP($CU80-DY$103+1,Frauen!$G$9:$J$102,4))*0.5*(VLOOKUP($CU80-DY$103,Frauen!$AZ$9:$BD$102,5)+VLOOKUP($CU80-DY$103+1,Frauen!$AZ$9:$BD$102,5)),RundDx)))</f>
        <v/>
      </c>
      <c r="DZ80" s="25" t="str">
        <f>IF($CU80&gt;=RAM,"",IF($CU80-DZ$103&lt;BeginnAlter,"",ROUND(v^($CU80+FaktorAlter)*$L80*$D80*0.5*(VLOOKUP($CU80-DZ$103,Frauen!$G$9:$J$102,4)+VLOOKUP($CU80-DZ$103+1,Frauen!$G$9:$J$102,4))*0.5*(VLOOKUP($CU80-DZ$103,Frauen!$AZ$9:$BD$102,5)+VLOOKUP($CU80-DZ$103+1,Frauen!$AZ$9:$BD$102,5)),RundDx)))</f>
        <v/>
      </c>
      <c r="EA80" s="43" t="str">
        <f>IF($CU80&gt;=RAM,"",IF($CU80-EA$103&lt;BeginnAlter,"",ROUND((SUM(CV$56:CV80)+SUM(FN$9:FN$56))/VLOOKUP($CU80,$AH$9:$AI$102,2)/VLOOKUP($CU80-EA$103,Frauen!$G$9:$J$102,4),Rundäx)))</f>
        <v/>
      </c>
      <c r="EB80" s="43" t="str">
        <f>IF($CU80&gt;=RAM,"",IF($CU80-EB$103&lt;BeginnAlter,"",ROUND((SUM(CW$56:CW80)+SUM(FO$9:FO$56))/VLOOKUP($CU80,$AH$9:$AI$102,2)/VLOOKUP($CU80-EB$103,Frauen!$G$9:$J$102,4),Rundäx)))</f>
        <v/>
      </c>
      <c r="EC80" s="43" t="str">
        <f>IF($CU80&gt;=RAM,"",IF($CU80-EC$103&lt;BeginnAlter,"",ROUND((SUM(CX$56:CX80)+SUM(FP$9:FP$56))/VLOOKUP($CU80,$AH$9:$AI$102,2)/VLOOKUP($CU80-EC$103,Frauen!$G$9:$J$102,4),Rundäx)))</f>
        <v/>
      </c>
      <c r="ED80" s="43" t="str">
        <f>IF($CU80&gt;=RAM,"",IF($CU80-ED$103&lt;BeginnAlter,"",ROUND((SUM(CY$56:CY80)+SUM(FQ$9:FQ$56))/VLOOKUP($CU80,$AH$9:$AI$102,2)/VLOOKUP($CU80-ED$103,Frauen!$G$9:$J$102,4),Rundäx)))</f>
        <v/>
      </c>
      <c r="EE80" s="43" t="str">
        <f>IF($CU80&gt;=RAM,"",IF($CU80-EE$103&lt;BeginnAlter,"",ROUND((SUM(CZ$56:CZ80)+SUM(FR$9:FR$56))/VLOOKUP($CU80,$AH$9:$AI$102,2)/VLOOKUP($CU80-EE$103,Frauen!$G$9:$J$102,4),Rundäx)))</f>
        <v/>
      </c>
      <c r="EF80" s="43" t="str">
        <f>IF($CU80&gt;=RAM,"",IF($CU80-EF$103&lt;BeginnAlter,"",ROUND((SUM(DA$56:DA80)+SUM(FS$9:FS$56))/VLOOKUP($CU80,$AH$9:$AI$102,2)/VLOOKUP($CU80-EF$103,Frauen!$G$9:$J$102,4),Rundäx)))</f>
        <v/>
      </c>
      <c r="EG80" s="43" t="str">
        <f>IF($CU80&gt;=RAM,"",IF($CU80-EG$103&lt;BeginnAlter,"",ROUND((SUM(DB$56:DB80)+SUM(FT$9:FT$56))/VLOOKUP($CU80,$AH$9:$AI$102,2)/VLOOKUP($CU80-EG$103,Frauen!$G$9:$J$102,4),Rundäx)))</f>
        <v/>
      </c>
      <c r="EH80" s="43" t="str">
        <f>IF($CU80&gt;=RAM,"",IF($CU80-EH$103&lt;BeginnAlter,"",ROUND((SUM(DC$56:DC80)+SUM(FU$9:FU$56))/VLOOKUP($CU80,$AH$9:$AI$102,2)/VLOOKUP($CU80-EH$103,Frauen!$G$9:$J$102,4),Rundäx)))</f>
        <v/>
      </c>
      <c r="EI80" s="86"/>
      <c r="EJ80" s="35">
        <f t="shared" si="133"/>
        <v>88</v>
      </c>
      <c r="EK80" s="43" t="str">
        <f>IF($CU80&gt;=RAM,"",IF($CU80-EK$103&lt;BeginnAlter,"",ROUND((SUM(DD$56:DD80)+SUM(FV$9:FV$56))/VLOOKUP($CU80,$AH$9:$AI$102,2)/VLOOKUP($CU80-EK$103,Frauen!$G$9:$J$102,4),Rundäx)))</f>
        <v/>
      </c>
      <c r="EL80" s="43" t="str">
        <f>IF($CU80&gt;=RAM,"",IF($CU80-EL$103&lt;BeginnAlter,"",ROUND((SUM(DE$56:DE80)+SUM(FW$9:FW$56))/VLOOKUP($CU80,$AH$9:$AI$102,2)/VLOOKUP($CU80-EL$103,Frauen!$G$9:$J$102,4),Rundäx)))</f>
        <v/>
      </c>
      <c r="EM80" s="43" t="str">
        <f>IF($CU80&gt;=RAM,"",IF($CU80-EM$103&lt;BeginnAlter,"",ROUND((SUM(DF$56:DF80)+SUM(FX$9:FX$56))/VLOOKUP($CU80,$AH$9:$AI$102,2)/VLOOKUP($CU80-EM$103,Frauen!$G$9:$J$102,4),Rundäx)))</f>
        <v/>
      </c>
      <c r="EN80" s="43" t="str">
        <f>IF($CU80&gt;=RAM,"",IF($CU80-EN$103&lt;BeginnAlter,"",ROUND((SUM(DG$56:DG80)+SUM(FY$9:FY$56))/VLOOKUP($CU80,$AH$9:$AI$102,2)/VLOOKUP($CU80-EN$103,Frauen!$G$9:$J$102,4),Rundäx)))</f>
        <v/>
      </c>
      <c r="EO80" s="43" t="str">
        <f>IF($CU80&gt;=RAM,"",IF($CU80-EO$103&lt;BeginnAlter,"",ROUND((SUM(DH$56:DH80)+SUM(FZ$9:FZ$56))/VLOOKUP($CU80,$AH$9:$AI$102,2)/VLOOKUP($CU80-EO$103,Frauen!$G$9:$J$102,4),Rundäx)))</f>
        <v/>
      </c>
      <c r="EP80" s="43" t="str">
        <f>IF($CU80&gt;=RAM,"",IF($CU80-EP$103&lt;BeginnAlter,"",ROUND((SUM(DI$56:DI80)+SUM(GA$9:GA$56))/VLOOKUP($CU80,$AH$9:$AI$102,2)/VLOOKUP($CU80-EP$103,Frauen!$G$9:$J$102,4),Rundäx)))</f>
        <v/>
      </c>
      <c r="EQ80" s="43" t="str">
        <f>IF($CU80&gt;=RAM,"",IF($CU80-EQ$103&lt;BeginnAlter,"",ROUND((SUM(DJ$56:DJ80)+SUM(GB$9:GB$56))/VLOOKUP($CU80,$AH$9:$AI$102,2)/VLOOKUP($CU80-EQ$103,Frauen!$G$9:$J$102,4),Rundäx)))</f>
        <v/>
      </c>
      <c r="ER80" s="43" t="str">
        <f>IF($CU80&gt;=RAM,"",IF($CU80-ER$103&lt;BeginnAlter,"",ROUND((SUM(DK$56:DK80)+SUM(GC$9:GC$56))/VLOOKUP($CU80,$AH$9:$AI$102,2)/VLOOKUP($CU80-ER$103,Frauen!$G$9:$J$102,4),Rundäx)))</f>
        <v/>
      </c>
      <c r="ES80" s="86"/>
      <c r="ET80" s="35">
        <f t="shared" si="134"/>
        <v>88</v>
      </c>
      <c r="EU80" s="43" t="str">
        <f>IF($CU80&gt;=RAM,"",IF($CU80-EU$103&lt;BeginnAlter,"",ROUND((SUM(DL$56:DL80)+SUM(GD$9:GD$56))/VLOOKUP($CU80,$AH$9:$AI$102,2)/VLOOKUP($CU80-EU$103,Frauen!$G$9:$J$102,4),Rundäx)))</f>
        <v/>
      </c>
      <c r="EV80" s="43" t="str">
        <f>IF($CU80&gt;=RAM,"",IF($CU80-EV$103&lt;BeginnAlter,"",ROUND((SUM(DM$56:DM80)+SUM(GE$9:GE$56))/VLOOKUP($CU80,$AH$9:$AI$102,2)/VLOOKUP($CU80-EV$103,Frauen!$G$9:$J$102,4),Rundäx)))</f>
        <v/>
      </c>
      <c r="EW80" s="43" t="str">
        <f>IF($CU80&gt;=RAM,"",IF($CU80-EW$103&lt;BeginnAlter,"",ROUND((SUM(DN$56:DN80)+SUM(GF$9:GF$56))/VLOOKUP($CU80,$AH$9:$AI$102,2)/VLOOKUP($CU80-EW$103,Frauen!$G$9:$J$102,4),Rundäx)))</f>
        <v/>
      </c>
      <c r="EX80" s="43" t="str">
        <f>IF($CU80&gt;=RAM,"",IF($CU80-EX$103&lt;BeginnAlter,"",ROUND((SUM(DO$56:DO80)+SUM(GG$9:GG$56))/VLOOKUP($CU80,$AH$9:$AI$102,2)/VLOOKUP($CU80-EX$103,Frauen!$G$9:$J$102,4),Rundäx)))</f>
        <v/>
      </c>
      <c r="EY80" s="43" t="str">
        <f>IF($CU80&gt;=RAM,"",IF($CU80-EY$103&lt;BeginnAlter,"",ROUND((SUM(DP$56:DP80)+SUM(GH$9:GH$56))/VLOOKUP($CU80,$AH$9:$AI$102,2)/VLOOKUP($CU80-EY$103,Frauen!$G$9:$J$102,4),Rundäx)))</f>
        <v/>
      </c>
      <c r="EZ80" s="43" t="str">
        <f>IF($CU80&gt;=RAM,"",IF($CU80-EZ$103&lt;BeginnAlter,"",ROUND((SUM(DQ$56:DQ80)+SUM(GI$9:GI$56))/VLOOKUP($CU80,$AH$9:$AI$102,2)/VLOOKUP($CU80-EZ$103,Frauen!$G$9:$J$102,4),Rundäx)))</f>
        <v/>
      </c>
      <c r="FA80" s="43" t="str">
        <f>IF($CU80&gt;=RAM,"",IF($CU80-FA$103&lt;BeginnAlter,"",ROUND((SUM(DR$56:DR80)+SUM(GJ$9:GJ$56))/VLOOKUP($CU80,$AH$9:$AI$102,2)/VLOOKUP($CU80-FA$103,Frauen!$G$9:$J$102,4),Rundäx)))</f>
        <v/>
      </c>
      <c r="FB80" s="43" t="str">
        <f>IF($CU80&gt;=RAM,"",IF($CU80-FB$103&lt;BeginnAlter,"",ROUND((SUM(DS$56:DS80)+SUM(GK$9:GK$56))/VLOOKUP($CU80,$AH$9:$AI$102,2)/VLOOKUP($CU80-FB$103,Frauen!$G$9:$J$102,4),Rundäx)))</f>
        <v/>
      </c>
      <c r="FC80" s="86"/>
      <c r="FD80" s="35">
        <f t="shared" si="135"/>
        <v>88</v>
      </c>
      <c r="FE80" s="43" t="str">
        <f>IF($CU80&gt;=RAM,"",IF($CU80-FE$103&lt;BeginnAlter,"",ROUND((SUM(DT$56:DT80)+SUM(GL$9:GL$56))/VLOOKUP($CU80,$AH$9:$AI$102,2)/VLOOKUP($CU80-FE$103,Frauen!$G$9:$J$102,4),Rundäx)))</f>
        <v/>
      </c>
      <c r="FF80" s="43" t="str">
        <f>IF($CU80&gt;=RAM,"",IF($CU80-FF$103&lt;BeginnAlter,"",ROUND((SUM(DU$56:DU80)+SUM(GM$9:GM$56))/VLOOKUP($CU80,$AH$9:$AI$102,2)/VLOOKUP($CU80-FF$103,Frauen!$G$9:$J$102,4),Rundäx)))</f>
        <v/>
      </c>
      <c r="FG80" s="43" t="str">
        <f>IF($CU80&gt;=RAM,"",IF($CU80-FG$103&lt;BeginnAlter,"",ROUND((SUM(DV$56:DV80)+SUM(GN$9:GN$56))/VLOOKUP($CU80,$AH$9:$AI$102,2)/VLOOKUP($CU80-FG$103,Frauen!$G$9:$J$102,4),Rundäx)))</f>
        <v/>
      </c>
      <c r="FH80" s="43" t="str">
        <f>IF($CU80&gt;=RAM,"",IF($CU80-FH$103&lt;BeginnAlter,"",ROUND((SUM(DW$56:DW80)+SUM(GO$9:GO$56))/VLOOKUP($CU80,$AH$9:$AI$102,2)/VLOOKUP($CU80-FH$103,Frauen!$G$9:$J$102,4),Rundäx)))</f>
        <v/>
      </c>
      <c r="FI80" s="43" t="str">
        <f>IF($CU80&gt;=RAM,"",IF($CU80-FI$103&lt;BeginnAlter,"",ROUND((SUM(DX$56:DX80)+SUM(GP$9:GP$56))/VLOOKUP($CU80,$AH$9:$AI$102,2)/VLOOKUP($CU80-FI$103,Frauen!$G$9:$J$102,4),Rundäx)))</f>
        <v/>
      </c>
      <c r="FJ80" s="43" t="str">
        <f>IF($CU80&gt;=RAM,"",IF($CU80-FJ$103&lt;BeginnAlter,"",ROUND((SUM(DY$56:DY80)+SUM(GQ$9:GQ$56))/VLOOKUP($CU80,$AH$9:$AI$102,2)/VLOOKUP($CU80-FJ$103,Frauen!$G$9:$J$102,4),Rundäx)))</f>
        <v/>
      </c>
      <c r="FK80" s="43" t="str">
        <f>IF($CU80&gt;=RAM,"",IF($CU80-FK$103&lt;BeginnAlter,"",ROUND((SUM(DZ$56:DZ80)+SUM(GR$9:GR$56))/VLOOKUP($CU80,$AH$9:$AI$102,2)/VLOOKUP($CU80-FK$103,Frauen!$G$9:$J$102,4),Rundäx)))</f>
        <v/>
      </c>
      <c r="FL80" s="86"/>
      <c r="FM80" s="35">
        <f t="shared" si="136"/>
        <v>136</v>
      </c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4"/>
      <c r="GT80" s="24"/>
      <c r="GU80" s="24" t="str">
        <f>IF(FM80&gt;=RAM," ",#REF!/$AI80/Frauen!$J68)</f>
        <v xml:space="preserve"> </v>
      </c>
      <c r="GV80" s="24" t="str">
        <f>IF(FM80&gt;=RAM," ",#REF!/$AI80/Frauen!$J71)</f>
        <v xml:space="preserve"> </v>
      </c>
      <c r="GW80" s="24" t="str">
        <f>IF(FM80&gt;=RAM," ",#REF!/$AI80/Frauen!$J74)</f>
        <v xml:space="preserve"> </v>
      </c>
      <c r="GX80" s="24" t="str">
        <f>IF(FM80&gt;=RAM," ",#REF!/$AI80/Frauen!$J77)</f>
        <v xml:space="preserve"> </v>
      </c>
      <c r="GY80" s="24" t="str">
        <f>IF(FM80&gt;=RAM," ",#REF!/$AI80/Frauen!$J80)</f>
        <v xml:space="preserve"> </v>
      </c>
      <c r="GZ80" s="24" t="str">
        <f>IF(FM80&gt;=RAM," ",#REF!/$AI80/Frauen!$J83)</f>
        <v xml:space="preserve"> </v>
      </c>
      <c r="HA80" s="86"/>
      <c r="HB80" s="35">
        <f t="shared" si="137"/>
        <v>136</v>
      </c>
      <c r="HC80" s="24"/>
      <c r="HD80" s="24"/>
      <c r="HE80" s="24"/>
      <c r="HF80" s="24"/>
      <c r="HG80" s="24"/>
      <c r="HH80" s="24"/>
      <c r="HI80" s="24"/>
      <c r="HJ80" s="24"/>
      <c r="HK80" s="86"/>
      <c r="HL80" s="35">
        <f t="shared" si="138"/>
        <v>136</v>
      </c>
      <c r="HM80" s="24"/>
      <c r="HN80" s="24"/>
      <c r="HO80" s="24"/>
      <c r="HP80" s="24"/>
      <c r="HQ80" s="24"/>
      <c r="HR80" s="24"/>
      <c r="HS80" s="24"/>
      <c r="HT80" s="24"/>
      <c r="HU80" s="86"/>
      <c r="HV80" s="35">
        <f t="shared" si="139"/>
        <v>136</v>
      </c>
      <c r="HW80" s="24"/>
      <c r="HX80" s="24"/>
      <c r="HY80" s="24"/>
      <c r="HZ80" s="24"/>
      <c r="IA80" s="24"/>
      <c r="IB80" s="24"/>
      <c r="IC80" s="24"/>
      <c r="ID80" s="89"/>
      <c r="IE80" s="35">
        <f t="shared" si="140"/>
        <v>88</v>
      </c>
      <c r="IF80" s="25" t="str">
        <f t="shared" si="112"/>
        <v/>
      </c>
      <c r="IG80" s="25" t="str">
        <f>IF($IE80&lt;RAM,IF(S81&lt;=RAK,ROUND(SUM(IF80:INDEX(Dakx,RAM-BeginnAlter))+INDEX(Dax,RAM-BeginnAlter+1)*INDEX(äkx,1),RundDx),0),"")</f>
        <v/>
      </c>
      <c r="IH80" s="25" t="str">
        <f>IF($IE80&lt;RAM,IF(S81&lt;=RAK,ROUND(SUM(IG80:INDEX(Nakx,RAM-BeginnAlter))+INDEX(Dax,RAM-BeginnAlter+1)*INDEX(äkx,1),RundDx),0),"")</f>
        <v/>
      </c>
      <c r="II80" s="24" t="str">
        <f t="shared" si="113"/>
        <v/>
      </c>
      <c r="IJ80" s="25" t="str">
        <f t="shared" si="114"/>
        <v/>
      </c>
      <c r="IK80" s="25" t="str">
        <f>IF($IE80&lt;RAM,IF(S81&lt;=RAK,SUM(IJ80:INDEX(Dikx,RAM-BeginnAlter))+INDEX(Dix,RAM-BeginnAlter+1)*INDEX(äkx,1),0),"")</f>
        <v/>
      </c>
      <c r="IL80" s="24" t="str">
        <f t="shared" si="115"/>
        <v/>
      </c>
      <c r="IM80" s="86"/>
      <c r="IN80" s="35">
        <f t="shared" si="141"/>
        <v>136</v>
      </c>
      <c r="IO80" s="25"/>
      <c r="IP80" s="25"/>
      <c r="IQ80" s="24"/>
      <c r="IR80" s="86"/>
    </row>
    <row r="81" spans="1:252" ht="15.75" customHeight="1" x14ac:dyDescent="0.25">
      <c r="A81" s="35">
        <f t="shared" si="120"/>
        <v>89</v>
      </c>
      <c r="B81" s="77"/>
      <c r="C81" s="77"/>
      <c r="D81" s="77"/>
      <c r="E81" s="77">
        <v>0.16301798654297178</v>
      </c>
      <c r="F81" s="86"/>
      <c r="G81" s="35">
        <f t="shared" si="121"/>
        <v>89</v>
      </c>
      <c r="H81" s="25" t="str">
        <f t="shared" si="116"/>
        <v/>
      </c>
      <c r="I81" s="25" t="str">
        <f t="shared" si="117"/>
        <v/>
      </c>
      <c r="J81" s="25">
        <f t="shared" si="118"/>
        <v>21806</v>
      </c>
      <c r="K81" s="30">
        <f>IF(J81&gt;0,ROUND(SUM(J81:J$102)/J81-0.5,Rundex),"")</f>
        <v>3.83</v>
      </c>
      <c r="L81" s="25">
        <f t="shared" si="82"/>
        <v>21806</v>
      </c>
      <c r="M81" s="30">
        <f>IF(L81&gt;0,ROUND(SUM(L81:L$102)/L81-0.5,Rundex),"")</f>
        <v>3.83</v>
      </c>
      <c r="N81" s="86"/>
      <c r="O81" s="35">
        <f t="shared" si="122"/>
        <v>89</v>
      </c>
      <c r="P81" s="43">
        <v>0.54200003622970083</v>
      </c>
      <c r="Q81" s="78">
        <v>82.799629634854597</v>
      </c>
      <c r="R81" s="43"/>
      <c r="S81" s="78"/>
      <c r="T81" s="15">
        <v>0.16301798654297178</v>
      </c>
      <c r="U81" s="11">
        <f t="shared" si="119"/>
        <v>16536</v>
      </c>
      <c r="V81" s="30">
        <f>IF(U81&gt;0,ROUND(SUM(U81:U$102)/U81-0.5,Rundex),"")</f>
        <v>3.83</v>
      </c>
      <c r="W81" s="86"/>
      <c r="X81" s="35">
        <f t="shared" si="123"/>
        <v>89</v>
      </c>
      <c r="Y81" s="25" t="str">
        <f t="shared" si="83"/>
        <v xml:space="preserve"> </v>
      </c>
      <c r="Z81" s="25" t="str">
        <f>IF($X81&lt;RAM,SUM(Y81:INDEX(Dax,RAM-BeginnAlter))," ")</f>
        <v xml:space="preserve"> </v>
      </c>
      <c r="AA81" s="25" t="str">
        <f t="shared" si="84"/>
        <v xml:space="preserve"> </v>
      </c>
      <c r="AB81" s="25" t="str">
        <f>IF($X81&lt;RAM,SUM(AA81:INDEX(Cax,RAM-BeginnAlter))," ")</f>
        <v xml:space="preserve"> </v>
      </c>
      <c r="AC81" s="25" t="str">
        <f t="shared" si="85"/>
        <v xml:space="preserve"> </v>
      </c>
      <c r="AD81" s="25" t="str">
        <f>IF($X81&lt;RAM,SUM(AC81:INDEX(Caix,RAM-BeginnAlter))," ")</f>
        <v xml:space="preserve"> </v>
      </c>
      <c r="AE81" s="24" t="str">
        <f t="shared" si="86"/>
        <v xml:space="preserve"> </v>
      </c>
      <c r="AF81" s="24" t="str">
        <f t="shared" si="87"/>
        <v xml:space="preserve"> </v>
      </c>
      <c r="AG81" s="86"/>
      <c r="AH81" s="35">
        <f t="shared" si="124"/>
        <v>89</v>
      </c>
      <c r="AI81" s="25" t="str">
        <f t="shared" si="88"/>
        <v xml:space="preserve"> </v>
      </c>
      <c r="AJ81" s="25" t="str">
        <f>IF($AH81&gt;RAM," ",IF($AH81&lt;RAM,SUM(AI81:INDEX(Dix,RAM-BeginnAlter))+INDEX(Nx,RAM-BeginnAlter+1),INDEX(Nx,RAM-BeginnAlter+1)))</f>
        <v xml:space="preserve"> </v>
      </c>
      <c r="AK81" s="25" t="str">
        <f>IF($AH81&lt;RAM,SUM(AI81:INDEX(Dix,RAM-BeginnAlter))," ")</f>
        <v xml:space="preserve"> </v>
      </c>
      <c r="AL81" s="24" t="str">
        <f t="shared" si="89"/>
        <v xml:space="preserve"> </v>
      </c>
      <c r="AM81" s="24" t="str">
        <f t="shared" si="90"/>
        <v xml:space="preserve"> </v>
      </c>
      <c r="AN81" s="24" t="str">
        <f t="shared" si="91"/>
        <v xml:space="preserve"> </v>
      </c>
      <c r="AO81" s="24" t="str">
        <f t="shared" si="92"/>
        <v xml:space="preserve"> </v>
      </c>
      <c r="AP81" s="86"/>
      <c r="AQ81" s="35">
        <f t="shared" si="125"/>
        <v>89</v>
      </c>
      <c r="AR81" s="25">
        <f t="shared" si="93"/>
        <v>3010</v>
      </c>
      <c r="AS81" s="25">
        <f>SUM(AR81:AR$94)</f>
        <v>12322</v>
      </c>
      <c r="AT81" s="25" t="str">
        <f>IF($AQ81&lt;RAM,SUM(AR81:INDEX(Dx,RAM-BeginnAlter))," ")</f>
        <v xml:space="preserve"> </v>
      </c>
      <c r="AU81" s="24">
        <f t="shared" si="94"/>
        <v>4.0940000000000003</v>
      </c>
      <c r="AV81" s="24">
        <f t="shared" si="95"/>
        <v>3.6349999999999998</v>
      </c>
      <c r="AW81" s="24" t="str">
        <f t="shared" si="96"/>
        <v xml:space="preserve"> </v>
      </c>
      <c r="AX81" s="24" t="str">
        <f t="shared" si="97"/>
        <v xml:space="preserve"> </v>
      </c>
      <c r="AY81" s="86"/>
      <c r="AZ81" s="35">
        <f t="shared" si="126"/>
        <v>89</v>
      </c>
      <c r="BA81" s="25">
        <f t="shared" si="98"/>
        <v>2282</v>
      </c>
      <c r="BB81" s="25">
        <f>SUM(BA81:BA$94)</f>
        <v>9342</v>
      </c>
      <c r="BC81" s="24">
        <f t="shared" si="99"/>
        <v>4.0940000000000003</v>
      </c>
      <c r="BD81" s="24">
        <f t="shared" si="100"/>
        <v>3.6349999999999998</v>
      </c>
      <c r="BE81" s="86"/>
      <c r="BF81" s="35">
        <f t="shared" si="127"/>
        <v>72</v>
      </c>
      <c r="BG81" s="24" t="str">
        <f t="shared" si="101"/>
        <v/>
      </c>
      <c r="BH81" s="24" t="str">
        <f t="shared" si="102"/>
        <v/>
      </c>
      <c r="BI81" s="86"/>
      <c r="BJ81" s="35">
        <f t="shared" si="128"/>
        <v>89</v>
      </c>
      <c r="BK81" s="25" t="str">
        <f t="shared" si="103"/>
        <v xml:space="preserve"> </v>
      </c>
      <c r="BL81" s="25" t="str">
        <f>IF(BJ81&lt;RAM,SUM(BK81:INDEX(Daix,RAM-BeginnAlter))," ")</f>
        <v xml:space="preserve"> </v>
      </c>
      <c r="BM81" s="25" t="str">
        <f>IF(BJ81&lt;RAM,SUM(BL81:INDEX(Naix,RAM-BeginnAlter))," ")</f>
        <v xml:space="preserve"> </v>
      </c>
      <c r="BN81" s="24" t="str">
        <f t="shared" si="104"/>
        <v xml:space="preserve"> </v>
      </c>
      <c r="BO81" s="24" t="str">
        <f t="shared" si="105"/>
        <v xml:space="preserve"> </v>
      </c>
      <c r="BP81" s="86"/>
      <c r="BQ81" s="35">
        <f t="shared" si="129"/>
        <v>89</v>
      </c>
      <c r="BR81" s="25" t="str">
        <f t="shared" si="142"/>
        <v xml:space="preserve"> </v>
      </c>
      <c r="BS81" s="25" t="str">
        <f>IF(BQ81&lt;RAM,SUM(BR81:INDEX(Daixs,RAM-BeginnAlter))," ")</f>
        <v xml:space="preserve"> </v>
      </c>
      <c r="BT81" s="25" t="str">
        <f>IF(BQ81&lt;RAM,SUM(BS81:INDEX(Naixs,RAM-BeginnAlter))," ")</f>
        <v xml:space="preserve"> </v>
      </c>
      <c r="BU81" s="24" t="str">
        <f t="shared" si="143"/>
        <v xml:space="preserve"> </v>
      </c>
      <c r="BV81" s="24" t="str">
        <f t="shared" si="144"/>
        <v xml:space="preserve"> </v>
      </c>
      <c r="BW81" s="86"/>
      <c r="BX81" s="35">
        <f t="shared" si="130"/>
        <v>89</v>
      </c>
      <c r="BY81" s="10" t="str">
        <f t="shared" si="106"/>
        <v/>
      </c>
      <c r="BZ81" s="11" t="str">
        <f t="shared" si="107"/>
        <v/>
      </c>
      <c r="CA81" s="25" t="str">
        <f>IF(S82&lt;=RAK,IF($BX81&lt;RAM,SUM(BZ81:INDEX(Dazx,RAM-BeginnAlter)),""),"")</f>
        <v/>
      </c>
      <c r="CB81" s="24" t="str">
        <f t="shared" si="108"/>
        <v/>
      </c>
      <c r="CC81" s="25">
        <f t="shared" si="109"/>
        <v>0</v>
      </c>
      <c r="CD81" s="24">
        <f t="shared" si="110"/>
        <v>0</v>
      </c>
      <c r="CE81" s="24" t="str">
        <f t="shared" si="111"/>
        <v/>
      </c>
      <c r="CF81" s="86"/>
      <c r="CG81" s="35">
        <f t="shared" si="131"/>
        <v>89</v>
      </c>
      <c r="CH81" s="25" t="str">
        <f>IF(CG81&lt;RAM,ROUND(v^($CG81+FaktorAlter)*$H81*($B81*0.5*($P81+$P82)*(VLOOKUP(TRUNC(0.5*($Q81+$Q82),0),Frauen!$AZ$9:$BD$95,5)+(0.5*($Q81+$Q82)-TRUNC(0.5*($Q81+$Q82),0))*(VLOOKUP(TRUNC(0.5*($Q81+$Q82)+1,0),Frauen!$AZ$9:$BD$95,5)-VLOOKUP(TRUNC(0.5*($Q81+$Q82),0),Frauen!$AZ$9:$BD$95,5)))+$C81*0.5*($CN81+$CN82)),RundDx),"")</f>
        <v/>
      </c>
      <c r="CI81" s="25" t="str">
        <f>IF(CG81&lt;RAM,ROUND(SUM(CH81:INDEX(Dawx,RAM-BeginnAlter))+INDEX(Dax,RAM-BeginnAlter+1)*INDEX(äwx,1),RundDx),"")</f>
        <v/>
      </c>
      <c r="CJ81" s="25" t="str">
        <f>IF(CG81&lt;RAM,ROUND(SUM(CI81:INDEX(Nawx,RAM-BeginnAlter))+INDEX(Dax,RAM-BeginnAlter+1)*INDEX(äwx,1),RundDx),"")</f>
        <v/>
      </c>
      <c r="CK81" s="24" t="str">
        <f t="shared" si="145"/>
        <v/>
      </c>
      <c r="CL81" s="25" t="str">
        <f>IF(CG81&lt;RAM,ROUND(v^($CG81+FaktorAlter)*$L81*$D81*0.5*($P81+$P82)*(VLOOKUP(TRUNC(0.5*($Q81+$Q82),0),Frauen!$AZ$9:$BD$95,5)+(0.5*($Q81+$Q82)-TRUNC(0.5*($Q81+$Q82),0))*(VLOOKUP(TRUNC(0.5*($Q81+$Q82)+1,0),Frauen!$AZ$9:$BD$95,5)-VLOOKUP(TRUNC(0.5*($Q81+$Q82),0),Frauen!$AZ$9:$BD$95,5))),RundDx),"")</f>
        <v/>
      </c>
      <c r="CM81" s="25" t="str">
        <f>IF(CG81&lt;RAM,SUM(CL81:INDEX(Diwx,RAM-BeginnAlter))+INDEX(Dix,RAM-BeginnAlter+1)*INDEX(äwx,1),"")</f>
        <v/>
      </c>
      <c r="CN81" s="24" t="str">
        <f t="shared" si="146"/>
        <v/>
      </c>
      <c r="CO81" s="86"/>
      <c r="CP81" s="35">
        <f t="shared" si="147"/>
        <v>137</v>
      </c>
      <c r="CQ81" s="25"/>
      <c r="CR81" s="25"/>
      <c r="CS81" s="24"/>
      <c r="CT81" s="86"/>
      <c r="CU81" s="35">
        <f t="shared" si="132"/>
        <v>89</v>
      </c>
      <c r="CV81" s="25" t="str">
        <f>IF($CU81&gt;=RAM,"",IF($CU81-CV$103&lt;BeginnAlter,"",ROUND(v^($CU81+FaktorAlter)*$L81*$D81*0.5*(VLOOKUP($CU81-CV$103,Frauen!$G$9:$J$102,4)+VLOOKUP($CU81-CV$103+1,Frauen!$G$9:$J$102,4))*0.5*(VLOOKUP($CU81-CV$103,Frauen!$AZ$9:$BD$102,5)+VLOOKUP($CU81-CV$103+1,Frauen!$AZ$9:$BD$102,5)),RundDx)))</f>
        <v/>
      </c>
      <c r="CW81" s="25" t="str">
        <f>IF($CU81&gt;=RAM,"",IF($CU81-CW$103&lt;BeginnAlter,"",ROUND(v^($CU81+FaktorAlter)*$L81*$D81*0.5*(VLOOKUP($CU81-CW$103,Frauen!$G$9:$J$102,4)+VLOOKUP($CU81-CW$103+1,Frauen!$G$9:$J$102,4))*0.5*(VLOOKUP($CU81-CW$103,Frauen!$AZ$9:$BD$102,5)+VLOOKUP($CU81-CW$103+1,Frauen!$AZ$9:$BD$102,5)),RundDx)))</f>
        <v/>
      </c>
      <c r="CX81" s="25" t="str">
        <f>IF($CU81&gt;=RAM,"",IF($CU81-CX$103&lt;BeginnAlter,"",ROUND(v^($CU81+FaktorAlter)*$L81*$D81*0.5*(VLOOKUP($CU81-CX$103,Frauen!$G$9:$J$102,4)+VLOOKUP($CU81-CX$103+1,Frauen!$G$9:$J$102,4))*0.5*(VLOOKUP($CU81-CX$103,Frauen!$AZ$9:$BD$102,5)+VLOOKUP($CU81-CX$103+1,Frauen!$AZ$9:$BD$102,5)),RundDx)))</f>
        <v/>
      </c>
      <c r="CY81" s="25" t="str">
        <f>IF($CU81&gt;=RAM,"",IF($CU81-CY$103&lt;BeginnAlter,"",ROUND(v^($CU81+FaktorAlter)*$L81*$D81*0.5*(VLOOKUP($CU81-CY$103,Frauen!$G$9:$J$102,4)+VLOOKUP($CU81-CY$103+1,Frauen!$G$9:$J$102,4))*0.5*(VLOOKUP($CU81-CY$103,Frauen!$AZ$9:$BD$102,5)+VLOOKUP($CU81-CY$103+1,Frauen!$AZ$9:$BD$102,5)),RundDx)))</f>
        <v/>
      </c>
      <c r="CZ81" s="25" t="str">
        <f>IF($CU81&gt;=RAM,"",IF($CU81-CZ$103&lt;BeginnAlter,"",ROUND(v^($CU81+FaktorAlter)*$L81*$D81*0.5*(VLOOKUP($CU81-CZ$103,Frauen!$G$9:$J$102,4)+VLOOKUP($CU81-CZ$103+1,Frauen!$G$9:$J$102,4))*0.5*(VLOOKUP($CU81-CZ$103,Frauen!$AZ$9:$BD$102,5)+VLOOKUP($CU81-CZ$103+1,Frauen!$AZ$9:$BD$102,5)),RundDx)))</f>
        <v/>
      </c>
      <c r="DA81" s="25" t="str">
        <f>IF($CU81&gt;=RAM,"",IF($CU81-DA$103&lt;BeginnAlter,"",ROUND(v^($CU81+FaktorAlter)*$L81*$D81*0.5*(VLOOKUP($CU81-DA$103,Frauen!$G$9:$J$102,4)+VLOOKUP($CU81-DA$103+1,Frauen!$G$9:$J$102,4))*0.5*(VLOOKUP($CU81-DA$103,Frauen!$AZ$9:$BD$102,5)+VLOOKUP($CU81-DA$103+1,Frauen!$AZ$9:$BD$102,5)),RundDx)))</f>
        <v/>
      </c>
      <c r="DB81" s="25" t="str">
        <f>IF($CU81&gt;=RAM,"",IF($CU81-DB$103&lt;BeginnAlter,"",ROUND(v^($CU81+FaktorAlter)*$L81*$D81*0.5*(VLOOKUP($CU81-DB$103,Frauen!$G$9:$J$102,4)+VLOOKUP($CU81-DB$103+1,Frauen!$G$9:$J$102,4))*0.5*(VLOOKUP($CU81-DB$103,Frauen!$AZ$9:$BD$102,5)+VLOOKUP($CU81-DB$103+1,Frauen!$AZ$9:$BD$102,5)),RundDx)))</f>
        <v/>
      </c>
      <c r="DC81" s="25" t="str">
        <f>IF($CU81&gt;=RAM,"",IF($CU81-DC$103&lt;BeginnAlter,"",ROUND(v^($CU81+FaktorAlter)*$L81*$D81*0.5*(VLOOKUP($CU81-DC$103,Frauen!$G$9:$J$102,4)+VLOOKUP($CU81-DC$103+1,Frauen!$G$9:$J$102,4))*0.5*(VLOOKUP($CU81-DC$103,Frauen!$AZ$9:$BD$102,5)+VLOOKUP($CU81-DC$103+1,Frauen!$AZ$9:$BD$102,5)),RundDx)))</f>
        <v/>
      </c>
      <c r="DD81" s="25" t="str">
        <f>IF($CU81&gt;=RAM,"",IF($CU81-DD$103&lt;BeginnAlter,"",ROUND(v^($CU81+FaktorAlter)*$L81*$D81*0.5*(VLOOKUP($CU81-DD$103,Frauen!$G$9:$J$102,4)+VLOOKUP($CU81-DD$103+1,Frauen!$G$9:$J$102,4))*0.5*(VLOOKUP($CU81-DD$103,Frauen!$AZ$9:$BD$102,5)+VLOOKUP($CU81-DD$103+1,Frauen!$AZ$9:$BD$102,5)),RundDx)))</f>
        <v/>
      </c>
      <c r="DE81" s="25" t="str">
        <f>IF($CU81&gt;=RAM,"",IF($CU81-DE$103&lt;BeginnAlter,"",ROUND(v^($CU81+FaktorAlter)*$L81*$D81*0.5*(VLOOKUP($CU81-DE$103,Frauen!$G$9:$J$102,4)+VLOOKUP($CU81-DE$103+1,Frauen!$G$9:$J$102,4))*0.5*(VLOOKUP($CU81-DE$103,Frauen!$AZ$9:$BD$102,5)+VLOOKUP($CU81-DE$103+1,Frauen!$AZ$9:$BD$102,5)),RundDx)))</f>
        <v/>
      </c>
      <c r="DF81" s="25" t="str">
        <f>IF($CU81&gt;=RAM,"",IF($CU81-DF$103&lt;BeginnAlter,"",ROUND(v^($CU81+FaktorAlter)*$L81*$D81*0.5*(VLOOKUP($CU81-DF$103,Frauen!$G$9:$J$102,4)+VLOOKUP($CU81-DF$103+1,Frauen!$G$9:$J$102,4))*0.5*(VLOOKUP($CU81-DF$103,Frauen!$AZ$9:$BD$102,5)+VLOOKUP($CU81-DF$103+1,Frauen!$AZ$9:$BD$102,5)),RundDx)))</f>
        <v/>
      </c>
      <c r="DG81" s="25" t="str">
        <f>IF($CU81&gt;=RAM,"",IF($CU81-DG$103&lt;BeginnAlter,"",ROUND(v^($CU81+FaktorAlter)*$L81*$D81*0.5*(VLOOKUP($CU81-DG$103,Frauen!$G$9:$J$102,4)+VLOOKUP($CU81-DG$103+1,Frauen!$G$9:$J$102,4))*0.5*(VLOOKUP($CU81-DG$103,Frauen!$AZ$9:$BD$102,5)+VLOOKUP($CU81-DG$103+1,Frauen!$AZ$9:$BD$102,5)),RundDx)))</f>
        <v/>
      </c>
      <c r="DH81" s="25" t="str">
        <f>IF($CU81&gt;=RAM,"",IF($CU81-DH$103&lt;BeginnAlter,"",ROUND(v^($CU81+FaktorAlter)*$L81*$D81*0.5*(VLOOKUP($CU81-DH$103,Frauen!$G$9:$J$102,4)+VLOOKUP($CU81-DH$103+1,Frauen!$G$9:$J$102,4))*0.5*(VLOOKUP($CU81-DH$103,Frauen!$AZ$9:$BD$102,5)+VLOOKUP($CU81-DH$103+1,Frauen!$AZ$9:$BD$102,5)),RundDx)))</f>
        <v/>
      </c>
      <c r="DI81" s="25" t="str">
        <f>IF($CU81&gt;=RAM,"",IF($CU81-DI$103&lt;BeginnAlter,"",ROUND(v^($CU81+FaktorAlter)*$L81*$D81*0.5*(VLOOKUP($CU81-DI$103,Frauen!$G$9:$J$102,4)+VLOOKUP($CU81-DI$103+1,Frauen!$G$9:$J$102,4))*0.5*(VLOOKUP($CU81-DI$103,Frauen!$AZ$9:$BD$102,5)+VLOOKUP($CU81-DI$103+1,Frauen!$AZ$9:$BD$102,5)),RundDx)))</f>
        <v/>
      </c>
      <c r="DJ81" s="25" t="str">
        <f>IF($CU81&gt;=RAM,"",IF($CU81-DJ$103&lt;BeginnAlter,"",ROUND(v^($CU81+FaktorAlter)*$L81*$D81*0.5*(VLOOKUP($CU81-DJ$103,Frauen!$G$9:$J$102,4)+VLOOKUP($CU81-DJ$103+1,Frauen!$G$9:$J$102,4))*0.5*(VLOOKUP($CU81-DJ$103,Frauen!$AZ$9:$BD$102,5)+VLOOKUP($CU81-DJ$103+1,Frauen!$AZ$9:$BD$102,5)),RundDx)))</f>
        <v/>
      </c>
      <c r="DK81" s="25" t="str">
        <f>IF($CU81&gt;=RAM,"",IF($CU81-DK$103&lt;BeginnAlter,"",ROUND(v^($CU81+FaktorAlter)*$L81*$D81*0.5*(VLOOKUP($CU81-DK$103,Frauen!$G$9:$J$102,4)+VLOOKUP($CU81-DK$103+1,Frauen!$G$9:$J$102,4))*0.5*(VLOOKUP($CU81-DK$103,Frauen!$AZ$9:$BD$102,5)+VLOOKUP($CU81-DK$103+1,Frauen!$AZ$9:$BD$102,5)),RundDx)))</f>
        <v/>
      </c>
      <c r="DL81" s="25" t="str">
        <f>IF($CU81&gt;=RAM,"",IF($CU81-DL$103&lt;BeginnAlter,"",ROUND(v^($CU81+FaktorAlter)*$L81*$D81*0.5*(VLOOKUP($CU81-DL$103,Frauen!$G$9:$J$102,4)+VLOOKUP($CU81-DL$103+1,Frauen!$G$9:$J$102,4))*0.5*(VLOOKUP($CU81-DL$103,Frauen!$AZ$9:$BD$102,5)+VLOOKUP($CU81-DL$103+1,Frauen!$AZ$9:$BD$102,5)),RundDx)))</f>
        <v/>
      </c>
      <c r="DM81" s="25" t="str">
        <f>IF($CU81&gt;=RAM,"",IF($CU81-DM$103&lt;BeginnAlter,"",ROUND(v^($CU81+FaktorAlter)*$L81*$D81*0.5*(VLOOKUP($CU81-DM$103,Frauen!$G$9:$J$102,4)+VLOOKUP($CU81-DM$103+1,Frauen!$G$9:$J$102,4))*0.5*(VLOOKUP($CU81-DM$103,Frauen!$AZ$9:$BD$102,5)+VLOOKUP($CU81-DM$103+1,Frauen!$AZ$9:$BD$102,5)),RundDx)))</f>
        <v/>
      </c>
      <c r="DN81" s="25" t="str">
        <f>IF($CU81&gt;=RAM,"",IF($CU81-DN$103&lt;BeginnAlter,"",ROUND(v^($CU81+FaktorAlter)*$L81*$D81*0.5*(VLOOKUP($CU81-DN$103,Frauen!$G$9:$J$102,4)+VLOOKUP($CU81-DN$103+1,Frauen!$G$9:$J$102,4))*0.5*(VLOOKUP($CU81-DN$103,Frauen!$AZ$9:$BD$102,5)+VLOOKUP($CU81-DN$103+1,Frauen!$AZ$9:$BD$102,5)),RundDx)))</f>
        <v/>
      </c>
      <c r="DO81" s="25" t="str">
        <f>IF($CU81&gt;=RAM,"",IF($CU81-DO$103&lt;BeginnAlter,"",ROUND(v^($CU81+FaktorAlter)*$L81*$D81*0.5*(VLOOKUP($CU81-DO$103,Frauen!$G$9:$J$102,4)+VLOOKUP($CU81-DO$103+1,Frauen!$G$9:$J$102,4))*0.5*(VLOOKUP($CU81-DO$103,Frauen!$AZ$9:$BD$102,5)+VLOOKUP($CU81-DO$103+1,Frauen!$AZ$9:$BD$102,5)),RundDx)))</f>
        <v/>
      </c>
      <c r="DP81" s="25" t="str">
        <f>IF($CU81&gt;=RAM,"",IF($CU81-DP$103&lt;BeginnAlter,"",ROUND(v^($CU81+FaktorAlter)*$L81*$D81*0.5*(VLOOKUP($CU81-DP$103,Frauen!$G$9:$J$102,4)+VLOOKUP($CU81-DP$103+1,Frauen!$G$9:$J$102,4))*0.5*(VLOOKUP($CU81-DP$103,Frauen!$AZ$9:$BD$102,5)+VLOOKUP($CU81-DP$103+1,Frauen!$AZ$9:$BD$102,5)),RundDx)))</f>
        <v/>
      </c>
      <c r="DQ81" s="25" t="str">
        <f>IF($CU81&gt;=RAM,"",IF($CU81-DQ$103&lt;BeginnAlter,"",ROUND(v^($CU81+FaktorAlter)*$L81*$D81*0.5*(VLOOKUP($CU81-DQ$103,Frauen!$G$9:$J$102,4)+VLOOKUP($CU81-DQ$103+1,Frauen!$G$9:$J$102,4))*0.5*(VLOOKUP($CU81-DQ$103,Frauen!$AZ$9:$BD$102,5)+VLOOKUP($CU81-DQ$103+1,Frauen!$AZ$9:$BD$102,5)),RundDx)))</f>
        <v/>
      </c>
      <c r="DR81" s="25" t="str">
        <f>IF($CU81&gt;=RAM,"",IF($CU81-DR$103&lt;BeginnAlter,"",ROUND(v^($CU81+FaktorAlter)*$L81*$D81*0.5*(VLOOKUP($CU81-DR$103,Frauen!$G$9:$J$102,4)+VLOOKUP($CU81-DR$103+1,Frauen!$G$9:$J$102,4))*0.5*(VLOOKUP($CU81-DR$103,Frauen!$AZ$9:$BD$102,5)+VLOOKUP($CU81-DR$103+1,Frauen!$AZ$9:$BD$102,5)),RundDx)))</f>
        <v/>
      </c>
      <c r="DS81" s="25" t="str">
        <f>IF($CU81&gt;=RAM,"",IF($CU81-DS$103&lt;BeginnAlter,"",ROUND(v^($CU81+FaktorAlter)*$L81*$D81*0.5*(VLOOKUP($CU81-DS$103,Frauen!$G$9:$J$102,4)+VLOOKUP($CU81-DS$103+1,Frauen!$G$9:$J$102,4))*0.5*(VLOOKUP($CU81-DS$103,Frauen!$AZ$9:$BD$102,5)+VLOOKUP($CU81-DS$103+1,Frauen!$AZ$9:$BD$102,5)),RundDx)))</f>
        <v/>
      </c>
      <c r="DT81" s="25" t="str">
        <f>IF($CU81&gt;=RAM,"",IF($CU81-DT$103&lt;BeginnAlter,"",ROUND(v^($CU81+FaktorAlter)*$L81*$D81*0.5*(VLOOKUP($CU81-DT$103,Frauen!$G$9:$J$102,4)+VLOOKUP($CU81-DT$103+1,Frauen!$G$9:$J$102,4))*0.5*(VLOOKUP($CU81-DT$103,Frauen!$AZ$9:$BD$102,5)+VLOOKUP($CU81-DT$103+1,Frauen!$AZ$9:$BD$102,5)),RundDx)))</f>
        <v/>
      </c>
      <c r="DU81" s="25" t="str">
        <f>IF($CU81&gt;=RAM,"",IF($CU81-DU$103&lt;BeginnAlter,"",ROUND(v^($CU81+FaktorAlter)*$L81*$D81*0.5*(VLOOKUP($CU81-DU$103,Frauen!$G$9:$J$102,4)+VLOOKUP($CU81-DU$103+1,Frauen!$G$9:$J$102,4))*0.5*(VLOOKUP($CU81-DU$103,Frauen!$AZ$9:$BD$102,5)+VLOOKUP($CU81-DU$103+1,Frauen!$AZ$9:$BD$102,5)),RundDx)))</f>
        <v/>
      </c>
      <c r="DV81" s="25" t="str">
        <f>IF($CU81&gt;=RAM,"",IF($CU81-DV$103&lt;BeginnAlter,"",ROUND(v^($CU81+FaktorAlter)*$L81*$D81*0.5*(VLOOKUP($CU81-DV$103,Frauen!$G$9:$J$102,4)+VLOOKUP($CU81-DV$103+1,Frauen!$G$9:$J$102,4))*0.5*(VLOOKUP($CU81-DV$103,Frauen!$AZ$9:$BD$102,5)+VLOOKUP($CU81-DV$103+1,Frauen!$AZ$9:$BD$102,5)),RundDx)))</f>
        <v/>
      </c>
      <c r="DW81" s="25" t="str">
        <f>IF($CU81&gt;=RAM,"",IF($CU81-DW$103&lt;BeginnAlter,"",ROUND(v^($CU81+FaktorAlter)*$L81*$D81*0.5*(VLOOKUP($CU81-DW$103,Frauen!$G$9:$J$102,4)+VLOOKUP($CU81-DW$103+1,Frauen!$G$9:$J$102,4))*0.5*(VLOOKUP($CU81-DW$103,Frauen!$AZ$9:$BD$102,5)+VLOOKUP($CU81-DW$103+1,Frauen!$AZ$9:$BD$102,5)),RundDx)))</f>
        <v/>
      </c>
      <c r="DX81" s="25" t="str">
        <f>IF($CU81&gt;=RAM,"",IF($CU81-DX$103&lt;BeginnAlter,"",ROUND(v^($CU81+FaktorAlter)*$L81*$D81*0.5*(VLOOKUP($CU81-DX$103,Frauen!$G$9:$J$102,4)+VLOOKUP($CU81-DX$103+1,Frauen!$G$9:$J$102,4))*0.5*(VLOOKUP($CU81-DX$103,Frauen!$AZ$9:$BD$102,5)+VLOOKUP($CU81-DX$103+1,Frauen!$AZ$9:$BD$102,5)),RundDx)))</f>
        <v/>
      </c>
      <c r="DY81" s="25" t="str">
        <f>IF($CU81&gt;=RAM,"",IF($CU81-DY$103&lt;BeginnAlter,"",ROUND(v^($CU81+FaktorAlter)*$L81*$D81*0.5*(VLOOKUP($CU81-DY$103,Frauen!$G$9:$J$102,4)+VLOOKUP($CU81-DY$103+1,Frauen!$G$9:$J$102,4))*0.5*(VLOOKUP($CU81-DY$103,Frauen!$AZ$9:$BD$102,5)+VLOOKUP($CU81-DY$103+1,Frauen!$AZ$9:$BD$102,5)),RundDx)))</f>
        <v/>
      </c>
      <c r="DZ81" s="25" t="str">
        <f>IF($CU81&gt;=RAM,"",IF($CU81-DZ$103&lt;BeginnAlter,"",ROUND(v^($CU81+FaktorAlter)*$L81*$D81*0.5*(VLOOKUP($CU81-DZ$103,Frauen!$G$9:$J$102,4)+VLOOKUP($CU81-DZ$103+1,Frauen!$G$9:$J$102,4))*0.5*(VLOOKUP($CU81-DZ$103,Frauen!$AZ$9:$BD$102,5)+VLOOKUP($CU81-DZ$103+1,Frauen!$AZ$9:$BD$102,5)),RundDx)))</f>
        <v/>
      </c>
      <c r="EA81" s="43" t="str">
        <f>IF($CU81&gt;=RAM,"",IF($CU81-EA$103&lt;BeginnAlter,"",ROUND((SUM(CV$56:CV81)+SUM(FN$9:FN$56))/VLOOKUP($CU81,$AH$9:$AI$102,2)/VLOOKUP($CU81-EA$103,Frauen!$G$9:$J$102,4),Rundäx)))</f>
        <v/>
      </c>
      <c r="EB81" s="43" t="str">
        <f>IF($CU81&gt;=RAM,"",IF($CU81-EB$103&lt;BeginnAlter,"",ROUND((SUM(CW$56:CW81)+SUM(FO$9:FO$56))/VLOOKUP($CU81,$AH$9:$AI$102,2)/VLOOKUP($CU81-EB$103,Frauen!$G$9:$J$102,4),Rundäx)))</f>
        <v/>
      </c>
      <c r="EC81" s="43" t="str">
        <f>IF($CU81&gt;=RAM,"",IF($CU81-EC$103&lt;BeginnAlter,"",ROUND((SUM(CX$56:CX81)+SUM(FP$9:FP$56))/VLOOKUP($CU81,$AH$9:$AI$102,2)/VLOOKUP($CU81-EC$103,Frauen!$G$9:$J$102,4),Rundäx)))</f>
        <v/>
      </c>
      <c r="ED81" s="43" t="str">
        <f>IF($CU81&gt;=RAM,"",IF($CU81-ED$103&lt;BeginnAlter,"",ROUND((SUM(CY$56:CY81)+SUM(FQ$9:FQ$56))/VLOOKUP($CU81,$AH$9:$AI$102,2)/VLOOKUP($CU81-ED$103,Frauen!$G$9:$J$102,4),Rundäx)))</f>
        <v/>
      </c>
      <c r="EE81" s="43" t="str">
        <f>IF($CU81&gt;=RAM,"",IF($CU81-EE$103&lt;BeginnAlter,"",ROUND((SUM(CZ$56:CZ81)+SUM(FR$9:FR$56))/VLOOKUP($CU81,$AH$9:$AI$102,2)/VLOOKUP($CU81-EE$103,Frauen!$G$9:$J$102,4),Rundäx)))</f>
        <v/>
      </c>
      <c r="EF81" s="43" t="str">
        <f>IF($CU81&gt;=RAM,"",IF($CU81-EF$103&lt;BeginnAlter,"",ROUND((SUM(DA$56:DA81)+SUM(FS$9:FS$56))/VLOOKUP($CU81,$AH$9:$AI$102,2)/VLOOKUP($CU81-EF$103,Frauen!$G$9:$J$102,4),Rundäx)))</f>
        <v/>
      </c>
      <c r="EG81" s="43" t="str">
        <f>IF($CU81&gt;=RAM,"",IF($CU81-EG$103&lt;BeginnAlter,"",ROUND((SUM(DB$56:DB81)+SUM(FT$9:FT$56))/VLOOKUP($CU81,$AH$9:$AI$102,2)/VLOOKUP($CU81-EG$103,Frauen!$G$9:$J$102,4),Rundäx)))</f>
        <v/>
      </c>
      <c r="EH81" s="43" t="str">
        <f>IF($CU81&gt;=RAM,"",IF($CU81-EH$103&lt;BeginnAlter,"",ROUND((SUM(DC$56:DC81)+SUM(FU$9:FU$56))/VLOOKUP($CU81,$AH$9:$AI$102,2)/VLOOKUP($CU81-EH$103,Frauen!$G$9:$J$102,4),Rundäx)))</f>
        <v/>
      </c>
      <c r="EI81" s="86"/>
      <c r="EJ81" s="35">
        <f t="shared" si="133"/>
        <v>89</v>
      </c>
      <c r="EK81" s="43" t="str">
        <f>IF($CU81&gt;=RAM,"",IF($CU81-EK$103&lt;BeginnAlter,"",ROUND((SUM(DD$56:DD81)+SUM(FV$9:FV$56))/VLOOKUP($CU81,$AH$9:$AI$102,2)/VLOOKUP($CU81-EK$103,Frauen!$G$9:$J$102,4),Rundäx)))</f>
        <v/>
      </c>
      <c r="EL81" s="43" t="str">
        <f>IF($CU81&gt;=RAM,"",IF($CU81-EL$103&lt;BeginnAlter,"",ROUND((SUM(DE$56:DE81)+SUM(FW$9:FW$56))/VLOOKUP($CU81,$AH$9:$AI$102,2)/VLOOKUP($CU81-EL$103,Frauen!$G$9:$J$102,4),Rundäx)))</f>
        <v/>
      </c>
      <c r="EM81" s="43" t="str">
        <f>IF($CU81&gt;=RAM,"",IF($CU81-EM$103&lt;BeginnAlter,"",ROUND((SUM(DF$56:DF81)+SUM(FX$9:FX$56))/VLOOKUP($CU81,$AH$9:$AI$102,2)/VLOOKUP($CU81-EM$103,Frauen!$G$9:$J$102,4),Rundäx)))</f>
        <v/>
      </c>
      <c r="EN81" s="43" t="str">
        <f>IF($CU81&gt;=RAM,"",IF($CU81-EN$103&lt;BeginnAlter,"",ROUND((SUM(DG$56:DG81)+SUM(FY$9:FY$56))/VLOOKUP($CU81,$AH$9:$AI$102,2)/VLOOKUP($CU81-EN$103,Frauen!$G$9:$J$102,4),Rundäx)))</f>
        <v/>
      </c>
      <c r="EO81" s="43" t="str">
        <f>IF($CU81&gt;=RAM,"",IF($CU81-EO$103&lt;BeginnAlter,"",ROUND((SUM(DH$56:DH81)+SUM(FZ$9:FZ$56))/VLOOKUP($CU81,$AH$9:$AI$102,2)/VLOOKUP($CU81-EO$103,Frauen!$G$9:$J$102,4),Rundäx)))</f>
        <v/>
      </c>
      <c r="EP81" s="43" t="str">
        <f>IF($CU81&gt;=RAM,"",IF($CU81-EP$103&lt;BeginnAlter,"",ROUND((SUM(DI$56:DI81)+SUM(GA$9:GA$56))/VLOOKUP($CU81,$AH$9:$AI$102,2)/VLOOKUP($CU81-EP$103,Frauen!$G$9:$J$102,4),Rundäx)))</f>
        <v/>
      </c>
      <c r="EQ81" s="43" t="str">
        <f>IF($CU81&gt;=RAM,"",IF($CU81-EQ$103&lt;BeginnAlter,"",ROUND((SUM(DJ$56:DJ81)+SUM(GB$9:GB$56))/VLOOKUP($CU81,$AH$9:$AI$102,2)/VLOOKUP($CU81-EQ$103,Frauen!$G$9:$J$102,4),Rundäx)))</f>
        <v/>
      </c>
      <c r="ER81" s="43" t="str">
        <f>IF($CU81&gt;=RAM,"",IF($CU81-ER$103&lt;BeginnAlter,"",ROUND((SUM(DK$56:DK81)+SUM(GC$9:GC$56))/VLOOKUP($CU81,$AH$9:$AI$102,2)/VLOOKUP($CU81-ER$103,Frauen!$G$9:$J$102,4),Rundäx)))</f>
        <v/>
      </c>
      <c r="ES81" s="86"/>
      <c r="ET81" s="35">
        <f t="shared" si="134"/>
        <v>89</v>
      </c>
      <c r="EU81" s="43" t="str">
        <f>IF($CU81&gt;=RAM,"",IF($CU81-EU$103&lt;BeginnAlter,"",ROUND((SUM(DL$56:DL81)+SUM(GD$9:GD$56))/VLOOKUP($CU81,$AH$9:$AI$102,2)/VLOOKUP($CU81-EU$103,Frauen!$G$9:$J$102,4),Rundäx)))</f>
        <v/>
      </c>
      <c r="EV81" s="43" t="str">
        <f>IF($CU81&gt;=RAM,"",IF($CU81-EV$103&lt;BeginnAlter,"",ROUND((SUM(DM$56:DM81)+SUM(GE$9:GE$56))/VLOOKUP($CU81,$AH$9:$AI$102,2)/VLOOKUP($CU81-EV$103,Frauen!$G$9:$J$102,4),Rundäx)))</f>
        <v/>
      </c>
      <c r="EW81" s="43" t="str">
        <f>IF($CU81&gt;=RAM,"",IF($CU81-EW$103&lt;BeginnAlter,"",ROUND((SUM(DN$56:DN81)+SUM(GF$9:GF$56))/VLOOKUP($CU81,$AH$9:$AI$102,2)/VLOOKUP($CU81-EW$103,Frauen!$G$9:$J$102,4),Rundäx)))</f>
        <v/>
      </c>
      <c r="EX81" s="43" t="str">
        <f>IF($CU81&gt;=RAM,"",IF($CU81-EX$103&lt;BeginnAlter,"",ROUND((SUM(DO$56:DO81)+SUM(GG$9:GG$56))/VLOOKUP($CU81,$AH$9:$AI$102,2)/VLOOKUP($CU81-EX$103,Frauen!$G$9:$J$102,4),Rundäx)))</f>
        <v/>
      </c>
      <c r="EY81" s="43" t="str">
        <f>IF($CU81&gt;=RAM,"",IF($CU81-EY$103&lt;BeginnAlter,"",ROUND((SUM(DP$56:DP81)+SUM(GH$9:GH$56))/VLOOKUP($CU81,$AH$9:$AI$102,2)/VLOOKUP($CU81-EY$103,Frauen!$G$9:$J$102,4),Rundäx)))</f>
        <v/>
      </c>
      <c r="EZ81" s="43" t="str">
        <f>IF($CU81&gt;=RAM,"",IF($CU81-EZ$103&lt;BeginnAlter,"",ROUND((SUM(DQ$56:DQ81)+SUM(GI$9:GI$56))/VLOOKUP($CU81,$AH$9:$AI$102,2)/VLOOKUP($CU81-EZ$103,Frauen!$G$9:$J$102,4),Rundäx)))</f>
        <v/>
      </c>
      <c r="FA81" s="43" t="str">
        <f>IF($CU81&gt;=RAM,"",IF($CU81-FA$103&lt;BeginnAlter,"",ROUND((SUM(DR$56:DR81)+SUM(GJ$9:GJ$56))/VLOOKUP($CU81,$AH$9:$AI$102,2)/VLOOKUP($CU81-FA$103,Frauen!$G$9:$J$102,4),Rundäx)))</f>
        <v/>
      </c>
      <c r="FB81" s="43" t="str">
        <f>IF($CU81&gt;=RAM,"",IF($CU81-FB$103&lt;BeginnAlter,"",ROUND((SUM(DS$56:DS81)+SUM(GK$9:GK$56))/VLOOKUP($CU81,$AH$9:$AI$102,2)/VLOOKUP($CU81-FB$103,Frauen!$G$9:$J$102,4),Rundäx)))</f>
        <v/>
      </c>
      <c r="FC81" s="86"/>
      <c r="FD81" s="35">
        <f t="shared" si="135"/>
        <v>89</v>
      </c>
      <c r="FE81" s="43" t="str">
        <f>IF($CU81&gt;=RAM,"",IF($CU81-FE$103&lt;BeginnAlter,"",ROUND((SUM(DT$56:DT81)+SUM(GL$9:GL$56))/VLOOKUP($CU81,$AH$9:$AI$102,2)/VLOOKUP($CU81-FE$103,Frauen!$G$9:$J$102,4),Rundäx)))</f>
        <v/>
      </c>
      <c r="FF81" s="43" t="str">
        <f>IF($CU81&gt;=RAM,"",IF($CU81-FF$103&lt;BeginnAlter,"",ROUND((SUM(DU$56:DU81)+SUM(GM$9:GM$56))/VLOOKUP($CU81,$AH$9:$AI$102,2)/VLOOKUP($CU81-FF$103,Frauen!$G$9:$J$102,4),Rundäx)))</f>
        <v/>
      </c>
      <c r="FG81" s="43" t="str">
        <f>IF($CU81&gt;=RAM,"",IF($CU81-FG$103&lt;BeginnAlter,"",ROUND((SUM(DV$56:DV81)+SUM(GN$9:GN$56))/VLOOKUP($CU81,$AH$9:$AI$102,2)/VLOOKUP($CU81-FG$103,Frauen!$G$9:$J$102,4),Rundäx)))</f>
        <v/>
      </c>
      <c r="FH81" s="43" t="str">
        <f>IF($CU81&gt;=RAM,"",IF($CU81-FH$103&lt;BeginnAlter,"",ROUND((SUM(DW$56:DW81)+SUM(GO$9:GO$56))/VLOOKUP($CU81,$AH$9:$AI$102,2)/VLOOKUP($CU81-FH$103,Frauen!$G$9:$J$102,4),Rundäx)))</f>
        <v/>
      </c>
      <c r="FI81" s="43" t="str">
        <f>IF($CU81&gt;=RAM,"",IF($CU81-FI$103&lt;BeginnAlter,"",ROUND((SUM(DX$56:DX81)+SUM(GP$9:GP$56))/VLOOKUP($CU81,$AH$9:$AI$102,2)/VLOOKUP($CU81-FI$103,Frauen!$G$9:$J$102,4),Rundäx)))</f>
        <v/>
      </c>
      <c r="FJ81" s="43" t="str">
        <f>IF($CU81&gt;=RAM,"",IF($CU81-FJ$103&lt;BeginnAlter,"",ROUND((SUM(DY$56:DY81)+SUM(GQ$9:GQ$56))/VLOOKUP($CU81,$AH$9:$AI$102,2)/VLOOKUP($CU81-FJ$103,Frauen!$G$9:$J$102,4),Rundäx)))</f>
        <v/>
      </c>
      <c r="FK81" s="43" t="str">
        <f>IF($CU81&gt;=RAM,"",IF($CU81-FK$103&lt;BeginnAlter,"",ROUND((SUM(DZ$56:DZ81)+SUM(GR$9:GR$56))/VLOOKUP($CU81,$AH$9:$AI$102,2)/VLOOKUP($CU81-FK$103,Frauen!$G$9:$J$102,4),Rundäx)))</f>
        <v/>
      </c>
      <c r="FL81" s="86"/>
      <c r="FM81" s="35">
        <f t="shared" si="136"/>
        <v>137</v>
      </c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4"/>
      <c r="GT81" s="24"/>
      <c r="GU81" s="24" t="str">
        <f>IF(FM81&gt;=RAM," ",#REF!/$AI81/Frauen!$J69)</f>
        <v xml:space="preserve"> </v>
      </c>
      <c r="GV81" s="24" t="str">
        <f>IF(FM81&gt;=RAM," ",#REF!/$AI81/Frauen!$J72)</f>
        <v xml:space="preserve"> </v>
      </c>
      <c r="GW81" s="24" t="str">
        <f>IF(FM81&gt;=RAM," ",#REF!/$AI81/Frauen!$J75)</f>
        <v xml:space="preserve"> </v>
      </c>
      <c r="GX81" s="24" t="str">
        <f>IF(FM81&gt;=RAM," ",#REF!/$AI81/Frauen!$J78)</f>
        <v xml:space="preserve"> </v>
      </c>
      <c r="GY81" s="24" t="str">
        <f>IF(FM81&gt;=RAM," ",#REF!/$AI81/Frauen!$J81)</f>
        <v xml:space="preserve"> </v>
      </c>
      <c r="GZ81" s="24" t="str">
        <f>IF(FM81&gt;=RAM," ",#REF!/$AI81/Frauen!$J84)</f>
        <v xml:space="preserve"> </v>
      </c>
      <c r="HA81" s="86"/>
      <c r="HB81" s="35">
        <f t="shared" si="137"/>
        <v>137</v>
      </c>
      <c r="HC81" s="24"/>
      <c r="HD81" s="24"/>
      <c r="HE81" s="24"/>
      <c r="HF81" s="24"/>
      <c r="HG81" s="24"/>
      <c r="HH81" s="24"/>
      <c r="HI81" s="24"/>
      <c r="HJ81" s="24"/>
      <c r="HK81" s="86"/>
      <c r="HL81" s="35">
        <f t="shared" si="138"/>
        <v>137</v>
      </c>
      <c r="HM81" s="24"/>
      <c r="HN81" s="24"/>
      <c r="HO81" s="24"/>
      <c r="HP81" s="24"/>
      <c r="HQ81" s="24"/>
      <c r="HR81" s="24"/>
      <c r="HS81" s="24"/>
      <c r="HT81" s="24"/>
      <c r="HU81" s="86"/>
      <c r="HV81" s="35">
        <f t="shared" si="139"/>
        <v>137</v>
      </c>
      <c r="HW81" s="24"/>
      <c r="HX81" s="24"/>
      <c r="HY81" s="24"/>
      <c r="HZ81" s="24"/>
      <c r="IA81" s="24"/>
      <c r="IB81" s="24"/>
      <c r="IC81" s="24"/>
      <c r="ID81" s="89"/>
      <c r="IE81" s="35">
        <f t="shared" si="140"/>
        <v>89</v>
      </c>
      <c r="IF81" s="25" t="str">
        <f t="shared" si="112"/>
        <v/>
      </c>
      <c r="IG81" s="25" t="str">
        <f>IF($IE81&lt;RAM,IF(S82&lt;=RAK,ROUND(SUM(IF81:INDEX(Dakx,RAM-BeginnAlter))+INDEX(Dax,RAM-BeginnAlter+1)*INDEX(äkx,1),RundDx),0),"")</f>
        <v/>
      </c>
      <c r="IH81" s="25" t="str">
        <f>IF($IE81&lt;RAM,IF(S82&lt;=RAK,ROUND(SUM(IG81:INDEX(Nakx,RAM-BeginnAlter))+INDEX(Dax,RAM-BeginnAlter+1)*INDEX(äkx,1),RundDx),0),"")</f>
        <v/>
      </c>
      <c r="II81" s="24" t="str">
        <f t="shared" si="113"/>
        <v/>
      </c>
      <c r="IJ81" s="25" t="str">
        <f t="shared" si="114"/>
        <v/>
      </c>
      <c r="IK81" s="25" t="str">
        <f>IF($IE81&lt;RAM,IF(S82&lt;=RAK,SUM(IJ81:INDEX(Dikx,RAM-BeginnAlter))+INDEX(Dix,RAM-BeginnAlter+1)*INDEX(äkx,1),0),"")</f>
        <v/>
      </c>
      <c r="IL81" s="24" t="str">
        <f t="shared" si="115"/>
        <v/>
      </c>
      <c r="IM81" s="86"/>
      <c r="IN81" s="35">
        <f t="shared" si="141"/>
        <v>137</v>
      </c>
      <c r="IO81" s="25"/>
      <c r="IP81" s="25"/>
      <c r="IQ81" s="24"/>
      <c r="IR81" s="86"/>
    </row>
    <row r="82" spans="1:252" ht="15.75" customHeight="1" x14ac:dyDescent="0.25">
      <c r="A82" s="35">
        <f t="shared" si="120"/>
        <v>90</v>
      </c>
      <c r="B82" s="77"/>
      <c r="C82" s="77"/>
      <c r="D82" s="77"/>
      <c r="E82" s="77">
        <v>0.18382249904282899</v>
      </c>
      <c r="F82" s="86"/>
      <c r="G82" s="35">
        <f t="shared" si="121"/>
        <v>90</v>
      </c>
      <c r="H82" s="25" t="str">
        <f t="shared" si="116"/>
        <v/>
      </c>
      <c r="I82" s="25" t="str">
        <f t="shared" si="117"/>
        <v/>
      </c>
      <c r="J82" s="25">
        <f t="shared" si="118"/>
        <v>18251</v>
      </c>
      <c r="K82" s="30">
        <f>IF(J82&gt;0,ROUND(SUM(J82:J$102)/J82-0.5,Rundex),"")</f>
        <v>3.47</v>
      </c>
      <c r="L82" s="25">
        <f t="shared" si="82"/>
        <v>18251</v>
      </c>
      <c r="M82" s="30">
        <f>IF(L82&gt;0,ROUND(SUM(L82:L$102)/L82-0.5,Rundex),"")</f>
        <v>3.47</v>
      </c>
      <c r="N82" s="86"/>
      <c r="O82" s="35">
        <f t="shared" si="122"/>
        <v>90</v>
      </c>
      <c r="P82" s="43">
        <v>0.50842149828618854</v>
      </c>
      <c r="Q82" s="78">
        <v>83.6963490666014</v>
      </c>
      <c r="R82" s="43"/>
      <c r="S82" s="78"/>
      <c r="T82" s="15">
        <v>0.18382249904282899</v>
      </c>
      <c r="U82" s="11">
        <f t="shared" si="119"/>
        <v>13840</v>
      </c>
      <c r="V82" s="30">
        <f>IF(U82&gt;0,ROUND(SUM(U82:U$102)/U82-0.5,Rundex),"")</f>
        <v>3.47</v>
      </c>
      <c r="W82" s="86"/>
      <c r="X82" s="35">
        <f t="shared" si="123"/>
        <v>90</v>
      </c>
      <c r="Y82" s="25" t="str">
        <f t="shared" si="83"/>
        <v xml:space="preserve"> </v>
      </c>
      <c r="Z82" s="25" t="str">
        <f>IF($X82&lt;RAM,SUM(Y82:INDEX(Dax,RAM-BeginnAlter))," ")</f>
        <v xml:space="preserve"> </v>
      </c>
      <c r="AA82" s="25" t="str">
        <f t="shared" si="84"/>
        <v xml:space="preserve"> </v>
      </c>
      <c r="AB82" s="25" t="str">
        <f>IF($X82&lt;RAM,SUM(AA82:INDEX(Cax,RAM-BeginnAlter))," ")</f>
        <v xml:space="preserve"> </v>
      </c>
      <c r="AC82" s="25" t="str">
        <f t="shared" si="85"/>
        <v xml:space="preserve"> </v>
      </c>
      <c r="AD82" s="25" t="str">
        <f>IF($X82&lt;RAM,SUM(AC82:INDEX(Caix,RAM-BeginnAlter))," ")</f>
        <v xml:space="preserve"> </v>
      </c>
      <c r="AE82" s="24" t="str">
        <f t="shared" si="86"/>
        <v xml:space="preserve"> </v>
      </c>
      <c r="AF82" s="24" t="str">
        <f t="shared" si="87"/>
        <v xml:space="preserve"> </v>
      </c>
      <c r="AG82" s="86"/>
      <c r="AH82" s="35">
        <f t="shared" si="124"/>
        <v>90</v>
      </c>
      <c r="AI82" s="25" t="str">
        <f t="shared" si="88"/>
        <v xml:space="preserve"> </v>
      </c>
      <c r="AJ82" s="25" t="str">
        <f>IF($AH82&gt;RAM," ",IF($AH82&lt;RAM,SUM(AI82:INDEX(Dix,RAM-BeginnAlter))+INDEX(Nx,RAM-BeginnAlter+1),INDEX(Nx,RAM-BeginnAlter+1)))</f>
        <v xml:space="preserve"> </v>
      </c>
      <c r="AK82" s="25" t="str">
        <f>IF($AH82&lt;RAM,SUM(AI82:INDEX(Dix,RAM-BeginnAlter))," ")</f>
        <v xml:space="preserve"> </v>
      </c>
      <c r="AL82" s="24" t="str">
        <f t="shared" si="89"/>
        <v xml:space="preserve"> </v>
      </c>
      <c r="AM82" s="24" t="str">
        <f t="shared" si="90"/>
        <v xml:space="preserve"> </v>
      </c>
      <c r="AN82" s="24" t="str">
        <f t="shared" si="91"/>
        <v xml:space="preserve"> </v>
      </c>
      <c r="AO82" s="24" t="str">
        <f t="shared" si="92"/>
        <v xml:space="preserve"> </v>
      </c>
      <c r="AP82" s="86"/>
      <c r="AQ82" s="35">
        <f t="shared" si="125"/>
        <v>90</v>
      </c>
      <c r="AR82" s="25">
        <f t="shared" si="93"/>
        <v>2464</v>
      </c>
      <c r="AS82" s="25">
        <f>SUM(AR82:AR$94)</f>
        <v>9312</v>
      </c>
      <c r="AT82" s="25" t="str">
        <f>IF($AQ82&lt;RAM,SUM(AR82:INDEX(Dx,RAM-BeginnAlter))," ")</f>
        <v xml:space="preserve"> </v>
      </c>
      <c r="AU82" s="24">
        <f t="shared" si="94"/>
        <v>3.7789999999999999</v>
      </c>
      <c r="AV82" s="24">
        <f t="shared" si="95"/>
        <v>3.3210000000000002</v>
      </c>
      <c r="AW82" s="24" t="str">
        <f t="shared" si="96"/>
        <v xml:space="preserve"> </v>
      </c>
      <c r="AX82" s="24" t="str">
        <f t="shared" si="97"/>
        <v xml:space="preserve"> </v>
      </c>
      <c r="AY82" s="86"/>
      <c r="AZ82" s="35">
        <f t="shared" si="126"/>
        <v>90</v>
      </c>
      <c r="BA82" s="25">
        <f t="shared" si="98"/>
        <v>1868</v>
      </c>
      <c r="BB82" s="25">
        <f>SUM(BA82:BA$94)</f>
        <v>7060</v>
      </c>
      <c r="BC82" s="24">
        <f t="shared" si="99"/>
        <v>3.7789999999999999</v>
      </c>
      <c r="BD82" s="24">
        <f t="shared" si="100"/>
        <v>3.3210000000000002</v>
      </c>
      <c r="BE82" s="86"/>
      <c r="BF82" s="35">
        <f t="shared" si="127"/>
        <v>73</v>
      </c>
      <c r="BG82" s="24" t="str">
        <f t="shared" si="101"/>
        <v/>
      </c>
      <c r="BH82" s="24" t="str">
        <f t="shared" si="102"/>
        <v/>
      </c>
      <c r="BI82" s="86"/>
      <c r="BJ82" s="35">
        <f t="shared" si="128"/>
        <v>90</v>
      </c>
      <c r="BK82" s="25" t="str">
        <f t="shared" si="103"/>
        <v xml:space="preserve"> </v>
      </c>
      <c r="BL82" s="25" t="str">
        <f>IF(BJ82&lt;RAM,SUM(BK82:INDEX(Daix,RAM-BeginnAlter))," ")</f>
        <v xml:space="preserve"> </v>
      </c>
      <c r="BM82" s="25" t="str">
        <f>IF(BJ82&lt;RAM,SUM(BL82:INDEX(Naix,RAM-BeginnAlter))," ")</f>
        <v xml:space="preserve"> </v>
      </c>
      <c r="BN82" s="24" t="str">
        <f t="shared" si="104"/>
        <v xml:space="preserve"> </v>
      </c>
      <c r="BO82" s="24" t="str">
        <f t="shared" si="105"/>
        <v xml:space="preserve"> </v>
      </c>
      <c r="BP82" s="86"/>
      <c r="BQ82" s="35">
        <f t="shared" si="129"/>
        <v>90</v>
      </c>
      <c r="BR82" s="25" t="str">
        <f t="shared" si="142"/>
        <v xml:space="preserve"> </v>
      </c>
      <c r="BS82" s="25" t="str">
        <f>IF(BQ82&lt;RAM,SUM(BR82:INDEX(Daixs,RAM-BeginnAlter))," ")</f>
        <v xml:space="preserve"> </v>
      </c>
      <c r="BT82" s="25" t="str">
        <f>IF(BQ82&lt;RAM,SUM(BS82:INDEX(Naixs,RAM-BeginnAlter))," ")</f>
        <v xml:space="preserve"> </v>
      </c>
      <c r="BU82" s="24" t="str">
        <f t="shared" si="143"/>
        <v xml:space="preserve"> </v>
      </c>
      <c r="BV82" s="24" t="str">
        <f t="shared" si="144"/>
        <v xml:space="preserve"> </v>
      </c>
      <c r="BW82" s="86"/>
      <c r="BX82" s="35">
        <f t="shared" si="130"/>
        <v>90</v>
      </c>
      <c r="BY82" s="10" t="str">
        <f t="shared" si="106"/>
        <v/>
      </c>
      <c r="BZ82" s="11" t="str">
        <f t="shared" si="107"/>
        <v/>
      </c>
      <c r="CA82" s="25" t="str">
        <f>IF(S83&lt;=RAK,IF($BX82&lt;RAM,SUM(BZ82:INDEX(Dazx,RAM-BeginnAlter)),""),"")</f>
        <v/>
      </c>
      <c r="CB82" s="24" t="str">
        <f t="shared" si="108"/>
        <v/>
      </c>
      <c r="CC82" s="25">
        <f t="shared" si="109"/>
        <v>0</v>
      </c>
      <c r="CD82" s="24">
        <f t="shared" si="110"/>
        <v>0</v>
      </c>
      <c r="CE82" s="24" t="str">
        <f t="shared" si="111"/>
        <v/>
      </c>
      <c r="CF82" s="86"/>
      <c r="CG82" s="35">
        <f t="shared" si="131"/>
        <v>90</v>
      </c>
      <c r="CH82" s="25" t="str">
        <f>IF(CG82&lt;RAM,ROUND(v^($CG82+FaktorAlter)*$H82*($B82*0.5*($P82+$P83)*(VLOOKUP(TRUNC(0.5*($Q82+$Q83),0),Frauen!$AZ$9:$BD$95,5)+(0.5*($Q82+$Q83)-TRUNC(0.5*($Q82+$Q83),0))*(VLOOKUP(TRUNC(0.5*($Q82+$Q83)+1,0),Frauen!$AZ$9:$BD$95,5)-VLOOKUP(TRUNC(0.5*($Q82+$Q83),0),Frauen!$AZ$9:$BD$95,5)))+$C82*0.5*($CN82+$CN83)),RundDx),"")</f>
        <v/>
      </c>
      <c r="CI82" s="25" t="str">
        <f>IF(CG82&lt;RAM,ROUND(SUM(CH82:INDEX(Dawx,RAM-BeginnAlter))+INDEX(Dax,RAM-BeginnAlter+1)*INDEX(äwx,1),RundDx),"")</f>
        <v/>
      </c>
      <c r="CJ82" s="25" t="str">
        <f>IF(CG82&lt;RAM,ROUND(SUM(CI82:INDEX(Nawx,RAM-BeginnAlter))+INDEX(Dax,RAM-BeginnAlter+1)*INDEX(äwx,1),RundDx),"")</f>
        <v/>
      </c>
      <c r="CK82" s="24" t="str">
        <f t="shared" si="145"/>
        <v/>
      </c>
      <c r="CL82" s="25" t="str">
        <f>IF(CG82&lt;RAM,ROUND(v^($CG82+FaktorAlter)*$L82*$D82*0.5*($P82+$P83)*(VLOOKUP(TRUNC(0.5*($Q82+$Q83),0),Frauen!$AZ$9:$BD$95,5)+(0.5*($Q82+$Q83)-TRUNC(0.5*($Q82+$Q83),0))*(VLOOKUP(TRUNC(0.5*($Q82+$Q83)+1,0),Frauen!$AZ$9:$BD$95,5)-VLOOKUP(TRUNC(0.5*($Q82+$Q83),0),Frauen!$AZ$9:$BD$95,5))),RundDx),"")</f>
        <v/>
      </c>
      <c r="CM82" s="25" t="str">
        <f>IF(CG82&lt;RAM,SUM(CL82:INDEX(Diwx,RAM-BeginnAlter))+INDEX(Dix,RAM-BeginnAlter+1)*INDEX(äwx,1),"")</f>
        <v/>
      </c>
      <c r="CN82" s="24" t="str">
        <f t="shared" si="146"/>
        <v/>
      </c>
      <c r="CO82" s="86"/>
      <c r="CP82" s="35">
        <f t="shared" si="147"/>
        <v>138</v>
      </c>
      <c r="CQ82" s="25"/>
      <c r="CR82" s="25"/>
      <c r="CS82" s="24"/>
      <c r="CT82" s="86"/>
      <c r="CU82" s="35">
        <f t="shared" si="132"/>
        <v>90</v>
      </c>
      <c r="CV82" s="25" t="str">
        <f>IF($CU82&gt;=RAM,"",IF($CU82-CV$103&lt;BeginnAlter,"",ROUND(v^($CU82+FaktorAlter)*$L82*$D82*0.5*(VLOOKUP($CU82-CV$103,Frauen!$G$9:$J$102,4)+VLOOKUP($CU82-CV$103+1,Frauen!$G$9:$J$102,4))*0.5*(VLOOKUP($CU82-CV$103,Frauen!$AZ$9:$BD$102,5)+VLOOKUP($CU82-CV$103+1,Frauen!$AZ$9:$BD$102,5)),RundDx)))</f>
        <v/>
      </c>
      <c r="CW82" s="25" t="str">
        <f>IF($CU82&gt;=RAM,"",IF($CU82-CW$103&lt;BeginnAlter,"",ROUND(v^($CU82+FaktorAlter)*$L82*$D82*0.5*(VLOOKUP($CU82-CW$103,Frauen!$G$9:$J$102,4)+VLOOKUP($CU82-CW$103+1,Frauen!$G$9:$J$102,4))*0.5*(VLOOKUP($CU82-CW$103,Frauen!$AZ$9:$BD$102,5)+VLOOKUP($CU82-CW$103+1,Frauen!$AZ$9:$BD$102,5)),RundDx)))</f>
        <v/>
      </c>
      <c r="CX82" s="25" t="str">
        <f>IF($CU82&gt;=RAM,"",IF($CU82-CX$103&lt;BeginnAlter,"",ROUND(v^($CU82+FaktorAlter)*$L82*$D82*0.5*(VLOOKUP($CU82-CX$103,Frauen!$G$9:$J$102,4)+VLOOKUP($CU82-CX$103+1,Frauen!$G$9:$J$102,4))*0.5*(VLOOKUP($CU82-CX$103,Frauen!$AZ$9:$BD$102,5)+VLOOKUP($CU82-CX$103+1,Frauen!$AZ$9:$BD$102,5)),RundDx)))</f>
        <v/>
      </c>
      <c r="CY82" s="25" t="str">
        <f>IF($CU82&gt;=RAM,"",IF($CU82-CY$103&lt;BeginnAlter,"",ROUND(v^($CU82+FaktorAlter)*$L82*$D82*0.5*(VLOOKUP($CU82-CY$103,Frauen!$G$9:$J$102,4)+VLOOKUP($CU82-CY$103+1,Frauen!$G$9:$J$102,4))*0.5*(VLOOKUP($CU82-CY$103,Frauen!$AZ$9:$BD$102,5)+VLOOKUP($CU82-CY$103+1,Frauen!$AZ$9:$BD$102,5)),RundDx)))</f>
        <v/>
      </c>
      <c r="CZ82" s="25" t="str">
        <f>IF($CU82&gt;=RAM,"",IF($CU82-CZ$103&lt;BeginnAlter,"",ROUND(v^($CU82+FaktorAlter)*$L82*$D82*0.5*(VLOOKUP($CU82-CZ$103,Frauen!$G$9:$J$102,4)+VLOOKUP($CU82-CZ$103+1,Frauen!$G$9:$J$102,4))*0.5*(VLOOKUP($CU82-CZ$103,Frauen!$AZ$9:$BD$102,5)+VLOOKUP($CU82-CZ$103+1,Frauen!$AZ$9:$BD$102,5)),RundDx)))</f>
        <v/>
      </c>
      <c r="DA82" s="25" t="str">
        <f>IF($CU82&gt;=RAM,"",IF($CU82-DA$103&lt;BeginnAlter,"",ROUND(v^($CU82+FaktorAlter)*$L82*$D82*0.5*(VLOOKUP($CU82-DA$103,Frauen!$G$9:$J$102,4)+VLOOKUP($CU82-DA$103+1,Frauen!$G$9:$J$102,4))*0.5*(VLOOKUP($CU82-DA$103,Frauen!$AZ$9:$BD$102,5)+VLOOKUP($CU82-DA$103+1,Frauen!$AZ$9:$BD$102,5)),RundDx)))</f>
        <v/>
      </c>
      <c r="DB82" s="25" t="str">
        <f>IF($CU82&gt;=RAM,"",IF($CU82-DB$103&lt;BeginnAlter,"",ROUND(v^($CU82+FaktorAlter)*$L82*$D82*0.5*(VLOOKUP($CU82-DB$103,Frauen!$G$9:$J$102,4)+VLOOKUP($CU82-DB$103+1,Frauen!$G$9:$J$102,4))*0.5*(VLOOKUP($CU82-DB$103,Frauen!$AZ$9:$BD$102,5)+VLOOKUP($CU82-DB$103+1,Frauen!$AZ$9:$BD$102,5)),RundDx)))</f>
        <v/>
      </c>
      <c r="DC82" s="25" t="str">
        <f>IF($CU82&gt;=RAM,"",IF($CU82-DC$103&lt;BeginnAlter,"",ROUND(v^($CU82+FaktorAlter)*$L82*$D82*0.5*(VLOOKUP($CU82-DC$103,Frauen!$G$9:$J$102,4)+VLOOKUP($CU82-DC$103+1,Frauen!$G$9:$J$102,4))*0.5*(VLOOKUP($CU82-DC$103,Frauen!$AZ$9:$BD$102,5)+VLOOKUP($CU82-DC$103+1,Frauen!$AZ$9:$BD$102,5)),RundDx)))</f>
        <v/>
      </c>
      <c r="DD82" s="25" t="str">
        <f>IF($CU82&gt;=RAM,"",IF($CU82-DD$103&lt;BeginnAlter,"",ROUND(v^($CU82+FaktorAlter)*$L82*$D82*0.5*(VLOOKUP($CU82-DD$103,Frauen!$G$9:$J$102,4)+VLOOKUP($CU82-DD$103+1,Frauen!$G$9:$J$102,4))*0.5*(VLOOKUP($CU82-DD$103,Frauen!$AZ$9:$BD$102,5)+VLOOKUP($CU82-DD$103+1,Frauen!$AZ$9:$BD$102,5)),RundDx)))</f>
        <v/>
      </c>
      <c r="DE82" s="25" t="str">
        <f>IF($CU82&gt;=RAM,"",IF($CU82-DE$103&lt;BeginnAlter,"",ROUND(v^($CU82+FaktorAlter)*$L82*$D82*0.5*(VLOOKUP($CU82-DE$103,Frauen!$G$9:$J$102,4)+VLOOKUP($CU82-DE$103+1,Frauen!$G$9:$J$102,4))*0.5*(VLOOKUP($CU82-DE$103,Frauen!$AZ$9:$BD$102,5)+VLOOKUP($CU82-DE$103+1,Frauen!$AZ$9:$BD$102,5)),RundDx)))</f>
        <v/>
      </c>
      <c r="DF82" s="25" t="str">
        <f>IF($CU82&gt;=RAM,"",IF($CU82-DF$103&lt;BeginnAlter,"",ROUND(v^($CU82+FaktorAlter)*$L82*$D82*0.5*(VLOOKUP($CU82-DF$103,Frauen!$G$9:$J$102,4)+VLOOKUP($CU82-DF$103+1,Frauen!$G$9:$J$102,4))*0.5*(VLOOKUP($CU82-DF$103,Frauen!$AZ$9:$BD$102,5)+VLOOKUP($CU82-DF$103+1,Frauen!$AZ$9:$BD$102,5)),RundDx)))</f>
        <v/>
      </c>
      <c r="DG82" s="25" t="str">
        <f>IF($CU82&gt;=RAM,"",IF($CU82-DG$103&lt;BeginnAlter,"",ROUND(v^($CU82+FaktorAlter)*$L82*$D82*0.5*(VLOOKUP($CU82-DG$103,Frauen!$G$9:$J$102,4)+VLOOKUP($CU82-DG$103+1,Frauen!$G$9:$J$102,4))*0.5*(VLOOKUP($CU82-DG$103,Frauen!$AZ$9:$BD$102,5)+VLOOKUP($CU82-DG$103+1,Frauen!$AZ$9:$BD$102,5)),RundDx)))</f>
        <v/>
      </c>
      <c r="DH82" s="25" t="str">
        <f>IF($CU82&gt;=RAM,"",IF($CU82-DH$103&lt;BeginnAlter,"",ROUND(v^($CU82+FaktorAlter)*$L82*$D82*0.5*(VLOOKUP($CU82-DH$103,Frauen!$G$9:$J$102,4)+VLOOKUP($CU82-DH$103+1,Frauen!$G$9:$J$102,4))*0.5*(VLOOKUP($CU82-DH$103,Frauen!$AZ$9:$BD$102,5)+VLOOKUP($CU82-DH$103+1,Frauen!$AZ$9:$BD$102,5)),RundDx)))</f>
        <v/>
      </c>
      <c r="DI82" s="25" t="str">
        <f>IF($CU82&gt;=RAM,"",IF($CU82-DI$103&lt;BeginnAlter,"",ROUND(v^($CU82+FaktorAlter)*$L82*$D82*0.5*(VLOOKUP($CU82-DI$103,Frauen!$G$9:$J$102,4)+VLOOKUP($CU82-DI$103+1,Frauen!$G$9:$J$102,4))*0.5*(VLOOKUP($CU82-DI$103,Frauen!$AZ$9:$BD$102,5)+VLOOKUP($CU82-DI$103+1,Frauen!$AZ$9:$BD$102,5)),RundDx)))</f>
        <v/>
      </c>
      <c r="DJ82" s="25" t="str">
        <f>IF($CU82&gt;=RAM,"",IF($CU82-DJ$103&lt;BeginnAlter,"",ROUND(v^($CU82+FaktorAlter)*$L82*$D82*0.5*(VLOOKUP($CU82-DJ$103,Frauen!$G$9:$J$102,4)+VLOOKUP($CU82-DJ$103+1,Frauen!$G$9:$J$102,4))*0.5*(VLOOKUP($CU82-DJ$103,Frauen!$AZ$9:$BD$102,5)+VLOOKUP($CU82-DJ$103+1,Frauen!$AZ$9:$BD$102,5)),RundDx)))</f>
        <v/>
      </c>
      <c r="DK82" s="25" t="str">
        <f>IF($CU82&gt;=RAM,"",IF($CU82-DK$103&lt;BeginnAlter,"",ROUND(v^($CU82+FaktorAlter)*$L82*$D82*0.5*(VLOOKUP($CU82-DK$103,Frauen!$G$9:$J$102,4)+VLOOKUP($CU82-DK$103+1,Frauen!$G$9:$J$102,4))*0.5*(VLOOKUP($CU82-DK$103,Frauen!$AZ$9:$BD$102,5)+VLOOKUP($CU82-DK$103+1,Frauen!$AZ$9:$BD$102,5)),RundDx)))</f>
        <v/>
      </c>
      <c r="DL82" s="25" t="str">
        <f>IF($CU82&gt;=RAM,"",IF($CU82-DL$103&lt;BeginnAlter,"",ROUND(v^($CU82+FaktorAlter)*$L82*$D82*0.5*(VLOOKUP($CU82-DL$103,Frauen!$G$9:$J$102,4)+VLOOKUP($CU82-DL$103+1,Frauen!$G$9:$J$102,4))*0.5*(VLOOKUP($CU82-DL$103,Frauen!$AZ$9:$BD$102,5)+VLOOKUP($CU82-DL$103+1,Frauen!$AZ$9:$BD$102,5)),RundDx)))</f>
        <v/>
      </c>
      <c r="DM82" s="25" t="str">
        <f>IF($CU82&gt;=RAM,"",IF($CU82-DM$103&lt;BeginnAlter,"",ROUND(v^($CU82+FaktorAlter)*$L82*$D82*0.5*(VLOOKUP($CU82-DM$103,Frauen!$G$9:$J$102,4)+VLOOKUP($CU82-DM$103+1,Frauen!$G$9:$J$102,4))*0.5*(VLOOKUP($CU82-DM$103,Frauen!$AZ$9:$BD$102,5)+VLOOKUP($CU82-DM$103+1,Frauen!$AZ$9:$BD$102,5)),RundDx)))</f>
        <v/>
      </c>
      <c r="DN82" s="25" t="str">
        <f>IF($CU82&gt;=RAM,"",IF($CU82-DN$103&lt;BeginnAlter,"",ROUND(v^($CU82+FaktorAlter)*$L82*$D82*0.5*(VLOOKUP($CU82-DN$103,Frauen!$G$9:$J$102,4)+VLOOKUP($CU82-DN$103+1,Frauen!$G$9:$J$102,4))*0.5*(VLOOKUP($CU82-DN$103,Frauen!$AZ$9:$BD$102,5)+VLOOKUP($CU82-DN$103+1,Frauen!$AZ$9:$BD$102,5)),RundDx)))</f>
        <v/>
      </c>
      <c r="DO82" s="25" t="str">
        <f>IF($CU82&gt;=RAM,"",IF($CU82-DO$103&lt;BeginnAlter,"",ROUND(v^($CU82+FaktorAlter)*$L82*$D82*0.5*(VLOOKUP($CU82-DO$103,Frauen!$G$9:$J$102,4)+VLOOKUP($CU82-DO$103+1,Frauen!$G$9:$J$102,4))*0.5*(VLOOKUP($CU82-DO$103,Frauen!$AZ$9:$BD$102,5)+VLOOKUP($CU82-DO$103+1,Frauen!$AZ$9:$BD$102,5)),RundDx)))</f>
        <v/>
      </c>
      <c r="DP82" s="25" t="str">
        <f>IF($CU82&gt;=RAM,"",IF($CU82-DP$103&lt;BeginnAlter,"",ROUND(v^($CU82+FaktorAlter)*$L82*$D82*0.5*(VLOOKUP($CU82-DP$103,Frauen!$G$9:$J$102,4)+VLOOKUP($CU82-DP$103+1,Frauen!$G$9:$J$102,4))*0.5*(VLOOKUP($CU82-DP$103,Frauen!$AZ$9:$BD$102,5)+VLOOKUP($CU82-DP$103+1,Frauen!$AZ$9:$BD$102,5)),RundDx)))</f>
        <v/>
      </c>
      <c r="DQ82" s="25" t="str">
        <f>IF($CU82&gt;=RAM,"",IF($CU82-DQ$103&lt;BeginnAlter,"",ROUND(v^($CU82+FaktorAlter)*$L82*$D82*0.5*(VLOOKUP($CU82-DQ$103,Frauen!$G$9:$J$102,4)+VLOOKUP($CU82-DQ$103+1,Frauen!$G$9:$J$102,4))*0.5*(VLOOKUP($CU82-DQ$103,Frauen!$AZ$9:$BD$102,5)+VLOOKUP($CU82-DQ$103+1,Frauen!$AZ$9:$BD$102,5)),RundDx)))</f>
        <v/>
      </c>
      <c r="DR82" s="25" t="str">
        <f>IF($CU82&gt;=RAM,"",IF($CU82-DR$103&lt;BeginnAlter,"",ROUND(v^($CU82+FaktorAlter)*$L82*$D82*0.5*(VLOOKUP($CU82-DR$103,Frauen!$G$9:$J$102,4)+VLOOKUP($CU82-DR$103+1,Frauen!$G$9:$J$102,4))*0.5*(VLOOKUP($CU82-DR$103,Frauen!$AZ$9:$BD$102,5)+VLOOKUP($CU82-DR$103+1,Frauen!$AZ$9:$BD$102,5)),RundDx)))</f>
        <v/>
      </c>
      <c r="DS82" s="25" t="str">
        <f>IF($CU82&gt;=RAM,"",IF($CU82-DS$103&lt;BeginnAlter,"",ROUND(v^($CU82+FaktorAlter)*$L82*$D82*0.5*(VLOOKUP($CU82-DS$103,Frauen!$G$9:$J$102,4)+VLOOKUP($CU82-DS$103+1,Frauen!$G$9:$J$102,4))*0.5*(VLOOKUP($CU82-DS$103,Frauen!$AZ$9:$BD$102,5)+VLOOKUP($CU82-DS$103+1,Frauen!$AZ$9:$BD$102,5)),RundDx)))</f>
        <v/>
      </c>
      <c r="DT82" s="25" t="str">
        <f>IF($CU82&gt;=RAM,"",IF($CU82-DT$103&lt;BeginnAlter,"",ROUND(v^($CU82+FaktorAlter)*$L82*$D82*0.5*(VLOOKUP($CU82-DT$103,Frauen!$G$9:$J$102,4)+VLOOKUP($CU82-DT$103+1,Frauen!$G$9:$J$102,4))*0.5*(VLOOKUP($CU82-DT$103,Frauen!$AZ$9:$BD$102,5)+VLOOKUP($CU82-DT$103+1,Frauen!$AZ$9:$BD$102,5)),RundDx)))</f>
        <v/>
      </c>
      <c r="DU82" s="25" t="str">
        <f>IF($CU82&gt;=RAM,"",IF($CU82-DU$103&lt;BeginnAlter,"",ROUND(v^($CU82+FaktorAlter)*$L82*$D82*0.5*(VLOOKUP($CU82-DU$103,Frauen!$G$9:$J$102,4)+VLOOKUP($CU82-DU$103+1,Frauen!$G$9:$J$102,4))*0.5*(VLOOKUP($CU82-DU$103,Frauen!$AZ$9:$BD$102,5)+VLOOKUP($CU82-DU$103+1,Frauen!$AZ$9:$BD$102,5)),RundDx)))</f>
        <v/>
      </c>
      <c r="DV82" s="25" t="str">
        <f>IF($CU82&gt;=RAM,"",IF($CU82-DV$103&lt;BeginnAlter,"",ROUND(v^($CU82+FaktorAlter)*$L82*$D82*0.5*(VLOOKUP($CU82-DV$103,Frauen!$G$9:$J$102,4)+VLOOKUP($CU82-DV$103+1,Frauen!$G$9:$J$102,4))*0.5*(VLOOKUP($CU82-DV$103,Frauen!$AZ$9:$BD$102,5)+VLOOKUP($CU82-DV$103+1,Frauen!$AZ$9:$BD$102,5)),RundDx)))</f>
        <v/>
      </c>
      <c r="DW82" s="25" t="str">
        <f>IF($CU82&gt;=RAM,"",IF($CU82-DW$103&lt;BeginnAlter,"",ROUND(v^($CU82+FaktorAlter)*$L82*$D82*0.5*(VLOOKUP($CU82-DW$103,Frauen!$G$9:$J$102,4)+VLOOKUP($CU82-DW$103+1,Frauen!$G$9:$J$102,4))*0.5*(VLOOKUP($CU82-DW$103,Frauen!$AZ$9:$BD$102,5)+VLOOKUP($CU82-DW$103+1,Frauen!$AZ$9:$BD$102,5)),RundDx)))</f>
        <v/>
      </c>
      <c r="DX82" s="25" t="str">
        <f>IF($CU82&gt;=RAM,"",IF($CU82-DX$103&lt;BeginnAlter,"",ROUND(v^($CU82+FaktorAlter)*$L82*$D82*0.5*(VLOOKUP($CU82-DX$103,Frauen!$G$9:$J$102,4)+VLOOKUP($CU82-DX$103+1,Frauen!$G$9:$J$102,4))*0.5*(VLOOKUP($CU82-DX$103,Frauen!$AZ$9:$BD$102,5)+VLOOKUP($CU82-DX$103+1,Frauen!$AZ$9:$BD$102,5)),RundDx)))</f>
        <v/>
      </c>
      <c r="DY82" s="25" t="str">
        <f>IF($CU82&gt;=RAM,"",IF($CU82-DY$103&lt;BeginnAlter,"",ROUND(v^($CU82+FaktorAlter)*$L82*$D82*0.5*(VLOOKUP($CU82-DY$103,Frauen!$G$9:$J$102,4)+VLOOKUP($CU82-DY$103+1,Frauen!$G$9:$J$102,4))*0.5*(VLOOKUP($CU82-DY$103,Frauen!$AZ$9:$BD$102,5)+VLOOKUP($CU82-DY$103+1,Frauen!$AZ$9:$BD$102,5)),RundDx)))</f>
        <v/>
      </c>
      <c r="DZ82" s="25" t="str">
        <f>IF($CU82&gt;=RAM,"",IF($CU82-DZ$103&lt;BeginnAlter,"",ROUND(v^($CU82+FaktorAlter)*$L82*$D82*0.5*(VLOOKUP($CU82-DZ$103,Frauen!$G$9:$J$102,4)+VLOOKUP($CU82-DZ$103+1,Frauen!$G$9:$J$102,4))*0.5*(VLOOKUP($CU82-DZ$103,Frauen!$AZ$9:$BD$102,5)+VLOOKUP($CU82-DZ$103+1,Frauen!$AZ$9:$BD$102,5)),RundDx)))</f>
        <v/>
      </c>
      <c r="EA82" s="43" t="str">
        <f>IF($CU82&gt;=RAM,"",IF($CU82-EA$103&lt;BeginnAlter,"",ROUND((SUM(CV$56:CV82)+SUM(FN$9:FN$56))/VLOOKUP($CU82,$AH$9:$AI$102,2)/VLOOKUP($CU82-EA$103,Frauen!$G$9:$J$102,4),Rundäx)))</f>
        <v/>
      </c>
      <c r="EB82" s="43" t="str">
        <f>IF($CU82&gt;=RAM,"",IF($CU82-EB$103&lt;BeginnAlter,"",ROUND((SUM(CW$56:CW82)+SUM(FO$9:FO$56))/VLOOKUP($CU82,$AH$9:$AI$102,2)/VLOOKUP($CU82-EB$103,Frauen!$G$9:$J$102,4),Rundäx)))</f>
        <v/>
      </c>
      <c r="EC82" s="43" t="str">
        <f>IF($CU82&gt;=RAM,"",IF($CU82-EC$103&lt;BeginnAlter,"",ROUND((SUM(CX$56:CX82)+SUM(FP$9:FP$56))/VLOOKUP($CU82,$AH$9:$AI$102,2)/VLOOKUP($CU82-EC$103,Frauen!$G$9:$J$102,4),Rundäx)))</f>
        <v/>
      </c>
      <c r="ED82" s="43" t="str">
        <f>IF($CU82&gt;=RAM,"",IF($CU82-ED$103&lt;BeginnAlter,"",ROUND((SUM(CY$56:CY82)+SUM(FQ$9:FQ$56))/VLOOKUP($CU82,$AH$9:$AI$102,2)/VLOOKUP($CU82-ED$103,Frauen!$G$9:$J$102,4),Rundäx)))</f>
        <v/>
      </c>
      <c r="EE82" s="43" t="str">
        <f>IF($CU82&gt;=RAM,"",IF($CU82-EE$103&lt;BeginnAlter,"",ROUND((SUM(CZ$56:CZ82)+SUM(FR$9:FR$56))/VLOOKUP($CU82,$AH$9:$AI$102,2)/VLOOKUP($CU82-EE$103,Frauen!$G$9:$J$102,4),Rundäx)))</f>
        <v/>
      </c>
      <c r="EF82" s="43" t="str">
        <f>IF($CU82&gt;=RAM,"",IF($CU82-EF$103&lt;BeginnAlter,"",ROUND((SUM(DA$56:DA82)+SUM(FS$9:FS$56))/VLOOKUP($CU82,$AH$9:$AI$102,2)/VLOOKUP($CU82-EF$103,Frauen!$G$9:$J$102,4),Rundäx)))</f>
        <v/>
      </c>
      <c r="EG82" s="43" t="str">
        <f>IF($CU82&gt;=RAM,"",IF($CU82-EG$103&lt;BeginnAlter,"",ROUND((SUM(DB$56:DB82)+SUM(FT$9:FT$56))/VLOOKUP($CU82,$AH$9:$AI$102,2)/VLOOKUP($CU82-EG$103,Frauen!$G$9:$J$102,4),Rundäx)))</f>
        <v/>
      </c>
      <c r="EH82" s="43" t="str">
        <f>IF($CU82&gt;=RAM,"",IF($CU82-EH$103&lt;BeginnAlter,"",ROUND((SUM(DC$56:DC82)+SUM(FU$9:FU$56))/VLOOKUP($CU82,$AH$9:$AI$102,2)/VLOOKUP($CU82-EH$103,Frauen!$G$9:$J$102,4),Rundäx)))</f>
        <v/>
      </c>
      <c r="EI82" s="86"/>
      <c r="EJ82" s="35">
        <f t="shared" si="133"/>
        <v>90</v>
      </c>
      <c r="EK82" s="43" t="str">
        <f>IF($CU82&gt;=RAM,"",IF($CU82-EK$103&lt;BeginnAlter,"",ROUND((SUM(DD$56:DD82)+SUM(FV$9:FV$56))/VLOOKUP($CU82,$AH$9:$AI$102,2)/VLOOKUP($CU82-EK$103,Frauen!$G$9:$J$102,4),Rundäx)))</f>
        <v/>
      </c>
      <c r="EL82" s="43" t="str">
        <f>IF($CU82&gt;=RAM,"",IF($CU82-EL$103&lt;BeginnAlter,"",ROUND((SUM(DE$56:DE82)+SUM(FW$9:FW$56))/VLOOKUP($CU82,$AH$9:$AI$102,2)/VLOOKUP($CU82-EL$103,Frauen!$G$9:$J$102,4),Rundäx)))</f>
        <v/>
      </c>
      <c r="EM82" s="43" t="str">
        <f>IF($CU82&gt;=RAM,"",IF($CU82-EM$103&lt;BeginnAlter,"",ROUND((SUM(DF$56:DF82)+SUM(FX$9:FX$56))/VLOOKUP($CU82,$AH$9:$AI$102,2)/VLOOKUP($CU82-EM$103,Frauen!$G$9:$J$102,4),Rundäx)))</f>
        <v/>
      </c>
      <c r="EN82" s="43" t="str">
        <f>IF($CU82&gt;=RAM,"",IF($CU82-EN$103&lt;BeginnAlter,"",ROUND((SUM(DG$56:DG82)+SUM(FY$9:FY$56))/VLOOKUP($CU82,$AH$9:$AI$102,2)/VLOOKUP($CU82-EN$103,Frauen!$G$9:$J$102,4),Rundäx)))</f>
        <v/>
      </c>
      <c r="EO82" s="43" t="str">
        <f>IF($CU82&gt;=RAM,"",IF($CU82-EO$103&lt;BeginnAlter,"",ROUND((SUM(DH$56:DH82)+SUM(FZ$9:FZ$56))/VLOOKUP($CU82,$AH$9:$AI$102,2)/VLOOKUP($CU82-EO$103,Frauen!$G$9:$J$102,4),Rundäx)))</f>
        <v/>
      </c>
      <c r="EP82" s="43" t="str">
        <f>IF($CU82&gt;=RAM,"",IF($CU82-EP$103&lt;BeginnAlter,"",ROUND((SUM(DI$56:DI82)+SUM(GA$9:GA$56))/VLOOKUP($CU82,$AH$9:$AI$102,2)/VLOOKUP($CU82-EP$103,Frauen!$G$9:$J$102,4),Rundäx)))</f>
        <v/>
      </c>
      <c r="EQ82" s="43" t="str">
        <f>IF($CU82&gt;=RAM,"",IF($CU82-EQ$103&lt;BeginnAlter,"",ROUND((SUM(DJ$56:DJ82)+SUM(GB$9:GB$56))/VLOOKUP($CU82,$AH$9:$AI$102,2)/VLOOKUP($CU82-EQ$103,Frauen!$G$9:$J$102,4),Rundäx)))</f>
        <v/>
      </c>
      <c r="ER82" s="43" t="str">
        <f>IF($CU82&gt;=RAM,"",IF($CU82-ER$103&lt;BeginnAlter,"",ROUND((SUM(DK$56:DK82)+SUM(GC$9:GC$56))/VLOOKUP($CU82,$AH$9:$AI$102,2)/VLOOKUP($CU82-ER$103,Frauen!$G$9:$J$102,4),Rundäx)))</f>
        <v/>
      </c>
      <c r="ES82" s="86"/>
      <c r="ET82" s="35">
        <f t="shared" si="134"/>
        <v>90</v>
      </c>
      <c r="EU82" s="43" t="str">
        <f>IF($CU82&gt;=RAM,"",IF($CU82-EU$103&lt;BeginnAlter,"",ROUND((SUM(DL$56:DL82)+SUM(GD$9:GD$56))/VLOOKUP($CU82,$AH$9:$AI$102,2)/VLOOKUP($CU82-EU$103,Frauen!$G$9:$J$102,4),Rundäx)))</f>
        <v/>
      </c>
      <c r="EV82" s="43" t="str">
        <f>IF($CU82&gt;=RAM,"",IF($CU82-EV$103&lt;BeginnAlter,"",ROUND((SUM(DM$56:DM82)+SUM(GE$9:GE$56))/VLOOKUP($CU82,$AH$9:$AI$102,2)/VLOOKUP($CU82-EV$103,Frauen!$G$9:$J$102,4),Rundäx)))</f>
        <v/>
      </c>
      <c r="EW82" s="43" t="str">
        <f>IF($CU82&gt;=RAM,"",IF($CU82-EW$103&lt;BeginnAlter,"",ROUND((SUM(DN$56:DN82)+SUM(GF$9:GF$56))/VLOOKUP($CU82,$AH$9:$AI$102,2)/VLOOKUP($CU82-EW$103,Frauen!$G$9:$J$102,4),Rundäx)))</f>
        <v/>
      </c>
      <c r="EX82" s="43" t="str">
        <f>IF($CU82&gt;=RAM,"",IF($CU82-EX$103&lt;BeginnAlter,"",ROUND((SUM(DO$56:DO82)+SUM(GG$9:GG$56))/VLOOKUP($CU82,$AH$9:$AI$102,2)/VLOOKUP($CU82-EX$103,Frauen!$G$9:$J$102,4),Rundäx)))</f>
        <v/>
      </c>
      <c r="EY82" s="43" t="str">
        <f>IF($CU82&gt;=RAM,"",IF($CU82-EY$103&lt;BeginnAlter,"",ROUND((SUM(DP$56:DP82)+SUM(GH$9:GH$56))/VLOOKUP($CU82,$AH$9:$AI$102,2)/VLOOKUP($CU82-EY$103,Frauen!$G$9:$J$102,4),Rundäx)))</f>
        <v/>
      </c>
      <c r="EZ82" s="43" t="str">
        <f>IF($CU82&gt;=RAM,"",IF($CU82-EZ$103&lt;BeginnAlter,"",ROUND((SUM(DQ$56:DQ82)+SUM(GI$9:GI$56))/VLOOKUP($CU82,$AH$9:$AI$102,2)/VLOOKUP($CU82-EZ$103,Frauen!$G$9:$J$102,4),Rundäx)))</f>
        <v/>
      </c>
      <c r="FA82" s="43" t="str">
        <f>IF($CU82&gt;=RAM,"",IF($CU82-FA$103&lt;BeginnAlter,"",ROUND((SUM(DR$56:DR82)+SUM(GJ$9:GJ$56))/VLOOKUP($CU82,$AH$9:$AI$102,2)/VLOOKUP($CU82-FA$103,Frauen!$G$9:$J$102,4),Rundäx)))</f>
        <v/>
      </c>
      <c r="FB82" s="43" t="str">
        <f>IF($CU82&gt;=RAM,"",IF($CU82-FB$103&lt;BeginnAlter,"",ROUND((SUM(DS$56:DS82)+SUM(GK$9:GK$56))/VLOOKUP($CU82,$AH$9:$AI$102,2)/VLOOKUP($CU82-FB$103,Frauen!$G$9:$J$102,4),Rundäx)))</f>
        <v/>
      </c>
      <c r="FC82" s="86"/>
      <c r="FD82" s="35">
        <f t="shared" si="135"/>
        <v>90</v>
      </c>
      <c r="FE82" s="43" t="str">
        <f>IF($CU82&gt;=RAM,"",IF($CU82-FE$103&lt;BeginnAlter,"",ROUND((SUM(DT$56:DT82)+SUM(GL$9:GL$56))/VLOOKUP($CU82,$AH$9:$AI$102,2)/VLOOKUP($CU82-FE$103,Frauen!$G$9:$J$102,4),Rundäx)))</f>
        <v/>
      </c>
      <c r="FF82" s="43" t="str">
        <f>IF($CU82&gt;=RAM,"",IF($CU82-FF$103&lt;BeginnAlter,"",ROUND((SUM(DU$56:DU82)+SUM(GM$9:GM$56))/VLOOKUP($CU82,$AH$9:$AI$102,2)/VLOOKUP($CU82-FF$103,Frauen!$G$9:$J$102,4),Rundäx)))</f>
        <v/>
      </c>
      <c r="FG82" s="43" t="str">
        <f>IF($CU82&gt;=RAM,"",IF($CU82-FG$103&lt;BeginnAlter,"",ROUND((SUM(DV$56:DV82)+SUM(GN$9:GN$56))/VLOOKUP($CU82,$AH$9:$AI$102,2)/VLOOKUP($CU82-FG$103,Frauen!$G$9:$J$102,4),Rundäx)))</f>
        <v/>
      </c>
      <c r="FH82" s="43" t="str">
        <f>IF($CU82&gt;=RAM,"",IF($CU82-FH$103&lt;BeginnAlter,"",ROUND((SUM(DW$56:DW82)+SUM(GO$9:GO$56))/VLOOKUP($CU82,$AH$9:$AI$102,2)/VLOOKUP($CU82-FH$103,Frauen!$G$9:$J$102,4),Rundäx)))</f>
        <v/>
      </c>
      <c r="FI82" s="43" t="str">
        <f>IF($CU82&gt;=RAM,"",IF($CU82-FI$103&lt;BeginnAlter,"",ROUND((SUM(DX$56:DX82)+SUM(GP$9:GP$56))/VLOOKUP($CU82,$AH$9:$AI$102,2)/VLOOKUP($CU82-FI$103,Frauen!$G$9:$J$102,4),Rundäx)))</f>
        <v/>
      </c>
      <c r="FJ82" s="43" t="str">
        <f>IF($CU82&gt;=RAM,"",IF($CU82-FJ$103&lt;BeginnAlter,"",ROUND((SUM(DY$56:DY82)+SUM(GQ$9:GQ$56))/VLOOKUP($CU82,$AH$9:$AI$102,2)/VLOOKUP($CU82-FJ$103,Frauen!$G$9:$J$102,4),Rundäx)))</f>
        <v/>
      </c>
      <c r="FK82" s="43" t="str">
        <f>IF($CU82&gt;=RAM,"",IF($CU82-FK$103&lt;BeginnAlter,"",ROUND((SUM(DZ$56:DZ82)+SUM(GR$9:GR$56))/VLOOKUP($CU82,$AH$9:$AI$102,2)/VLOOKUP($CU82-FK$103,Frauen!$G$9:$J$102,4),Rundäx)))</f>
        <v/>
      </c>
      <c r="FL82" s="86"/>
      <c r="FM82" s="35">
        <f t="shared" si="136"/>
        <v>138</v>
      </c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4"/>
      <c r="GT82" s="24"/>
      <c r="GU82" s="24" t="str">
        <f>IF(FM82&gt;=RAM," ",#REF!/$AI82/Frauen!$J70)</f>
        <v xml:space="preserve"> </v>
      </c>
      <c r="GV82" s="24" t="str">
        <f>IF(FM82&gt;=RAM," ",#REF!/$AI82/Frauen!$J73)</f>
        <v xml:space="preserve"> </v>
      </c>
      <c r="GW82" s="24" t="str">
        <f>IF(FM82&gt;=RAM," ",#REF!/$AI82/Frauen!$J76)</f>
        <v xml:space="preserve"> </v>
      </c>
      <c r="GX82" s="24" t="str">
        <f>IF(FM82&gt;=RAM," ",#REF!/$AI82/Frauen!$J79)</f>
        <v xml:space="preserve"> </v>
      </c>
      <c r="GY82" s="24" t="str">
        <f>IF(FM82&gt;=RAM," ",#REF!/$AI82/Frauen!$J82)</f>
        <v xml:space="preserve"> </v>
      </c>
      <c r="GZ82" s="24" t="str">
        <f>IF(FM82&gt;=RAM," ",#REF!/$AI82/Frauen!$J85)</f>
        <v xml:space="preserve"> </v>
      </c>
      <c r="HA82" s="86"/>
      <c r="HB82" s="35">
        <f t="shared" si="137"/>
        <v>138</v>
      </c>
      <c r="HC82" s="24"/>
      <c r="HD82" s="24"/>
      <c r="HE82" s="24"/>
      <c r="HF82" s="24"/>
      <c r="HG82" s="24"/>
      <c r="HH82" s="24"/>
      <c r="HI82" s="24"/>
      <c r="HJ82" s="24"/>
      <c r="HK82" s="86"/>
      <c r="HL82" s="35">
        <f t="shared" si="138"/>
        <v>138</v>
      </c>
      <c r="HM82" s="24"/>
      <c r="HN82" s="24"/>
      <c r="HO82" s="24"/>
      <c r="HP82" s="24"/>
      <c r="HQ82" s="24"/>
      <c r="HR82" s="24"/>
      <c r="HS82" s="24"/>
      <c r="HT82" s="24"/>
      <c r="HU82" s="86"/>
      <c r="HV82" s="35">
        <f t="shared" si="139"/>
        <v>138</v>
      </c>
      <c r="HW82" s="24"/>
      <c r="HX82" s="24"/>
      <c r="HY82" s="24"/>
      <c r="HZ82" s="24"/>
      <c r="IA82" s="24"/>
      <c r="IB82" s="24"/>
      <c r="IC82" s="24"/>
      <c r="ID82" s="89"/>
      <c r="IE82" s="35">
        <f t="shared" si="140"/>
        <v>90</v>
      </c>
      <c r="IF82" s="25" t="str">
        <f t="shared" si="112"/>
        <v/>
      </c>
      <c r="IG82" s="25" t="str">
        <f>IF($IE82&lt;RAM,IF(S83&lt;=RAK,ROUND(SUM(IF82:INDEX(Dakx,RAM-BeginnAlter))+INDEX(Dax,RAM-BeginnAlter+1)*INDEX(äkx,1),RundDx),0),"")</f>
        <v/>
      </c>
      <c r="IH82" s="25" t="str">
        <f>IF($IE82&lt;RAM,IF(S83&lt;=RAK,ROUND(SUM(IG82:INDEX(Nakx,RAM-BeginnAlter))+INDEX(Dax,RAM-BeginnAlter+1)*INDEX(äkx,1),RundDx),0),"")</f>
        <v/>
      </c>
      <c r="II82" s="24" t="str">
        <f t="shared" si="113"/>
        <v/>
      </c>
      <c r="IJ82" s="25" t="str">
        <f t="shared" si="114"/>
        <v/>
      </c>
      <c r="IK82" s="25" t="str">
        <f>IF($IE82&lt;RAM,IF(S83&lt;=RAK,SUM(IJ82:INDEX(Dikx,RAM-BeginnAlter))+INDEX(Dix,RAM-BeginnAlter+1)*INDEX(äkx,1),0),"")</f>
        <v/>
      </c>
      <c r="IL82" s="24" t="str">
        <f t="shared" si="115"/>
        <v/>
      </c>
      <c r="IM82" s="86"/>
      <c r="IN82" s="35">
        <f t="shared" si="141"/>
        <v>138</v>
      </c>
      <c r="IO82" s="25"/>
      <c r="IP82" s="25"/>
      <c r="IQ82" s="24"/>
      <c r="IR82" s="86"/>
    </row>
    <row r="83" spans="1:252" ht="15.75" customHeight="1" x14ac:dyDescent="0.25">
      <c r="A83" s="35">
        <f t="shared" si="120"/>
        <v>91</v>
      </c>
      <c r="B83" s="77"/>
      <c r="C83" s="77"/>
      <c r="D83" s="77"/>
      <c r="E83" s="77">
        <v>0.20737958303261017</v>
      </c>
      <c r="F83" s="86"/>
      <c r="G83" s="35">
        <f t="shared" si="121"/>
        <v>91</v>
      </c>
      <c r="H83" s="25" t="str">
        <f t="shared" si="116"/>
        <v/>
      </c>
      <c r="I83" s="25" t="str">
        <f t="shared" si="117"/>
        <v/>
      </c>
      <c r="J83" s="25">
        <f t="shared" si="118"/>
        <v>14896</v>
      </c>
      <c r="K83" s="30">
        <f>IF(J83&gt;0,ROUND(SUM(J83:J$102)/J83-0.5,Rundex),"")</f>
        <v>3.14</v>
      </c>
      <c r="L83" s="25">
        <f t="shared" si="82"/>
        <v>14896</v>
      </c>
      <c r="M83" s="30">
        <f>IF(L83&gt;0,ROUND(SUM(L83:L$102)/L83-0.5,Rundex),"")</f>
        <v>3.14</v>
      </c>
      <c r="N83" s="86"/>
      <c r="O83" s="35">
        <f t="shared" si="122"/>
        <v>91</v>
      </c>
      <c r="P83" s="43">
        <v>0.47251788074597467</v>
      </c>
      <c r="Q83" s="78">
        <v>84.593068498348188</v>
      </c>
      <c r="R83" s="43"/>
      <c r="S83" s="78"/>
      <c r="T83" s="15">
        <v>0.20737958303261017</v>
      </c>
      <c r="U83" s="11">
        <f t="shared" si="119"/>
        <v>11296</v>
      </c>
      <c r="V83" s="30">
        <f>IF(U83&gt;0,ROUND(SUM(U83:U$102)/U83-0.5,Rundex),"")</f>
        <v>3.14</v>
      </c>
      <c r="W83" s="86"/>
      <c r="X83" s="35">
        <f t="shared" si="123"/>
        <v>91</v>
      </c>
      <c r="Y83" s="25" t="str">
        <f t="shared" si="83"/>
        <v xml:space="preserve"> </v>
      </c>
      <c r="Z83" s="25" t="str">
        <f>IF($X83&lt;RAM,SUM(Y83:INDEX(Dax,RAM-BeginnAlter))," ")</f>
        <v xml:space="preserve"> </v>
      </c>
      <c r="AA83" s="25" t="str">
        <f t="shared" si="84"/>
        <v xml:space="preserve"> </v>
      </c>
      <c r="AB83" s="25" t="str">
        <f>IF($X83&lt;RAM,SUM(AA83:INDEX(Cax,RAM-BeginnAlter))," ")</f>
        <v xml:space="preserve"> </v>
      </c>
      <c r="AC83" s="25" t="str">
        <f t="shared" si="85"/>
        <v xml:space="preserve"> </v>
      </c>
      <c r="AD83" s="25" t="str">
        <f>IF($X83&lt;RAM,SUM(AC83:INDEX(Caix,RAM-BeginnAlter))," ")</f>
        <v xml:space="preserve"> </v>
      </c>
      <c r="AE83" s="24" t="str">
        <f t="shared" si="86"/>
        <v xml:space="preserve"> </v>
      </c>
      <c r="AF83" s="24" t="str">
        <f t="shared" si="87"/>
        <v xml:space="preserve"> </v>
      </c>
      <c r="AG83" s="86"/>
      <c r="AH83" s="35">
        <f t="shared" si="124"/>
        <v>91</v>
      </c>
      <c r="AI83" s="25" t="str">
        <f t="shared" si="88"/>
        <v xml:space="preserve"> </v>
      </c>
      <c r="AJ83" s="25" t="str">
        <f>IF($AH83&gt;RAM," ",IF($AH83&lt;RAM,SUM(AI83:INDEX(Dix,RAM-BeginnAlter))+INDEX(Nx,RAM-BeginnAlter+1),INDEX(Nx,RAM-BeginnAlter+1)))</f>
        <v xml:space="preserve"> </v>
      </c>
      <c r="AK83" s="25" t="str">
        <f>IF($AH83&lt;RAM,SUM(AI83:INDEX(Dix,RAM-BeginnAlter))," ")</f>
        <v xml:space="preserve"> </v>
      </c>
      <c r="AL83" s="24" t="str">
        <f t="shared" si="89"/>
        <v xml:space="preserve"> </v>
      </c>
      <c r="AM83" s="24" t="str">
        <f t="shared" si="90"/>
        <v xml:space="preserve"> </v>
      </c>
      <c r="AN83" s="24" t="str">
        <f t="shared" si="91"/>
        <v xml:space="preserve"> </v>
      </c>
      <c r="AO83" s="24" t="str">
        <f t="shared" si="92"/>
        <v xml:space="preserve"> </v>
      </c>
      <c r="AP83" s="86"/>
      <c r="AQ83" s="35">
        <f t="shared" si="125"/>
        <v>91</v>
      </c>
      <c r="AR83" s="25">
        <f t="shared" si="93"/>
        <v>1967</v>
      </c>
      <c r="AS83" s="25">
        <f>SUM(AR83:AR$94)</f>
        <v>6848</v>
      </c>
      <c r="AT83" s="25" t="str">
        <f>IF($AQ83&lt;RAM,SUM(AR83:INDEX(Dx,RAM-BeginnAlter))," ")</f>
        <v xml:space="preserve"> </v>
      </c>
      <c r="AU83" s="24">
        <f t="shared" si="94"/>
        <v>3.4809999999999999</v>
      </c>
      <c r="AV83" s="24">
        <f t="shared" si="95"/>
        <v>3.0230000000000001</v>
      </c>
      <c r="AW83" s="24" t="str">
        <f t="shared" si="96"/>
        <v xml:space="preserve"> </v>
      </c>
      <c r="AX83" s="24" t="str">
        <f t="shared" si="97"/>
        <v xml:space="preserve"> </v>
      </c>
      <c r="AY83" s="86"/>
      <c r="AZ83" s="35">
        <f t="shared" si="126"/>
        <v>91</v>
      </c>
      <c r="BA83" s="25">
        <f t="shared" si="98"/>
        <v>1491</v>
      </c>
      <c r="BB83" s="25">
        <f>SUM(BA83:BA$94)</f>
        <v>5192</v>
      </c>
      <c r="BC83" s="24">
        <f t="shared" si="99"/>
        <v>3.4820000000000002</v>
      </c>
      <c r="BD83" s="24">
        <f t="shared" si="100"/>
        <v>3.024</v>
      </c>
      <c r="BE83" s="86"/>
      <c r="BF83" s="35">
        <f t="shared" si="127"/>
        <v>74</v>
      </c>
      <c r="BG83" s="24" t="str">
        <f t="shared" si="101"/>
        <v/>
      </c>
      <c r="BH83" s="24" t="str">
        <f t="shared" si="102"/>
        <v/>
      </c>
      <c r="BI83" s="86"/>
      <c r="BJ83" s="35">
        <f t="shared" si="128"/>
        <v>91</v>
      </c>
      <c r="BK83" s="25" t="str">
        <f t="shared" si="103"/>
        <v xml:space="preserve"> </v>
      </c>
      <c r="BL83" s="25" t="str">
        <f>IF(BJ83&lt;RAM,SUM(BK83:INDEX(Daix,RAM-BeginnAlter))," ")</f>
        <v xml:space="preserve"> </v>
      </c>
      <c r="BM83" s="25" t="str">
        <f>IF(BJ83&lt;RAM,SUM(BL83:INDEX(Naix,RAM-BeginnAlter))," ")</f>
        <v xml:space="preserve"> </v>
      </c>
      <c r="BN83" s="24" t="str">
        <f t="shared" si="104"/>
        <v xml:space="preserve"> </v>
      </c>
      <c r="BO83" s="24" t="str">
        <f t="shared" si="105"/>
        <v xml:space="preserve"> </v>
      </c>
      <c r="BP83" s="86"/>
      <c r="BQ83" s="35">
        <f t="shared" si="129"/>
        <v>91</v>
      </c>
      <c r="BR83" s="25" t="str">
        <f t="shared" si="142"/>
        <v xml:space="preserve"> </v>
      </c>
      <c r="BS83" s="25" t="str">
        <f>IF(BQ83&lt;RAM,SUM(BR83:INDEX(Daixs,RAM-BeginnAlter))," ")</f>
        <v xml:space="preserve"> </v>
      </c>
      <c r="BT83" s="25" t="str">
        <f>IF(BQ83&lt;RAM,SUM(BS83:INDEX(Naixs,RAM-BeginnAlter))," ")</f>
        <v xml:space="preserve"> </v>
      </c>
      <c r="BU83" s="24" t="str">
        <f t="shared" si="143"/>
        <v xml:space="preserve"> </v>
      </c>
      <c r="BV83" s="24" t="str">
        <f t="shared" si="144"/>
        <v xml:space="preserve"> </v>
      </c>
      <c r="BW83" s="86"/>
      <c r="BX83" s="35">
        <f t="shared" si="130"/>
        <v>91</v>
      </c>
      <c r="BY83" s="10" t="str">
        <f t="shared" si="106"/>
        <v/>
      </c>
      <c r="BZ83" s="11" t="str">
        <f t="shared" si="107"/>
        <v/>
      </c>
      <c r="CA83" s="25" t="str">
        <f>IF(S84&lt;=RAK,IF($BX83&lt;RAM,SUM(BZ83:INDEX(Dazx,RAM-BeginnAlter)),""),"")</f>
        <v/>
      </c>
      <c r="CB83" s="24" t="str">
        <f t="shared" si="108"/>
        <v/>
      </c>
      <c r="CC83" s="25">
        <f t="shared" si="109"/>
        <v>0</v>
      </c>
      <c r="CD83" s="24">
        <f t="shared" si="110"/>
        <v>0</v>
      </c>
      <c r="CE83" s="24" t="str">
        <f t="shared" si="111"/>
        <v/>
      </c>
      <c r="CF83" s="86"/>
      <c r="CG83" s="35">
        <f t="shared" si="131"/>
        <v>91</v>
      </c>
      <c r="CH83" s="25" t="str">
        <f>IF(CG83&lt;RAM,ROUND(v^($CG83+FaktorAlter)*$H83*($B83*0.5*($P83+$P84)*(VLOOKUP(TRUNC(0.5*($Q83+$Q84),0),Frauen!$AZ$9:$BD$95,5)+(0.5*($Q83+$Q84)-TRUNC(0.5*($Q83+$Q84),0))*(VLOOKUP(TRUNC(0.5*($Q83+$Q84)+1,0),Frauen!$AZ$9:$BD$95,5)-VLOOKUP(TRUNC(0.5*($Q83+$Q84),0),Frauen!$AZ$9:$BD$95,5)))+$C83*0.5*($CN83+$CN84)),RundDx),"")</f>
        <v/>
      </c>
      <c r="CI83" s="25" t="str">
        <f>IF(CG83&lt;RAM,ROUND(SUM(CH83:INDEX(Dawx,RAM-BeginnAlter))+INDEX(Dax,RAM-BeginnAlter+1)*INDEX(äwx,1),RundDx),"")</f>
        <v/>
      </c>
      <c r="CJ83" s="25" t="str">
        <f>IF(CG83&lt;RAM,ROUND(SUM(CI83:INDEX(Nawx,RAM-BeginnAlter))+INDEX(Dax,RAM-BeginnAlter+1)*INDEX(äwx,1),RundDx),"")</f>
        <v/>
      </c>
      <c r="CK83" s="24" t="str">
        <f t="shared" si="145"/>
        <v/>
      </c>
      <c r="CL83" s="25" t="str">
        <f>IF(CG83&lt;RAM,ROUND(v^($CG83+FaktorAlter)*$L83*$D83*0.5*($P83+$P84)*(VLOOKUP(TRUNC(0.5*($Q83+$Q84),0),Frauen!$AZ$9:$BD$95,5)+(0.5*($Q83+$Q84)-TRUNC(0.5*($Q83+$Q84),0))*(VLOOKUP(TRUNC(0.5*($Q83+$Q84)+1,0),Frauen!$AZ$9:$BD$95,5)-VLOOKUP(TRUNC(0.5*($Q83+$Q84),0),Frauen!$AZ$9:$BD$95,5))),RundDx),"")</f>
        <v/>
      </c>
      <c r="CM83" s="25" t="str">
        <f>IF(CG83&lt;RAM,SUM(CL83:INDEX(Diwx,RAM-BeginnAlter))+INDEX(Dix,RAM-BeginnAlter+1)*INDEX(äwx,1),"")</f>
        <v/>
      </c>
      <c r="CN83" s="24" t="str">
        <f t="shared" si="146"/>
        <v/>
      </c>
      <c r="CO83" s="86"/>
      <c r="CP83" s="35">
        <f t="shared" si="147"/>
        <v>139</v>
      </c>
      <c r="CQ83" s="25"/>
      <c r="CR83" s="25"/>
      <c r="CS83" s="24"/>
      <c r="CT83" s="86"/>
      <c r="CU83" s="35">
        <f t="shared" si="132"/>
        <v>91</v>
      </c>
      <c r="CV83" s="25" t="str">
        <f>IF($CU83&gt;=RAM,"",IF($CU83-CV$103&lt;BeginnAlter,"",ROUND(v^($CU83+FaktorAlter)*$L83*$D83*0.5*(VLOOKUP($CU83-CV$103,Frauen!$G$9:$J$102,4)+VLOOKUP($CU83-CV$103+1,Frauen!$G$9:$J$102,4))*0.5*(VLOOKUP($CU83-CV$103,Frauen!$AZ$9:$BD$102,5)+VLOOKUP($CU83-CV$103+1,Frauen!$AZ$9:$BD$102,5)),RundDx)))</f>
        <v/>
      </c>
      <c r="CW83" s="25" t="str">
        <f>IF($CU83&gt;=RAM,"",IF($CU83-CW$103&lt;BeginnAlter,"",ROUND(v^($CU83+FaktorAlter)*$L83*$D83*0.5*(VLOOKUP($CU83-CW$103,Frauen!$G$9:$J$102,4)+VLOOKUP($CU83-CW$103+1,Frauen!$G$9:$J$102,4))*0.5*(VLOOKUP($CU83-CW$103,Frauen!$AZ$9:$BD$102,5)+VLOOKUP($CU83-CW$103+1,Frauen!$AZ$9:$BD$102,5)),RundDx)))</f>
        <v/>
      </c>
      <c r="CX83" s="25" t="str">
        <f>IF($CU83&gt;=RAM,"",IF($CU83-CX$103&lt;BeginnAlter,"",ROUND(v^($CU83+FaktorAlter)*$L83*$D83*0.5*(VLOOKUP($CU83-CX$103,Frauen!$G$9:$J$102,4)+VLOOKUP($CU83-CX$103+1,Frauen!$G$9:$J$102,4))*0.5*(VLOOKUP($CU83-CX$103,Frauen!$AZ$9:$BD$102,5)+VLOOKUP($CU83-CX$103+1,Frauen!$AZ$9:$BD$102,5)),RundDx)))</f>
        <v/>
      </c>
      <c r="CY83" s="25" t="str">
        <f>IF($CU83&gt;=RAM,"",IF($CU83-CY$103&lt;BeginnAlter,"",ROUND(v^($CU83+FaktorAlter)*$L83*$D83*0.5*(VLOOKUP($CU83-CY$103,Frauen!$G$9:$J$102,4)+VLOOKUP($CU83-CY$103+1,Frauen!$G$9:$J$102,4))*0.5*(VLOOKUP($CU83-CY$103,Frauen!$AZ$9:$BD$102,5)+VLOOKUP($CU83-CY$103+1,Frauen!$AZ$9:$BD$102,5)),RundDx)))</f>
        <v/>
      </c>
      <c r="CZ83" s="25" t="str">
        <f>IF($CU83&gt;=RAM,"",IF($CU83-CZ$103&lt;BeginnAlter,"",ROUND(v^($CU83+FaktorAlter)*$L83*$D83*0.5*(VLOOKUP($CU83-CZ$103,Frauen!$G$9:$J$102,4)+VLOOKUP($CU83-CZ$103+1,Frauen!$G$9:$J$102,4))*0.5*(VLOOKUP($CU83-CZ$103,Frauen!$AZ$9:$BD$102,5)+VLOOKUP($CU83-CZ$103+1,Frauen!$AZ$9:$BD$102,5)),RundDx)))</f>
        <v/>
      </c>
      <c r="DA83" s="25" t="str">
        <f>IF($CU83&gt;=RAM,"",IF($CU83-DA$103&lt;BeginnAlter,"",ROUND(v^($CU83+FaktorAlter)*$L83*$D83*0.5*(VLOOKUP($CU83-DA$103,Frauen!$G$9:$J$102,4)+VLOOKUP($CU83-DA$103+1,Frauen!$G$9:$J$102,4))*0.5*(VLOOKUP($CU83-DA$103,Frauen!$AZ$9:$BD$102,5)+VLOOKUP($CU83-DA$103+1,Frauen!$AZ$9:$BD$102,5)),RundDx)))</f>
        <v/>
      </c>
      <c r="DB83" s="25" t="str">
        <f>IF($CU83&gt;=RAM,"",IF($CU83-DB$103&lt;BeginnAlter,"",ROUND(v^($CU83+FaktorAlter)*$L83*$D83*0.5*(VLOOKUP($CU83-DB$103,Frauen!$G$9:$J$102,4)+VLOOKUP($CU83-DB$103+1,Frauen!$G$9:$J$102,4))*0.5*(VLOOKUP($CU83-DB$103,Frauen!$AZ$9:$BD$102,5)+VLOOKUP($CU83-DB$103+1,Frauen!$AZ$9:$BD$102,5)),RundDx)))</f>
        <v/>
      </c>
      <c r="DC83" s="25" t="str">
        <f>IF($CU83&gt;=RAM,"",IF($CU83-DC$103&lt;BeginnAlter,"",ROUND(v^($CU83+FaktorAlter)*$L83*$D83*0.5*(VLOOKUP($CU83-DC$103,Frauen!$G$9:$J$102,4)+VLOOKUP($CU83-DC$103+1,Frauen!$G$9:$J$102,4))*0.5*(VLOOKUP($CU83-DC$103,Frauen!$AZ$9:$BD$102,5)+VLOOKUP($CU83-DC$103+1,Frauen!$AZ$9:$BD$102,5)),RundDx)))</f>
        <v/>
      </c>
      <c r="DD83" s="25" t="str">
        <f>IF($CU83&gt;=RAM,"",IF($CU83-DD$103&lt;BeginnAlter,"",ROUND(v^($CU83+FaktorAlter)*$L83*$D83*0.5*(VLOOKUP($CU83-DD$103,Frauen!$G$9:$J$102,4)+VLOOKUP($CU83-DD$103+1,Frauen!$G$9:$J$102,4))*0.5*(VLOOKUP($CU83-DD$103,Frauen!$AZ$9:$BD$102,5)+VLOOKUP($CU83-DD$103+1,Frauen!$AZ$9:$BD$102,5)),RundDx)))</f>
        <v/>
      </c>
      <c r="DE83" s="25" t="str">
        <f>IF($CU83&gt;=RAM,"",IF($CU83-DE$103&lt;BeginnAlter,"",ROUND(v^($CU83+FaktorAlter)*$L83*$D83*0.5*(VLOOKUP($CU83-DE$103,Frauen!$G$9:$J$102,4)+VLOOKUP($CU83-DE$103+1,Frauen!$G$9:$J$102,4))*0.5*(VLOOKUP($CU83-DE$103,Frauen!$AZ$9:$BD$102,5)+VLOOKUP($CU83-DE$103+1,Frauen!$AZ$9:$BD$102,5)),RundDx)))</f>
        <v/>
      </c>
      <c r="DF83" s="25" t="str">
        <f>IF($CU83&gt;=RAM,"",IF($CU83-DF$103&lt;BeginnAlter,"",ROUND(v^($CU83+FaktorAlter)*$L83*$D83*0.5*(VLOOKUP($CU83-DF$103,Frauen!$G$9:$J$102,4)+VLOOKUP($CU83-DF$103+1,Frauen!$G$9:$J$102,4))*0.5*(VLOOKUP($CU83-DF$103,Frauen!$AZ$9:$BD$102,5)+VLOOKUP($CU83-DF$103+1,Frauen!$AZ$9:$BD$102,5)),RundDx)))</f>
        <v/>
      </c>
      <c r="DG83" s="25" t="str">
        <f>IF($CU83&gt;=RAM,"",IF($CU83-DG$103&lt;BeginnAlter,"",ROUND(v^($CU83+FaktorAlter)*$L83*$D83*0.5*(VLOOKUP($CU83-DG$103,Frauen!$G$9:$J$102,4)+VLOOKUP($CU83-DG$103+1,Frauen!$G$9:$J$102,4))*0.5*(VLOOKUP($CU83-DG$103,Frauen!$AZ$9:$BD$102,5)+VLOOKUP($CU83-DG$103+1,Frauen!$AZ$9:$BD$102,5)),RundDx)))</f>
        <v/>
      </c>
      <c r="DH83" s="25" t="str">
        <f>IF($CU83&gt;=RAM,"",IF($CU83-DH$103&lt;BeginnAlter,"",ROUND(v^($CU83+FaktorAlter)*$L83*$D83*0.5*(VLOOKUP($CU83-DH$103,Frauen!$G$9:$J$102,4)+VLOOKUP($CU83-DH$103+1,Frauen!$G$9:$J$102,4))*0.5*(VLOOKUP($CU83-DH$103,Frauen!$AZ$9:$BD$102,5)+VLOOKUP($CU83-DH$103+1,Frauen!$AZ$9:$BD$102,5)),RundDx)))</f>
        <v/>
      </c>
      <c r="DI83" s="25" t="str">
        <f>IF($CU83&gt;=RAM,"",IF($CU83-DI$103&lt;BeginnAlter,"",ROUND(v^($CU83+FaktorAlter)*$L83*$D83*0.5*(VLOOKUP($CU83-DI$103,Frauen!$G$9:$J$102,4)+VLOOKUP($CU83-DI$103+1,Frauen!$G$9:$J$102,4))*0.5*(VLOOKUP($CU83-DI$103,Frauen!$AZ$9:$BD$102,5)+VLOOKUP($CU83-DI$103+1,Frauen!$AZ$9:$BD$102,5)),RundDx)))</f>
        <v/>
      </c>
      <c r="DJ83" s="25" t="str">
        <f>IF($CU83&gt;=RAM,"",IF($CU83-DJ$103&lt;BeginnAlter,"",ROUND(v^($CU83+FaktorAlter)*$L83*$D83*0.5*(VLOOKUP($CU83-DJ$103,Frauen!$G$9:$J$102,4)+VLOOKUP($CU83-DJ$103+1,Frauen!$G$9:$J$102,4))*0.5*(VLOOKUP($CU83-DJ$103,Frauen!$AZ$9:$BD$102,5)+VLOOKUP($CU83-DJ$103+1,Frauen!$AZ$9:$BD$102,5)),RundDx)))</f>
        <v/>
      </c>
      <c r="DK83" s="25" t="str">
        <f>IF($CU83&gt;=RAM,"",IF($CU83-DK$103&lt;BeginnAlter,"",ROUND(v^($CU83+FaktorAlter)*$L83*$D83*0.5*(VLOOKUP($CU83-DK$103,Frauen!$G$9:$J$102,4)+VLOOKUP($CU83-DK$103+1,Frauen!$G$9:$J$102,4))*0.5*(VLOOKUP($CU83-DK$103,Frauen!$AZ$9:$BD$102,5)+VLOOKUP($CU83-DK$103+1,Frauen!$AZ$9:$BD$102,5)),RundDx)))</f>
        <v/>
      </c>
      <c r="DL83" s="25" t="str">
        <f>IF($CU83&gt;=RAM,"",IF($CU83-DL$103&lt;BeginnAlter,"",ROUND(v^($CU83+FaktorAlter)*$L83*$D83*0.5*(VLOOKUP($CU83-DL$103,Frauen!$G$9:$J$102,4)+VLOOKUP($CU83-DL$103+1,Frauen!$G$9:$J$102,4))*0.5*(VLOOKUP($CU83-DL$103,Frauen!$AZ$9:$BD$102,5)+VLOOKUP($CU83-DL$103+1,Frauen!$AZ$9:$BD$102,5)),RundDx)))</f>
        <v/>
      </c>
      <c r="DM83" s="25" t="str">
        <f>IF($CU83&gt;=RAM,"",IF($CU83-DM$103&lt;BeginnAlter,"",ROUND(v^($CU83+FaktorAlter)*$L83*$D83*0.5*(VLOOKUP($CU83-DM$103,Frauen!$G$9:$J$102,4)+VLOOKUP($CU83-DM$103+1,Frauen!$G$9:$J$102,4))*0.5*(VLOOKUP($CU83-DM$103,Frauen!$AZ$9:$BD$102,5)+VLOOKUP($CU83-DM$103+1,Frauen!$AZ$9:$BD$102,5)),RundDx)))</f>
        <v/>
      </c>
      <c r="DN83" s="25" t="str">
        <f>IF($CU83&gt;=RAM,"",IF($CU83-DN$103&lt;BeginnAlter,"",ROUND(v^($CU83+FaktorAlter)*$L83*$D83*0.5*(VLOOKUP($CU83-DN$103,Frauen!$G$9:$J$102,4)+VLOOKUP($CU83-DN$103+1,Frauen!$G$9:$J$102,4))*0.5*(VLOOKUP($CU83-DN$103,Frauen!$AZ$9:$BD$102,5)+VLOOKUP($CU83-DN$103+1,Frauen!$AZ$9:$BD$102,5)),RundDx)))</f>
        <v/>
      </c>
      <c r="DO83" s="25" t="str">
        <f>IF($CU83&gt;=RAM,"",IF($CU83-DO$103&lt;BeginnAlter,"",ROUND(v^($CU83+FaktorAlter)*$L83*$D83*0.5*(VLOOKUP($CU83-DO$103,Frauen!$G$9:$J$102,4)+VLOOKUP($CU83-DO$103+1,Frauen!$G$9:$J$102,4))*0.5*(VLOOKUP($CU83-DO$103,Frauen!$AZ$9:$BD$102,5)+VLOOKUP($CU83-DO$103+1,Frauen!$AZ$9:$BD$102,5)),RundDx)))</f>
        <v/>
      </c>
      <c r="DP83" s="25" t="str">
        <f>IF($CU83&gt;=RAM,"",IF($CU83-DP$103&lt;BeginnAlter,"",ROUND(v^($CU83+FaktorAlter)*$L83*$D83*0.5*(VLOOKUP($CU83-DP$103,Frauen!$G$9:$J$102,4)+VLOOKUP($CU83-DP$103+1,Frauen!$G$9:$J$102,4))*0.5*(VLOOKUP($CU83-DP$103,Frauen!$AZ$9:$BD$102,5)+VLOOKUP($CU83-DP$103+1,Frauen!$AZ$9:$BD$102,5)),RundDx)))</f>
        <v/>
      </c>
      <c r="DQ83" s="25" t="str">
        <f>IF($CU83&gt;=RAM,"",IF($CU83-DQ$103&lt;BeginnAlter,"",ROUND(v^($CU83+FaktorAlter)*$L83*$D83*0.5*(VLOOKUP($CU83-DQ$103,Frauen!$G$9:$J$102,4)+VLOOKUP($CU83-DQ$103+1,Frauen!$G$9:$J$102,4))*0.5*(VLOOKUP($CU83-DQ$103,Frauen!$AZ$9:$BD$102,5)+VLOOKUP($CU83-DQ$103+1,Frauen!$AZ$9:$BD$102,5)),RundDx)))</f>
        <v/>
      </c>
      <c r="DR83" s="25" t="str">
        <f>IF($CU83&gt;=RAM,"",IF($CU83-DR$103&lt;BeginnAlter,"",ROUND(v^($CU83+FaktorAlter)*$L83*$D83*0.5*(VLOOKUP($CU83-DR$103,Frauen!$G$9:$J$102,4)+VLOOKUP($CU83-DR$103+1,Frauen!$G$9:$J$102,4))*0.5*(VLOOKUP($CU83-DR$103,Frauen!$AZ$9:$BD$102,5)+VLOOKUP($CU83-DR$103+1,Frauen!$AZ$9:$BD$102,5)),RundDx)))</f>
        <v/>
      </c>
      <c r="DS83" s="25" t="str">
        <f>IF($CU83&gt;=RAM,"",IF($CU83-DS$103&lt;BeginnAlter,"",ROUND(v^($CU83+FaktorAlter)*$L83*$D83*0.5*(VLOOKUP($CU83-DS$103,Frauen!$G$9:$J$102,4)+VLOOKUP($CU83-DS$103+1,Frauen!$G$9:$J$102,4))*0.5*(VLOOKUP($CU83-DS$103,Frauen!$AZ$9:$BD$102,5)+VLOOKUP($CU83-DS$103+1,Frauen!$AZ$9:$BD$102,5)),RundDx)))</f>
        <v/>
      </c>
      <c r="DT83" s="25" t="str">
        <f>IF($CU83&gt;=RAM,"",IF($CU83-DT$103&lt;BeginnAlter,"",ROUND(v^($CU83+FaktorAlter)*$L83*$D83*0.5*(VLOOKUP($CU83-DT$103,Frauen!$G$9:$J$102,4)+VLOOKUP($CU83-DT$103+1,Frauen!$G$9:$J$102,4))*0.5*(VLOOKUP($CU83-DT$103,Frauen!$AZ$9:$BD$102,5)+VLOOKUP($CU83-DT$103+1,Frauen!$AZ$9:$BD$102,5)),RundDx)))</f>
        <v/>
      </c>
      <c r="DU83" s="25" t="str">
        <f>IF($CU83&gt;=RAM,"",IF($CU83-DU$103&lt;BeginnAlter,"",ROUND(v^($CU83+FaktorAlter)*$L83*$D83*0.5*(VLOOKUP($CU83-DU$103,Frauen!$G$9:$J$102,4)+VLOOKUP($CU83-DU$103+1,Frauen!$G$9:$J$102,4))*0.5*(VLOOKUP($CU83-DU$103,Frauen!$AZ$9:$BD$102,5)+VLOOKUP($CU83-DU$103+1,Frauen!$AZ$9:$BD$102,5)),RundDx)))</f>
        <v/>
      </c>
      <c r="DV83" s="25" t="str">
        <f>IF($CU83&gt;=RAM,"",IF($CU83-DV$103&lt;BeginnAlter,"",ROUND(v^($CU83+FaktorAlter)*$L83*$D83*0.5*(VLOOKUP($CU83-DV$103,Frauen!$G$9:$J$102,4)+VLOOKUP($CU83-DV$103+1,Frauen!$G$9:$J$102,4))*0.5*(VLOOKUP($CU83-DV$103,Frauen!$AZ$9:$BD$102,5)+VLOOKUP($CU83-DV$103+1,Frauen!$AZ$9:$BD$102,5)),RundDx)))</f>
        <v/>
      </c>
      <c r="DW83" s="25" t="str">
        <f>IF($CU83&gt;=RAM,"",IF($CU83-DW$103&lt;BeginnAlter,"",ROUND(v^($CU83+FaktorAlter)*$L83*$D83*0.5*(VLOOKUP($CU83-DW$103,Frauen!$G$9:$J$102,4)+VLOOKUP($CU83-DW$103+1,Frauen!$G$9:$J$102,4))*0.5*(VLOOKUP($CU83-DW$103,Frauen!$AZ$9:$BD$102,5)+VLOOKUP($CU83-DW$103+1,Frauen!$AZ$9:$BD$102,5)),RundDx)))</f>
        <v/>
      </c>
      <c r="DX83" s="25" t="str">
        <f>IF($CU83&gt;=RAM,"",IF($CU83-DX$103&lt;BeginnAlter,"",ROUND(v^($CU83+FaktorAlter)*$L83*$D83*0.5*(VLOOKUP($CU83-DX$103,Frauen!$G$9:$J$102,4)+VLOOKUP($CU83-DX$103+1,Frauen!$G$9:$J$102,4))*0.5*(VLOOKUP($CU83-DX$103,Frauen!$AZ$9:$BD$102,5)+VLOOKUP($CU83-DX$103+1,Frauen!$AZ$9:$BD$102,5)),RundDx)))</f>
        <v/>
      </c>
      <c r="DY83" s="25" t="str">
        <f>IF($CU83&gt;=RAM,"",IF($CU83-DY$103&lt;BeginnAlter,"",ROUND(v^($CU83+FaktorAlter)*$L83*$D83*0.5*(VLOOKUP($CU83-DY$103,Frauen!$G$9:$J$102,4)+VLOOKUP($CU83-DY$103+1,Frauen!$G$9:$J$102,4))*0.5*(VLOOKUP($CU83-DY$103,Frauen!$AZ$9:$BD$102,5)+VLOOKUP($CU83-DY$103+1,Frauen!$AZ$9:$BD$102,5)),RundDx)))</f>
        <v/>
      </c>
      <c r="DZ83" s="25" t="str">
        <f>IF($CU83&gt;=RAM,"",IF($CU83-DZ$103&lt;BeginnAlter,"",ROUND(v^($CU83+FaktorAlter)*$L83*$D83*0.5*(VLOOKUP($CU83-DZ$103,Frauen!$G$9:$J$102,4)+VLOOKUP($CU83-DZ$103+1,Frauen!$G$9:$J$102,4))*0.5*(VLOOKUP($CU83-DZ$103,Frauen!$AZ$9:$BD$102,5)+VLOOKUP($CU83-DZ$103+1,Frauen!$AZ$9:$BD$102,5)),RundDx)))</f>
        <v/>
      </c>
      <c r="EA83" s="43" t="str">
        <f>IF($CU83&gt;=RAM,"",IF($CU83-EA$103&lt;BeginnAlter,"",ROUND((SUM(CV$56:CV83)+SUM(FN$9:FN$56))/VLOOKUP($CU83,$AH$9:$AI$102,2)/VLOOKUP($CU83-EA$103,Frauen!$G$9:$J$102,4),Rundäx)))</f>
        <v/>
      </c>
      <c r="EB83" s="43" t="str">
        <f>IF($CU83&gt;=RAM,"",IF($CU83-EB$103&lt;BeginnAlter,"",ROUND((SUM(CW$56:CW83)+SUM(FO$9:FO$56))/VLOOKUP($CU83,$AH$9:$AI$102,2)/VLOOKUP($CU83-EB$103,Frauen!$G$9:$J$102,4),Rundäx)))</f>
        <v/>
      </c>
      <c r="EC83" s="43" t="str">
        <f>IF($CU83&gt;=RAM,"",IF($CU83-EC$103&lt;BeginnAlter,"",ROUND((SUM(CX$56:CX83)+SUM(FP$9:FP$56))/VLOOKUP($CU83,$AH$9:$AI$102,2)/VLOOKUP($CU83-EC$103,Frauen!$G$9:$J$102,4),Rundäx)))</f>
        <v/>
      </c>
      <c r="ED83" s="43" t="str">
        <f>IF($CU83&gt;=RAM,"",IF($CU83-ED$103&lt;BeginnAlter,"",ROUND((SUM(CY$56:CY83)+SUM(FQ$9:FQ$56))/VLOOKUP($CU83,$AH$9:$AI$102,2)/VLOOKUP($CU83-ED$103,Frauen!$G$9:$J$102,4),Rundäx)))</f>
        <v/>
      </c>
      <c r="EE83" s="43" t="str">
        <f>IF($CU83&gt;=RAM,"",IF($CU83-EE$103&lt;BeginnAlter,"",ROUND((SUM(CZ$56:CZ83)+SUM(FR$9:FR$56))/VLOOKUP($CU83,$AH$9:$AI$102,2)/VLOOKUP($CU83-EE$103,Frauen!$G$9:$J$102,4),Rundäx)))</f>
        <v/>
      </c>
      <c r="EF83" s="43" t="str">
        <f>IF($CU83&gt;=RAM,"",IF($CU83-EF$103&lt;BeginnAlter,"",ROUND((SUM(DA$56:DA83)+SUM(FS$9:FS$56))/VLOOKUP($CU83,$AH$9:$AI$102,2)/VLOOKUP($CU83-EF$103,Frauen!$G$9:$J$102,4),Rundäx)))</f>
        <v/>
      </c>
      <c r="EG83" s="43" t="str">
        <f>IF($CU83&gt;=RAM,"",IF($CU83-EG$103&lt;BeginnAlter,"",ROUND((SUM(DB$56:DB83)+SUM(FT$9:FT$56))/VLOOKUP($CU83,$AH$9:$AI$102,2)/VLOOKUP($CU83-EG$103,Frauen!$G$9:$J$102,4),Rundäx)))</f>
        <v/>
      </c>
      <c r="EH83" s="43" t="str">
        <f>IF($CU83&gt;=RAM,"",IF($CU83-EH$103&lt;BeginnAlter,"",ROUND((SUM(DC$56:DC83)+SUM(FU$9:FU$56))/VLOOKUP($CU83,$AH$9:$AI$102,2)/VLOOKUP($CU83-EH$103,Frauen!$G$9:$J$102,4),Rundäx)))</f>
        <v/>
      </c>
      <c r="EI83" s="86"/>
      <c r="EJ83" s="35">
        <f t="shared" si="133"/>
        <v>91</v>
      </c>
      <c r="EK83" s="43" t="str">
        <f>IF($CU83&gt;=RAM,"",IF($CU83-EK$103&lt;BeginnAlter,"",ROUND((SUM(DD$56:DD83)+SUM(FV$9:FV$56))/VLOOKUP($CU83,$AH$9:$AI$102,2)/VLOOKUP($CU83-EK$103,Frauen!$G$9:$J$102,4),Rundäx)))</f>
        <v/>
      </c>
      <c r="EL83" s="43" t="str">
        <f>IF($CU83&gt;=RAM,"",IF($CU83-EL$103&lt;BeginnAlter,"",ROUND((SUM(DE$56:DE83)+SUM(FW$9:FW$56))/VLOOKUP($CU83,$AH$9:$AI$102,2)/VLOOKUP($CU83-EL$103,Frauen!$G$9:$J$102,4),Rundäx)))</f>
        <v/>
      </c>
      <c r="EM83" s="43" t="str">
        <f>IF($CU83&gt;=RAM,"",IF($CU83-EM$103&lt;BeginnAlter,"",ROUND((SUM(DF$56:DF83)+SUM(FX$9:FX$56))/VLOOKUP($CU83,$AH$9:$AI$102,2)/VLOOKUP($CU83-EM$103,Frauen!$G$9:$J$102,4),Rundäx)))</f>
        <v/>
      </c>
      <c r="EN83" s="43" t="str">
        <f>IF($CU83&gt;=RAM,"",IF($CU83-EN$103&lt;BeginnAlter,"",ROUND((SUM(DG$56:DG83)+SUM(FY$9:FY$56))/VLOOKUP($CU83,$AH$9:$AI$102,2)/VLOOKUP($CU83-EN$103,Frauen!$G$9:$J$102,4),Rundäx)))</f>
        <v/>
      </c>
      <c r="EO83" s="43" t="str">
        <f>IF($CU83&gt;=RAM,"",IF($CU83-EO$103&lt;BeginnAlter,"",ROUND((SUM(DH$56:DH83)+SUM(FZ$9:FZ$56))/VLOOKUP($CU83,$AH$9:$AI$102,2)/VLOOKUP($CU83-EO$103,Frauen!$G$9:$J$102,4),Rundäx)))</f>
        <v/>
      </c>
      <c r="EP83" s="43" t="str">
        <f>IF($CU83&gt;=RAM,"",IF($CU83-EP$103&lt;BeginnAlter,"",ROUND((SUM(DI$56:DI83)+SUM(GA$9:GA$56))/VLOOKUP($CU83,$AH$9:$AI$102,2)/VLOOKUP($CU83-EP$103,Frauen!$G$9:$J$102,4),Rundäx)))</f>
        <v/>
      </c>
      <c r="EQ83" s="43" t="str">
        <f>IF($CU83&gt;=RAM,"",IF($CU83-EQ$103&lt;BeginnAlter,"",ROUND((SUM(DJ$56:DJ83)+SUM(GB$9:GB$56))/VLOOKUP($CU83,$AH$9:$AI$102,2)/VLOOKUP($CU83-EQ$103,Frauen!$G$9:$J$102,4),Rundäx)))</f>
        <v/>
      </c>
      <c r="ER83" s="43" t="str">
        <f>IF($CU83&gt;=RAM,"",IF($CU83-ER$103&lt;BeginnAlter,"",ROUND((SUM(DK$56:DK83)+SUM(GC$9:GC$56))/VLOOKUP($CU83,$AH$9:$AI$102,2)/VLOOKUP($CU83-ER$103,Frauen!$G$9:$J$102,4),Rundäx)))</f>
        <v/>
      </c>
      <c r="ES83" s="86"/>
      <c r="ET83" s="35">
        <f t="shared" si="134"/>
        <v>91</v>
      </c>
      <c r="EU83" s="43" t="str">
        <f>IF($CU83&gt;=RAM,"",IF($CU83-EU$103&lt;BeginnAlter,"",ROUND((SUM(DL$56:DL83)+SUM(GD$9:GD$56))/VLOOKUP($CU83,$AH$9:$AI$102,2)/VLOOKUP($CU83-EU$103,Frauen!$G$9:$J$102,4),Rundäx)))</f>
        <v/>
      </c>
      <c r="EV83" s="43" t="str">
        <f>IF($CU83&gt;=RAM,"",IF($CU83-EV$103&lt;BeginnAlter,"",ROUND((SUM(DM$56:DM83)+SUM(GE$9:GE$56))/VLOOKUP($CU83,$AH$9:$AI$102,2)/VLOOKUP($CU83-EV$103,Frauen!$G$9:$J$102,4),Rundäx)))</f>
        <v/>
      </c>
      <c r="EW83" s="43" t="str">
        <f>IF($CU83&gt;=RAM,"",IF($CU83-EW$103&lt;BeginnAlter,"",ROUND((SUM(DN$56:DN83)+SUM(GF$9:GF$56))/VLOOKUP($CU83,$AH$9:$AI$102,2)/VLOOKUP($CU83-EW$103,Frauen!$G$9:$J$102,4),Rundäx)))</f>
        <v/>
      </c>
      <c r="EX83" s="43" t="str">
        <f>IF($CU83&gt;=RAM,"",IF($CU83-EX$103&lt;BeginnAlter,"",ROUND((SUM(DO$56:DO83)+SUM(GG$9:GG$56))/VLOOKUP($CU83,$AH$9:$AI$102,2)/VLOOKUP($CU83-EX$103,Frauen!$G$9:$J$102,4),Rundäx)))</f>
        <v/>
      </c>
      <c r="EY83" s="43" t="str">
        <f>IF($CU83&gt;=RAM,"",IF($CU83-EY$103&lt;BeginnAlter,"",ROUND((SUM(DP$56:DP83)+SUM(GH$9:GH$56))/VLOOKUP($CU83,$AH$9:$AI$102,2)/VLOOKUP($CU83-EY$103,Frauen!$G$9:$J$102,4),Rundäx)))</f>
        <v/>
      </c>
      <c r="EZ83" s="43" t="str">
        <f>IF($CU83&gt;=RAM,"",IF($CU83-EZ$103&lt;BeginnAlter,"",ROUND((SUM(DQ$56:DQ83)+SUM(GI$9:GI$56))/VLOOKUP($CU83,$AH$9:$AI$102,2)/VLOOKUP($CU83-EZ$103,Frauen!$G$9:$J$102,4),Rundäx)))</f>
        <v/>
      </c>
      <c r="FA83" s="43" t="str">
        <f>IF($CU83&gt;=RAM,"",IF($CU83-FA$103&lt;BeginnAlter,"",ROUND((SUM(DR$56:DR83)+SUM(GJ$9:GJ$56))/VLOOKUP($CU83,$AH$9:$AI$102,2)/VLOOKUP($CU83-FA$103,Frauen!$G$9:$J$102,4),Rundäx)))</f>
        <v/>
      </c>
      <c r="FB83" s="43" t="str">
        <f>IF($CU83&gt;=RAM,"",IF($CU83-FB$103&lt;BeginnAlter,"",ROUND((SUM(DS$56:DS83)+SUM(GK$9:GK$56))/VLOOKUP($CU83,$AH$9:$AI$102,2)/VLOOKUP($CU83-FB$103,Frauen!$G$9:$J$102,4),Rundäx)))</f>
        <v/>
      </c>
      <c r="FC83" s="86"/>
      <c r="FD83" s="35">
        <f t="shared" si="135"/>
        <v>91</v>
      </c>
      <c r="FE83" s="43" t="str">
        <f>IF($CU83&gt;=RAM,"",IF($CU83-FE$103&lt;BeginnAlter,"",ROUND((SUM(DT$56:DT83)+SUM(GL$9:GL$56))/VLOOKUP($CU83,$AH$9:$AI$102,2)/VLOOKUP($CU83-FE$103,Frauen!$G$9:$J$102,4),Rundäx)))</f>
        <v/>
      </c>
      <c r="FF83" s="43" t="str">
        <f>IF($CU83&gt;=RAM,"",IF($CU83-FF$103&lt;BeginnAlter,"",ROUND((SUM(DU$56:DU83)+SUM(GM$9:GM$56))/VLOOKUP($CU83,$AH$9:$AI$102,2)/VLOOKUP($CU83-FF$103,Frauen!$G$9:$J$102,4),Rundäx)))</f>
        <v/>
      </c>
      <c r="FG83" s="43" t="str">
        <f>IF($CU83&gt;=RAM,"",IF($CU83-FG$103&lt;BeginnAlter,"",ROUND((SUM(DV$56:DV83)+SUM(GN$9:GN$56))/VLOOKUP($CU83,$AH$9:$AI$102,2)/VLOOKUP($CU83-FG$103,Frauen!$G$9:$J$102,4),Rundäx)))</f>
        <v/>
      </c>
      <c r="FH83" s="43" t="str">
        <f>IF($CU83&gt;=RAM,"",IF($CU83-FH$103&lt;BeginnAlter,"",ROUND((SUM(DW$56:DW83)+SUM(GO$9:GO$56))/VLOOKUP($CU83,$AH$9:$AI$102,2)/VLOOKUP($CU83-FH$103,Frauen!$G$9:$J$102,4),Rundäx)))</f>
        <v/>
      </c>
      <c r="FI83" s="43" t="str">
        <f>IF($CU83&gt;=RAM,"",IF($CU83-FI$103&lt;BeginnAlter,"",ROUND((SUM(DX$56:DX83)+SUM(GP$9:GP$56))/VLOOKUP($CU83,$AH$9:$AI$102,2)/VLOOKUP($CU83-FI$103,Frauen!$G$9:$J$102,4),Rundäx)))</f>
        <v/>
      </c>
      <c r="FJ83" s="43" t="str">
        <f>IF($CU83&gt;=RAM,"",IF($CU83-FJ$103&lt;BeginnAlter,"",ROUND((SUM(DY$56:DY83)+SUM(GQ$9:GQ$56))/VLOOKUP($CU83,$AH$9:$AI$102,2)/VLOOKUP($CU83-FJ$103,Frauen!$G$9:$J$102,4),Rundäx)))</f>
        <v/>
      </c>
      <c r="FK83" s="43" t="str">
        <f>IF($CU83&gt;=RAM,"",IF($CU83-FK$103&lt;BeginnAlter,"",ROUND((SUM(DZ$56:DZ83)+SUM(GR$9:GR$56))/VLOOKUP($CU83,$AH$9:$AI$102,2)/VLOOKUP($CU83-FK$103,Frauen!$G$9:$J$102,4),Rundäx)))</f>
        <v/>
      </c>
      <c r="FL83" s="86"/>
      <c r="FM83" s="35">
        <f t="shared" si="136"/>
        <v>139</v>
      </c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4"/>
      <c r="GT83" s="24"/>
      <c r="GU83" s="24" t="str">
        <f>IF(FM83&gt;=RAM," ",#REF!/$AI83/Frauen!$J71)</f>
        <v xml:space="preserve"> </v>
      </c>
      <c r="GV83" s="24" t="str">
        <f>IF(FM83&gt;=RAM," ",#REF!/$AI83/Frauen!$J74)</f>
        <v xml:space="preserve"> </v>
      </c>
      <c r="GW83" s="24" t="str">
        <f>IF(FM83&gt;=RAM," ",#REF!/$AI83/Frauen!$J77)</f>
        <v xml:space="preserve"> </v>
      </c>
      <c r="GX83" s="24" t="str">
        <f>IF(FM83&gt;=RAM," ",#REF!/$AI83/Frauen!$J80)</f>
        <v xml:space="preserve"> </v>
      </c>
      <c r="GY83" s="24" t="str">
        <f>IF(FM83&gt;=RAM," ",#REF!/$AI83/Frauen!$J83)</f>
        <v xml:space="preserve"> </v>
      </c>
      <c r="GZ83" s="24" t="str">
        <f>IF(FM83&gt;=RAM," ",#REF!/$AI83/Frauen!$J86)</f>
        <v xml:space="preserve"> </v>
      </c>
      <c r="HA83" s="86"/>
      <c r="HB83" s="35">
        <f t="shared" si="137"/>
        <v>139</v>
      </c>
      <c r="HC83" s="24"/>
      <c r="HD83" s="24"/>
      <c r="HE83" s="24"/>
      <c r="HF83" s="24"/>
      <c r="HG83" s="24"/>
      <c r="HH83" s="24"/>
      <c r="HI83" s="24"/>
      <c r="HJ83" s="24"/>
      <c r="HK83" s="86"/>
      <c r="HL83" s="35">
        <f t="shared" si="138"/>
        <v>139</v>
      </c>
      <c r="HM83" s="24"/>
      <c r="HN83" s="24"/>
      <c r="HO83" s="24"/>
      <c r="HP83" s="24"/>
      <c r="HQ83" s="24"/>
      <c r="HR83" s="24"/>
      <c r="HS83" s="24"/>
      <c r="HT83" s="24"/>
      <c r="HU83" s="86"/>
      <c r="HV83" s="35">
        <f t="shared" si="139"/>
        <v>139</v>
      </c>
      <c r="HW83" s="24"/>
      <c r="HX83" s="24"/>
      <c r="HY83" s="24"/>
      <c r="HZ83" s="24"/>
      <c r="IA83" s="24"/>
      <c r="IB83" s="24"/>
      <c r="IC83" s="24"/>
      <c r="ID83" s="89"/>
      <c r="IE83" s="35">
        <f t="shared" si="140"/>
        <v>91</v>
      </c>
      <c r="IF83" s="25" t="str">
        <f t="shared" si="112"/>
        <v/>
      </c>
      <c r="IG83" s="25" t="str">
        <f>IF($IE83&lt;RAM,IF(S84&lt;=RAK,ROUND(SUM(IF83:INDEX(Dakx,RAM-BeginnAlter))+INDEX(Dax,RAM-BeginnAlter+1)*INDEX(äkx,1),RundDx),0),"")</f>
        <v/>
      </c>
      <c r="IH83" s="25" t="str">
        <f>IF($IE83&lt;RAM,IF(S84&lt;=RAK,ROUND(SUM(IG83:INDEX(Nakx,RAM-BeginnAlter))+INDEX(Dax,RAM-BeginnAlter+1)*INDEX(äkx,1),RundDx),0),"")</f>
        <v/>
      </c>
      <c r="II83" s="24" t="str">
        <f t="shared" si="113"/>
        <v/>
      </c>
      <c r="IJ83" s="25" t="str">
        <f t="shared" si="114"/>
        <v/>
      </c>
      <c r="IK83" s="25" t="str">
        <f>IF($IE83&lt;RAM,IF(S84&lt;=RAK,SUM(IJ83:INDEX(Dikx,RAM-BeginnAlter))+INDEX(Dix,RAM-BeginnAlter+1)*INDEX(äkx,1),0),"")</f>
        <v/>
      </c>
      <c r="IL83" s="24" t="str">
        <f t="shared" si="115"/>
        <v/>
      </c>
      <c r="IM83" s="86"/>
      <c r="IN83" s="35">
        <f t="shared" si="141"/>
        <v>139</v>
      </c>
      <c r="IO83" s="25"/>
      <c r="IP83" s="25"/>
      <c r="IQ83" s="24"/>
      <c r="IR83" s="86"/>
    </row>
    <row r="84" spans="1:252" ht="15.75" customHeight="1" x14ac:dyDescent="0.25">
      <c r="A84" s="35">
        <f t="shared" si="120"/>
        <v>92</v>
      </c>
      <c r="B84" s="77"/>
      <c r="C84" s="77"/>
      <c r="D84" s="77"/>
      <c r="E84" s="77">
        <v>0.23396976333470976</v>
      </c>
      <c r="F84" s="86"/>
      <c r="G84" s="35">
        <f t="shared" si="121"/>
        <v>92</v>
      </c>
      <c r="H84" s="25" t="str">
        <f t="shared" si="116"/>
        <v/>
      </c>
      <c r="I84" s="25" t="str">
        <f t="shared" si="117"/>
        <v/>
      </c>
      <c r="J84" s="25">
        <f t="shared" si="118"/>
        <v>11807</v>
      </c>
      <c r="K84" s="30">
        <f>IF(J84&gt;0,ROUND(SUM(J84:J$102)/J84-0.5,Rundex),"")</f>
        <v>2.84</v>
      </c>
      <c r="L84" s="25">
        <f t="shared" si="82"/>
        <v>11807</v>
      </c>
      <c r="M84" s="30">
        <f>IF(L84&gt;0,ROUND(SUM(L84:L$102)/L84-0.5,Rundex),"")</f>
        <v>2.84</v>
      </c>
      <c r="N84" s="86"/>
      <c r="O84" s="35">
        <f t="shared" si="122"/>
        <v>92</v>
      </c>
      <c r="P84" s="43">
        <v>0.43446586037153789</v>
      </c>
      <c r="Q84" s="78">
        <v>85.489787930094991</v>
      </c>
      <c r="R84" s="43"/>
      <c r="S84" s="78"/>
      <c r="T84" s="15">
        <v>0.23396976333470976</v>
      </c>
      <c r="U84" s="11">
        <f t="shared" si="119"/>
        <v>8953</v>
      </c>
      <c r="V84" s="30">
        <f>IF(U84&gt;0,ROUND(SUM(U84:U$102)/U84-0.5,Rundex),"")</f>
        <v>2.83</v>
      </c>
      <c r="W84" s="86"/>
      <c r="X84" s="35">
        <f t="shared" si="123"/>
        <v>92</v>
      </c>
      <c r="Y84" s="25" t="str">
        <f t="shared" si="83"/>
        <v xml:space="preserve"> </v>
      </c>
      <c r="Z84" s="25" t="str">
        <f>IF($X84&lt;RAM,SUM(Y84:INDEX(Dax,RAM-BeginnAlter))," ")</f>
        <v xml:space="preserve"> </v>
      </c>
      <c r="AA84" s="25" t="str">
        <f t="shared" si="84"/>
        <v xml:space="preserve"> </v>
      </c>
      <c r="AB84" s="25" t="str">
        <f>IF($X84&lt;RAM,SUM(AA84:INDEX(Cax,RAM-BeginnAlter))," ")</f>
        <v xml:space="preserve"> </v>
      </c>
      <c r="AC84" s="25" t="str">
        <f t="shared" si="85"/>
        <v xml:space="preserve"> </v>
      </c>
      <c r="AD84" s="25" t="str">
        <f>IF($X84&lt;RAM,SUM(AC84:INDEX(Caix,RAM-BeginnAlter))," ")</f>
        <v xml:space="preserve"> </v>
      </c>
      <c r="AE84" s="24" t="str">
        <f t="shared" si="86"/>
        <v xml:space="preserve"> </v>
      </c>
      <c r="AF84" s="24" t="str">
        <f t="shared" si="87"/>
        <v xml:space="preserve"> </v>
      </c>
      <c r="AG84" s="86"/>
      <c r="AH84" s="35">
        <f t="shared" si="124"/>
        <v>92</v>
      </c>
      <c r="AI84" s="25" t="str">
        <f t="shared" si="88"/>
        <v xml:space="preserve"> </v>
      </c>
      <c r="AJ84" s="25" t="str">
        <f>IF($AH84&gt;RAM," ",IF($AH84&lt;RAM,SUM(AI84:INDEX(Dix,RAM-BeginnAlter))+INDEX(Nx,RAM-BeginnAlter+1),INDEX(Nx,RAM-BeginnAlter+1)))</f>
        <v xml:space="preserve"> </v>
      </c>
      <c r="AK84" s="25" t="str">
        <f>IF($AH84&lt;RAM,SUM(AI84:INDEX(Dix,RAM-BeginnAlter))," ")</f>
        <v xml:space="preserve"> </v>
      </c>
      <c r="AL84" s="24" t="str">
        <f t="shared" si="89"/>
        <v xml:space="preserve"> </v>
      </c>
      <c r="AM84" s="24" t="str">
        <f t="shared" si="90"/>
        <v xml:space="preserve"> </v>
      </c>
      <c r="AN84" s="24" t="str">
        <f t="shared" si="91"/>
        <v xml:space="preserve"> </v>
      </c>
      <c r="AO84" s="24" t="str">
        <f t="shared" si="92"/>
        <v xml:space="preserve"> </v>
      </c>
      <c r="AP84" s="86"/>
      <c r="AQ84" s="35">
        <f t="shared" si="125"/>
        <v>92</v>
      </c>
      <c r="AR84" s="25">
        <f t="shared" si="93"/>
        <v>1524</v>
      </c>
      <c r="AS84" s="25">
        <f>SUM(AR84:AR$94)</f>
        <v>4881</v>
      </c>
      <c r="AT84" s="25" t="str">
        <f>IF($AQ84&lt;RAM,SUM(AR84:INDEX(Dx,RAM-BeginnAlter))," ")</f>
        <v xml:space="preserve"> </v>
      </c>
      <c r="AU84" s="24">
        <f t="shared" si="94"/>
        <v>3.2029999999999998</v>
      </c>
      <c r="AV84" s="24">
        <f t="shared" si="95"/>
        <v>2.7440000000000002</v>
      </c>
      <c r="AW84" s="24" t="str">
        <f t="shared" si="96"/>
        <v xml:space="preserve"> </v>
      </c>
      <c r="AX84" s="24" t="str">
        <f t="shared" si="97"/>
        <v xml:space="preserve"> </v>
      </c>
      <c r="AY84" s="86"/>
      <c r="AZ84" s="35">
        <f t="shared" si="126"/>
        <v>92</v>
      </c>
      <c r="BA84" s="25">
        <f t="shared" si="98"/>
        <v>1156</v>
      </c>
      <c r="BB84" s="25">
        <f>SUM(BA84:BA$94)</f>
        <v>3701</v>
      </c>
      <c r="BC84" s="24">
        <f t="shared" si="99"/>
        <v>3.202</v>
      </c>
      <c r="BD84" s="24">
        <f t="shared" si="100"/>
        <v>2.7429999999999999</v>
      </c>
      <c r="BE84" s="86"/>
      <c r="BF84" s="35">
        <f t="shared" si="127"/>
        <v>75</v>
      </c>
      <c r="BG84" s="24" t="str">
        <f t="shared" si="101"/>
        <v/>
      </c>
      <c r="BH84" s="24" t="str">
        <f t="shared" si="102"/>
        <v/>
      </c>
      <c r="BI84" s="86"/>
      <c r="BJ84" s="35">
        <f t="shared" si="128"/>
        <v>92</v>
      </c>
      <c r="BK84" s="25" t="str">
        <f t="shared" si="103"/>
        <v xml:space="preserve"> </v>
      </c>
      <c r="BL84" s="25" t="str">
        <f>IF(BJ84&lt;RAM,SUM(BK84:INDEX(Daix,RAM-BeginnAlter))," ")</f>
        <v xml:space="preserve"> </v>
      </c>
      <c r="BM84" s="25" t="str">
        <f>IF(BJ84&lt;RAM,SUM(BL84:INDEX(Naix,RAM-BeginnAlter))," ")</f>
        <v xml:space="preserve"> </v>
      </c>
      <c r="BN84" s="24" t="str">
        <f t="shared" si="104"/>
        <v xml:space="preserve"> </v>
      </c>
      <c r="BO84" s="24" t="str">
        <f t="shared" si="105"/>
        <v xml:space="preserve"> </v>
      </c>
      <c r="BP84" s="86"/>
      <c r="BQ84" s="35">
        <f t="shared" si="129"/>
        <v>92</v>
      </c>
      <c r="BR84" s="25" t="str">
        <f t="shared" si="142"/>
        <v xml:space="preserve"> </v>
      </c>
      <c r="BS84" s="25" t="str">
        <f>IF(BQ84&lt;RAM,SUM(BR84:INDEX(Daixs,RAM-BeginnAlter))," ")</f>
        <v xml:space="preserve"> </v>
      </c>
      <c r="BT84" s="25" t="str">
        <f>IF(BQ84&lt;RAM,SUM(BS84:INDEX(Naixs,RAM-BeginnAlter))," ")</f>
        <v xml:space="preserve"> </v>
      </c>
      <c r="BU84" s="24" t="str">
        <f t="shared" si="143"/>
        <v xml:space="preserve"> </v>
      </c>
      <c r="BV84" s="24" t="str">
        <f t="shared" si="144"/>
        <v xml:space="preserve"> </v>
      </c>
      <c r="BW84" s="86"/>
      <c r="BX84" s="35">
        <f t="shared" si="130"/>
        <v>92</v>
      </c>
      <c r="BY84" s="10" t="str">
        <f t="shared" si="106"/>
        <v/>
      </c>
      <c r="BZ84" s="11" t="str">
        <f t="shared" si="107"/>
        <v/>
      </c>
      <c r="CA84" s="25" t="str">
        <f>IF(S85&lt;=RAK,IF($BX84&lt;RAM,SUM(BZ84:INDEX(Dazx,RAM-BeginnAlter)),""),"")</f>
        <v/>
      </c>
      <c r="CB84" s="24" t="str">
        <f t="shared" si="108"/>
        <v/>
      </c>
      <c r="CC84" s="25">
        <f t="shared" si="109"/>
        <v>0</v>
      </c>
      <c r="CD84" s="24">
        <f t="shared" si="110"/>
        <v>0</v>
      </c>
      <c r="CE84" s="24" t="str">
        <f t="shared" si="111"/>
        <v/>
      </c>
      <c r="CF84" s="86"/>
      <c r="CG84" s="35">
        <f t="shared" si="131"/>
        <v>92</v>
      </c>
      <c r="CH84" s="25" t="str">
        <f>IF(CG84&lt;RAM,ROUND(v^($CG84+FaktorAlter)*$H84*($B84*0.5*($P84+$P85)*(VLOOKUP(TRUNC(0.5*($Q84+$Q85),0),Frauen!$AZ$9:$BD$95,5)+(0.5*($Q84+$Q85)-TRUNC(0.5*($Q84+$Q85),0))*(VLOOKUP(TRUNC(0.5*($Q84+$Q85)+1,0),Frauen!$AZ$9:$BD$95,5)-VLOOKUP(TRUNC(0.5*($Q84+$Q85),0),Frauen!$AZ$9:$BD$95,5)))+$C84*0.5*($CN84+$CN85)),RundDx),"")</f>
        <v/>
      </c>
      <c r="CI84" s="25" t="str">
        <f>IF(CG84&lt;RAM,ROUND(SUM(CH84:INDEX(Dawx,RAM-BeginnAlter))+INDEX(Dax,RAM-BeginnAlter+1)*INDEX(äwx,1),RundDx),"")</f>
        <v/>
      </c>
      <c r="CJ84" s="25" t="str">
        <f>IF(CG84&lt;RAM,ROUND(SUM(CI84:INDEX(Nawx,RAM-BeginnAlter))+INDEX(Dax,RAM-BeginnAlter+1)*INDEX(äwx,1),RundDx),"")</f>
        <v/>
      </c>
      <c r="CK84" s="24" t="str">
        <f t="shared" si="145"/>
        <v/>
      </c>
      <c r="CL84" s="25" t="str">
        <f>IF(CG84&lt;RAM,ROUND(v^($CG84+FaktorAlter)*$L84*$D84*0.5*($P84+$P85)*(VLOOKUP(TRUNC(0.5*($Q84+$Q85),0),Frauen!$AZ$9:$BD$95,5)+(0.5*($Q84+$Q85)-TRUNC(0.5*($Q84+$Q85),0))*(VLOOKUP(TRUNC(0.5*($Q84+$Q85)+1,0),Frauen!$AZ$9:$BD$95,5)-VLOOKUP(TRUNC(0.5*($Q84+$Q85),0),Frauen!$AZ$9:$BD$95,5))),RundDx),"")</f>
        <v/>
      </c>
      <c r="CM84" s="25" t="str">
        <f>IF(CG84&lt;RAM,SUM(CL84:INDEX(Diwx,RAM-BeginnAlter))+INDEX(Dix,RAM-BeginnAlter+1)*INDEX(äwx,1),"")</f>
        <v/>
      </c>
      <c r="CN84" s="24" t="str">
        <f t="shared" si="146"/>
        <v/>
      </c>
      <c r="CO84" s="86"/>
      <c r="CP84" s="35">
        <f t="shared" si="147"/>
        <v>140</v>
      </c>
      <c r="CQ84" s="25"/>
      <c r="CR84" s="25"/>
      <c r="CS84" s="24"/>
      <c r="CT84" s="86"/>
      <c r="CU84" s="35">
        <f t="shared" si="132"/>
        <v>92</v>
      </c>
      <c r="CV84" s="25" t="str">
        <f>IF($CU84&gt;=RAM,"",IF($CU84-CV$103&lt;BeginnAlter,"",ROUND(v^($CU84+FaktorAlter)*$L84*$D84*0.5*(VLOOKUP($CU84-CV$103,Frauen!$G$9:$J$102,4)+VLOOKUP($CU84-CV$103+1,Frauen!$G$9:$J$102,4))*0.5*(VLOOKUP($CU84-CV$103,Frauen!$AZ$9:$BD$102,5)+VLOOKUP($CU84-CV$103+1,Frauen!$AZ$9:$BD$102,5)),RundDx)))</f>
        <v/>
      </c>
      <c r="CW84" s="25" t="str">
        <f>IF($CU84&gt;=RAM,"",IF($CU84-CW$103&lt;BeginnAlter,"",ROUND(v^($CU84+FaktorAlter)*$L84*$D84*0.5*(VLOOKUP($CU84-CW$103,Frauen!$G$9:$J$102,4)+VLOOKUP($CU84-CW$103+1,Frauen!$G$9:$J$102,4))*0.5*(VLOOKUP($CU84-CW$103,Frauen!$AZ$9:$BD$102,5)+VLOOKUP($CU84-CW$103+1,Frauen!$AZ$9:$BD$102,5)),RundDx)))</f>
        <v/>
      </c>
      <c r="CX84" s="25" t="str">
        <f>IF($CU84&gt;=RAM,"",IF($CU84-CX$103&lt;BeginnAlter,"",ROUND(v^($CU84+FaktorAlter)*$L84*$D84*0.5*(VLOOKUP($CU84-CX$103,Frauen!$G$9:$J$102,4)+VLOOKUP($CU84-CX$103+1,Frauen!$G$9:$J$102,4))*0.5*(VLOOKUP($CU84-CX$103,Frauen!$AZ$9:$BD$102,5)+VLOOKUP($CU84-CX$103+1,Frauen!$AZ$9:$BD$102,5)),RundDx)))</f>
        <v/>
      </c>
      <c r="CY84" s="25" t="str">
        <f>IF($CU84&gt;=RAM,"",IF($CU84-CY$103&lt;BeginnAlter,"",ROUND(v^($CU84+FaktorAlter)*$L84*$D84*0.5*(VLOOKUP($CU84-CY$103,Frauen!$G$9:$J$102,4)+VLOOKUP($CU84-CY$103+1,Frauen!$G$9:$J$102,4))*0.5*(VLOOKUP($CU84-CY$103,Frauen!$AZ$9:$BD$102,5)+VLOOKUP($CU84-CY$103+1,Frauen!$AZ$9:$BD$102,5)),RundDx)))</f>
        <v/>
      </c>
      <c r="CZ84" s="25" t="str">
        <f>IF($CU84&gt;=RAM,"",IF($CU84-CZ$103&lt;BeginnAlter,"",ROUND(v^($CU84+FaktorAlter)*$L84*$D84*0.5*(VLOOKUP($CU84-CZ$103,Frauen!$G$9:$J$102,4)+VLOOKUP($CU84-CZ$103+1,Frauen!$G$9:$J$102,4))*0.5*(VLOOKUP($CU84-CZ$103,Frauen!$AZ$9:$BD$102,5)+VLOOKUP($CU84-CZ$103+1,Frauen!$AZ$9:$BD$102,5)),RundDx)))</f>
        <v/>
      </c>
      <c r="DA84" s="25" t="str">
        <f>IF($CU84&gt;=RAM,"",IF($CU84-DA$103&lt;BeginnAlter,"",ROUND(v^($CU84+FaktorAlter)*$L84*$D84*0.5*(VLOOKUP($CU84-DA$103,Frauen!$G$9:$J$102,4)+VLOOKUP($CU84-DA$103+1,Frauen!$G$9:$J$102,4))*0.5*(VLOOKUP($CU84-DA$103,Frauen!$AZ$9:$BD$102,5)+VLOOKUP($CU84-DA$103+1,Frauen!$AZ$9:$BD$102,5)),RundDx)))</f>
        <v/>
      </c>
      <c r="DB84" s="25" t="str">
        <f>IF($CU84&gt;=RAM,"",IF($CU84-DB$103&lt;BeginnAlter,"",ROUND(v^($CU84+FaktorAlter)*$L84*$D84*0.5*(VLOOKUP($CU84-DB$103,Frauen!$G$9:$J$102,4)+VLOOKUP($CU84-DB$103+1,Frauen!$G$9:$J$102,4))*0.5*(VLOOKUP($CU84-DB$103,Frauen!$AZ$9:$BD$102,5)+VLOOKUP($CU84-DB$103+1,Frauen!$AZ$9:$BD$102,5)),RundDx)))</f>
        <v/>
      </c>
      <c r="DC84" s="25" t="str">
        <f>IF($CU84&gt;=RAM,"",IF($CU84-DC$103&lt;BeginnAlter,"",ROUND(v^($CU84+FaktorAlter)*$L84*$D84*0.5*(VLOOKUP($CU84-DC$103,Frauen!$G$9:$J$102,4)+VLOOKUP($CU84-DC$103+1,Frauen!$G$9:$J$102,4))*0.5*(VLOOKUP($CU84-DC$103,Frauen!$AZ$9:$BD$102,5)+VLOOKUP($CU84-DC$103+1,Frauen!$AZ$9:$BD$102,5)),RundDx)))</f>
        <v/>
      </c>
      <c r="DD84" s="25" t="str">
        <f>IF($CU84&gt;=RAM,"",IF($CU84-DD$103&lt;BeginnAlter,"",ROUND(v^($CU84+FaktorAlter)*$L84*$D84*0.5*(VLOOKUP($CU84-DD$103,Frauen!$G$9:$J$102,4)+VLOOKUP($CU84-DD$103+1,Frauen!$G$9:$J$102,4))*0.5*(VLOOKUP($CU84-DD$103,Frauen!$AZ$9:$BD$102,5)+VLOOKUP($CU84-DD$103+1,Frauen!$AZ$9:$BD$102,5)),RundDx)))</f>
        <v/>
      </c>
      <c r="DE84" s="25" t="str">
        <f>IF($CU84&gt;=RAM,"",IF($CU84-DE$103&lt;BeginnAlter,"",ROUND(v^($CU84+FaktorAlter)*$L84*$D84*0.5*(VLOOKUP($CU84-DE$103,Frauen!$G$9:$J$102,4)+VLOOKUP($CU84-DE$103+1,Frauen!$G$9:$J$102,4))*0.5*(VLOOKUP($CU84-DE$103,Frauen!$AZ$9:$BD$102,5)+VLOOKUP($CU84-DE$103+1,Frauen!$AZ$9:$BD$102,5)),RundDx)))</f>
        <v/>
      </c>
      <c r="DF84" s="25" t="str">
        <f>IF($CU84&gt;=RAM,"",IF($CU84-DF$103&lt;BeginnAlter,"",ROUND(v^($CU84+FaktorAlter)*$L84*$D84*0.5*(VLOOKUP($CU84-DF$103,Frauen!$G$9:$J$102,4)+VLOOKUP($CU84-DF$103+1,Frauen!$G$9:$J$102,4))*0.5*(VLOOKUP($CU84-DF$103,Frauen!$AZ$9:$BD$102,5)+VLOOKUP($CU84-DF$103+1,Frauen!$AZ$9:$BD$102,5)),RundDx)))</f>
        <v/>
      </c>
      <c r="DG84" s="25" t="str">
        <f>IF($CU84&gt;=RAM,"",IF($CU84-DG$103&lt;BeginnAlter,"",ROUND(v^($CU84+FaktorAlter)*$L84*$D84*0.5*(VLOOKUP($CU84-DG$103,Frauen!$G$9:$J$102,4)+VLOOKUP($CU84-DG$103+1,Frauen!$G$9:$J$102,4))*0.5*(VLOOKUP($CU84-DG$103,Frauen!$AZ$9:$BD$102,5)+VLOOKUP($CU84-DG$103+1,Frauen!$AZ$9:$BD$102,5)),RundDx)))</f>
        <v/>
      </c>
      <c r="DH84" s="25" t="str">
        <f>IF($CU84&gt;=RAM,"",IF($CU84-DH$103&lt;BeginnAlter,"",ROUND(v^($CU84+FaktorAlter)*$L84*$D84*0.5*(VLOOKUP($CU84-DH$103,Frauen!$G$9:$J$102,4)+VLOOKUP($CU84-DH$103+1,Frauen!$G$9:$J$102,4))*0.5*(VLOOKUP($CU84-DH$103,Frauen!$AZ$9:$BD$102,5)+VLOOKUP($CU84-DH$103+1,Frauen!$AZ$9:$BD$102,5)),RundDx)))</f>
        <v/>
      </c>
      <c r="DI84" s="25" t="str">
        <f>IF($CU84&gt;=RAM,"",IF($CU84-DI$103&lt;BeginnAlter,"",ROUND(v^($CU84+FaktorAlter)*$L84*$D84*0.5*(VLOOKUP($CU84-DI$103,Frauen!$G$9:$J$102,4)+VLOOKUP($CU84-DI$103+1,Frauen!$G$9:$J$102,4))*0.5*(VLOOKUP($CU84-DI$103,Frauen!$AZ$9:$BD$102,5)+VLOOKUP($CU84-DI$103+1,Frauen!$AZ$9:$BD$102,5)),RundDx)))</f>
        <v/>
      </c>
      <c r="DJ84" s="25" t="str">
        <f>IF($CU84&gt;=RAM,"",IF($CU84-DJ$103&lt;BeginnAlter,"",ROUND(v^($CU84+FaktorAlter)*$L84*$D84*0.5*(VLOOKUP($CU84-DJ$103,Frauen!$G$9:$J$102,4)+VLOOKUP($CU84-DJ$103+1,Frauen!$G$9:$J$102,4))*0.5*(VLOOKUP($CU84-DJ$103,Frauen!$AZ$9:$BD$102,5)+VLOOKUP($CU84-DJ$103+1,Frauen!$AZ$9:$BD$102,5)),RundDx)))</f>
        <v/>
      </c>
      <c r="DK84" s="25" t="str">
        <f>IF($CU84&gt;=RAM,"",IF($CU84-DK$103&lt;BeginnAlter,"",ROUND(v^($CU84+FaktorAlter)*$L84*$D84*0.5*(VLOOKUP($CU84-DK$103,Frauen!$G$9:$J$102,4)+VLOOKUP($CU84-DK$103+1,Frauen!$G$9:$J$102,4))*0.5*(VLOOKUP($CU84-DK$103,Frauen!$AZ$9:$BD$102,5)+VLOOKUP($CU84-DK$103+1,Frauen!$AZ$9:$BD$102,5)),RundDx)))</f>
        <v/>
      </c>
      <c r="DL84" s="25" t="str">
        <f>IF($CU84&gt;=RAM,"",IF($CU84-DL$103&lt;BeginnAlter,"",ROUND(v^($CU84+FaktorAlter)*$L84*$D84*0.5*(VLOOKUP($CU84-DL$103,Frauen!$G$9:$J$102,4)+VLOOKUP($CU84-DL$103+1,Frauen!$G$9:$J$102,4))*0.5*(VLOOKUP($CU84-DL$103,Frauen!$AZ$9:$BD$102,5)+VLOOKUP($CU84-DL$103+1,Frauen!$AZ$9:$BD$102,5)),RundDx)))</f>
        <v/>
      </c>
      <c r="DM84" s="25" t="str">
        <f>IF($CU84&gt;=RAM,"",IF($CU84-DM$103&lt;BeginnAlter,"",ROUND(v^($CU84+FaktorAlter)*$L84*$D84*0.5*(VLOOKUP($CU84-DM$103,Frauen!$G$9:$J$102,4)+VLOOKUP($CU84-DM$103+1,Frauen!$G$9:$J$102,4))*0.5*(VLOOKUP($CU84-DM$103,Frauen!$AZ$9:$BD$102,5)+VLOOKUP($CU84-DM$103+1,Frauen!$AZ$9:$BD$102,5)),RundDx)))</f>
        <v/>
      </c>
      <c r="DN84" s="25" t="str">
        <f>IF($CU84&gt;=RAM,"",IF($CU84-DN$103&lt;BeginnAlter,"",ROUND(v^($CU84+FaktorAlter)*$L84*$D84*0.5*(VLOOKUP($CU84-DN$103,Frauen!$G$9:$J$102,4)+VLOOKUP($CU84-DN$103+1,Frauen!$G$9:$J$102,4))*0.5*(VLOOKUP($CU84-DN$103,Frauen!$AZ$9:$BD$102,5)+VLOOKUP($CU84-DN$103+1,Frauen!$AZ$9:$BD$102,5)),RundDx)))</f>
        <v/>
      </c>
      <c r="DO84" s="25" t="str">
        <f>IF($CU84&gt;=RAM,"",IF($CU84-DO$103&lt;BeginnAlter,"",ROUND(v^($CU84+FaktorAlter)*$L84*$D84*0.5*(VLOOKUP($CU84-DO$103,Frauen!$G$9:$J$102,4)+VLOOKUP($CU84-DO$103+1,Frauen!$G$9:$J$102,4))*0.5*(VLOOKUP($CU84-DO$103,Frauen!$AZ$9:$BD$102,5)+VLOOKUP($CU84-DO$103+1,Frauen!$AZ$9:$BD$102,5)),RundDx)))</f>
        <v/>
      </c>
      <c r="DP84" s="25" t="str">
        <f>IF($CU84&gt;=RAM,"",IF($CU84-DP$103&lt;BeginnAlter,"",ROUND(v^($CU84+FaktorAlter)*$L84*$D84*0.5*(VLOOKUP($CU84-DP$103,Frauen!$G$9:$J$102,4)+VLOOKUP($CU84-DP$103+1,Frauen!$G$9:$J$102,4))*0.5*(VLOOKUP($CU84-DP$103,Frauen!$AZ$9:$BD$102,5)+VLOOKUP($CU84-DP$103+1,Frauen!$AZ$9:$BD$102,5)),RundDx)))</f>
        <v/>
      </c>
      <c r="DQ84" s="25" t="str">
        <f>IF($CU84&gt;=RAM,"",IF($CU84-DQ$103&lt;BeginnAlter,"",ROUND(v^($CU84+FaktorAlter)*$L84*$D84*0.5*(VLOOKUP($CU84-DQ$103,Frauen!$G$9:$J$102,4)+VLOOKUP($CU84-DQ$103+1,Frauen!$G$9:$J$102,4))*0.5*(VLOOKUP($CU84-DQ$103,Frauen!$AZ$9:$BD$102,5)+VLOOKUP($CU84-DQ$103+1,Frauen!$AZ$9:$BD$102,5)),RundDx)))</f>
        <v/>
      </c>
      <c r="DR84" s="25" t="str">
        <f>IF($CU84&gt;=RAM,"",IF($CU84-DR$103&lt;BeginnAlter,"",ROUND(v^($CU84+FaktorAlter)*$L84*$D84*0.5*(VLOOKUP($CU84-DR$103,Frauen!$G$9:$J$102,4)+VLOOKUP($CU84-DR$103+1,Frauen!$G$9:$J$102,4))*0.5*(VLOOKUP($CU84-DR$103,Frauen!$AZ$9:$BD$102,5)+VLOOKUP($CU84-DR$103+1,Frauen!$AZ$9:$BD$102,5)),RundDx)))</f>
        <v/>
      </c>
      <c r="DS84" s="25" t="str">
        <f>IF($CU84&gt;=RAM,"",IF($CU84-DS$103&lt;BeginnAlter,"",ROUND(v^($CU84+FaktorAlter)*$L84*$D84*0.5*(VLOOKUP($CU84-DS$103,Frauen!$G$9:$J$102,4)+VLOOKUP($CU84-DS$103+1,Frauen!$G$9:$J$102,4))*0.5*(VLOOKUP($CU84-DS$103,Frauen!$AZ$9:$BD$102,5)+VLOOKUP($CU84-DS$103+1,Frauen!$AZ$9:$BD$102,5)),RundDx)))</f>
        <v/>
      </c>
      <c r="DT84" s="25" t="str">
        <f>IF($CU84&gt;=RAM,"",IF($CU84-DT$103&lt;BeginnAlter,"",ROUND(v^($CU84+FaktorAlter)*$L84*$D84*0.5*(VLOOKUP($CU84-DT$103,Frauen!$G$9:$J$102,4)+VLOOKUP($CU84-DT$103+1,Frauen!$G$9:$J$102,4))*0.5*(VLOOKUP($CU84-DT$103,Frauen!$AZ$9:$BD$102,5)+VLOOKUP($CU84-DT$103+1,Frauen!$AZ$9:$BD$102,5)),RundDx)))</f>
        <v/>
      </c>
      <c r="DU84" s="25" t="str">
        <f>IF($CU84&gt;=RAM,"",IF($CU84-DU$103&lt;BeginnAlter,"",ROUND(v^($CU84+FaktorAlter)*$L84*$D84*0.5*(VLOOKUP($CU84-DU$103,Frauen!$G$9:$J$102,4)+VLOOKUP($CU84-DU$103+1,Frauen!$G$9:$J$102,4))*0.5*(VLOOKUP($CU84-DU$103,Frauen!$AZ$9:$BD$102,5)+VLOOKUP($CU84-DU$103+1,Frauen!$AZ$9:$BD$102,5)),RundDx)))</f>
        <v/>
      </c>
      <c r="DV84" s="25" t="str">
        <f>IF($CU84&gt;=RAM,"",IF($CU84-DV$103&lt;BeginnAlter,"",ROUND(v^($CU84+FaktorAlter)*$L84*$D84*0.5*(VLOOKUP($CU84-DV$103,Frauen!$G$9:$J$102,4)+VLOOKUP($CU84-DV$103+1,Frauen!$G$9:$J$102,4))*0.5*(VLOOKUP($CU84-DV$103,Frauen!$AZ$9:$BD$102,5)+VLOOKUP($CU84-DV$103+1,Frauen!$AZ$9:$BD$102,5)),RundDx)))</f>
        <v/>
      </c>
      <c r="DW84" s="25" t="str">
        <f>IF($CU84&gt;=RAM,"",IF($CU84-DW$103&lt;BeginnAlter,"",ROUND(v^($CU84+FaktorAlter)*$L84*$D84*0.5*(VLOOKUP($CU84-DW$103,Frauen!$G$9:$J$102,4)+VLOOKUP($CU84-DW$103+1,Frauen!$G$9:$J$102,4))*0.5*(VLOOKUP($CU84-DW$103,Frauen!$AZ$9:$BD$102,5)+VLOOKUP($CU84-DW$103+1,Frauen!$AZ$9:$BD$102,5)),RundDx)))</f>
        <v/>
      </c>
      <c r="DX84" s="25" t="str">
        <f>IF($CU84&gt;=RAM,"",IF($CU84-DX$103&lt;BeginnAlter,"",ROUND(v^($CU84+FaktorAlter)*$L84*$D84*0.5*(VLOOKUP($CU84-DX$103,Frauen!$G$9:$J$102,4)+VLOOKUP($CU84-DX$103+1,Frauen!$G$9:$J$102,4))*0.5*(VLOOKUP($CU84-DX$103,Frauen!$AZ$9:$BD$102,5)+VLOOKUP($CU84-DX$103+1,Frauen!$AZ$9:$BD$102,5)),RundDx)))</f>
        <v/>
      </c>
      <c r="DY84" s="25" t="str">
        <f>IF($CU84&gt;=RAM,"",IF($CU84-DY$103&lt;BeginnAlter,"",ROUND(v^($CU84+FaktorAlter)*$L84*$D84*0.5*(VLOOKUP($CU84-DY$103,Frauen!$G$9:$J$102,4)+VLOOKUP($CU84-DY$103+1,Frauen!$G$9:$J$102,4))*0.5*(VLOOKUP($CU84-DY$103,Frauen!$AZ$9:$BD$102,5)+VLOOKUP($CU84-DY$103+1,Frauen!$AZ$9:$BD$102,5)),RundDx)))</f>
        <v/>
      </c>
      <c r="DZ84" s="25" t="str">
        <f>IF($CU84&gt;=RAM,"",IF($CU84-DZ$103&lt;BeginnAlter,"",ROUND(v^($CU84+FaktorAlter)*$L84*$D84*0.5*(VLOOKUP($CU84-DZ$103,Frauen!$G$9:$J$102,4)+VLOOKUP($CU84-DZ$103+1,Frauen!$G$9:$J$102,4))*0.5*(VLOOKUP($CU84-DZ$103,Frauen!$AZ$9:$BD$102,5)+VLOOKUP($CU84-DZ$103+1,Frauen!$AZ$9:$BD$102,5)),RundDx)))</f>
        <v/>
      </c>
      <c r="EA84" s="43" t="str">
        <f>IF($CU84&gt;=RAM,"",IF($CU84-EA$103&lt;BeginnAlter,"",ROUND((SUM(CV$56:CV84)+SUM(FN$9:FN$56))/VLOOKUP($CU84,$AH$9:$AI$102,2)/VLOOKUP($CU84-EA$103,Frauen!$G$9:$J$102,4),Rundäx)))</f>
        <v/>
      </c>
      <c r="EB84" s="43" t="str">
        <f>IF($CU84&gt;=RAM,"",IF($CU84-EB$103&lt;BeginnAlter,"",ROUND((SUM(CW$56:CW84)+SUM(FO$9:FO$56))/VLOOKUP($CU84,$AH$9:$AI$102,2)/VLOOKUP($CU84-EB$103,Frauen!$G$9:$J$102,4),Rundäx)))</f>
        <v/>
      </c>
      <c r="EC84" s="43" t="str">
        <f>IF($CU84&gt;=RAM,"",IF($CU84-EC$103&lt;BeginnAlter,"",ROUND((SUM(CX$56:CX84)+SUM(FP$9:FP$56))/VLOOKUP($CU84,$AH$9:$AI$102,2)/VLOOKUP($CU84-EC$103,Frauen!$G$9:$J$102,4),Rundäx)))</f>
        <v/>
      </c>
      <c r="ED84" s="43" t="str">
        <f>IF($CU84&gt;=RAM,"",IF($CU84-ED$103&lt;BeginnAlter,"",ROUND((SUM(CY$56:CY84)+SUM(FQ$9:FQ$56))/VLOOKUP($CU84,$AH$9:$AI$102,2)/VLOOKUP($CU84-ED$103,Frauen!$G$9:$J$102,4),Rundäx)))</f>
        <v/>
      </c>
      <c r="EE84" s="43" t="str">
        <f>IF($CU84&gt;=RAM,"",IF($CU84-EE$103&lt;BeginnAlter,"",ROUND((SUM(CZ$56:CZ84)+SUM(FR$9:FR$56))/VLOOKUP($CU84,$AH$9:$AI$102,2)/VLOOKUP($CU84-EE$103,Frauen!$G$9:$J$102,4),Rundäx)))</f>
        <v/>
      </c>
      <c r="EF84" s="43" t="str">
        <f>IF($CU84&gt;=RAM,"",IF($CU84-EF$103&lt;BeginnAlter,"",ROUND((SUM(DA$56:DA84)+SUM(FS$9:FS$56))/VLOOKUP($CU84,$AH$9:$AI$102,2)/VLOOKUP($CU84-EF$103,Frauen!$G$9:$J$102,4),Rundäx)))</f>
        <v/>
      </c>
      <c r="EG84" s="43" t="str">
        <f>IF($CU84&gt;=RAM,"",IF($CU84-EG$103&lt;BeginnAlter,"",ROUND((SUM(DB$56:DB84)+SUM(FT$9:FT$56))/VLOOKUP($CU84,$AH$9:$AI$102,2)/VLOOKUP($CU84-EG$103,Frauen!$G$9:$J$102,4),Rundäx)))</f>
        <v/>
      </c>
      <c r="EH84" s="43" t="str">
        <f>IF($CU84&gt;=RAM,"",IF($CU84-EH$103&lt;BeginnAlter,"",ROUND((SUM(DC$56:DC84)+SUM(FU$9:FU$56))/VLOOKUP($CU84,$AH$9:$AI$102,2)/VLOOKUP($CU84-EH$103,Frauen!$G$9:$J$102,4),Rundäx)))</f>
        <v/>
      </c>
      <c r="EI84" s="86"/>
      <c r="EJ84" s="35">
        <f t="shared" si="133"/>
        <v>92</v>
      </c>
      <c r="EK84" s="43" t="str">
        <f>IF($CU84&gt;=RAM,"",IF($CU84-EK$103&lt;BeginnAlter,"",ROUND((SUM(DD$56:DD84)+SUM(FV$9:FV$56))/VLOOKUP($CU84,$AH$9:$AI$102,2)/VLOOKUP($CU84-EK$103,Frauen!$G$9:$J$102,4),Rundäx)))</f>
        <v/>
      </c>
      <c r="EL84" s="43" t="str">
        <f>IF($CU84&gt;=RAM,"",IF($CU84-EL$103&lt;BeginnAlter,"",ROUND((SUM(DE$56:DE84)+SUM(FW$9:FW$56))/VLOOKUP($CU84,$AH$9:$AI$102,2)/VLOOKUP($CU84-EL$103,Frauen!$G$9:$J$102,4),Rundäx)))</f>
        <v/>
      </c>
      <c r="EM84" s="43" t="str">
        <f>IF($CU84&gt;=RAM,"",IF($CU84-EM$103&lt;BeginnAlter,"",ROUND((SUM(DF$56:DF84)+SUM(FX$9:FX$56))/VLOOKUP($CU84,$AH$9:$AI$102,2)/VLOOKUP($CU84-EM$103,Frauen!$G$9:$J$102,4),Rundäx)))</f>
        <v/>
      </c>
      <c r="EN84" s="43" t="str">
        <f>IF($CU84&gt;=RAM,"",IF($CU84-EN$103&lt;BeginnAlter,"",ROUND((SUM(DG$56:DG84)+SUM(FY$9:FY$56))/VLOOKUP($CU84,$AH$9:$AI$102,2)/VLOOKUP($CU84-EN$103,Frauen!$G$9:$J$102,4),Rundäx)))</f>
        <v/>
      </c>
      <c r="EO84" s="43" t="str">
        <f>IF($CU84&gt;=RAM,"",IF($CU84-EO$103&lt;BeginnAlter,"",ROUND((SUM(DH$56:DH84)+SUM(FZ$9:FZ$56))/VLOOKUP($CU84,$AH$9:$AI$102,2)/VLOOKUP($CU84-EO$103,Frauen!$G$9:$J$102,4),Rundäx)))</f>
        <v/>
      </c>
      <c r="EP84" s="43" t="str">
        <f>IF($CU84&gt;=RAM,"",IF($CU84-EP$103&lt;BeginnAlter,"",ROUND((SUM(DI$56:DI84)+SUM(GA$9:GA$56))/VLOOKUP($CU84,$AH$9:$AI$102,2)/VLOOKUP($CU84-EP$103,Frauen!$G$9:$J$102,4),Rundäx)))</f>
        <v/>
      </c>
      <c r="EQ84" s="43" t="str">
        <f>IF($CU84&gt;=RAM,"",IF($CU84-EQ$103&lt;BeginnAlter,"",ROUND((SUM(DJ$56:DJ84)+SUM(GB$9:GB$56))/VLOOKUP($CU84,$AH$9:$AI$102,2)/VLOOKUP($CU84-EQ$103,Frauen!$G$9:$J$102,4),Rundäx)))</f>
        <v/>
      </c>
      <c r="ER84" s="43" t="str">
        <f>IF($CU84&gt;=RAM,"",IF($CU84-ER$103&lt;BeginnAlter,"",ROUND((SUM(DK$56:DK84)+SUM(GC$9:GC$56))/VLOOKUP($CU84,$AH$9:$AI$102,2)/VLOOKUP($CU84-ER$103,Frauen!$G$9:$J$102,4),Rundäx)))</f>
        <v/>
      </c>
      <c r="ES84" s="86"/>
      <c r="ET84" s="35">
        <f t="shared" si="134"/>
        <v>92</v>
      </c>
      <c r="EU84" s="43" t="str">
        <f>IF($CU84&gt;=RAM,"",IF($CU84-EU$103&lt;BeginnAlter,"",ROUND((SUM(DL$56:DL84)+SUM(GD$9:GD$56))/VLOOKUP($CU84,$AH$9:$AI$102,2)/VLOOKUP($CU84-EU$103,Frauen!$G$9:$J$102,4),Rundäx)))</f>
        <v/>
      </c>
      <c r="EV84" s="43" t="str">
        <f>IF($CU84&gt;=RAM,"",IF($CU84-EV$103&lt;BeginnAlter,"",ROUND((SUM(DM$56:DM84)+SUM(GE$9:GE$56))/VLOOKUP($CU84,$AH$9:$AI$102,2)/VLOOKUP($CU84-EV$103,Frauen!$G$9:$J$102,4),Rundäx)))</f>
        <v/>
      </c>
      <c r="EW84" s="43" t="str">
        <f>IF($CU84&gt;=RAM,"",IF($CU84-EW$103&lt;BeginnAlter,"",ROUND((SUM(DN$56:DN84)+SUM(GF$9:GF$56))/VLOOKUP($CU84,$AH$9:$AI$102,2)/VLOOKUP($CU84-EW$103,Frauen!$G$9:$J$102,4),Rundäx)))</f>
        <v/>
      </c>
      <c r="EX84" s="43" t="str">
        <f>IF($CU84&gt;=RAM,"",IF($CU84-EX$103&lt;BeginnAlter,"",ROUND((SUM(DO$56:DO84)+SUM(GG$9:GG$56))/VLOOKUP($CU84,$AH$9:$AI$102,2)/VLOOKUP($CU84-EX$103,Frauen!$G$9:$J$102,4),Rundäx)))</f>
        <v/>
      </c>
      <c r="EY84" s="43" t="str">
        <f>IF($CU84&gt;=RAM,"",IF($CU84-EY$103&lt;BeginnAlter,"",ROUND((SUM(DP$56:DP84)+SUM(GH$9:GH$56))/VLOOKUP($CU84,$AH$9:$AI$102,2)/VLOOKUP($CU84-EY$103,Frauen!$G$9:$J$102,4),Rundäx)))</f>
        <v/>
      </c>
      <c r="EZ84" s="43" t="str">
        <f>IF($CU84&gt;=RAM,"",IF($CU84-EZ$103&lt;BeginnAlter,"",ROUND((SUM(DQ$56:DQ84)+SUM(GI$9:GI$56))/VLOOKUP($CU84,$AH$9:$AI$102,2)/VLOOKUP($CU84-EZ$103,Frauen!$G$9:$J$102,4),Rundäx)))</f>
        <v/>
      </c>
      <c r="FA84" s="43" t="str">
        <f>IF($CU84&gt;=RAM,"",IF($CU84-FA$103&lt;BeginnAlter,"",ROUND((SUM(DR$56:DR84)+SUM(GJ$9:GJ$56))/VLOOKUP($CU84,$AH$9:$AI$102,2)/VLOOKUP($CU84-FA$103,Frauen!$G$9:$J$102,4),Rundäx)))</f>
        <v/>
      </c>
      <c r="FB84" s="43" t="str">
        <f>IF($CU84&gt;=RAM,"",IF($CU84-FB$103&lt;BeginnAlter,"",ROUND((SUM(DS$56:DS84)+SUM(GK$9:GK$56))/VLOOKUP($CU84,$AH$9:$AI$102,2)/VLOOKUP($CU84-FB$103,Frauen!$G$9:$J$102,4),Rundäx)))</f>
        <v/>
      </c>
      <c r="FC84" s="86"/>
      <c r="FD84" s="35">
        <f t="shared" si="135"/>
        <v>92</v>
      </c>
      <c r="FE84" s="43" t="str">
        <f>IF($CU84&gt;=RAM,"",IF($CU84-FE$103&lt;BeginnAlter,"",ROUND((SUM(DT$56:DT84)+SUM(GL$9:GL$56))/VLOOKUP($CU84,$AH$9:$AI$102,2)/VLOOKUP($CU84-FE$103,Frauen!$G$9:$J$102,4),Rundäx)))</f>
        <v/>
      </c>
      <c r="FF84" s="43" t="str">
        <f>IF($CU84&gt;=RAM,"",IF($CU84-FF$103&lt;BeginnAlter,"",ROUND((SUM(DU$56:DU84)+SUM(GM$9:GM$56))/VLOOKUP($CU84,$AH$9:$AI$102,2)/VLOOKUP($CU84-FF$103,Frauen!$G$9:$J$102,4),Rundäx)))</f>
        <v/>
      </c>
      <c r="FG84" s="43" t="str">
        <f>IF($CU84&gt;=RAM,"",IF($CU84-FG$103&lt;BeginnAlter,"",ROUND((SUM(DV$56:DV84)+SUM(GN$9:GN$56))/VLOOKUP($CU84,$AH$9:$AI$102,2)/VLOOKUP($CU84-FG$103,Frauen!$G$9:$J$102,4),Rundäx)))</f>
        <v/>
      </c>
      <c r="FH84" s="43" t="str">
        <f>IF($CU84&gt;=RAM,"",IF($CU84-FH$103&lt;BeginnAlter,"",ROUND((SUM(DW$56:DW84)+SUM(GO$9:GO$56))/VLOOKUP($CU84,$AH$9:$AI$102,2)/VLOOKUP($CU84-FH$103,Frauen!$G$9:$J$102,4),Rundäx)))</f>
        <v/>
      </c>
      <c r="FI84" s="43" t="str">
        <f>IF($CU84&gt;=RAM,"",IF($CU84-FI$103&lt;BeginnAlter,"",ROUND((SUM(DX$56:DX84)+SUM(GP$9:GP$56))/VLOOKUP($CU84,$AH$9:$AI$102,2)/VLOOKUP($CU84-FI$103,Frauen!$G$9:$J$102,4),Rundäx)))</f>
        <v/>
      </c>
      <c r="FJ84" s="43" t="str">
        <f>IF($CU84&gt;=RAM,"",IF($CU84-FJ$103&lt;BeginnAlter,"",ROUND((SUM(DY$56:DY84)+SUM(GQ$9:GQ$56))/VLOOKUP($CU84,$AH$9:$AI$102,2)/VLOOKUP($CU84-FJ$103,Frauen!$G$9:$J$102,4),Rundäx)))</f>
        <v/>
      </c>
      <c r="FK84" s="43" t="str">
        <f>IF($CU84&gt;=RAM,"",IF($CU84-FK$103&lt;BeginnAlter,"",ROUND((SUM(DZ$56:DZ84)+SUM(GR$9:GR$56))/VLOOKUP($CU84,$AH$9:$AI$102,2)/VLOOKUP($CU84-FK$103,Frauen!$G$9:$J$102,4),Rundäx)))</f>
        <v/>
      </c>
      <c r="FL84" s="86"/>
      <c r="FM84" s="35">
        <f t="shared" si="136"/>
        <v>140</v>
      </c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4"/>
      <c r="GT84" s="24"/>
      <c r="GU84" s="24" t="str">
        <f>IF(FM84&gt;=RAM," ",#REF!/$AI84/Frauen!$J72)</f>
        <v xml:space="preserve"> </v>
      </c>
      <c r="GV84" s="24" t="str">
        <f>IF(FM84&gt;=RAM," ",#REF!/$AI84/Frauen!$J75)</f>
        <v xml:space="preserve"> </v>
      </c>
      <c r="GW84" s="24" t="str">
        <f>IF(FM84&gt;=RAM," ",#REF!/$AI84/Frauen!$J78)</f>
        <v xml:space="preserve"> </v>
      </c>
      <c r="GX84" s="24" t="str">
        <f>IF(FM84&gt;=RAM," ",#REF!/$AI84/Frauen!$J81)</f>
        <v xml:space="preserve"> </v>
      </c>
      <c r="GY84" s="24" t="str">
        <f>IF(FM84&gt;=RAM," ",#REF!/$AI84/Frauen!$J84)</f>
        <v xml:space="preserve"> </v>
      </c>
      <c r="GZ84" s="24" t="str">
        <f>IF(FM84&gt;=RAM," ",#REF!/$AI84/Frauen!$J87)</f>
        <v xml:space="preserve"> </v>
      </c>
      <c r="HA84" s="86"/>
      <c r="HB84" s="35">
        <f t="shared" si="137"/>
        <v>140</v>
      </c>
      <c r="HC84" s="24"/>
      <c r="HD84" s="24"/>
      <c r="HE84" s="24"/>
      <c r="HF84" s="24"/>
      <c r="HG84" s="24"/>
      <c r="HH84" s="24"/>
      <c r="HI84" s="24"/>
      <c r="HJ84" s="24"/>
      <c r="HK84" s="86"/>
      <c r="HL84" s="35">
        <f t="shared" si="138"/>
        <v>140</v>
      </c>
      <c r="HM84" s="24"/>
      <c r="HN84" s="24"/>
      <c r="HO84" s="24"/>
      <c r="HP84" s="24"/>
      <c r="HQ84" s="24"/>
      <c r="HR84" s="24"/>
      <c r="HS84" s="24"/>
      <c r="HT84" s="24"/>
      <c r="HU84" s="86"/>
      <c r="HV84" s="35">
        <f t="shared" si="139"/>
        <v>140</v>
      </c>
      <c r="HW84" s="24"/>
      <c r="HX84" s="24"/>
      <c r="HY84" s="24"/>
      <c r="HZ84" s="24"/>
      <c r="IA84" s="24"/>
      <c r="IB84" s="24"/>
      <c r="IC84" s="24"/>
      <c r="ID84" s="89"/>
      <c r="IE84" s="35">
        <f t="shared" si="140"/>
        <v>92</v>
      </c>
      <c r="IF84" s="25" t="str">
        <f t="shared" si="112"/>
        <v/>
      </c>
      <c r="IG84" s="25" t="str">
        <f>IF($IE84&lt;RAM,IF(S85&lt;=RAK,ROUND(SUM(IF84:INDEX(Dakx,RAM-BeginnAlter))+INDEX(Dax,RAM-BeginnAlter+1)*INDEX(äkx,1),RundDx),0),"")</f>
        <v/>
      </c>
      <c r="IH84" s="25" t="str">
        <f>IF($IE84&lt;RAM,IF(S85&lt;=RAK,ROUND(SUM(IG84:INDEX(Nakx,RAM-BeginnAlter))+INDEX(Dax,RAM-BeginnAlter+1)*INDEX(äkx,1),RundDx),0),"")</f>
        <v/>
      </c>
      <c r="II84" s="24" t="str">
        <f t="shared" si="113"/>
        <v/>
      </c>
      <c r="IJ84" s="25" t="str">
        <f t="shared" si="114"/>
        <v/>
      </c>
      <c r="IK84" s="25" t="str">
        <f>IF($IE84&lt;RAM,IF(S85&lt;=RAK,SUM(IJ84:INDEX(Dikx,RAM-BeginnAlter))+INDEX(Dix,RAM-BeginnAlter+1)*INDEX(äkx,1),0),"")</f>
        <v/>
      </c>
      <c r="IL84" s="24" t="str">
        <f t="shared" si="115"/>
        <v/>
      </c>
      <c r="IM84" s="86"/>
      <c r="IN84" s="35">
        <f t="shared" si="141"/>
        <v>140</v>
      </c>
      <c r="IO84" s="25"/>
      <c r="IP84" s="25"/>
      <c r="IQ84" s="24"/>
      <c r="IR84" s="86"/>
    </row>
    <row r="85" spans="1:252" ht="15.75" customHeight="1" x14ac:dyDescent="0.25">
      <c r="A85" s="35">
        <f t="shared" si="120"/>
        <v>93</v>
      </c>
      <c r="B85" s="77"/>
      <c r="C85" s="77"/>
      <c r="D85" s="77"/>
      <c r="E85" s="77">
        <v>0.26388784156998435</v>
      </c>
      <c r="F85" s="86"/>
      <c r="G85" s="35">
        <f t="shared" si="121"/>
        <v>93</v>
      </c>
      <c r="H85" s="25" t="str">
        <f t="shared" si="116"/>
        <v/>
      </c>
      <c r="I85" s="25" t="str">
        <f t="shared" si="117"/>
        <v/>
      </c>
      <c r="J85" s="25">
        <f t="shared" si="118"/>
        <v>9045</v>
      </c>
      <c r="K85" s="30">
        <f>IF(J85&gt;0,ROUND(SUM(J85:J$102)/J85-0.5,Rundex),"")</f>
        <v>2.5499999999999998</v>
      </c>
      <c r="L85" s="25">
        <f t="shared" si="82"/>
        <v>9045</v>
      </c>
      <c r="M85" s="30">
        <f>IF(L85&gt;0,ROUND(SUM(L85:L$102)/L85-0.5,Rundex),"")</f>
        <v>2.5499999999999998</v>
      </c>
      <c r="N85" s="86"/>
      <c r="O85" s="35">
        <f t="shared" si="122"/>
        <v>93</v>
      </c>
      <c r="P85" s="43">
        <v>0.39450232239530347</v>
      </c>
      <c r="Q85" s="78">
        <v>86.38650736184178</v>
      </c>
      <c r="R85" s="43"/>
      <c r="S85" s="78"/>
      <c r="T85" s="15">
        <v>0.26388784156998435</v>
      </c>
      <c r="U85" s="11">
        <f t="shared" si="119"/>
        <v>6858</v>
      </c>
      <c r="V85" s="30">
        <f>IF(U85&gt;0,ROUND(SUM(U85:U$102)/U85-0.5,Rundex),"")</f>
        <v>2.5499999999999998</v>
      </c>
      <c r="W85" s="86"/>
      <c r="X85" s="35">
        <f t="shared" si="123"/>
        <v>93</v>
      </c>
      <c r="Y85" s="25" t="str">
        <f t="shared" si="83"/>
        <v xml:space="preserve"> </v>
      </c>
      <c r="Z85" s="25" t="str">
        <f>IF($X85&lt;RAM,SUM(Y85:INDEX(Dax,RAM-BeginnAlter))," ")</f>
        <v xml:space="preserve"> </v>
      </c>
      <c r="AA85" s="25" t="str">
        <f t="shared" si="84"/>
        <v xml:space="preserve"> </v>
      </c>
      <c r="AB85" s="25" t="str">
        <f>IF($X85&lt;RAM,SUM(AA85:INDEX(Cax,RAM-BeginnAlter))," ")</f>
        <v xml:space="preserve"> </v>
      </c>
      <c r="AC85" s="25" t="str">
        <f t="shared" si="85"/>
        <v xml:space="preserve"> </v>
      </c>
      <c r="AD85" s="25" t="str">
        <f>IF($X85&lt;RAM,SUM(AC85:INDEX(Caix,RAM-BeginnAlter))," ")</f>
        <v xml:space="preserve"> </v>
      </c>
      <c r="AE85" s="24" t="str">
        <f t="shared" si="86"/>
        <v xml:space="preserve"> </v>
      </c>
      <c r="AF85" s="24" t="str">
        <f t="shared" si="87"/>
        <v xml:space="preserve"> </v>
      </c>
      <c r="AG85" s="86"/>
      <c r="AH85" s="35">
        <f t="shared" si="124"/>
        <v>93</v>
      </c>
      <c r="AI85" s="25" t="str">
        <f t="shared" si="88"/>
        <v xml:space="preserve"> </v>
      </c>
      <c r="AJ85" s="25" t="str">
        <f>IF($AH85&gt;RAM," ",IF($AH85&lt;RAM,SUM(AI85:INDEX(Dix,RAM-BeginnAlter))+INDEX(Nx,RAM-BeginnAlter+1),INDEX(Nx,RAM-BeginnAlter+1)))</f>
        <v xml:space="preserve"> </v>
      </c>
      <c r="AK85" s="25" t="str">
        <f>IF($AH85&lt;RAM,SUM(AI85:INDEX(Dix,RAM-BeginnAlter))," ")</f>
        <v xml:space="preserve"> </v>
      </c>
      <c r="AL85" s="24" t="str">
        <f t="shared" si="89"/>
        <v xml:space="preserve"> </v>
      </c>
      <c r="AM85" s="24" t="str">
        <f t="shared" si="90"/>
        <v xml:space="preserve"> </v>
      </c>
      <c r="AN85" s="24" t="str">
        <f t="shared" si="91"/>
        <v xml:space="preserve"> </v>
      </c>
      <c r="AO85" s="24" t="str">
        <f t="shared" si="92"/>
        <v xml:space="preserve"> </v>
      </c>
      <c r="AP85" s="86"/>
      <c r="AQ85" s="35">
        <f t="shared" si="125"/>
        <v>93</v>
      </c>
      <c r="AR85" s="25">
        <f t="shared" si="93"/>
        <v>1142</v>
      </c>
      <c r="AS85" s="25">
        <f>SUM(AR85:AR$94)</f>
        <v>3357</v>
      </c>
      <c r="AT85" s="25" t="str">
        <f>IF($AQ85&lt;RAM,SUM(AR85:INDEX(Dx,RAM-BeginnAlter))," ")</f>
        <v xml:space="preserve"> </v>
      </c>
      <c r="AU85" s="24">
        <f t="shared" si="94"/>
        <v>2.94</v>
      </c>
      <c r="AV85" s="24">
        <f t="shared" si="95"/>
        <v>2.4809999999999999</v>
      </c>
      <c r="AW85" s="24" t="str">
        <f t="shared" si="96"/>
        <v xml:space="preserve"> </v>
      </c>
      <c r="AX85" s="24" t="str">
        <f t="shared" si="97"/>
        <v xml:space="preserve"> </v>
      </c>
      <c r="AY85" s="86"/>
      <c r="AZ85" s="35">
        <f t="shared" si="126"/>
        <v>93</v>
      </c>
      <c r="BA85" s="25">
        <f t="shared" si="98"/>
        <v>866</v>
      </c>
      <c r="BB85" s="25">
        <f>SUM(BA85:BA$94)</f>
        <v>2545</v>
      </c>
      <c r="BC85" s="24">
        <f t="shared" si="99"/>
        <v>2.9390000000000001</v>
      </c>
      <c r="BD85" s="24">
        <f t="shared" si="100"/>
        <v>2.48</v>
      </c>
      <c r="BE85" s="86"/>
      <c r="BF85" s="35">
        <f t="shared" si="127"/>
        <v>76</v>
      </c>
      <c r="BG85" s="24" t="str">
        <f t="shared" si="101"/>
        <v/>
      </c>
      <c r="BH85" s="24" t="str">
        <f t="shared" si="102"/>
        <v/>
      </c>
      <c r="BI85" s="86"/>
      <c r="BJ85" s="35">
        <f t="shared" si="128"/>
        <v>93</v>
      </c>
      <c r="BK85" s="25" t="str">
        <f t="shared" si="103"/>
        <v xml:space="preserve"> </v>
      </c>
      <c r="BL85" s="25" t="str">
        <f>IF(BJ85&lt;RAM,SUM(BK85:INDEX(Daix,RAM-BeginnAlter))," ")</f>
        <v xml:space="preserve"> </v>
      </c>
      <c r="BM85" s="25" t="str">
        <f>IF(BJ85&lt;RAM,SUM(BL85:INDEX(Naix,RAM-BeginnAlter))," ")</f>
        <v xml:space="preserve"> </v>
      </c>
      <c r="BN85" s="24" t="str">
        <f t="shared" si="104"/>
        <v xml:space="preserve"> </v>
      </c>
      <c r="BO85" s="24" t="str">
        <f t="shared" si="105"/>
        <v xml:space="preserve"> </v>
      </c>
      <c r="BP85" s="86"/>
      <c r="BQ85" s="35">
        <f t="shared" si="129"/>
        <v>93</v>
      </c>
      <c r="BR85" s="25" t="str">
        <f t="shared" si="142"/>
        <v xml:space="preserve"> </v>
      </c>
      <c r="BS85" s="25" t="str">
        <f>IF(BQ85&lt;RAM,SUM(BR85:INDEX(Daixs,RAM-BeginnAlter))," ")</f>
        <v xml:space="preserve"> </v>
      </c>
      <c r="BT85" s="25" t="str">
        <f>IF(BQ85&lt;RAM,SUM(BS85:INDEX(Naixs,RAM-BeginnAlter))," ")</f>
        <v xml:space="preserve"> </v>
      </c>
      <c r="BU85" s="24" t="str">
        <f t="shared" si="143"/>
        <v xml:space="preserve"> </v>
      </c>
      <c r="BV85" s="24" t="str">
        <f t="shared" si="144"/>
        <v xml:space="preserve"> </v>
      </c>
      <c r="BW85" s="86"/>
      <c r="BX85" s="35">
        <f t="shared" si="130"/>
        <v>93</v>
      </c>
      <c r="BY85" s="10" t="str">
        <f t="shared" si="106"/>
        <v/>
      </c>
      <c r="BZ85" s="11" t="str">
        <f t="shared" si="107"/>
        <v/>
      </c>
      <c r="CA85" s="25" t="str">
        <f>IF(S86&lt;=RAK,IF($BX85&lt;RAM,SUM(BZ85:INDEX(Dazx,RAM-BeginnAlter)),""),"")</f>
        <v/>
      </c>
      <c r="CB85" s="24" t="str">
        <f t="shared" si="108"/>
        <v/>
      </c>
      <c r="CC85" s="25">
        <f t="shared" si="109"/>
        <v>0</v>
      </c>
      <c r="CD85" s="24">
        <f t="shared" si="110"/>
        <v>0</v>
      </c>
      <c r="CE85" s="24" t="str">
        <f t="shared" si="111"/>
        <v/>
      </c>
      <c r="CF85" s="86"/>
      <c r="CG85" s="35">
        <f t="shared" si="131"/>
        <v>93</v>
      </c>
      <c r="CH85" s="25" t="str">
        <f>IF(CG85&lt;RAM,ROUND(v^($CG85+FaktorAlter)*$H85*($B85*0.5*($P85+$P86)*(VLOOKUP(TRUNC(0.5*($Q85+$Q86),0),Frauen!$AZ$9:$BD$95,5)+(0.5*($Q85+$Q86)-TRUNC(0.5*($Q85+$Q86),0))*(VLOOKUP(TRUNC(0.5*($Q85+$Q86)+1,0),Frauen!$AZ$9:$BD$95,5)-VLOOKUP(TRUNC(0.5*($Q85+$Q86),0),Frauen!$AZ$9:$BD$95,5)))+$C85*0.5*($CN85+$CN86)),RundDx),"")</f>
        <v/>
      </c>
      <c r="CI85" s="25" t="str">
        <f>IF(CG85&lt;RAM,ROUND(SUM(CH85:INDEX(Dawx,RAM-BeginnAlter))+INDEX(Dax,RAM-BeginnAlter+1)*INDEX(äwx,1),RundDx),"")</f>
        <v/>
      </c>
      <c r="CJ85" s="25" t="str">
        <f>IF(CG85&lt;RAM,ROUND(SUM(CI85:INDEX(Nawx,RAM-BeginnAlter))+INDEX(Dax,RAM-BeginnAlter+1)*INDEX(äwx,1),RundDx),"")</f>
        <v/>
      </c>
      <c r="CK85" s="24" t="str">
        <f t="shared" si="145"/>
        <v/>
      </c>
      <c r="CL85" s="25" t="str">
        <f>IF(CG85&lt;RAM,ROUND(v^($CG85+FaktorAlter)*$L85*$D85*0.5*($P85+$P86)*(VLOOKUP(TRUNC(0.5*($Q85+$Q86),0),Frauen!$AZ$9:$BD$95,5)+(0.5*($Q85+$Q86)-TRUNC(0.5*($Q85+$Q86),0))*(VLOOKUP(TRUNC(0.5*($Q85+$Q86)+1,0),Frauen!$AZ$9:$BD$95,5)-VLOOKUP(TRUNC(0.5*($Q85+$Q86),0),Frauen!$AZ$9:$BD$95,5))),RundDx),"")</f>
        <v/>
      </c>
      <c r="CM85" s="25" t="str">
        <f>IF(CG85&lt;RAM,SUM(CL85:INDEX(Diwx,RAM-BeginnAlter))+INDEX(Dix,RAM-BeginnAlter+1)*INDEX(äwx,1),"")</f>
        <v/>
      </c>
      <c r="CN85" s="24" t="str">
        <f t="shared" si="146"/>
        <v/>
      </c>
      <c r="CO85" s="86"/>
      <c r="CP85" s="35">
        <f t="shared" si="147"/>
        <v>141</v>
      </c>
      <c r="CQ85" s="25"/>
      <c r="CR85" s="25"/>
      <c r="CS85" s="24"/>
      <c r="CT85" s="86"/>
      <c r="CU85" s="35">
        <f t="shared" si="132"/>
        <v>93</v>
      </c>
      <c r="CV85" s="25" t="str">
        <f>IF($CU85&gt;=RAM,"",IF($CU85-CV$103&lt;BeginnAlter,"",ROUND(v^($CU85+FaktorAlter)*$L85*$D85*0.5*(VLOOKUP($CU85-CV$103,Frauen!$G$9:$J$102,4)+VLOOKUP($CU85-CV$103+1,Frauen!$G$9:$J$102,4))*0.5*(VLOOKUP($CU85-CV$103,Frauen!$AZ$9:$BD$102,5)+VLOOKUP($CU85-CV$103+1,Frauen!$AZ$9:$BD$102,5)),RundDx)))</f>
        <v/>
      </c>
      <c r="CW85" s="25" t="str">
        <f>IF($CU85&gt;=RAM,"",IF($CU85-CW$103&lt;BeginnAlter,"",ROUND(v^($CU85+FaktorAlter)*$L85*$D85*0.5*(VLOOKUP($CU85-CW$103,Frauen!$G$9:$J$102,4)+VLOOKUP($CU85-CW$103+1,Frauen!$G$9:$J$102,4))*0.5*(VLOOKUP($CU85-CW$103,Frauen!$AZ$9:$BD$102,5)+VLOOKUP($CU85-CW$103+1,Frauen!$AZ$9:$BD$102,5)),RundDx)))</f>
        <v/>
      </c>
      <c r="CX85" s="25" t="str">
        <f>IF($CU85&gt;=RAM,"",IF($CU85-CX$103&lt;BeginnAlter,"",ROUND(v^($CU85+FaktorAlter)*$L85*$D85*0.5*(VLOOKUP($CU85-CX$103,Frauen!$G$9:$J$102,4)+VLOOKUP($CU85-CX$103+1,Frauen!$G$9:$J$102,4))*0.5*(VLOOKUP($CU85-CX$103,Frauen!$AZ$9:$BD$102,5)+VLOOKUP($CU85-CX$103+1,Frauen!$AZ$9:$BD$102,5)),RundDx)))</f>
        <v/>
      </c>
      <c r="CY85" s="25" t="str">
        <f>IF($CU85&gt;=RAM,"",IF($CU85-CY$103&lt;BeginnAlter,"",ROUND(v^($CU85+FaktorAlter)*$L85*$D85*0.5*(VLOOKUP($CU85-CY$103,Frauen!$G$9:$J$102,4)+VLOOKUP($CU85-CY$103+1,Frauen!$G$9:$J$102,4))*0.5*(VLOOKUP($CU85-CY$103,Frauen!$AZ$9:$BD$102,5)+VLOOKUP($CU85-CY$103+1,Frauen!$AZ$9:$BD$102,5)),RundDx)))</f>
        <v/>
      </c>
      <c r="CZ85" s="25" t="str">
        <f>IF($CU85&gt;=RAM,"",IF($CU85-CZ$103&lt;BeginnAlter,"",ROUND(v^($CU85+FaktorAlter)*$L85*$D85*0.5*(VLOOKUP($CU85-CZ$103,Frauen!$G$9:$J$102,4)+VLOOKUP($CU85-CZ$103+1,Frauen!$G$9:$J$102,4))*0.5*(VLOOKUP($CU85-CZ$103,Frauen!$AZ$9:$BD$102,5)+VLOOKUP($CU85-CZ$103+1,Frauen!$AZ$9:$BD$102,5)),RundDx)))</f>
        <v/>
      </c>
      <c r="DA85" s="25" t="str">
        <f>IF($CU85&gt;=RAM,"",IF($CU85-DA$103&lt;BeginnAlter,"",ROUND(v^($CU85+FaktorAlter)*$L85*$D85*0.5*(VLOOKUP($CU85-DA$103,Frauen!$G$9:$J$102,4)+VLOOKUP($CU85-DA$103+1,Frauen!$G$9:$J$102,4))*0.5*(VLOOKUP($CU85-DA$103,Frauen!$AZ$9:$BD$102,5)+VLOOKUP($CU85-DA$103+1,Frauen!$AZ$9:$BD$102,5)),RundDx)))</f>
        <v/>
      </c>
      <c r="DB85" s="25" t="str">
        <f>IF($CU85&gt;=RAM,"",IF($CU85-DB$103&lt;BeginnAlter,"",ROUND(v^($CU85+FaktorAlter)*$L85*$D85*0.5*(VLOOKUP($CU85-DB$103,Frauen!$G$9:$J$102,4)+VLOOKUP($CU85-DB$103+1,Frauen!$G$9:$J$102,4))*0.5*(VLOOKUP($CU85-DB$103,Frauen!$AZ$9:$BD$102,5)+VLOOKUP($CU85-DB$103+1,Frauen!$AZ$9:$BD$102,5)),RundDx)))</f>
        <v/>
      </c>
      <c r="DC85" s="25" t="str">
        <f>IF($CU85&gt;=RAM,"",IF($CU85-DC$103&lt;BeginnAlter,"",ROUND(v^($CU85+FaktorAlter)*$L85*$D85*0.5*(VLOOKUP($CU85-DC$103,Frauen!$G$9:$J$102,4)+VLOOKUP($CU85-DC$103+1,Frauen!$G$9:$J$102,4))*0.5*(VLOOKUP($CU85-DC$103,Frauen!$AZ$9:$BD$102,5)+VLOOKUP($CU85-DC$103+1,Frauen!$AZ$9:$BD$102,5)),RundDx)))</f>
        <v/>
      </c>
      <c r="DD85" s="25" t="str">
        <f>IF($CU85&gt;=RAM,"",IF($CU85-DD$103&lt;BeginnAlter,"",ROUND(v^($CU85+FaktorAlter)*$L85*$D85*0.5*(VLOOKUP($CU85-DD$103,Frauen!$G$9:$J$102,4)+VLOOKUP($CU85-DD$103+1,Frauen!$G$9:$J$102,4))*0.5*(VLOOKUP($CU85-DD$103,Frauen!$AZ$9:$BD$102,5)+VLOOKUP($CU85-DD$103+1,Frauen!$AZ$9:$BD$102,5)),RundDx)))</f>
        <v/>
      </c>
      <c r="DE85" s="25" t="str">
        <f>IF($CU85&gt;=RAM,"",IF($CU85-DE$103&lt;BeginnAlter,"",ROUND(v^($CU85+FaktorAlter)*$L85*$D85*0.5*(VLOOKUP($CU85-DE$103,Frauen!$G$9:$J$102,4)+VLOOKUP($CU85-DE$103+1,Frauen!$G$9:$J$102,4))*0.5*(VLOOKUP($CU85-DE$103,Frauen!$AZ$9:$BD$102,5)+VLOOKUP($CU85-DE$103+1,Frauen!$AZ$9:$BD$102,5)),RundDx)))</f>
        <v/>
      </c>
      <c r="DF85" s="25" t="str">
        <f>IF($CU85&gt;=RAM,"",IF($CU85-DF$103&lt;BeginnAlter,"",ROUND(v^($CU85+FaktorAlter)*$L85*$D85*0.5*(VLOOKUP($CU85-DF$103,Frauen!$G$9:$J$102,4)+VLOOKUP($CU85-DF$103+1,Frauen!$G$9:$J$102,4))*0.5*(VLOOKUP($CU85-DF$103,Frauen!$AZ$9:$BD$102,5)+VLOOKUP($CU85-DF$103+1,Frauen!$AZ$9:$BD$102,5)),RundDx)))</f>
        <v/>
      </c>
      <c r="DG85" s="25" t="str">
        <f>IF($CU85&gt;=RAM,"",IF($CU85-DG$103&lt;BeginnAlter,"",ROUND(v^($CU85+FaktorAlter)*$L85*$D85*0.5*(VLOOKUP($CU85-DG$103,Frauen!$G$9:$J$102,4)+VLOOKUP($CU85-DG$103+1,Frauen!$G$9:$J$102,4))*0.5*(VLOOKUP($CU85-DG$103,Frauen!$AZ$9:$BD$102,5)+VLOOKUP($CU85-DG$103+1,Frauen!$AZ$9:$BD$102,5)),RundDx)))</f>
        <v/>
      </c>
      <c r="DH85" s="25" t="str">
        <f>IF($CU85&gt;=RAM,"",IF($CU85-DH$103&lt;BeginnAlter,"",ROUND(v^($CU85+FaktorAlter)*$L85*$D85*0.5*(VLOOKUP($CU85-DH$103,Frauen!$G$9:$J$102,4)+VLOOKUP($CU85-DH$103+1,Frauen!$G$9:$J$102,4))*0.5*(VLOOKUP($CU85-DH$103,Frauen!$AZ$9:$BD$102,5)+VLOOKUP($CU85-DH$103+1,Frauen!$AZ$9:$BD$102,5)),RundDx)))</f>
        <v/>
      </c>
      <c r="DI85" s="25" t="str">
        <f>IF($CU85&gt;=RAM,"",IF($CU85-DI$103&lt;BeginnAlter,"",ROUND(v^($CU85+FaktorAlter)*$L85*$D85*0.5*(VLOOKUP($CU85-DI$103,Frauen!$G$9:$J$102,4)+VLOOKUP($CU85-DI$103+1,Frauen!$G$9:$J$102,4))*0.5*(VLOOKUP($CU85-DI$103,Frauen!$AZ$9:$BD$102,5)+VLOOKUP($CU85-DI$103+1,Frauen!$AZ$9:$BD$102,5)),RundDx)))</f>
        <v/>
      </c>
      <c r="DJ85" s="25" t="str">
        <f>IF($CU85&gt;=RAM,"",IF($CU85-DJ$103&lt;BeginnAlter,"",ROUND(v^($CU85+FaktorAlter)*$L85*$D85*0.5*(VLOOKUP($CU85-DJ$103,Frauen!$G$9:$J$102,4)+VLOOKUP($CU85-DJ$103+1,Frauen!$G$9:$J$102,4))*0.5*(VLOOKUP($CU85-DJ$103,Frauen!$AZ$9:$BD$102,5)+VLOOKUP($CU85-DJ$103+1,Frauen!$AZ$9:$BD$102,5)),RundDx)))</f>
        <v/>
      </c>
      <c r="DK85" s="25" t="str">
        <f>IF($CU85&gt;=RAM,"",IF($CU85-DK$103&lt;BeginnAlter,"",ROUND(v^($CU85+FaktorAlter)*$L85*$D85*0.5*(VLOOKUP($CU85-DK$103,Frauen!$G$9:$J$102,4)+VLOOKUP($CU85-DK$103+1,Frauen!$G$9:$J$102,4))*0.5*(VLOOKUP($CU85-DK$103,Frauen!$AZ$9:$BD$102,5)+VLOOKUP($CU85-DK$103+1,Frauen!$AZ$9:$BD$102,5)),RundDx)))</f>
        <v/>
      </c>
      <c r="DL85" s="25" t="str">
        <f>IF($CU85&gt;=RAM,"",IF($CU85-DL$103&lt;BeginnAlter,"",ROUND(v^($CU85+FaktorAlter)*$L85*$D85*0.5*(VLOOKUP($CU85-DL$103,Frauen!$G$9:$J$102,4)+VLOOKUP($CU85-DL$103+1,Frauen!$G$9:$J$102,4))*0.5*(VLOOKUP($CU85-DL$103,Frauen!$AZ$9:$BD$102,5)+VLOOKUP($CU85-DL$103+1,Frauen!$AZ$9:$BD$102,5)),RundDx)))</f>
        <v/>
      </c>
      <c r="DM85" s="25" t="str">
        <f>IF($CU85&gt;=RAM,"",IF($CU85-DM$103&lt;BeginnAlter,"",ROUND(v^($CU85+FaktorAlter)*$L85*$D85*0.5*(VLOOKUP($CU85-DM$103,Frauen!$G$9:$J$102,4)+VLOOKUP($CU85-DM$103+1,Frauen!$G$9:$J$102,4))*0.5*(VLOOKUP($CU85-DM$103,Frauen!$AZ$9:$BD$102,5)+VLOOKUP($CU85-DM$103+1,Frauen!$AZ$9:$BD$102,5)),RundDx)))</f>
        <v/>
      </c>
      <c r="DN85" s="25" t="str">
        <f>IF($CU85&gt;=RAM,"",IF($CU85-DN$103&lt;BeginnAlter,"",ROUND(v^($CU85+FaktorAlter)*$L85*$D85*0.5*(VLOOKUP($CU85-DN$103,Frauen!$G$9:$J$102,4)+VLOOKUP($CU85-DN$103+1,Frauen!$G$9:$J$102,4))*0.5*(VLOOKUP($CU85-DN$103,Frauen!$AZ$9:$BD$102,5)+VLOOKUP($CU85-DN$103+1,Frauen!$AZ$9:$BD$102,5)),RundDx)))</f>
        <v/>
      </c>
      <c r="DO85" s="25" t="str">
        <f>IF($CU85&gt;=RAM,"",IF($CU85-DO$103&lt;BeginnAlter,"",ROUND(v^($CU85+FaktorAlter)*$L85*$D85*0.5*(VLOOKUP($CU85-DO$103,Frauen!$G$9:$J$102,4)+VLOOKUP($CU85-DO$103+1,Frauen!$G$9:$J$102,4))*0.5*(VLOOKUP($CU85-DO$103,Frauen!$AZ$9:$BD$102,5)+VLOOKUP($CU85-DO$103+1,Frauen!$AZ$9:$BD$102,5)),RundDx)))</f>
        <v/>
      </c>
      <c r="DP85" s="25" t="str">
        <f>IF($CU85&gt;=RAM,"",IF($CU85-DP$103&lt;BeginnAlter,"",ROUND(v^($CU85+FaktorAlter)*$L85*$D85*0.5*(VLOOKUP($CU85-DP$103,Frauen!$G$9:$J$102,4)+VLOOKUP($CU85-DP$103+1,Frauen!$G$9:$J$102,4))*0.5*(VLOOKUP($CU85-DP$103,Frauen!$AZ$9:$BD$102,5)+VLOOKUP($CU85-DP$103+1,Frauen!$AZ$9:$BD$102,5)),RundDx)))</f>
        <v/>
      </c>
      <c r="DQ85" s="25" t="str">
        <f>IF($CU85&gt;=RAM,"",IF($CU85-DQ$103&lt;BeginnAlter,"",ROUND(v^($CU85+FaktorAlter)*$L85*$D85*0.5*(VLOOKUP($CU85-DQ$103,Frauen!$G$9:$J$102,4)+VLOOKUP($CU85-DQ$103+1,Frauen!$G$9:$J$102,4))*0.5*(VLOOKUP($CU85-DQ$103,Frauen!$AZ$9:$BD$102,5)+VLOOKUP($CU85-DQ$103+1,Frauen!$AZ$9:$BD$102,5)),RundDx)))</f>
        <v/>
      </c>
      <c r="DR85" s="25" t="str">
        <f>IF($CU85&gt;=RAM,"",IF($CU85-DR$103&lt;BeginnAlter,"",ROUND(v^($CU85+FaktorAlter)*$L85*$D85*0.5*(VLOOKUP($CU85-DR$103,Frauen!$G$9:$J$102,4)+VLOOKUP($CU85-DR$103+1,Frauen!$G$9:$J$102,4))*0.5*(VLOOKUP($CU85-DR$103,Frauen!$AZ$9:$BD$102,5)+VLOOKUP($CU85-DR$103+1,Frauen!$AZ$9:$BD$102,5)),RundDx)))</f>
        <v/>
      </c>
      <c r="DS85" s="25" t="str">
        <f>IF($CU85&gt;=RAM,"",IF($CU85-DS$103&lt;BeginnAlter,"",ROUND(v^($CU85+FaktorAlter)*$L85*$D85*0.5*(VLOOKUP($CU85-DS$103,Frauen!$G$9:$J$102,4)+VLOOKUP($CU85-DS$103+1,Frauen!$G$9:$J$102,4))*0.5*(VLOOKUP($CU85-DS$103,Frauen!$AZ$9:$BD$102,5)+VLOOKUP($CU85-DS$103+1,Frauen!$AZ$9:$BD$102,5)),RundDx)))</f>
        <v/>
      </c>
      <c r="DT85" s="25" t="str">
        <f>IF($CU85&gt;=RAM,"",IF($CU85-DT$103&lt;BeginnAlter,"",ROUND(v^($CU85+FaktorAlter)*$L85*$D85*0.5*(VLOOKUP($CU85-DT$103,Frauen!$G$9:$J$102,4)+VLOOKUP($CU85-DT$103+1,Frauen!$G$9:$J$102,4))*0.5*(VLOOKUP($CU85-DT$103,Frauen!$AZ$9:$BD$102,5)+VLOOKUP($CU85-DT$103+1,Frauen!$AZ$9:$BD$102,5)),RundDx)))</f>
        <v/>
      </c>
      <c r="DU85" s="25" t="str">
        <f>IF($CU85&gt;=RAM,"",IF($CU85-DU$103&lt;BeginnAlter,"",ROUND(v^($CU85+FaktorAlter)*$L85*$D85*0.5*(VLOOKUP($CU85-DU$103,Frauen!$G$9:$J$102,4)+VLOOKUP($CU85-DU$103+1,Frauen!$G$9:$J$102,4))*0.5*(VLOOKUP($CU85-DU$103,Frauen!$AZ$9:$BD$102,5)+VLOOKUP($CU85-DU$103+1,Frauen!$AZ$9:$BD$102,5)),RundDx)))</f>
        <v/>
      </c>
      <c r="DV85" s="25" t="str">
        <f>IF($CU85&gt;=RAM,"",IF($CU85-DV$103&lt;BeginnAlter,"",ROUND(v^($CU85+FaktorAlter)*$L85*$D85*0.5*(VLOOKUP($CU85-DV$103,Frauen!$G$9:$J$102,4)+VLOOKUP($CU85-DV$103+1,Frauen!$G$9:$J$102,4))*0.5*(VLOOKUP($CU85-DV$103,Frauen!$AZ$9:$BD$102,5)+VLOOKUP($CU85-DV$103+1,Frauen!$AZ$9:$BD$102,5)),RundDx)))</f>
        <v/>
      </c>
      <c r="DW85" s="25" t="str">
        <f>IF($CU85&gt;=RAM,"",IF($CU85-DW$103&lt;BeginnAlter,"",ROUND(v^($CU85+FaktorAlter)*$L85*$D85*0.5*(VLOOKUP($CU85-DW$103,Frauen!$G$9:$J$102,4)+VLOOKUP($CU85-DW$103+1,Frauen!$G$9:$J$102,4))*0.5*(VLOOKUP($CU85-DW$103,Frauen!$AZ$9:$BD$102,5)+VLOOKUP($CU85-DW$103+1,Frauen!$AZ$9:$BD$102,5)),RundDx)))</f>
        <v/>
      </c>
      <c r="DX85" s="25" t="str">
        <f>IF($CU85&gt;=RAM,"",IF($CU85-DX$103&lt;BeginnAlter,"",ROUND(v^($CU85+FaktorAlter)*$L85*$D85*0.5*(VLOOKUP($CU85-DX$103,Frauen!$G$9:$J$102,4)+VLOOKUP($CU85-DX$103+1,Frauen!$G$9:$J$102,4))*0.5*(VLOOKUP($CU85-DX$103,Frauen!$AZ$9:$BD$102,5)+VLOOKUP($CU85-DX$103+1,Frauen!$AZ$9:$BD$102,5)),RundDx)))</f>
        <v/>
      </c>
      <c r="DY85" s="25" t="str">
        <f>IF($CU85&gt;=RAM,"",IF($CU85-DY$103&lt;BeginnAlter,"",ROUND(v^($CU85+FaktorAlter)*$L85*$D85*0.5*(VLOOKUP($CU85-DY$103,Frauen!$G$9:$J$102,4)+VLOOKUP($CU85-DY$103+1,Frauen!$G$9:$J$102,4))*0.5*(VLOOKUP($CU85-DY$103,Frauen!$AZ$9:$BD$102,5)+VLOOKUP($CU85-DY$103+1,Frauen!$AZ$9:$BD$102,5)),RundDx)))</f>
        <v/>
      </c>
      <c r="DZ85" s="25" t="str">
        <f>IF($CU85&gt;=RAM,"",IF($CU85-DZ$103&lt;BeginnAlter,"",ROUND(v^($CU85+FaktorAlter)*$L85*$D85*0.5*(VLOOKUP($CU85-DZ$103,Frauen!$G$9:$J$102,4)+VLOOKUP($CU85-DZ$103+1,Frauen!$G$9:$J$102,4))*0.5*(VLOOKUP($CU85-DZ$103,Frauen!$AZ$9:$BD$102,5)+VLOOKUP($CU85-DZ$103+1,Frauen!$AZ$9:$BD$102,5)),RundDx)))</f>
        <v/>
      </c>
      <c r="EA85" s="43" t="str">
        <f>IF($CU85&gt;=RAM,"",IF($CU85-EA$103&lt;BeginnAlter,"",ROUND((SUM(CV$56:CV85)+SUM(FN$9:FN$56))/VLOOKUP($CU85,$AH$9:$AI$102,2)/VLOOKUP($CU85-EA$103,Frauen!$G$9:$J$102,4),Rundäx)))</f>
        <v/>
      </c>
      <c r="EB85" s="43" t="str">
        <f>IF($CU85&gt;=RAM,"",IF($CU85-EB$103&lt;BeginnAlter,"",ROUND((SUM(CW$56:CW85)+SUM(FO$9:FO$56))/VLOOKUP($CU85,$AH$9:$AI$102,2)/VLOOKUP($CU85-EB$103,Frauen!$G$9:$J$102,4),Rundäx)))</f>
        <v/>
      </c>
      <c r="EC85" s="43" t="str">
        <f>IF($CU85&gt;=RAM,"",IF($CU85-EC$103&lt;BeginnAlter,"",ROUND((SUM(CX$56:CX85)+SUM(FP$9:FP$56))/VLOOKUP($CU85,$AH$9:$AI$102,2)/VLOOKUP($CU85-EC$103,Frauen!$G$9:$J$102,4),Rundäx)))</f>
        <v/>
      </c>
      <c r="ED85" s="43" t="str">
        <f>IF($CU85&gt;=RAM,"",IF($CU85-ED$103&lt;BeginnAlter,"",ROUND((SUM(CY$56:CY85)+SUM(FQ$9:FQ$56))/VLOOKUP($CU85,$AH$9:$AI$102,2)/VLOOKUP($CU85-ED$103,Frauen!$G$9:$J$102,4),Rundäx)))</f>
        <v/>
      </c>
      <c r="EE85" s="43" t="str">
        <f>IF($CU85&gt;=RAM,"",IF($CU85-EE$103&lt;BeginnAlter,"",ROUND((SUM(CZ$56:CZ85)+SUM(FR$9:FR$56))/VLOOKUP($CU85,$AH$9:$AI$102,2)/VLOOKUP($CU85-EE$103,Frauen!$G$9:$J$102,4),Rundäx)))</f>
        <v/>
      </c>
      <c r="EF85" s="43" t="str">
        <f>IF($CU85&gt;=RAM,"",IF($CU85-EF$103&lt;BeginnAlter,"",ROUND((SUM(DA$56:DA85)+SUM(FS$9:FS$56))/VLOOKUP($CU85,$AH$9:$AI$102,2)/VLOOKUP($CU85-EF$103,Frauen!$G$9:$J$102,4),Rundäx)))</f>
        <v/>
      </c>
      <c r="EG85" s="43" t="str">
        <f>IF($CU85&gt;=RAM,"",IF($CU85-EG$103&lt;BeginnAlter,"",ROUND((SUM(DB$56:DB85)+SUM(FT$9:FT$56))/VLOOKUP($CU85,$AH$9:$AI$102,2)/VLOOKUP($CU85-EG$103,Frauen!$G$9:$J$102,4),Rundäx)))</f>
        <v/>
      </c>
      <c r="EH85" s="43" t="str">
        <f>IF($CU85&gt;=RAM,"",IF($CU85-EH$103&lt;BeginnAlter,"",ROUND((SUM(DC$56:DC85)+SUM(FU$9:FU$56))/VLOOKUP($CU85,$AH$9:$AI$102,2)/VLOOKUP($CU85-EH$103,Frauen!$G$9:$J$102,4),Rundäx)))</f>
        <v/>
      </c>
      <c r="EI85" s="86"/>
      <c r="EJ85" s="35">
        <f t="shared" si="133"/>
        <v>93</v>
      </c>
      <c r="EK85" s="43" t="str">
        <f>IF($CU85&gt;=RAM,"",IF($CU85-EK$103&lt;BeginnAlter,"",ROUND((SUM(DD$56:DD85)+SUM(FV$9:FV$56))/VLOOKUP($CU85,$AH$9:$AI$102,2)/VLOOKUP($CU85-EK$103,Frauen!$G$9:$J$102,4),Rundäx)))</f>
        <v/>
      </c>
      <c r="EL85" s="43" t="str">
        <f>IF($CU85&gt;=RAM,"",IF($CU85-EL$103&lt;BeginnAlter,"",ROUND((SUM(DE$56:DE85)+SUM(FW$9:FW$56))/VLOOKUP($CU85,$AH$9:$AI$102,2)/VLOOKUP($CU85-EL$103,Frauen!$G$9:$J$102,4),Rundäx)))</f>
        <v/>
      </c>
      <c r="EM85" s="43" t="str">
        <f>IF($CU85&gt;=RAM,"",IF($CU85-EM$103&lt;BeginnAlter,"",ROUND((SUM(DF$56:DF85)+SUM(FX$9:FX$56))/VLOOKUP($CU85,$AH$9:$AI$102,2)/VLOOKUP($CU85-EM$103,Frauen!$G$9:$J$102,4),Rundäx)))</f>
        <v/>
      </c>
      <c r="EN85" s="43" t="str">
        <f>IF($CU85&gt;=RAM,"",IF($CU85-EN$103&lt;BeginnAlter,"",ROUND((SUM(DG$56:DG85)+SUM(FY$9:FY$56))/VLOOKUP($CU85,$AH$9:$AI$102,2)/VLOOKUP($CU85-EN$103,Frauen!$G$9:$J$102,4),Rundäx)))</f>
        <v/>
      </c>
      <c r="EO85" s="43" t="str">
        <f>IF($CU85&gt;=RAM,"",IF($CU85-EO$103&lt;BeginnAlter,"",ROUND((SUM(DH$56:DH85)+SUM(FZ$9:FZ$56))/VLOOKUP($CU85,$AH$9:$AI$102,2)/VLOOKUP($CU85-EO$103,Frauen!$G$9:$J$102,4),Rundäx)))</f>
        <v/>
      </c>
      <c r="EP85" s="43" t="str">
        <f>IF($CU85&gt;=RAM,"",IF($CU85-EP$103&lt;BeginnAlter,"",ROUND((SUM(DI$56:DI85)+SUM(GA$9:GA$56))/VLOOKUP($CU85,$AH$9:$AI$102,2)/VLOOKUP($CU85-EP$103,Frauen!$G$9:$J$102,4),Rundäx)))</f>
        <v/>
      </c>
      <c r="EQ85" s="43" t="str">
        <f>IF($CU85&gt;=RAM,"",IF($CU85-EQ$103&lt;BeginnAlter,"",ROUND((SUM(DJ$56:DJ85)+SUM(GB$9:GB$56))/VLOOKUP($CU85,$AH$9:$AI$102,2)/VLOOKUP($CU85-EQ$103,Frauen!$G$9:$J$102,4),Rundäx)))</f>
        <v/>
      </c>
      <c r="ER85" s="43" t="str">
        <f>IF($CU85&gt;=RAM,"",IF($CU85-ER$103&lt;BeginnAlter,"",ROUND((SUM(DK$56:DK85)+SUM(GC$9:GC$56))/VLOOKUP($CU85,$AH$9:$AI$102,2)/VLOOKUP($CU85-ER$103,Frauen!$G$9:$J$102,4),Rundäx)))</f>
        <v/>
      </c>
      <c r="ES85" s="86"/>
      <c r="ET85" s="35">
        <f t="shared" si="134"/>
        <v>93</v>
      </c>
      <c r="EU85" s="43" t="str">
        <f>IF($CU85&gt;=RAM,"",IF($CU85-EU$103&lt;BeginnAlter,"",ROUND((SUM(DL$56:DL85)+SUM(GD$9:GD$56))/VLOOKUP($CU85,$AH$9:$AI$102,2)/VLOOKUP($CU85-EU$103,Frauen!$G$9:$J$102,4),Rundäx)))</f>
        <v/>
      </c>
      <c r="EV85" s="43" t="str">
        <f>IF($CU85&gt;=RAM,"",IF($CU85-EV$103&lt;BeginnAlter,"",ROUND((SUM(DM$56:DM85)+SUM(GE$9:GE$56))/VLOOKUP($CU85,$AH$9:$AI$102,2)/VLOOKUP($CU85-EV$103,Frauen!$G$9:$J$102,4),Rundäx)))</f>
        <v/>
      </c>
      <c r="EW85" s="43" t="str">
        <f>IF($CU85&gt;=RAM,"",IF($CU85-EW$103&lt;BeginnAlter,"",ROUND((SUM(DN$56:DN85)+SUM(GF$9:GF$56))/VLOOKUP($CU85,$AH$9:$AI$102,2)/VLOOKUP($CU85-EW$103,Frauen!$G$9:$J$102,4),Rundäx)))</f>
        <v/>
      </c>
      <c r="EX85" s="43" t="str">
        <f>IF($CU85&gt;=RAM,"",IF($CU85-EX$103&lt;BeginnAlter,"",ROUND((SUM(DO$56:DO85)+SUM(GG$9:GG$56))/VLOOKUP($CU85,$AH$9:$AI$102,2)/VLOOKUP($CU85-EX$103,Frauen!$G$9:$J$102,4),Rundäx)))</f>
        <v/>
      </c>
      <c r="EY85" s="43" t="str">
        <f>IF($CU85&gt;=RAM,"",IF($CU85-EY$103&lt;BeginnAlter,"",ROUND((SUM(DP$56:DP85)+SUM(GH$9:GH$56))/VLOOKUP($CU85,$AH$9:$AI$102,2)/VLOOKUP($CU85-EY$103,Frauen!$G$9:$J$102,4),Rundäx)))</f>
        <v/>
      </c>
      <c r="EZ85" s="43" t="str">
        <f>IF($CU85&gt;=RAM,"",IF($CU85-EZ$103&lt;BeginnAlter,"",ROUND((SUM(DQ$56:DQ85)+SUM(GI$9:GI$56))/VLOOKUP($CU85,$AH$9:$AI$102,2)/VLOOKUP($CU85-EZ$103,Frauen!$G$9:$J$102,4),Rundäx)))</f>
        <v/>
      </c>
      <c r="FA85" s="43" t="str">
        <f>IF($CU85&gt;=RAM,"",IF($CU85-FA$103&lt;BeginnAlter,"",ROUND((SUM(DR$56:DR85)+SUM(GJ$9:GJ$56))/VLOOKUP($CU85,$AH$9:$AI$102,2)/VLOOKUP($CU85-FA$103,Frauen!$G$9:$J$102,4),Rundäx)))</f>
        <v/>
      </c>
      <c r="FB85" s="43" t="str">
        <f>IF($CU85&gt;=RAM,"",IF($CU85-FB$103&lt;BeginnAlter,"",ROUND((SUM(DS$56:DS85)+SUM(GK$9:GK$56))/VLOOKUP($CU85,$AH$9:$AI$102,2)/VLOOKUP($CU85-FB$103,Frauen!$G$9:$J$102,4),Rundäx)))</f>
        <v/>
      </c>
      <c r="FC85" s="86"/>
      <c r="FD85" s="35">
        <f t="shared" si="135"/>
        <v>93</v>
      </c>
      <c r="FE85" s="43" t="str">
        <f>IF($CU85&gt;=RAM,"",IF($CU85-FE$103&lt;BeginnAlter,"",ROUND((SUM(DT$56:DT85)+SUM(GL$9:GL$56))/VLOOKUP($CU85,$AH$9:$AI$102,2)/VLOOKUP($CU85-FE$103,Frauen!$G$9:$J$102,4),Rundäx)))</f>
        <v/>
      </c>
      <c r="FF85" s="43" t="str">
        <f>IF($CU85&gt;=RAM,"",IF($CU85-FF$103&lt;BeginnAlter,"",ROUND((SUM(DU$56:DU85)+SUM(GM$9:GM$56))/VLOOKUP($CU85,$AH$9:$AI$102,2)/VLOOKUP($CU85-FF$103,Frauen!$G$9:$J$102,4),Rundäx)))</f>
        <v/>
      </c>
      <c r="FG85" s="43" t="str">
        <f>IF($CU85&gt;=RAM,"",IF($CU85-FG$103&lt;BeginnAlter,"",ROUND((SUM(DV$56:DV85)+SUM(GN$9:GN$56))/VLOOKUP($CU85,$AH$9:$AI$102,2)/VLOOKUP($CU85-FG$103,Frauen!$G$9:$J$102,4),Rundäx)))</f>
        <v/>
      </c>
      <c r="FH85" s="43" t="str">
        <f>IF($CU85&gt;=RAM,"",IF($CU85-FH$103&lt;BeginnAlter,"",ROUND((SUM(DW$56:DW85)+SUM(GO$9:GO$56))/VLOOKUP($CU85,$AH$9:$AI$102,2)/VLOOKUP($CU85-FH$103,Frauen!$G$9:$J$102,4),Rundäx)))</f>
        <v/>
      </c>
      <c r="FI85" s="43" t="str">
        <f>IF($CU85&gt;=RAM,"",IF($CU85-FI$103&lt;BeginnAlter,"",ROUND((SUM(DX$56:DX85)+SUM(GP$9:GP$56))/VLOOKUP($CU85,$AH$9:$AI$102,2)/VLOOKUP($CU85-FI$103,Frauen!$G$9:$J$102,4),Rundäx)))</f>
        <v/>
      </c>
      <c r="FJ85" s="43" t="str">
        <f>IF($CU85&gt;=RAM,"",IF($CU85-FJ$103&lt;BeginnAlter,"",ROUND((SUM(DY$56:DY85)+SUM(GQ$9:GQ$56))/VLOOKUP($CU85,$AH$9:$AI$102,2)/VLOOKUP($CU85-FJ$103,Frauen!$G$9:$J$102,4),Rundäx)))</f>
        <v/>
      </c>
      <c r="FK85" s="43" t="str">
        <f>IF($CU85&gt;=RAM,"",IF($CU85-FK$103&lt;BeginnAlter,"",ROUND((SUM(DZ$56:DZ85)+SUM(GR$9:GR$56))/VLOOKUP($CU85,$AH$9:$AI$102,2)/VLOOKUP($CU85-FK$103,Frauen!$G$9:$J$102,4),Rundäx)))</f>
        <v/>
      </c>
      <c r="FL85" s="86"/>
      <c r="FM85" s="35">
        <f t="shared" si="136"/>
        <v>141</v>
      </c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4"/>
      <c r="GT85" s="24"/>
      <c r="GU85" s="24" t="str">
        <f>IF(FM85&gt;=RAM," ",#REF!/$AI85/Frauen!$J73)</f>
        <v xml:space="preserve"> </v>
      </c>
      <c r="GV85" s="24" t="str">
        <f>IF(FM85&gt;=RAM," ",#REF!/$AI85/Frauen!$J76)</f>
        <v xml:space="preserve"> </v>
      </c>
      <c r="GW85" s="24" t="str">
        <f>IF(FM85&gt;=RAM," ",#REF!/$AI85/Frauen!$J79)</f>
        <v xml:space="preserve"> </v>
      </c>
      <c r="GX85" s="24" t="str">
        <f>IF(FM85&gt;=RAM," ",#REF!/$AI85/Frauen!$J82)</f>
        <v xml:space="preserve"> </v>
      </c>
      <c r="GY85" s="24" t="str">
        <f>IF(FM85&gt;=RAM," ",#REF!/$AI85/Frauen!$J85)</f>
        <v xml:space="preserve"> </v>
      </c>
      <c r="GZ85" s="24" t="str">
        <f>IF(FM85&gt;=RAM," ",#REF!/$AI85/Frauen!$J88)</f>
        <v xml:space="preserve"> </v>
      </c>
      <c r="HA85" s="86"/>
      <c r="HB85" s="35">
        <f t="shared" si="137"/>
        <v>141</v>
      </c>
      <c r="HC85" s="24"/>
      <c r="HD85" s="24"/>
      <c r="HE85" s="24"/>
      <c r="HF85" s="24"/>
      <c r="HG85" s="24"/>
      <c r="HH85" s="24"/>
      <c r="HI85" s="24"/>
      <c r="HJ85" s="24"/>
      <c r="HK85" s="86"/>
      <c r="HL85" s="35">
        <f t="shared" si="138"/>
        <v>141</v>
      </c>
      <c r="HM85" s="24"/>
      <c r="HN85" s="24"/>
      <c r="HO85" s="24"/>
      <c r="HP85" s="24"/>
      <c r="HQ85" s="24"/>
      <c r="HR85" s="24"/>
      <c r="HS85" s="24"/>
      <c r="HT85" s="24"/>
      <c r="HU85" s="86"/>
      <c r="HV85" s="35">
        <f t="shared" si="139"/>
        <v>141</v>
      </c>
      <c r="HW85" s="24"/>
      <c r="HX85" s="24"/>
      <c r="HY85" s="24"/>
      <c r="HZ85" s="24"/>
      <c r="IA85" s="24"/>
      <c r="IB85" s="24"/>
      <c r="IC85" s="24"/>
      <c r="ID85" s="89"/>
      <c r="IE85" s="35">
        <f t="shared" si="140"/>
        <v>93</v>
      </c>
      <c r="IF85" s="25" t="str">
        <f t="shared" si="112"/>
        <v/>
      </c>
      <c r="IG85" s="25" t="str">
        <f>IF($IE85&lt;RAM,IF(S86&lt;=RAK,ROUND(SUM(IF85:INDEX(Dakx,RAM-BeginnAlter))+INDEX(Dax,RAM-BeginnAlter+1)*INDEX(äkx,1),RundDx),0),"")</f>
        <v/>
      </c>
      <c r="IH85" s="25" t="str">
        <f>IF($IE85&lt;RAM,IF(S86&lt;=RAK,ROUND(SUM(IG85:INDEX(Nakx,RAM-BeginnAlter))+INDEX(Dax,RAM-BeginnAlter+1)*INDEX(äkx,1),RundDx),0),"")</f>
        <v/>
      </c>
      <c r="II85" s="24" t="str">
        <f t="shared" si="113"/>
        <v/>
      </c>
      <c r="IJ85" s="25" t="str">
        <f t="shared" si="114"/>
        <v/>
      </c>
      <c r="IK85" s="25" t="str">
        <f>IF($IE85&lt;RAM,IF(S86&lt;=RAK,SUM(IJ85:INDEX(Dikx,RAM-BeginnAlter))+INDEX(Dix,RAM-BeginnAlter+1)*INDEX(äkx,1),0),"")</f>
        <v/>
      </c>
      <c r="IL85" s="24" t="str">
        <f t="shared" si="115"/>
        <v/>
      </c>
      <c r="IM85" s="86"/>
      <c r="IN85" s="35">
        <f t="shared" si="141"/>
        <v>141</v>
      </c>
      <c r="IO85" s="25"/>
      <c r="IP85" s="25"/>
      <c r="IQ85" s="24"/>
      <c r="IR85" s="86"/>
    </row>
    <row r="86" spans="1:252" ht="15.75" customHeight="1" x14ac:dyDescent="0.25">
      <c r="A86" s="35">
        <f t="shared" si="120"/>
        <v>94</v>
      </c>
      <c r="B86" s="77"/>
      <c r="C86" s="77"/>
      <c r="D86" s="77"/>
      <c r="E86" s="77">
        <v>0.29744289615775266</v>
      </c>
      <c r="F86" s="86"/>
      <c r="G86" s="35">
        <f t="shared" si="121"/>
        <v>94</v>
      </c>
      <c r="H86" s="25" t="str">
        <f t="shared" si="116"/>
        <v/>
      </c>
      <c r="I86" s="25" t="str">
        <f t="shared" si="117"/>
        <v/>
      </c>
      <c r="J86" s="25">
        <f t="shared" si="118"/>
        <v>6658</v>
      </c>
      <c r="K86" s="30">
        <f>IF(J86&gt;0,ROUND(SUM(J86:J$102)/J86-0.5,Rundex),"")</f>
        <v>2.2799999999999998</v>
      </c>
      <c r="L86" s="25">
        <f t="shared" si="82"/>
        <v>6658</v>
      </c>
      <c r="M86" s="30">
        <f>IF(L86&gt;0,ROUND(SUM(L86:L$102)/L86-0.5,Rundex),"")</f>
        <v>2.2799999999999998</v>
      </c>
      <c r="N86" s="86"/>
      <c r="O86" s="35">
        <f t="shared" si="122"/>
        <v>94</v>
      </c>
      <c r="P86" s="43">
        <v>0.35293010589216234</v>
      </c>
      <c r="Q86" s="78">
        <v>87.283226793588582</v>
      </c>
      <c r="R86" s="43"/>
      <c r="S86" s="78"/>
      <c r="T86" s="15">
        <v>0.29744289615775266</v>
      </c>
      <c r="U86" s="11">
        <f t="shared" si="119"/>
        <v>5048</v>
      </c>
      <c r="V86" s="30">
        <f>IF(U86&gt;0,ROUND(SUM(U86:U$102)/U86-0.5,Rundex),"")</f>
        <v>2.2799999999999998</v>
      </c>
      <c r="W86" s="86"/>
      <c r="X86" s="35">
        <f t="shared" si="123"/>
        <v>94</v>
      </c>
      <c r="Y86" s="25" t="str">
        <f t="shared" si="83"/>
        <v xml:space="preserve"> </v>
      </c>
      <c r="Z86" s="25" t="str">
        <f>IF($X86&lt;RAM,SUM(Y86:INDEX(Dax,RAM-BeginnAlter))," ")</f>
        <v xml:space="preserve"> </v>
      </c>
      <c r="AA86" s="25" t="str">
        <f t="shared" si="84"/>
        <v xml:space="preserve"> </v>
      </c>
      <c r="AB86" s="25" t="str">
        <f>IF($X86&lt;RAM,SUM(AA86:INDEX(Cax,RAM-BeginnAlter))," ")</f>
        <v xml:space="preserve"> </v>
      </c>
      <c r="AC86" s="25" t="str">
        <f t="shared" si="85"/>
        <v xml:space="preserve"> </v>
      </c>
      <c r="AD86" s="25" t="str">
        <f>IF($X86&lt;RAM,SUM(AC86:INDEX(Caix,RAM-BeginnAlter))," ")</f>
        <v xml:space="preserve"> </v>
      </c>
      <c r="AE86" s="24" t="str">
        <f t="shared" si="86"/>
        <v xml:space="preserve"> </v>
      </c>
      <c r="AF86" s="24" t="str">
        <f t="shared" si="87"/>
        <v xml:space="preserve"> </v>
      </c>
      <c r="AG86" s="86"/>
      <c r="AH86" s="35">
        <f t="shared" si="124"/>
        <v>94</v>
      </c>
      <c r="AI86" s="25" t="str">
        <f t="shared" si="88"/>
        <v xml:space="preserve"> </v>
      </c>
      <c r="AJ86" s="25" t="str">
        <f>IF($AH86&gt;RAM," ",IF($AH86&lt;RAM,SUM(AI86:INDEX(Dix,RAM-BeginnAlter))+INDEX(Nx,RAM-BeginnAlter+1),INDEX(Nx,RAM-BeginnAlter+1)))</f>
        <v xml:space="preserve"> </v>
      </c>
      <c r="AK86" s="25" t="str">
        <f>IF($AH86&lt;RAM,SUM(AI86:INDEX(Dix,RAM-BeginnAlter))," ")</f>
        <v xml:space="preserve"> </v>
      </c>
      <c r="AL86" s="24" t="str">
        <f t="shared" si="89"/>
        <v xml:space="preserve"> </v>
      </c>
      <c r="AM86" s="24" t="str">
        <f t="shared" si="90"/>
        <v xml:space="preserve"> </v>
      </c>
      <c r="AN86" s="24" t="str">
        <f t="shared" si="91"/>
        <v xml:space="preserve"> </v>
      </c>
      <c r="AO86" s="24" t="str">
        <f t="shared" si="92"/>
        <v xml:space="preserve"> </v>
      </c>
      <c r="AP86" s="86"/>
      <c r="AQ86" s="35">
        <f t="shared" si="125"/>
        <v>94</v>
      </c>
      <c r="AR86" s="25">
        <f t="shared" si="93"/>
        <v>822</v>
      </c>
      <c r="AS86" s="25">
        <f>SUM(AR86:AR$94)</f>
        <v>2215</v>
      </c>
      <c r="AT86" s="25" t="str">
        <f>IF($AQ86&lt;RAM,SUM(AR86:INDEX(Dx,RAM-BeginnAlter))," ")</f>
        <v xml:space="preserve"> </v>
      </c>
      <c r="AU86" s="24">
        <f t="shared" si="94"/>
        <v>2.6949999999999998</v>
      </c>
      <c r="AV86" s="24">
        <f t="shared" si="95"/>
        <v>2.2360000000000002</v>
      </c>
      <c r="AW86" s="24" t="str">
        <f t="shared" si="96"/>
        <v xml:space="preserve"> </v>
      </c>
      <c r="AX86" s="24" t="str">
        <f t="shared" si="97"/>
        <v xml:space="preserve"> </v>
      </c>
      <c r="AY86" s="86"/>
      <c r="AZ86" s="35">
        <f t="shared" si="126"/>
        <v>94</v>
      </c>
      <c r="BA86" s="25">
        <f t="shared" si="98"/>
        <v>623</v>
      </c>
      <c r="BB86" s="25">
        <f>SUM(BA86:BA$94)</f>
        <v>1679</v>
      </c>
      <c r="BC86" s="24">
        <f t="shared" si="99"/>
        <v>2.6949999999999998</v>
      </c>
      <c r="BD86" s="24">
        <f t="shared" si="100"/>
        <v>2.2370000000000001</v>
      </c>
      <c r="BE86" s="86"/>
      <c r="BF86" s="35">
        <f t="shared" si="127"/>
        <v>77</v>
      </c>
      <c r="BG86" s="24" t="str">
        <f t="shared" si="101"/>
        <v/>
      </c>
      <c r="BH86" s="24" t="str">
        <f t="shared" si="102"/>
        <v/>
      </c>
      <c r="BI86" s="86"/>
      <c r="BJ86" s="35">
        <f t="shared" si="128"/>
        <v>94</v>
      </c>
      <c r="BK86" s="25" t="str">
        <f t="shared" si="103"/>
        <v xml:space="preserve"> </v>
      </c>
      <c r="BL86" s="25" t="str">
        <f>IF(BJ86&lt;RAM,SUM(BK86:INDEX(Daix,RAM-BeginnAlter))," ")</f>
        <v xml:space="preserve"> </v>
      </c>
      <c r="BM86" s="25" t="str">
        <f>IF(BJ86&lt;RAM,SUM(BL86:INDEX(Naix,RAM-BeginnAlter))," ")</f>
        <v xml:space="preserve"> </v>
      </c>
      <c r="BN86" s="24" t="str">
        <f t="shared" si="104"/>
        <v xml:space="preserve"> </v>
      </c>
      <c r="BO86" s="24" t="str">
        <f t="shared" si="105"/>
        <v xml:space="preserve"> </v>
      </c>
      <c r="BP86" s="86"/>
      <c r="BQ86" s="35">
        <f t="shared" si="129"/>
        <v>94</v>
      </c>
      <c r="BR86" s="25" t="str">
        <f t="shared" si="142"/>
        <v xml:space="preserve"> </v>
      </c>
      <c r="BS86" s="25" t="str">
        <f>IF(BQ86&lt;RAM,SUM(BR86:INDEX(Daixs,RAM-BeginnAlter))," ")</f>
        <v xml:space="preserve"> </v>
      </c>
      <c r="BT86" s="25" t="str">
        <f>IF(BQ86&lt;RAM,SUM(BS86:INDEX(Naixs,RAM-BeginnAlter))," ")</f>
        <v xml:space="preserve"> </v>
      </c>
      <c r="BU86" s="24" t="str">
        <f t="shared" si="143"/>
        <v xml:space="preserve"> </v>
      </c>
      <c r="BV86" s="24" t="str">
        <f t="shared" si="144"/>
        <v xml:space="preserve"> </v>
      </c>
      <c r="BW86" s="86"/>
      <c r="BX86" s="35">
        <f t="shared" si="130"/>
        <v>94</v>
      </c>
      <c r="BY86" s="10" t="str">
        <f t="shared" si="106"/>
        <v/>
      </c>
      <c r="BZ86" s="11" t="str">
        <f t="shared" si="107"/>
        <v/>
      </c>
      <c r="CA86" s="25" t="str">
        <f>IF(S87&lt;=RAK,IF($BX86&lt;RAM,SUM(BZ86:INDEX(Dazx,RAM-BeginnAlter)),""),"")</f>
        <v/>
      </c>
      <c r="CB86" s="24" t="str">
        <f t="shared" si="108"/>
        <v/>
      </c>
      <c r="CC86" s="25">
        <f t="shared" si="109"/>
        <v>0</v>
      </c>
      <c r="CD86" s="24">
        <f t="shared" si="110"/>
        <v>0</v>
      </c>
      <c r="CE86" s="24" t="str">
        <f t="shared" si="111"/>
        <v/>
      </c>
      <c r="CF86" s="86"/>
      <c r="CG86" s="35">
        <f t="shared" si="131"/>
        <v>94</v>
      </c>
      <c r="CH86" s="25" t="str">
        <f>IF(CG86&lt;RAM,ROUND(v^($CG86+FaktorAlter)*$H86*($B86*0.5*($P86+$P87)*(VLOOKUP(TRUNC(0.5*($Q86+$Q87),0),Frauen!$AZ$9:$BD$95,5)+(0.5*($Q86+$Q87)-TRUNC(0.5*($Q86+$Q87),0))*(VLOOKUP(TRUNC(0.5*($Q86+$Q87)+1,0),Frauen!$AZ$9:$BD$95,5)-VLOOKUP(TRUNC(0.5*($Q86+$Q87),0),Frauen!$AZ$9:$BD$95,5)))+$C86*0.5*($CN86+$CN87)),RundDx),"")</f>
        <v/>
      </c>
      <c r="CI86" s="25" t="str">
        <f>IF(CG86&lt;RAM,ROUND(SUM(CH86:INDEX(Dawx,RAM-BeginnAlter))+INDEX(Dax,RAM-BeginnAlter+1)*INDEX(äwx,1),RundDx),"")</f>
        <v/>
      </c>
      <c r="CJ86" s="25" t="str">
        <f>IF(CG86&lt;RAM,ROUND(SUM(CI86:INDEX(Nawx,RAM-BeginnAlter))+INDEX(Dax,RAM-BeginnAlter+1)*INDEX(äwx,1),RundDx),"")</f>
        <v/>
      </c>
      <c r="CK86" s="24" t="str">
        <f t="shared" si="145"/>
        <v/>
      </c>
      <c r="CL86" s="25" t="str">
        <f>IF(CG86&lt;RAM,ROUND(v^($CG86+FaktorAlter)*$L86*$D86*0.5*($P86+$P87)*(VLOOKUP(TRUNC(0.5*($Q86+$Q87),0),Frauen!$AZ$9:$BD$95,5)+(0.5*($Q86+$Q87)-TRUNC(0.5*($Q86+$Q87),0))*(VLOOKUP(TRUNC(0.5*($Q86+$Q87)+1,0),Frauen!$AZ$9:$BD$95,5)-VLOOKUP(TRUNC(0.5*($Q86+$Q87),0),Frauen!$AZ$9:$BD$95,5))),RundDx),"")</f>
        <v/>
      </c>
      <c r="CM86" s="25" t="str">
        <f>IF(CG86&lt;RAM,SUM(CL86:INDEX(Diwx,RAM-BeginnAlter))+INDEX(Dix,RAM-BeginnAlter+1)*INDEX(äwx,1),"")</f>
        <v/>
      </c>
      <c r="CN86" s="24" t="str">
        <f t="shared" si="146"/>
        <v/>
      </c>
      <c r="CO86" s="86"/>
      <c r="CP86" s="35">
        <f t="shared" si="147"/>
        <v>142</v>
      </c>
      <c r="CQ86" s="25"/>
      <c r="CR86" s="25"/>
      <c r="CS86" s="24"/>
      <c r="CT86" s="86"/>
      <c r="CU86" s="35">
        <f t="shared" si="132"/>
        <v>94</v>
      </c>
      <c r="CV86" s="25" t="str">
        <f>IF($CU86&gt;=RAM,"",IF($CU86-CV$103&lt;BeginnAlter,"",ROUND(v^($CU86+FaktorAlter)*$L86*$D86*0.5*(VLOOKUP($CU86-CV$103,Frauen!$G$9:$J$102,4)+VLOOKUP($CU86-CV$103+1,Frauen!$G$9:$J$102,4))*0.5*(VLOOKUP($CU86-CV$103,Frauen!$AZ$9:$BD$102,5)+VLOOKUP($CU86-CV$103+1,Frauen!$AZ$9:$BD$102,5)),RundDx)))</f>
        <v/>
      </c>
      <c r="CW86" s="25" t="str">
        <f>IF($CU86&gt;=RAM,"",IF($CU86-CW$103&lt;BeginnAlter,"",ROUND(v^($CU86+FaktorAlter)*$L86*$D86*0.5*(VLOOKUP($CU86-CW$103,Frauen!$G$9:$J$102,4)+VLOOKUP($CU86-CW$103+1,Frauen!$G$9:$J$102,4))*0.5*(VLOOKUP($CU86-CW$103,Frauen!$AZ$9:$BD$102,5)+VLOOKUP($CU86-CW$103+1,Frauen!$AZ$9:$BD$102,5)),RundDx)))</f>
        <v/>
      </c>
      <c r="CX86" s="25" t="str">
        <f>IF($CU86&gt;=RAM,"",IF($CU86-CX$103&lt;BeginnAlter,"",ROUND(v^($CU86+FaktorAlter)*$L86*$D86*0.5*(VLOOKUP($CU86-CX$103,Frauen!$G$9:$J$102,4)+VLOOKUP($CU86-CX$103+1,Frauen!$G$9:$J$102,4))*0.5*(VLOOKUP($CU86-CX$103,Frauen!$AZ$9:$BD$102,5)+VLOOKUP($CU86-CX$103+1,Frauen!$AZ$9:$BD$102,5)),RundDx)))</f>
        <v/>
      </c>
      <c r="CY86" s="25" t="str">
        <f>IF($CU86&gt;=RAM,"",IF($CU86-CY$103&lt;BeginnAlter,"",ROUND(v^($CU86+FaktorAlter)*$L86*$D86*0.5*(VLOOKUP($CU86-CY$103,Frauen!$G$9:$J$102,4)+VLOOKUP($CU86-CY$103+1,Frauen!$G$9:$J$102,4))*0.5*(VLOOKUP($CU86-CY$103,Frauen!$AZ$9:$BD$102,5)+VLOOKUP($CU86-CY$103+1,Frauen!$AZ$9:$BD$102,5)),RundDx)))</f>
        <v/>
      </c>
      <c r="CZ86" s="25" t="str">
        <f>IF($CU86&gt;=RAM,"",IF($CU86-CZ$103&lt;BeginnAlter,"",ROUND(v^($CU86+FaktorAlter)*$L86*$D86*0.5*(VLOOKUP($CU86-CZ$103,Frauen!$G$9:$J$102,4)+VLOOKUP($CU86-CZ$103+1,Frauen!$G$9:$J$102,4))*0.5*(VLOOKUP($CU86-CZ$103,Frauen!$AZ$9:$BD$102,5)+VLOOKUP($CU86-CZ$103+1,Frauen!$AZ$9:$BD$102,5)),RundDx)))</f>
        <v/>
      </c>
      <c r="DA86" s="25" t="str">
        <f>IF($CU86&gt;=RAM,"",IF($CU86-DA$103&lt;BeginnAlter,"",ROUND(v^($CU86+FaktorAlter)*$L86*$D86*0.5*(VLOOKUP($CU86-DA$103,Frauen!$G$9:$J$102,4)+VLOOKUP($CU86-DA$103+1,Frauen!$G$9:$J$102,4))*0.5*(VLOOKUP($CU86-DA$103,Frauen!$AZ$9:$BD$102,5)+VLOOKUP($CU86-DA$103+1,Frauen!$AZ$9:$BD$102,5)),RundDx)))</f>
        <v/>
      </c>
      <c r="DB86" s="25" t="str">
        <f>IF($CU86&gt;=RAM,"",IF($CU86-DB$103&lt;BeginnAlter,"",ROUND(v^($CU86+FaktorAlter)*$L86*$D86*0.5*(VLOOKUP($CU86-DB$103,Frauen!$G$9:$J$102,4)+VLOOKUP($CU86-DB$103+1,Frauen!$G$9:$J$102,4))*0.5*(VLOOKUP($CU86-DB$103,Frauen!$AZ$9:$BD$102,5)+VLOOKUP($CU86-DB$103+1,Frauen!$AZ$9:$BD$102,5)),RundDx)))</f>
        <v/>
      </c>
      <c r="DC86" s="25" t="str">
        <f>IF($CU86&gt;=RAM,"",IF($CU86-DC$103&lt;BeginnAlter,"",ROUND(v^($CU86+FaktorAlter)*$L86*$D86*0.5*(VLOOKUP($CU86-DC$103,Frauen!$G$9:$J$102,4)+VLOOKUP($CU86-DC$103+1,Frauen!$G$9:$J$102,4))*0.5*(VLOOKUP($CU86-DC$103,Frauen!$AZ$9:$BD$102,5)+VLOOKUP($CU86-DC$103+1,Frauen!$AZ$9:$BD$102,5)),RundDx)))</f>
        <v/>
      </c>
      <c r="DD86" s="25" t="str">
        <f>IF($CU86&gt;=RAM,"",IF($CU86-DD$103&lt;BeginnAlter,"",ROUND(v^($CU86+FaktorAlter)*$L86*$D86*0.5*(VLOOKUP($CU86-DD$103,Frauen!$G$9:$J$102,4)+VLOOKUP($CU86-DD$103+1,Frauen!$G$9:$J$102,4))*0.5*(VLOOKUP($CU86-DD$103,Frauen!$AZ$9:$BD$102,5)+VLOOKUP($CU86-DD$103+1,Frauen!$AZ$9:$BD$102,5)),RundDx)))</f>
        <v/>
      </c>
      <c r="DE86" s="25" t="str">
        <f>IF($CU86&gt;=RAM,"",IF($CU86-DE$103&lt;BeginnAlter,"",ROUND(v^($CU86+FaktorAlter)*$L86*$D86*0.5*(VLOOKUP($CU86-DE$103,Frauen!$G$9:$J$102,4)+VLOOKUP($CU86-DE$103+1,Frauen!$G$9:$J$102,4))*0.5*(VLOOKUP($CU86-DE$103,Frauen!$AZ$9:$BD$102,5)+VLOOKUP($CU86-DE$103+1,Frauen!$AZ$9:$BD$102,5)),RundDx)))</f>
        <v/>
      </c>
      <c r="DF86" s="25" t="str">
        <f>IF($CU86&gt;=RAM,"",IF($CU86-DF$103&lt;BeginnAlter,"",ROUND(v^($CU86+FaktorAlter)*$L86*$D86*0.5*(VLOOKUP($CU86-DF$103,Frauen!$G$9:$J$102,4)+VLOOKUP($CU86-DF$103+1,Frauen!$G$9:$J$102,4))*0.5*(VLOOKUP($CU86-DF$103,Frauen!$AZ$9:$BD$102,5)+VLOOKUP($CU86-DF$103+1,Frauen!$AZ$9:$BD$102,5)),RundDx)))</f>
        <v/>
      </c>
      <c r="DG86" s="25" t="str">
        <f>IF($CU86&gt;=RAM,"",IF($CU86-DG$103&lt;BeginnAlter,"",ROUND(v^($CU86+FaktorAlter)*$L86*$D86*0.5*(VLOOKUP($CU86-DG$103,Frauen!$G$9:$J$102,4)+VLOOKUP($CU86-DG$103+1,Frauen!$G$9:$J$102,4))*0.5*(VLOOKUP($CU86-DG$103,Frauen!$AZ$9:$BD$102,5)+VLOOKUP($CU86-DG$103+1,Frauen!$AZ$9:$BD$102,5)),RundDx)))</f>
        <v/>
      </c>
      <c r="DH86" s="25" t="str">
        <f>IF($CU86&gt;=RAM,"",IF($CU86-DH$103&lt;BeginnAlter,"",ROUND(v^($CU86+FaktorAlter)*$L86*$D86*0.5*(VLOOKUP($CU86-DH$103,Frauen!$G$9:$J$102,4)+VLOOKUP($CU86-DH$103+1,Frauen!$G$9:$J$102,4))*0.5*(VLOOKUP($CU86-DH$103,Frauen!$AZ$9:$BD$102,5)+VLOOKUP($CU86-DH$103+1,Frauen!$AZ$9:$BD$102,5)),RundDx)))</f>
        <v/>
      </c>
      <c r="DI86" s="25" t="str">
        <f>IF($CU86&gt;=RAM,"",IF($CU86-DI$103&lt;BeginnAlter,"",ROUND(v^($CU86+FaktorAlter)*$L86*$D86*0.5*(VLOOKUP($CU86-DI$103,Frauen!$G$9:$J$102,4)+VLOOKUP($CU86-DI$103+1,Frauen!$G$9:$J$102,4))*0.5*(VLOOKUP($CU86-DI$103,Frauen!$AZ$9:$BD$102,5)+VLOOKUP($CU86-DI$103+1,Frauen!$AZ$9:$BD$102,5)),RundDx)))</f>
        <v/>
      </c>
      <c r="DJ86" s="25" t="str">
        <f>IF($CU86&gt;=RAM,"",IF($CU86-DJ$103&lt;BeginnAlter,"",ROUND(v^($CU86+FaktorAlter)*$L86*$D86*0.5*(VLOOKUP($CU86-DJ$103,Frauen!$G$9:$J$102,4)+VLOOKUP($CU86-DJ$103+1,Frauen!$G$9:$J$102,4))*0.5*(VLOOKUP($CU86-DJ$103,Frauen!$AZ$9:$BD$102,5)+VLOOKUP($CU86-DJ$103+1,Frauen!$AZ$9:$BD$102,5)),RundDx)))</f>
        <v/>
      </c>
      <c r="DK86" s="25" t="str">
        <f>IF($CU86&gt;=RAM,"",IF($CU86-DK$103&lt;BeginnAlter,"",ROUND(v^($CU86+FaktorAlter)*$L86*$D86*0.5*(VLOOKUP($CU86-DK$103,Frauen!$G$9:$J$102,4)+VLOOKUP($CU86-DK$103+1,Frauen!$G$9:$J$102,4))*0.5*(VLOOKUP($CU86-DK$103,Frauen!$AZ$9:$BD$102,5)+VLOOKUP($CU86-DK$103+1,Frauen!$AZ$9:$BD$102,5)),RundDx)))</f>
        <v/>
      </c>
      <c r="DL86" s="25" t="str">
        <f>IF($CU86&gt;=RAM,"",IF($CU86-DL$103&lt;BeginnAlter,"",ROUND(v^($CU86+FaktorAlter)*$L86*$D86*0.5*(VLOOKUP($CU86-DL$103,Frauen!$G$9:$J$102,4)+VLOOKUP($CU86-DL$103+1,Frauen!$G$9:$J$102,4))*0.5*(VLOOKUP($CU86-DL$103,Frauen!$AZ$9:$BD$102,5)+VLOOKUP($CU86-DL$103+1,Frauen!$AZ$9:$BD$102,5)),RundDx)))</f>
        <v/>
      </c>
      <c r="DM86" s="25" t="str">
        <f>IF($CU86&gt;=RAM,"",IF($CU86-DM$103&lt;BeginnAlter,"",ROUND(v^($CU86+FaktorAlter)*$L86*$D86*0.5*(VLOOKUP($CU86-DM$103,Frauen!$G$9:$J$102,4)+VLOOKUP($CU86-DM$103+1,Frauen!$G$9:$J$102,4))*0.5*(VLOOKUP($CU86-DM$103,Frauen!$AZ$9:$BD$102,5)+VLOOKUP($CU86-DM$103+1,Frauen!$AZ$9:$BD$102,5)),RundDx)))</f>
        <v/>
      </c>
      <c r="DN86" s="25" t="str">
        <f>IF($CU86&gt;=RAM,"",IF($CU86-DN$103&lt;BeginnAlter,"",ROUND(v^($CU86+FaktorAlter)*$L86*$D86*0.5*(VLOOKUP($CU86-DN$103,Frauen!$G$9:$J$102,4)+VLOOKUP($CU86-DN$103+1,Frauen!$G$9:$J$102,4))*0.5*(VLOOKUP($CU86-DN$103,Frauen!$AZ$9:$BD$102,5)+VLOOKUP($CU86-DN$103+1,Frauen!$AZ$9:$BD$102,5)),RundDx)))</f>
        <v/>
      </c>
      <c r="DO86" s="25" t="str">
        <f>IF($CU86&gt;=RAM,"",IF($CU86-DO$103&lt;BeginnAlter,"",ROUND(v^($CU86+FaktorAlter)*$L86*$D86*0.5*(VLOOKUP($CU86-DO$103,Frauen!$G$9:$J$102,4)+VLOOKUP($CU86-DO$103+1,Frauen!$G$9:$J$102,4))*0.5*(VLOOKUP($CU86-DO$103,Frauen!$AZ$9:$BD$102,5)+VLOOKUP($CU86-DO$103+1,Frauen!$AZ$9:$BD$102,5)),RundDx)))</f>
        <v/>
      </c>
      <c r="DP86" s="25" t="str">
        <f>IF($CU86&gt;=RAM,"",IF($CU86-DP$103&lt;BeginnAlter,"",ROUND(v^($CU86+FaktorAlter)*$L86*$D86*0.5*(VLOOKUP($CU86-DP$103,Frauen!$G$9:$J$102,4)+VLOOKUP($CU86-DP$103+1,Frauen!$G$9:$J$102,4))*0.5*(VLOOKUP($CU86-DP$103,Frauen!$AZ$9:$BD$102,5)+VLOOKUP($CU86-DP$103+1,Frauen!$AZ$9:$BD$102,5)),RundDx)))</f>
        <v/>
      </c>
      <c r="DQ86" s="25" t="str">
        <f>IF($CU86&gt;=RAM,"",IF($CU86-DQ$103&lt;BeginnAlter,"",ROUND(v^($CU86+FaktorAlter)*$L86*$D86*0.5*(VLOOKUP($CU86-DQ$103,Frauen!$G$9:$J$102,4)+VLOOKUP($CU86-DQ$103+1,Frauen!$G$9:$J$102,4))*0.5*(VLOOKUP($CU86-DQ$103,Frauen!$AZ$9:$BD$102,5)+VLOOKUP($CU86-DQ$103+1,Frauen!$AZ$9:$BD$102,5)),RundDx)))</f>
        <v/>
      </c>
      <c r="DR86" s="25" t="str">
        <f>IF($CU86&gt;=RAM,"",IF($CU86-DR$103&lt;BeginnAlter,"",ROUND(v^($CU86+FaktorAlter)*$L86*$D86*0.5*(VLOOKUP($CU86-DR$103,Frauen!$G$9:$J$102,4)+VLOOKUP($CU86-DR$103+1,Frauen!$G$9:$J$102,4))*0.5*(VLOOKUP($CU86-DR$103,Frauen!$AZ$9:$BD$102,5)+VLOOKUP($CU86-DR$103+1,Frauen!$AZ$9:$BD$102,5)),RundDx)))</f>
        <v/>
      </c>
      <c r="DS86" s="25" t="str">
        <f>IF($CU86&gt;=RAM,"",IF($CU86-DS$103&lt;BeginnAlter,"",ROUND(v^($CU86+FaktorAlter)*$L86*$D86*0.5*(VLOOKUP($CU86-DS$103,Frauen!$G$9:$J$102,4)+VLOOKUP($CU86-DS$103+1,Frauen!$G$9:$J$102,4))*0.5*(VLOOKUP($CU86-DS$103,Frauen!$AZ$9:$BD$102,5)+VLOOKUP($CU86-DS$103+1,Frauen!$AZ$9:$BD$102,5)),RundDx)))</f>
        <v/>
      </c>
      <c r="DT86" s="25" t="str">
        <f>IF($CU86&gt;=RAM,"",IF($CU86-DT$103&lt;BeginnAlter,"",ROUND(v^($CU86+FaktorAlter)*$L86*$D86*0.5*(VLOOKUP($CU86-DT$103,Frauen!$G$9:$J$102,4)+VLOOKUP($CU86-DT$103+1,Frauen!$G$9:$J$102,4))*0.5*(VLOOKUP($CU86-DT$103,Frauen!$AZ$9:$BD$102,5)+VLOOKUP($CU86-DT$103+1,Frauen!$AZ$9:$BD$102,5)),RundDx)))</f>
        <v/>
      </c>
      <c r="DU86" s="25" t="str">
        <f>IF($CU86&gt;=RAM,"",IF($CU86-DU$103&lt;BeginnAlter,"",ROUND(v^($CU86+FaktorAlter)*$L86*$D86*0.5*(VLOOKUP($CU86-DU$103,Frauen!$G$9:$J$102,4)+VLOOKUP($CU86-DU$103+1,Frauen!$G$9:$J$102,4))*0.5*(VLOOKUP($CU86-DU$103,Frauen!$AZ$9:$BD$102,5)+VLOOKUP($CU86-DU$103+1,Frauen!$AZ$9:$BD$102,5)),RundDx)))</f>
        <v/>
      </c>
      <c r="DV86" s="25" t="str">
        <f>IF($CU86&gt;=RAM,"",IF($CU86-DV$103&lt;BeginnAlter,"",ROUND(v^($CU86+FaktorAlter)*$L86*$D86*0.5*(VLOOKUP($CU86-DV$103,Frauen!$G$9:$J$102,4)+VLOOKUP($CU86-DV$103+1,Frauen!$G$9:$J$102,4))*0.5*(VLOOKUP($CU86-DV$103,Frauen!$AZ$9:$BD$102,5)+VLOOKUP($CU86-DV$103+1,Frauen!$AZ$9:$BD$102,5)),RundDx)))</f>
        <v/>
      </c>
      <c r="DW86" s="25" t="str">
        <f>IF($CU86&gt;=RAM,"",IF($CU86-DW$103&lt;BeginnAlter,"",ROUND(v^($CU86+FaktorAlter)*$L86*$D86*0.5*(VLOOKUP($CU86-DW$103,Frauen!$G$9:$J$102,4)+VLOOKUP($CU86-DW$103+1,Frauen!$G$9:$J$102,4))*0.5*(VLOOKUP($CU86-DW$103,Frauen!$AZ$9:$BD$102,5)+VLOOKUP($CU86-DW$103+1,Frauen!$AZ$9:$BD$102,5)),RundDx)))</f>
        <v/>
      </c>
      <c r="DX86" s="25" t="str">
        <f>IF($CU86&gt;=RAM,"",IF($CU86-DX$103&lt;BeginnAlter,"",ROUND(v^($CU86+FaktorAlter)*$L86*$D86*0.5*(VLOOKUP($CU86-DX$103,Frauen!$G$9:$J$102,4)+VLOOKUP($CU86-DX$103+1,Frauen!$G$9:$J$102,4))*0.5*(VLOOKUP($CU86-DX$103,Frauen!$AZ$9:$BD$102,5)+VLOOKUP($CU86-DX$103+1,Frauen!$AZ$9:$BD$102,5)),RundDx)))</f>
        <v/>
      </c>
      <c r="DY86" s="25" t="str">
        <f>IF($CU86&gt;=RAM,"",IF($CU86-DY$103&lt;BeginnAlter,"",ROUND(v^($CU86+FaktorAlter)*$L86*$D86*0.5*(VLOOKUP($CU86-DY$103,Frauen!$G$9:$J$102,4)+VLOOKUP($CU86-DY$103+1,Frauen!$G$9:$J$102,4))*0.5*(VLOOKUP($CU86-DY$103,Frauen!$AZ$9:$BD$102,5)+VLOOKUP($CU86-DY$103+1,Frauen!$AZ$9:$BD$102,5)),RundDx)))</f>
        <v/>
      </c>
      <c r="DZ86" s="25" t="str">
        <f>IF($CU86&gt;=RAM,"",IF($CU86-DZ$103&lt;BeginnAlter,"",ROUND(v^($CU86+FaktorAlter)*$L86*$D86*0.5*(VLOOKUP($CU86-DZ$103,Frauen!$G$9:$J$102,4)+VLOOKUP($CU86-DZ$103+1,Frauen!$G$9:$J$102,4))*0.5*(VLOOKUP($CU86-DZ$103,Frauen!$AZ$9:$BD$102,5)+VLOOKUP($CU86-DZ$103+1,Frauen!$AZ$9:$BD$102,5)),RundDx)))</f>
        <v/>
      </c>
      <c r="EA86" s="43" t="str">
        <f>IF($CU86&gt;=RAM,"",IF($CU86-EA$103&lt;BeginnAlter,"",ROUND((SUM(CV$56:CV86)+SUM(FN$9:FN$56))/VLOOKUP($CU86,$AH$9:$AI$102,2)/VLOOKUP($CU86-EA$103,Frauen!$G$9:$J$102,4),Rundäx)))</f>
        <v/>
      </c>
      <c r="EB86" s="43" t="str">
        <f>IF($CU86&gt;=RAM,"",IF($CU86-EB$103&lt;BeginnAlter,"",ROUND((SUM(CW$56:CW86)+SUM(FO$9:FO$56))/VLOOKUP($CU86,$AH$9:$AI$102,2)/VLOOKUP($CU86-EB$103,Frauen!$G$9:$J$102,4),Rundäx)))</f>
        <v/>
      </c>
      <c r="EC86" s="43" t="str">
        <f>IF($CU86&gt;=RAM,"",IF($CU86-EC$103&lt;BeginnAlter,"",ROUND((SUM(CX$56:CX86)+SUM(FP$9:FP$56))/VLOOKUP($CU86,$AH$9:$AI$102,2)/VLOOKUP($CU86-EC$103,Frauen!$G$9:$J$102,4),Rundäx)))</f>
        <v/>
      </c>
      <c r="ED86" s="43" t="str">
        <f>IF($CU86&gt;=RAM,"",IF($CU86-ED$103&lt;BeginnAlter,"",ROUND((SUM(CY$56:CY86)+SUM(FQ$9:FQ$56))/VLOOKUP($CU86,$AH$9:$AI$102,2)/VLOOKUP($CU86-ED$103,Frauen!$G$9:$J$102,4),Rundäx)))</f>
        <v/>
      </c>
      <c r="EE86" s="43" t="str">
        <f>IF($CU86&gt;=RAM,"",IF($CU86-EE$103&lt;BeginnAlter,"",ROUND((SUM(CZ$56:CZ86)+SUM(FR$9:FR$56))/VLOOKUP($CU86,$AH$9:$AI$102,2)/VLOOKUP($CU86-EE$103,Frauen!$G$9:$J$102,4),Rundäx)))</f>
        <v/>
      </c>
      <c r="EF86" s="43" t="str">
        <f>IF($CU86&gt;=RAM,"",IF($CU86-EF$103&lt;BeginnAlter,"",ROUND((SUM(DA$56:DA86)+SUM(FS$9:FS$56))/VLOOKUP($CU86,$AH$9:$AI$102,2)/VLOOKUP($CU86-EF$103,Frauen!$G$9:$J$102,4),Rundäx)))</f>
        <v/>
      </c>
      <c r="EG86" s="43" t="str">
        <f>IF($CU86&gt;=RAM,"",IF($CU86-EG$103&lt;BeginnAlter,"",ROUND((SUM(DB$56:DB86)+SUM(FT$9:FT$56))/VLOOKUP($CU86,$AH$9:$AI$102,2)/VLOOKUP($CU86-EG$103,Frauen!$G$9:$J$102,4),Rundäx)))</f>
        <v/>
      </c>
      <c r="EH86" s="43" t="str">
        <f>IF($CU86&gt;=RAM,"",IF($CU86-EH$103&lt;BeginnAlter,"",ROUND((SUM(DC$56:DC86)+SUM(FU$9:FU$56))/VLOOKUP($CU86,$AH$9:$AI$102,2)/VLOOKUP($CU86-EH$103,Frauen!$G$9:$J$102,4),Rundäx)))</f>
        <v/>
      </c>
      <c r="EI86" s="86"/>
      <c r="EJ86" s="35">
        <f t="shared" si="133"/>
        <v>94</v>
      </c>
      <c r="EK86" s="43" t="str">
        <f>IF($CU86&gt;=RAM,"",IF($CU86-EK$103&lt;BeginnAlter,"",ROUND((SUM(DD$56:DD86)+SUM(FV$9:FV$56))/VLOOKUP($CU86,$AH$9:$AI$102,2)/VLOOKUP($CU86-EK$103,Frauen!$G$9:$J$102,4),Rundäx)))</f>
        <v/>
      </c>
      <c r="EL86" s="43" t="str">
        <f>IF($CU86&gt;=RAM,"",IF($CU86-EL$103&lt;BeginnAlter,"",ROUND((SUM(DE$56:DE86)+SUM(FW$9:FW$56))/VLOOKUP($CU86,$AH$9:$AI$102,2)/VLOOKUP($CU86-EL$103,Frauen!$G$9:$J$102,4),Rundäx)))</f>
        <v/>
      </c>
      <c r="EM86" s="43" t="str">
        <f>IF($CU86&gt;=RAM,"",IF($CU86-EM$103&lt;BeginnAlter,"",ROUND((SUM(DF$56:DF86)+SUM(FX$9:FX$56))/VLOOKUP($CU86,$AH$9:$AI$102,2)/VLOOKUP($CU86-EM$103,Frauen!$G$9:$J$102,4),Rundäx)))</f>
        <v/>
      </c>
      <c r="EN86" s="43" t="str">
        <f>IF($CU86&gt;=RAM,"",IF($CU86-EN$103&lt;BeginnAlter,"",ROUND((SUM(DG$56:DG86)+SUM(FY$9:FY$56))/VLOOKUP($CU86,$AH$9:$AI$102,2)/VLOOKUP($CU86-EN$103,Frauen!$G$9:$J$102,4),Rundäx)))</f>
        <v/>
      </c>
      <c r="EO86" s="43" t="str">
        <f>IF($CU86&gt;=RAM,"",IF($CU86-EO$103&lt;BeginnAlter,"",ROUND((SUM(DH$56:DH86)+SUM(FZ$9:FZ$56))/VLOOKUP($CU86,$AH$9:$AI$102,2)/VLOOKUP($CU86-EO$103,Frauen!$G$9:$J$102,4),Rundäx)))</f>
        <v/>
      </c>
      <c r="EP86" s="43" t="str">
        <f>IF($CU86&gt;=RAM,"",IF($CU86-EP$103&lt;BeginnAlter,"",ROUND((SUM(DI$56:DI86)+SUM(GA$9:GA$56))/VLOOKUP($CU86,$AH$9:$AI$102,2)/VLOOKUP($CU86-EP$103,Frauen!$G$9:$J$102,4),Rundäx)))</f>
        <v/>
      </c>
      <c r="EQ86" s="43" t="str">
        <f>IF($CU86&gt;=RAM,"",IF($CU86-EQ$103&lt;BeginnAlter,"",ROUND((SUM(DJ$56:DJ86)+SUM(GB$9:GB$56))/VLOOKUP($CU86,$AH$9:$AI$102,2)/VLOOKUP($CU86-EQ$103,Frauen!$G$9:$J$102,4),Rundäx)))</f>
        <v/>
      </c>
      <c r="ER86" s="43" t="str">
        <f>IF($CU86&gt;=RAM,"",IF($CU86-ER$103&lt;BeginnAlter,"",ROUND((SUM(DK$56:DK86)+SUM(GC$9:GC$56))/VLOOKUP($CU86,$AH$9:$AI$102,2)/VLOOKUP($CU86-ER$103,Frauen!$G$9:$J$102,4),Rundäx)))</f>
        <v/>
      </c>
      <c r="ES86" s="86"/>
      <c r="ET86" s="35">
        <f t="shared" si="134"/>
        <v>94</v>
      </c>
      <c r="EU86" s="43" t="str">
        <f>IF($CU86&gt;=RAM,"",IF($CU86-EU$103&lt;BeginnAlter,"",ROUND((SUM(DL$56:DL86)+SUM(GD$9:GD$56))/VLOOKUP($CU86,$AH$9:$AI$102,2)/VLOOKUP($CU86-EU$103,Frauen!$G$9:$J$102,4),Rundäx)))</f>
        <v/>
      </c>
      <c r="EV86" s="43" t="str">
        <f>IF($CU86&gt;=RAM,"",IF($CU86-EV$103&lt;BeginnAlter,"",ROUND((SUM(DM$56:DM86)+SUM(GE$9:GE$56))/VLOOKUP($CU86,$AH$9:$AI$102,2)/VLOOKUP($CU86-EV$103,Frauen!$G$9:$J$102,4),Rundäx)))</f>
        <v/>
      </c>
      <c r="EW86" s="43" t="str">
        <f>IF($CU86&gt;=RAM,"",IF($CU86-EW$103&lt;BeginnAlter,"",ROUND((SUM(DN$56:DN86)+SUM(GF$9:GF$56))/VLOOKUP($CU86,$AH$9:$AI$102,2)/VLOOKUP($CU86-EW$103,Frauen!$G$9:$J$102,4),Rundäx)))</f>
        <v/>
      </c>
      <c r="EX86" s="43" t="str">
        <f>IF($CU86&gt;=RAM,"",IF($CU86-EX$103&lt;BeginnAlter,"",ROUND((SUM(DO$56:DO86)+SUM(GG$9:GG$56))/VLOOKUP($CU86,$AH$9:$AI$102,2)/VLOOKUP($CU86-EX$103,Frauen!$G$9:$J$102,4),Rundäx)))</f>
        <v/>
      </c>
      <c r="EY86" s="43" t="str">
        <f>IF($CU86&gt;=RAM,"",IF($CU86-EY$103&lt;BeginnAlter,"",ROUND((SUM(DP$56:DP86)+SUM(GH$9:GH$56))/VLOOKUP($CU86,$AH$9:$AI$102,2)/VLOOKUP($CU86-EY$103,Frauen!$G$9:$J$102,4),Rundäx)))</f>
        <v/>
      </c>
      <c r="EZ86" s="43" t="str">
        <f>IF($CU86&gt;=RAM,"",IF($CU86-EZ$103&lt;BeginnAlter,"",ROUND((SUM(DQ$56:DQ86)+SUM(GI$9:GI$56))/VLOOKUP($CU86,$AH$9:$AI$102,2)/VLOOKUP($CU86-EZ$103,Frauen!$G$9:$J$102,4),Rundäx)))</f>
        <v/>
      </c>
      <c r="FA86" s="43" t="str">
        <f>IF($CU86&gt;=RAM,"",IF($CU86-FA$103&lt;BeginnAlter,"",ROUND((SUM(DR$56:DR86)+SUM(GJ$9:GJ$56))/VLOOKUP($CU86,$AH$9:$AI$102,2)/VLOOKUP($CU86-FA$103,Frauen!$G$9:$J$102,4),Rundäx)))</f>
        <v/>
      </c>
      <c r="FB86" s="43" t="str">
        <f>IF($CU86&gt;=RAM,"",IF($CU86-FB$103&lt;BeginnAlter,"",ROUND((SUM(DS$56:DS86)+SUM(GK$9:GK$56))/VLOOKUP($CU86,$AH$9:$AI$102,2)/VLOOKUP($CU86-FB$103,Frauen!$G$9:$J$102,4),Rundäx)))</f>
        <v/>
      </c>
      <c r="FC86" s="86"/>
      <c r="FD86" s="35">
        <f t="shared" si="135"/>
        <v>94</v>
      </c>
      <c r="FE86" s="43" t="str">
        <f>IF($CU86&gt;=RAM,"",IF($CU86-FE$103&lt;BeginnAlter,"",ROUND((SUM(DT$56:DT86)+SUM(GL$9:GL$56))/VLOOKUP($CU86,$AH$9:$AI$102,2)/VLOOKUP($CU86-FE$103,Frauen!$G$9:$J$102,4),Rundäx)))</f>
        <v/>
      </c>
      <c r="FF86" s="43" t="str">
        <f>IF($CU86&gt;=RAM,"",IF($CU86-FF$103&lt;BeginnAlter,"",ROUND((SUM(DU$56:DU86)+SUM(GM$9:GM$56))/VLOOKUP($CU86,$AH$9:$AI$102,2)/VLOOKUP($CU86-FF$103,Frauen!$G$9:$J$102,4),Rundäx)))</f>
        <v/>
      </c>
      <c r="FG86" s="43" t="str">
        <f>IF($CU86&gt;=RAM,"",IF($CU86-FG$103&lt;BeginnAlter,"",ROUND((SUM(DV$56:DV86)+SUM(GN$9:GN$56))/VLOOKUP($CU86,$AH$9:$AI$102,2)/VLOOKUP($CU86-FG$103,Frauen!$G$9:$J$102,4),Rundäx)))</f>
        <v/>
      </c>
      <c r="FH86" s="43" t="str">
        <f>IF($CU86&gt;=RAM,"",IF($CU86-FH$103&lt;BeginnAlter,"",ROUND((SUM(DW$56:DW86)+SUM(GO$9:GO$56))/VLOOKUP($CU86,$AH$9:$AI$102,2)/VLOOKUP($CU86-FH$103,Frauen!$G$9:$J$102,4),Rundäx)))</f>
        <v/>
      </c>
      <c r="FI86" s="43" t="str">
        <f>IF($CU86&gt;=RAM,"",IF($CU86-FI$103&lt;BeginnAlter,"",ROUND((SUM(DX$56:DX86)+SUM(GP$9:GP$56))/VLOOKUP($CU86,$AH$9:$AI$102,2)/VLOOKUP($CU86-FI$103,Frauen!$G$9:$J$102,4),Rundäx)))</f>
        <v/>
      </c>
      <c r="FJ86" s="43" t="str">
        <f>IF($CU86&gt;=RAM,"",IF($CU86-FJ$103&lt;BeginnAlter,"",ROUND((SUM(DY$56:DY86)+SUM(GQ$9:GQ$56))/VLOOKUP($CU86,$AH$9:$AI$102,2)/VLOOKUP($CU86-FJ$103,Frauen!$G$9:$J$102,4),Rundäx)))</f>
        <v/>
      </c>
      <c r="FK86" s="43" t="str">
        <f>IF($CU86&gt;=RAM,"",IF($CU86-FK$103&lt;BeginnAlter,"",ROUND((SUM(DZ$56:DZ86)+SUM(GR$9:GR$56))/VLOOKUP($CU86,$AH$9:$AI$102,2)/VLOOKUP($CU86-FK$103,Frauen!$G$9:$J$102,4),Rundäx)))</f>
        <v/>
      </c>
      <c r="FL86" s="86"/>
      <c r="FM86" s="35">
        <f t="shared" si="136"/>
        <v>142</v>
      </c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4"/>
      <c r="GT86" s="24"/>
      <c r="GU86" s="24" t="str">
        <f>IF(FM86&gt;=RAM," ",#REF!/$AI86/Frauen!$J74)</f>
        <v xml:space="preserve"> </v>
      </c>
      <c r="GV86" s="24" t="str">
        <f>IF(FM86&gt;=RAM," ",#REF!/$AI86/Frauen!$J77)</f>
        <v xml:space="preserve"> </v>
      </c>
      <c r="GW86" s="24" t="str">
        <f>IF(FM86&gt;=RAM," ",#REF!/$AI86/Frauen!$J80)</f>
        <v xml:space="preserve"> </v>
      </c>
      <c r="GX86" s="24" t="str">
        <f>IF(FM86&gt;=RAM," ",#REF!/$AI86/Frauen!$J83)</f>
        <v xml:space="preserve"> </v>
      </c>
      <c r="GY86" s="24" t="str">
        <f>IF(FM86&gt;=RAM," ",#REF!/$AI86/Frauen!$J86)</f>
        <v xml:space="preserve"> </v>
      </c>
      <c r="GZ86" s="24" t="str">
        <f>IF(FM86&gt;=RAM," ",#REF!/$AI86/Frauen!$J89)</f>
        <v xml:space="preserve"> </v>
      </c>
      <c r="HA86" s="86"/>
      <c r="HB86" s="35">
        <f t="shared" si="137"/>
        <v>142</v>
      </c>
      <c r="HC86" s="24"/>
      <c r="HD86" s="24"/>
      <c r="HE86" s="24"/>
      <c r="HF86" s="24"/>
      <c r="HG86" s="24"/>
      <c r="HH86" s="24"/>
      <c r="HI86" s="24"/>
      <c r="HJ86" s="24"/>
      <c r="HK86" s="86"/>
      <c r="HL86" s="35">
        <f t="shared" si="138"/>
        <v>142</v>
      </c>
      <c r="HM86" s="24"/>
      <c r="HN86" s="24"/>
      <c r="HO86" s="24"/>
      <c r="HP86" s="24"/>
      <c r="HQ86" s="24"/>
      <c r="HR86" s="24"/>
      <c r="HS86" s="24"/>
      <c r="HT86" s="24"/>
      <c r="HU86" s="86"/>
      <c r="HV86" s="35">
        <f t="shared" si="139"/>
        <v>142</v>
      </c>
      <c r="HW86" s="24"/>
      <c r="HX86" s="24"/>
      <c r="HY86" s="24"/>
      <c r="HZ86" s="24"/>
      <c r="IA86" s="24"/>
      <c r="IB86" s="24"/>
      <c r="IC86" s="24"/>
      <c r="ID86" s="89"/>
      <c r="IE86" s="35">
        <f t="shared" si="140"/>
        <v>94</v>
      </c>
      <c r="IF86" s="25" t="str">
        <f t="shared" si="112"/>
        <v/>
      </c>
      <c r="IG86" s="25" t="str">
        <f>IF($IE86&lt;RAM,IF(S87&lt;=RAK,ROUND(SUM(IF86:INDEX(Dakx,RAM-BeginnAlter))+INDEX(Dax,RAM-BeginnAlter+1)*INDEX(äkx,1),RundDx),0),"")</f>
        <v/>
      </c>
      <c r="IH86" s="25" t="str">
        <f>IF($IE86&lt;RAM,IF(S87&lt;=RAK,ROUND(SUM(IG86:INDEX(Nakx,RAM-BeginnAlter))+INDEX(Dax,RAM-BeginnAlter+1)*INDEX(äkx,1),RundDx),0),"")</f>
        <v/>
      </c>
      <c r="II86" s="24" t="str">
        <f t="shared" si="113"/>
        <v/>
      </c>
      <c r="IJ86" s="25" t="str">
        <f t="shared" si="114"/>
        <v/>
      </c>
      <c r="IK86" s="25" t="str">
        <f>IF($IE86&lt;RAM,IF(S87&lt;=RAK,SUM(IJ86:INDEX(Dikx,RAM-BeginnAlter))+INDEX(Dix,RAM-BeginnAlter+1)*INDEX(äkx,1),0),"")</f>
        <v/>
      </c>
      <c r="IL86" s="24" t="str">
        <f t="shared" si="115"/>
        <v/>
      </c>
      <c r="IM86" s="86"/>
      <c r="IN86" s="35">
        <f t="shared" si="141"/>
        <v>142</v>
      </c>
      <c r="IO86" s="25"/>
      <c r="IP86" s="25"/>
      <c r="IQ86" s="24"/>
      <c r="IR86" s="86"/>
    </row>
    <row r="87" spans="1:252" ht="15.75" customHeight="1" x14ac:dyDescent="0.25">
      <c r="A87" s="35">
        <f t="shared" si="120"/>
        <v>95</v>
      </c>
      <c r="B87" s="77"/>
      <c r="C87" s="77"/>
      <c r="D87" s="77"/>
      <c r="E87" s="77">
        <v>0.33495828231579639</v>
      </c>
      <c r="F87" s="86"/>
      <c r="G87" s="35">
        <f t="shared" si="121"/>
        <v>95</v>
      </c>
      <c r="H87" s="25" t="str">
        <f t="shared" si="116"/>
        <v/>
      </c>
      <c r="I87" s="25" t="str">
        <f t="shared" si="117"/>
        <v/>
      </c>
      <c r="J87" s="25">
        <f t="shared" si="118"/>
        <v>4678</v>
      </c>
      <c r="K87" s="30">
        <f>IF(J87&gt;0,ROUND(SUM(J87:J$102)/J87-0.5,Rundex),"")</f>
        <v>2.04</v>
      </c>
      <c r="L87" s="25">
        <f t="shared" si="82"/>
        <v>4678</v>
      </c>
      <c r="M87" s="30">
        <f>IF(L87&gt;0,ROUND(SUM(L87:L$102)/L87-0.5,Rundex),"")</f>
        <v>2.04</v>
      </c>
      <c r="N87" s="86"/>
      <c r="O87" s="35">
        <f t="shared" si="122"/>
        <v>95</v>
      </c>
      <c r="P87" s="43">
        <v>0.31012394983041869</v>
      </c>
      <c r="Q87" s="78">
        <v>88.179946225335371</v>
      </c>
      <c r="R87" s="43"/>
      <c r="S87" s="78"/>
      <c r="T87" s="15">
        <v>0.33495828231579639</v>
      </c>
      <c r="U87" s="11">
        <f t="shared" si="119"/>
        <v>3547</v>
      </c>
      <c r="V87" s="30">
        <f>IF(U87&gt;0,ROUND(SUM(U87:U$102)/U87-0.5,Rundex),"")</f>
        <v>2.04</v>
      </c>
      <c r="W87" s="86"/>
      <c r="X87" s="35">
        <f t="shared" si="123"/>
        <v>95</v>
      </c>
      <c r="Y87" s="25" t="str">
        <f t="shared" si="83"/>
        <v xml:space="preserve"> </v>
      </c>
      <c r="Z87" s="25" t="str">
        <f>IF($X87&lt;RAM,SUM(Y87:INDEX(Dax,RAM-BeginnAlter))," ")</f>
        <v xml:space="preserve"> </v>
      </c>
      <c r="AA87" s="25" t="str">
        <f t="shared" si="84"/>
        <v xml:space="preserve"> </v>
      </c>
      <c r="AB87" s="25" t="str">
        <f>IF($X87&lt;RAM,SUM(AA87:INDEX(Cax,RAM-BeginnAlter))," ")</f>
        <v xml:space="preserve"> </v>
      </c>
      <c r="AC87" s="25" t="str">
        <f t="shared" si="85"/>
        <v xml:space="preserve"> </v>
      </c>
      <c r="AD87" s="25" t="str">
        <f>IF($X87&lt;RAM,SUM(AC87:INDEX(Caix,RAM-BeginnAlter))," ")</f>
        <v xml:space="preserve"> </v>
      </c>
      <c r="AE87" s="24" t="str">
        <f t="shared" si="86"/>
        <v xml:space="preserve"> </v>
      </c>
      <c r="AF87" s="24" t="str">
        <f t="shared" si="87"/>
        <v xml:space="preserve"> </v>
      </c>
      <c r="AG87" s="86"/>
      <c r="AH87" s="35">
        <f t="shared" si="124"/>
        <v>95</v>
      </c>
      <c r="AI87" s="25" t="str">
        <f t="shared" si="88"/>
        <v xml:space="preserve"> </v>
      </c>
      <c r="AJ87" s="25" t="str">
        <f>IF($AH87&gt;RAM," ",IF($AH87&lt;RAM,SUM(AI87:INDEX(Dix,RAM-BeginnAlter))+INDEX(Nx,RAM-BeginnAlter+1),INDEX(Nx,RAM-BeginnAlter+1)))</f>
        <v xml:space="preserve"> </v>
      </c>
      <c r="AK87" s="25" t="str">
        <f>IF($AH87&lt;RAM,SUM(AI87:INDEX(Dix,RAM-BeginnAlter))," ")</f>
        <v xml:space="preserve"> </v>
      </c>
      <c r="AL87" s="24" t="str">
        <f t="shared" si="89"/>
        <v xml:space="preserve"> </v>
      </c>
      <c r="AM87" s="24" t="str">
        <f t="shared" si="90"/>
        <v xml:space="preserve"> </v>
      </c>
      <c r="AN87" s="24" t="str">
        <f t="shared" si="91"/>
        <v xml:space="preserve"> </v>
      </c>
      <c r="AO87" s="24" t="str">
        <f t="shared" si="92"/>
        <v xml:space="preserve"> </v>
      </c>
      <c r="AP87" s="86"/>
      <c r="AQ87" s="35">
        <f t="shared" si="125"/>
        <v>95</v>
      </c>
      <c r="AR87" s="25">
        <f t="shared" si="93"/>
        <v>565</v>
      </c>
      <c r="AS87" s="25">
        <f>SUM(AR87:AR$94)</f>
        <v>1393</v>
      </c>
      <c r="AT87" s="25" t="str">
        <f>IF($AQ87&lt;RAM,SUM(AR87:INDEX(Dx,RAM-BeginnAlter))," ")</f>
        <v xml:space="preserve"> </v>
      </c>
      <c r="AU87" s="24">
        <f t="shared" si="94"/>
        <v>2.4649999999999999</v>
      </c>
      <c r="AV87" s="24">
        <f t="shared" si="95"/>
        <v>2.0070000000000001</v>
      </c>
      <c r="AW87" s="24" t="str">
        <f t="shared" si="96"/>
        <v xml:space="preserve"> </v>
      </c>
      <c r="AX87" s="24" t="str">
        <f t="shared" si="97"/>
        <v xml:space="preserve"> </v>
      </c>
      <c r="AY87" s="86"/>
      <c r="AZ87" s="35">
        <f t="shared" si="126"/>
        <v>95</v>
      </c>
      <c r="BA87" s="25">
        <f t="shared" si="98"/>
        <v>428</v>
      </c>
      <c r="BB87" s="25">
        <f>SUM(BA87:BA$94)</f>
        <v>1056</v>
      </c>
      <c r="BC87" s="24">
        <f t="shared" si="99"/>
        <v>2.4670000000000001</v>
      </c>
      <c r="BD87" s="24">
        <f t="shared" si="100"/>
        <v>2.0089999999999999</v>
      </c>
      <c r="BE87" s="86"/>
      <c r="BF87" s="35">
        <f t="shared" si="127"/>
        <v>78</v>
      </c>
      <c r="BG87" s="24" t="str">
        <f t="shared" si="101"/>
        <v/>
      </c>
      <c r="BH87" s="24" t="str">
        <f t="shared" si="102"/>
        <v/>
      </c>
      <c r="BI87" s="86"/>
      <c r="BJ87" s="35">
        <f t="shared" si="128"/>
        <v>95</v>
      </c>
      <c r="BK87" s="25" t="str">
        <f t="shared" si="103"/>
        <v xml:space="preserve"> </v>
      </c>
      <c r="BL87" s="25" t="str">
        <f>IF(BJ87&lt;RAM,SUM(BK87:INDEX(Daix,RAM-BeginnAlter))," ")</f>
        <v xml:space="preserve"> </v>
      </c>
      <c r="BM87" s="25" t="str">
        <f>IF(BJ87&lt;RAM,SUM(BL87:INDEX(Naix,RAM-BeginnAlter))," ")</f>
        <v xml:space="preserve"> </v>
      </c>
      <c r="BN87" s="24" t="str">
        <f t="shared" si="104"/>
        <v xml:space="preserve"> </v>
      </c>
      <c r="BO87" s="24" t="str">
        <f t="shared" si="105"/>
        <v xml:space="preserve"> </v>
      </c>
      <c r="BP87" s="86"/>
      <c r="BQ87" s="35">
        <f t="shared" si="129"/>
        <v>95</v>
      </c>
      <c r="BR87" s="25" t="str">
        <f t="shared" si="142"/>
        <v xml:space="preserve"> </v>
      </c>
      <c r="BS87" s="25" t="str">
        <f>IF(BQ87&lt;RAM,SUM(BR87:INDEX(Daixs,RAM-BeginnAlter))," ")</f>
        <v xml:space="preserve"> </v>
      </c>
      <c r="BT87" s="25" t="str">
        <f>IF(BQ87&lt;RAM,SUM(BS87:INDEX(Naixs,RAM-BeginnAlter))," ")</f>
        <v xml:space="preserve"> </v>
      </c>
      <c r="BU87" s="24" t="str">
        <f t="shared" si="143"/>
        <v xml:space="preserve"> </v>
      </c>
      <c r="BV87" s="24" t="str">
        <f t="shared" si="144"/>
        <v xml:space="preserve"> </v>
      </c>
      <c r="BW87" s="86"/>
      <c r="BX87" s="35">
        <f t="shared" si="130"/>
        <v>95</v>
      </c>
      <c r="BY87" s="10" t="str">
        <f t="shared" si="106"/>
        <v/>
      </c>
      <c r="BZ87" s="11" t="str">
        <f t="shared" si="107"/>
        <v/>
      </c>
      <c r="CA87" s="25" t="str">
        <f>IF(S88&lt;=RAK,IF($BX87&lt;RAM,SUM(BZ87:INDEX(Dazx,RAM-BeginnAlter)),""),"")</f>
        <v/>
      </c>
      <c r="CB87" s="24" t="str">
        <f t="shared" si="108"/>
        <v/>
      </c>
      <c r="CC87" s="25">
        <f t="shared" si="109"/>
        <v>0</v>
      </c>
      <c r="CD87" s="24">
        <f t="shared" si="110"/>
        <v>0</v>
      </c>
      <c r="CE87" s="24" t="str">
        <f t="shared" si="111"/>
        <v/>
      </c>
      <c r="CF87" s="86"/>
      <c r="CG87" s="35">
        <f t="shared" si="131"/>
        <v>95</v>
      </c>
      <c r="CH87" s="25" t="str">
        <f>IF(CG87&lt;RAM,ROUND(v^($CG87+FaktorAlter)*$H87*($B87*0.5*($P87+$P88)*(VLOOKUP(TRUNC(0.5*($Q87+$Q88),0),Frauen!$AZ$9:$BD$95,5)+(0.5*($Q87+$Q88)-TRUNC(0.5*($Q87+$Q88),0))*(VLOOKUP(TRUNC(0.5*($Q87+$Q88)+1,0),Frauen!$AZ$9:$BD$95,5)-VLOOKUP(TRUNC(0.5*($Q87+$Q88),0),Frauen!$AZ$9:$BD$95,5)))+$C87*0.5*($CN87+$CN88)),RundDx),"")</f>
        <v/>
      </c>
      <c r="CI87" s="25" t="str">
        <f>IF(CG87&lt;RAM,ROUND(SUM(CH87:INDEX(Dawx,RAM-BeginnAlter))+INDEX(Dax,RAM-BeginnAlter+1)*INDEX(äwx,1),RundDx),"")</f>
        <v/>
      </c>
      <c r="CJ87" s="25" t="str">
        <f>IF(CG87&lt;RAM,ROUND(SUM(CI87:INDEX(Nawx,RAM-BeginnAlter))+INDEX(Dax,RAM-BeginnAlter+1)*INDEX(äwx,1),RundDx),"")</f>
        <v/>
      </c>
      <c r="CK87" s="24" t="str">
        <f t="shared" si="145"/>
        <v/>
      </c>
      <c r="CL87" s="25" t="str">
        <f>IF(CG87&lt;RAM,ROUND(v^($CG87+FaktorAlter)*$L87*$D87*0.5*($P87+$P88)*(VLOOKUP(TRUNC(0.5*($Q87+$Q88),0),Frauen!$AZ$9:$BD$95,5)+(0.5*($Q87+$Q88)-TRUNC(0.5*($Q87+$Q88),0))*(VLOOKUP(TRUNC(0.5*($Q87+$Q88)+1,0),Frauen!$AZ$9:$BD$95,5)-VLOOKUP(TRUNC(0.5*($Q87+$Q88),0),Frauen!$AZ$9:$BD$95,5))),RundDx),"")</f>
        <v/>
      </c>
      <c r="CM87" s="25" t="str">
        <f>IF(CG87&lt;RAM,SUM(CL87:INDEX(Diwx,RAM-BeginnAlter))+INDEX(Dix,RAM-BeginnAlter+1)*INDEX(äwx,1),"")</f>
        <v/>
      </c>
      <c r="CN87" s="24" t="str">
        <f t="shared" si="146"/>
        <v/>
      </c>
      <c r="CO87" s="86"/>
      <c r="CP87" s="35">
        <f t="shared" si="147"/>
        <v>143</v>
      </c>
      <c r="CQ87" s="25"/>
      <c r="CR87" s="25"/>
      <c r="CS87" s="24"/>
      <c r="CT87" s="86"/>
      <c r="CU87" s="35">
        <f t="shared" si="132"/>
        <v>95</v>
      </c>
      <c r="CV87" s="25" t="str">
        <f>IF($CU87&gt;=RAM,"",IF($CU87-CV$103&lt;BeginnAlter,"",ROUND(v^($CU87+FaktorAlter)*$L87*$D87*0.5*(VLOOKUP($CU87-CV$103,Frauen!$G$9:$J$102,4)+VLOOKUP($CU87-CV$103+1,Frauen!$G$9:$J$102,4))*0.5*(VLOOKUP($CU87-CV$103,Frauen!$AZ$9:$BD$102,5)+VLOOKUP($CU87-CV$103+1,Frauen!$AZ$9:$BD$102,5)),RundDx)))</f>
        <v/>
      </c>
      <c r="CW87" s="25" t="str">
        <f>IF($CU87&gt;=RAM,"",IF($CU87-CW$103&lt;BeginnAlter,"",ROUND(v^($CU87+FaktorAlter)*$L87*$D87*0.5*(VLOOKUP($CU87-CW$103,Frauen!$G$9:$J$102,4)+VLOOKUP($CU87-CW$103+1,Frauen!$G$9:$J$102,4))*0.5*(VLOOKUP($CU87-CW$103,Frauen!$AZ$9:$BD$102,5)+VLOOKUP($CU87-CW$103+1,Frauen!$AZ$9:$BD$102,5)),RundDx)))</f>
        <v/>
      </c>
      <c r="CX87" s="25" t="str">
        <f>IF($CU87&gt;=RAM,"",IF($CU87-CX$103&lt;BeginnAlter,"",ROUND(v^($CU87+FaktorAlter)*$L87*$D87*0.5*(VLOOKUP($CU87-CX$103,Frauen!$G$9:$J$102,4)+VLOOKUP($CU87-CX$103+1,Frauen!$G$9:$J$102,4))*0.5*(VLOOKUP($CU87-CX$103,Frauen!$AZ$9:$BD$102,5)+VLOOKUP($CU87-CX$103+1,Frauen!$AZ$9:$BD$102,5)),RundDx)))</f>
        <v/>
      </c>
      <c r="CY87" s="25" t="str">
        <f>IF($CU87&gt;=RAM,"",IF($CU87-CY$103&lt;BeginnAlter,"",ROUND(v^($CU87+FaktorAlter)*$L87*$D87*0.5*(VLOOKUP($CU87-CY$103,Frauen!$G$9:$J$102,4)+VLOOKUP($CU87-CY$103+1,Frauen!$G$9:$J$102,4))*0.5*(VLOOKUP($CU87-CY$103,Frauen!$AZ$9:$BD$102,5)+VLOOKUP($CU87-CY$103+1,Frauen!$AZ$9:$BD$102,5)),RundDx)))</f>
        <v/>
      </c>
      <c r="CZ87" s="25" t="str">
        <f>IF($CU87&gt;=RAM,"",IF($CU87-CZ$103&lt;BeginnAlter,"",ROUND(v^($CU87+FaktorAlter)*$L87*$D87*0.5*(VLOOKUP($CU87-CZ$103,Frauen!$G$9:$J$102,4)+VLOOKUP($CU87-CZ$103+1,Frauen!$G$9:$J$102,4))*0.5*(VLOOKUP($CU87-CZ$103,Frauen!$AZ$9:$BD$102,5)+VLOOKUP($CU87-CZ$103+1,Frauen!$AZ$9:$BD$102,5)),RundDx)))</f>
        <v/>
      </c>
      <c r="DA87" s="25" t="str">
        <f>IF($CU87&gt;=RAM,"",IF($CU87-DA$103&lt;BeginnAlter,"",ROUND(v^($CU87+FaktorAlter)*$L87*$D87*0.5*(VLOOKUP($CU87-DA$103,Frauen!$G$9:$J$102,4)+VLOOKUP($CU87-DA$103+1,Frauen!$G$9:$J$102,4))*0.5*(VLOOKUP($CU87-DA$103,Frauen!$AZ$9:$BD$102,5)+VLOOKUP($CU87-DA$103+1,Frauen!$AZ$9:$BD$102,5)),RundDx)))</f>
        <v/>
      </c>
      <c r="DB87" s="25" t="str">
        <f>IF($CU87&gt;=RAM,"",IF($CU87-DB$103&lt;BeginnAlter,"",ROUND(v^($CU87+FaktorAlter)*$L87*$D87*0.5*(VLOOKUP($CU87-DB$103,Frauen!$G$9:$J$102,4)+VLOOKUP($CU87-DB$103+1,Frauen!$G$9:$J$102,4))*0.5*(VLOOKUP($CU87-DB$103,Frauen!$AZ$9:$BD$102,5)+VLOOKUP($CU87-DB$103+1,Frauen!$AZ$9:$BD$102,5)),RundDx)))</f>
        <v/>
      </c>
      <c r="DC87" s="25" t="str">
        <f>IF($CU87&gt;=RAM,"",IF($CU87-DC$103&lt;BeginnAlter,"",ROUND(v^($CU87+FaktorAlter)*$L87*$D87*0.5*(VLOOKUP($CU87-DC$103,Frauen!$G$9:$J$102,4)+VLOOKUP($CU87-DC$103+1,Frauen!$G$9:$J$102,4))*0.5*(VLOOKUP($CU87-DC$103,Frauen!$AZ$9:$BD$102,5)+VLOOKUP($CU87-DC$103+1,Frauen!$AZ$9:$BD$102,5)),RundDx)))</f>
        <v/>
      </c>
      <c r="DD87" s="25" t="str">
        <f>IF($CU87&gt;=RAM,"",IF($CU87-DD$103&lt;BeginnAlter,"",ROUND(v^($CU87+FaktorAlter)*$L87*$D87*0.5*(VLOOKUP($CU87-DD$103,Frauen!$G$9:$J$102,4)+VLOOKUP($CU87-DD$103+1,Frauen!$G$9:$J$102,4))*0.5*(VLOOKUP($CU87-DD$103,Frauen!$AZ$9:$BD$102,5)+VLOOKUP($CU87-DD$103+1,Frauen!$AZ$9:$BD$102,5)),RundDx)))</f>
        <v/>
      </c>
      <c r="DE87" s="25" t="str">
        <f>IF($CU87&gt;=RAM,"",IF($CU87-DE$103&lt;BeginnAlter,"",ROUND(v^($CU87+FaktorAlter)*$L87*$D87*0.5*(VLOOKUP($CU87-DE$103,Frauen!$G$9:$J$102,4)+VLOOKUP($CU87-DE$103+1,Frauen!$G$9:$J$102,4))*0.5*(VLOOKUP($CU87-DE$103,Frauen!$AZ$9:$BD$102,5)+VLOOKUP($CU87-DE$103+1,Frauen!$AZ$9:$BD$102,5)),RundDx)))</f>
        <v/>
      </c>
      <c r="DF87" s="25" t="str">
        <f>IF($CU87&gt;=RAM,"",IF($CU87-DF$103&lt;BeginnAlter,"",ROUND(v^($CU87+FaktorAlter)*$L87*$D87*0.5*(VLOOKUP($CU87-DF$103,Frauen!$G$9:$J$102,4)+VLOOKUP($CU87-DF$103+1,Frauen!$G$9:$J$102,4))*0.5*(VLOOKUP($CU87-DF$103,Frauen!$AZ$9:$BD$102,5)+VLOOKUP($CU87-DF$103+1,Frauen!$AZ$9:$BD$102,5)),RundDx)))</f>
        <v/>
      </c>
      <c r="DG87" s="25" t="str">
        <f>IF($CU87&gt;=RAM,"",IF($CU87-DG$103&lt;BeginnAlter,"",ROUND(v^($CU87+FaktorAlter)*$L87*$D87*0.5*(VLOOKUP($CU87-DG$103,Frauen!$G$9:$J$102,4)+VLOOKUP($CU87-DG$103+1,Frauen!$G$9:$J$102,4))*0.5*(VLOOKUP($CU87-DG$103,Frauen!$AZ$9:$BD$102,5)+VLOOKUP($CU87-DG$103+1,Frauen!$AZ$9:$BD$102,5)),RundDx)))</f>
        <v/>
      </c>
      <c r="DH87" s="25" t="str">
        <f>IF($CU87&gt;=RAM,"",IF($CU87-DH$103&lt;BeginnAlter,"",ROUND(v^($CU87+FaktorAlter)*$L87*$D87*0.5*(VLOOKUP($CU87-DH$103,Frauen!$G$9:$J$102,4)+VLOOKUP($CU87-DH$103+1,Frauen!$G$9:$J$102,4))*0.5*(VLOOKUP($CU87-DH$103,Frauen!$AZ$9:$BD$102,5)+VLOOKUP($CU87-DH$103+1,Frauen!$AZ$9:$BD$102,5)),RundDx)))</f>
        <v/>
      </c>
      <c r="DI87" s="25" t="str">
        <f>IF($CU87&gt;=RAM,"",IF($CU87-DI$103&lt;BeginnAlter,"",ROUND(v^($CU87+FaktorAlter)*$L87*$D87*0.5*(VLOOKUP($CU87-DI$103,Frauen!$G$9:$J$102,4)+VLOOKUP($CU87-DI$103+1,Frauen!$G$9:$J$102,4))*0.5*(VLOOKUP($CU87-DI$103,Frauen!$AZ$9:$BD$102,5)+VLOOKUP($CU87-DI$103+1,Frauen!$AZ$9:$BD$102,5)),RundDx)))</f>
        <v/>
      </c>
      <c r="DJ87" s="25" t="str">
        <f>IF($CU87&gt;=RAM,"",IF($CU87-DJ$103&lt;BeginnAlter,"",ROUND(v^($CU87+FaktorAlter)*$L87*$D87*0.5*(VLOOKUP($CU87-DJ$103,Frauen!$G$9:$J$102,4)+VLOOKUP($CU87-DJ$103+1,Frauen!$G$9:$J$102,4))*0.5*(VLOOKUP($CU87-DJ$103,Frauen!$AZ$9:$BD$102,5)+VLOOKUP($CU87-DJ$103+1,Frauen!$AZ$9:$BD$102,5)),RundDx)))</f>
        <v/>
      </c>
      <c r="DK87" s="25" t="str">
        <f>IF($CU87&gt;=RAM,"",IF($CU87-DK$103&lt;BeginnAlter,"",ROUND(v^($CU87+FaktorAlter)*$L87*$D87*0.5*(VLOOKUP($CU87-DK$103,Frauen!$G$9:$J$102,4)+VLOOKUP($CU87-DK$103+1,Frauen!$G$9:$J$102,4))*0.5*(VLOOKUP($CU87-DK$103,Frauen!$AZ$9:$BD$102,5)+VLOOKUP($CU87-DK$103+1,Frauen!$AZ$9:$BD$102,5)),RundDx)))</f>
        <v/>
      </c>
      <c r="DL87" s="25" t="str">
        <f>IF($CU87&gt;=RAM,"",IF($CU87-DL$103&lt;BeginnAlter,"",ROUND(v^($CU87+FaktorAlter)*$L87*$D87*0.5*(VLOOKUP($CU87-DL$103,Frauen!$G$9:$J$102,4)+VLOOKUP($CU87-DL$103+1,Frauen!$G$9:$J$102,4))*0.5*(VLOOKUP($CU87-DL$103,Frauen!$AZ$9:$BD$102,5)+VLOOKUP($CU87-DL$103+1,Frauen!$AZ$9:$BD$102,5)),RundDx)))</f>
        <v/>
      </c>
      <c r="DM87" s="25" t="str">
        <f>IF($CU87&gt;=RAM,"",IF($CU87-DM$103&lt;BeginnAlter,"",ROUND(v^($CU87+FaktorAlter)*$L87*$D87*0.5*(VLOOKUP($CU87-DM$103,Frauen!$G$9:$J$102,4)+VLOOKUP($CU87-DM$103+1,Frauen!$G$9:$J$102,4))*0.5*(VLOOKUP($CU87-DM$103,Frauen!$AZ$9:$BD$102,5)+VLOOKUP($CU87-DM$103+1,Frauen!$AZ$9:$BD$102,5)),RundDx)))</f>
        <v/>
      </c>
      <c r="DN87" s="25" t="str">
        <f>IF($CU87&gt;=RAM,"",IF($CU87-DN$103&lt;BeginnAlter,"",ROUND(v^($CU87+FaktorAlter)*$L87*$D87*0.5*(VLOOKUP($CU87-DN$103,Frauen!$G$9:$J$102,4)+VLOOKUP($CU87-DN$103+1,Frauen!$G$9:$J$102,4))*0.5*(VLOOKUP($CU87-DN$103,Frauen!$AZ$9:$BD$102,5)+VLOOKUP($CU87-DN$103+1,Frauen!$AZ$9:$BD$102,5)),RundDx)))</f>
        <v/>
      </c>
      <c r="DO87" s="25" t="str">
        <f>IF($CU87&gt;=RAM,"",IF($CU87-DO$103&lt;BeginnAlter,"",ROUND(v^($CU87+FaktorAlter)*$L87*$D87*0.5*(VLOOKUP($CU87-DO$103,Frauen!$G$9:$J$102,4)+VLOOKUP($CU87-DO$103+1,Frauen!$G$9:$J$102,4))*0.5*(VLOOKUP($CU87-DO$103,Frauen!$AZ$9:$BD$102,5)+VLOOKUP($CU87-DO$103+1,Frauen!$AZ$9:$BD$102,5)),RundDx)))</f>
        <v/>
      </c>
      <c r="DP87" s="25" t="str">
        <f>IF($CU87&gt;=RAM,"",IF($CU87-DP$103&lt;BeginnAlter,"",ROUND(v^($CU87+FaktorAlter)*$L87*$D87*0.5*(VLOOKUP($CU87-DP$103,Frauen!$G$9:$J$102,4)+VLOOKUP($CU87-DP$103+1,Frauen!$G$9:$J$102,4))*0.5*(VLOOKUP($CU87-DP$103,Frauen!$AZ$9:$BD$102,5)+VLOOKUP($CU87-DP$103+1,Frauen!$AZ$9:$BD$102,5)),RundDx)))</f>
        <v/>
      </c>
      <c r="DQ87" s="25" t="str">
        <f>IF($CU87&gt;=RAM,"",IF($CU87-DQ$103&lt;BeginnAlter,"",ROUND(v^($CU87+FaktorAlter)*$L87*$D87*0.5*(VLOOKUP($CU87-DQ$103,Frauen!$G$9:$J$102,4)+VLOOKUP($CU87-DQ$103+1,Frauen!$G$9:$J$102,4))*0.5*(VLOOKUP($CU87-DQ$103,Frauen!$AZ$9:$BD$102,5)+VLOOKUP($CU87-DQ$103+1,Frauen!$AZ$9:$BD$102,5)),RundDx)))</f>
        <v/>
      </c>
      <c r="DR87" s="25" t="str">
        <f>IF($CU87&gt;=RAM,"",IF($CU87-DR$103&lt;BeginnAlter,"",ROUND(v^($CU87+FaktorAlter)*$L87*$D87*0.5*(VLOOKUP($CU87-DR$103,Frauen!$G$9:$J$102,4)+VLOOKUP($CU87-DR$103+1,Frauen!$G$9:$J$102,4))*0.5*(VLOOKUP($CU87-DR$103,Frauen!$AZ$9:$BD$102,5)+VLOOKUP($CU87-DR$103+1,Frauen!$AZ$9:$BD$102,5)),RundDx)))</f>
        <v/>
      </c>
      <c r="DS87" s="25" t="str">
        <f>IF($CU87&gt;=RAM,"",IF($CU87-DS$103&lt;BeginnAlter,"",ROUND(v^($CU87+FaktorAlter)*$L87*$D87*0.5*(VLOOKUP($CU87-DS$103,Frauen!$G$9:$J$102,4)+VLOOKUP($CU87-DS$103+1,Frauen!$G$9:$J$102,4))*0.5*(VLOOKUP($CU87-DS$103,Frauen!$AZ$9:$BD$102,5)+VLOOKUP($CU87-DS$103+1,Frauen!$AZ$9:$BD$102,5)),RundDx)))</f>
        <v/>
      </c>
      <c r="DT87" s="25" t="str">
        <f>IF($CU87&gt;=RAM,"",IF($CU87-DT$103&lt;BeginnAlter,"",ROUND(v^($CU87+FaktorAlter)*$L87*$D87*0.5*(VLOOKUP($CU87-DT$103,Frauen!$G$9:$J$102,4)+VLOOKUP($CU87-DT$103+1,Frauen!$G$9:$J$102,4))*0.5*(VLOOKUP($CU87-DT$103,Frauen!$AZ$9:$BD$102,5)+VLOOKUP($CU87-DT$103+1,Frauen!$AZ$9:$BD$102,5)),RundDx)))</f>
        <v/>
      </c>
      <c r="DU87" s="25" t="str">
        <f>IF($CU87&gt;=RAM,"",IF($CU87-DU$103&lt;BeginnAlter,"",ROUND(v^($CU87+FaktorAlter)*$L87*$D87*0.5*(VLOOKUP($CU87-DU$103,Frauen!$G$9:$J$102,4)+VLOOKUP($CU87-DU$103+1,Frauen!$G$9:$J$102,4))*0.5*(VLOOKUP($CU87-DU$103,Frauen!$AZ$9:$BD$102,5)+VLOOKUP($CU87-DU$103+1,Frauen!$AZ$9:$BD$102,5)),RundDx)))</f>
        <v/>
      </c>
      <c r="DV87" s="25" t="str">
        <f>IF($CU87&gt;=RAM,"",IF($CU87-DV$103&lt;BeginnAlter,"",ROUND(v^($CU87+FaktorAlter)*$L87*$D87*0.5*(VLOOKUP($CU87-DV$103,Frauen!$G$9:$J$102,4)+VLOOKUP($CU87-DV$103+1,Frauen!$G$9:$J$102,4))*0.5*(VLOOKUP($CU87-DV$103,Frauen!$AZ$9:$BD$102,5)+VLOOKUP($CU87-DV$103+1,Frauen!$AZ$9:$BD$102,5)),RundDx)))</f>
        <v/>
      </c>
      <c r="DW87" s="25" t="str">
        <f>IF($CU87&gt;=RAM,"",IF($CU87-DW$103&lt;BeginnAlter,"",ROUND(v^($CU87+FaktorAlter)*$L87*$D87*0.5*(VLOOKUP($CU87-DW$103,Frauen!$G$9:$J$102,4)+VLOOKUP($CU87-DW$103+1,Frauen!$G$9:$J$102,4))*0.5*(VLOOKUP($CU87-DW$103,Frauen!$AZ$9:$BD$102,5)+VLOOKUP($CU87-DW$103+1,Frauen!$AZ$9:$BD$102,5)),RundDx)))</f>
        <v/>
      </c>
      <c r="DX87" s="25" t="str">
        <f>IF($CU87&gt;=RAM,"",IF($CU87-DX$103&lt;BeginnAlter,"",ROUND(v^($CU87+FaktorAlter)*$L87*$D87*0.5*(VLOOKUP($CU87-DX$103,Frauen!$G$9:$J$102,4)+VLOOKUP($CU87-DX$103+1,Frauen!$G$9:$J$102,4))*0.5*(VLOOKUP($CU87-DX$103,Frauen!$AZ$9:$BD$102,5)+VLOOKUP($CU87-DX$103+1,Frauen!$AZ$9:$BD$102,5)),RundDx)))</f>
        <v/>
      </c>
      <c r="DY87" s="25" t="str">
        <f>IF($CU87&gt;=RAM,"",IF($CU87-DY$103&lt;BeginnAlter,"",ROUND(v^($CU87+FaktorAlter)*$L87*$D87*0.5*(VLOOKUP($CU87-DY$103,Frauen!$G$9:$J$102,4)+VLOOKUP($CU87-DY$103+1,Frauen!$G$9:$J$102,4))*0.5*(VLOOKUP($CU87-DY$103,Frauen!$AZ$9:$BD$102,5)+VLOOKUP($CU87-DY$103+1,Frauen!$AZ$9:$BD$102,5)),RundDx)))</f>
        <v/>
      </c>
      <c r="DZ87" s="25" t="str">
        <f>IF($CU87&gt;=RAM,"",IF($CU87-DZ$103&lt;BeginnAlter,"",ROUND(v^($CU87+FaktorAlter)*$L87*$D87*0.5*(VLOOKUP($CU87-DZ$103,Frauen!$G$9:$J$102,4)+VLOOKUP($CU87-DZ$103+1,Frauen!$G$9:$J$102,4))*0.5*(VLOOKUP($CU87-DZ$103,Frauen!$AZ$9:$BD$102,5)+VLOOKUP($CU87-DZ$103+1,Frauen!$AZ$9:$BD$102,5)),RundDx)))</f>
        <v/>
      </c>
      <c r="EA87" s="43" t="str">
        <f>IF($CU87&gt;=RAM,"",IF($CU87-EA$103&lt;BeginnAlter,"",ROUND((SUM(CV$56:CV87)+SUM(FN$9:FN$56))/VLOOKUP($CU87,$AH$9:$AI$102,2)/VLOOKUP($CU87-EA$103,Frauen!$G$9:$J$102,4),Rundäx)))</f>
        <v/>
      </c>
      <c r="EB87" s="43" t="str">
        <f>IF($CU87&gt;=RAM,"",IF($CU87-EB$103&lt;BeginnAlter,"",ROUND((SUM(CW$56:CW87)+SUM(FO$9:FO$56))/VLOOKUP($CU87,$AH$9:$AI$102,2)/VLOOKUP($CU87-EB$103,Frauen!$G$9:$J$102,4),Rundäx)))</f>
        <v/>
      </c>
      <c r="EC87" s="43" t="str">
        <f>IF($CU87&gt;=RAM,"",IF($CU87-EC$103&lt;BeginnAlter,"",ROUND((SUM(CX$56:CX87)+SUM(FP$9:FP$56))/VLOOKUP($CU87,$AH$9:$AI$102,2)/VLOOKUP($CU87-EC$103,Frauen!$G$9:$J$102,4),Rundäx)))</f>
        <v/>
      </c>
      <c r="ED87" s="43" t="str">
        <f>IF($CU87&gt;=RAM,"",IF($CU87-ED$103&lt;BeginnAlter,"",ROUND((SUM(CY$56:CY87)+SUM(FQ$9:FQ$56))/VLOOKUP($CU87,$AH$9:$AI$102,2)/VLOOKUP($CU87-ED$103,Frauen!$G$9:$J$102,4),Rundäx)))</f>
        <v/>
      </c>
      <c r="EE87" s="43" t="str">
        <f>IF($CU87&gt;=RAM,"",IF($CU87-EE$103&lt;BeginnAlter,"",ROUND((SUM(CZ$56:CZ87)+SUM(FR$9:FR$56))/VLOOKUP($CU87,$AH$9:$AI$102,2)/VLOOKUP($CU87-EE$103,Frauen!$G$9:$J$102,4),Rundäx)))</f>
        <v/>
      </c>
      <c r="EF87" s="43" t="str">
        <f>IF($CU87&gt;=RAM,"",IF($CU87-EF$103&lt;BeginnAlter,"",ROUND((SUM(DA$56:DA87)+SUM(FS$9:FS$56))/VLOOKUP($CU87,$AH$9:$AI$102,2)/VLOOKUP($CU87-EF$103,Frauen!$G$9:$J$102,4),Rundäx)))</f>
        <v/>
      </c>
      <c r="EG87" s="43" t="str">
        <f>IF($CU87&gt;=RAM,"",IF($CU87-EG$103&lt;BeginnAlter,"",ROUND((SUM(DB$56:DB87)+SUM(FT$9:FT$56))/VLOOKUP($CU87,$AH$9:$AI$102,2)/VLOOKUP($CU87-EG$103,Frauen!$G$9:$J$102,4),Rundäx)))</f>
        <v/>
      </c>
      <c r="EH87" s="43" t="str">
        <f>IF($CU87&gt;=RAM,"",IF($CU87-EH$103&lt;BeginnAlter,"",ROUND((SUM(DC$56:DC87)+SUM(FU$9:FU$56))/VLOOKUP($CU87,$AH$9:$AI$102,2)/VLOOKUP($CU87-EH$103,Frauen!$G$9:$J$102,4),Rundäx)))</f>
        <v/>
      </c>
      <c r="EI87" s="86"/>
      <c r="EJ87" s="35">
        <f t="shared" si="133"/>
        <v>95</v>
      </c>
      <c r="EK87" s="43" t="str">
        <f>IF($CU87&gt;=RAM,"",IF($CU87-EK$103&lt;BeginnAlter,"",ROUND((SUM(DD$56:DD87)+SUM(FV$9:FV$56))/VLOOKUP($CU87,$AH$9:$AI$102,2)/VLOOKUP($CU87-EK$103,Frauen!$G$9:$J$102,4),Rundäx)))</f>
        <v/>
      </c>
      <c r="EL87" s="43" t="str">
        <f>IF($CU87&gt;=RAM,"",IF($CU87-EL$103&lt;BeginnAlter,"",ROUND((SUM(DE$56:DE87)+SUM(FW$9:FW$56))/VLOOKUP($CU87,$AH$9:$AI$102,2)/VLOOKUP($CU87-EL$103,Frauen!$G$9:$J$102,4),Rundäx)))</f>
        <v/>
      </c>
      <c r="EM87" s="43" t="str">
        <f>IF($CU87&gt;=RAM,"",IF($CU87-EM$103&lt;BeginnAlter,"",ROUND((SUM(DF$56:DF87)+SUM(FX$9:FX$56))/VLOOKUP($CU87,$AH$9:$AI$102,2)/VLOOKUP($CU87-EM$103,Frauen!$G$9:$J$102,4),Rundäx)))</f>
        <v/>
      </c>
      <c r="EN87" s="43" t="str">
        <f>IF($CU87&gt;=RAM,"",IF($CU87-EN$103&lt;BeginnAlter,"",ROUND((SUM(DG$56:DG87)+SUM(FY$9:FY$56))/VLOOKUP($CU87,$AH$9:$AI$102,2)/VLOOKUP($CU87-EN$103,Frauen!$G$9:$J$102,4),Rundäx)))</f>
        <v/>
      </c>
      <c r="EO87" s="43" t="str">
        <f>IF($CU87&gt;=RAM,"",IF($CU87-EO$103&lt;BeginnAlter,"",ROUND((SUM(DH$56:DH87)+SUM(FZ$9:FZ$56))/VLOOKUP($CU87,$AH$9:$AI$102,2)/VLOOKUP($CU87-EO$103,Frauen!$G$9:$J$102,4),Rundäx)))</f>
        <v/>
      </c>
      <c r="EP87" s="43" t="str">
        <f>IF($CU87&gt;=RAM,"",IF($CU87-EP$103&lt;BeginnAlter,"",ROUND((SUM(DI$56:DI87)+SUM(GA$9:GA$56))/VLOOKUP($CU87,$AH$9:$AI$102,2)/VLOOKUP($CU87-EP$103,Frauen!$G$9:$J$102,4),Rundäx)))</f>
        <v/>
      </c>
      <c r="EQ87" s="43" t="str">
        <f>IF($CU87&gt;=RAM,"",IF($CU87-EQ$103&lt;BeginnAlter,"",ROUND((SUM(DJ$56:DJ87)+SUM(GB$9:GB$56))/VLOOKUP($CU87,$AH$9:$AI$102,2)/VLOOKUP($CU87-EQ$103,Frauen!$G$9:$J$102,4),Rundäx)))</f>
        <v/>
      </c>
      <c r="ER87" s="43" t="str">
        <f>IF($CU87&gt;=RAM,"",IF($CU87-ER$103&lt;BeginnAlter,"",ROUND((SUM(DK$56:DK87)+SUM(GC$9:GC$56))/VLOOKUP($CU87,$AH$9:$AI$102,2)/VLOOKUP($CU87-ER$103,Frauen!$G$9:$J$102,4),Rundäx)))</f>
        <v/>
      </c>
      <c r="ES87" s="86"/>
      <c r="ET87" s="35">
        <f t="shared" si="134"/>
        <v>95</v>
      </c>
      <c r="EU87" s="43" t="str">
        <f>IF($CU87&gt;=RAM,"",IF($CU87-EU$103&lt;BeginnAlter,"",ROUND((SUM(DL$56:DL87)+SUM(GD$9:GD$56))/VLOOKUP($CU87,$AH$9:$AI$102,2)/VLOOKUP($CU87-EU$103,Frauen!$G$9:$J$102,4),Rundäx)))</f>
        <v/>
      </c>
      <c r="EV87" s="43" t="str">
        <f>IF($CU87&gt;=RAM,"",IF($CU87-EV$103&lt;BeginnAlter,"",ROUND((SUM(DM$56:DM87)+SUM(GE$9:GE$56))/VLOOKUP($CU87,$AH$9:$AI$102,2)/VLOOKUP($CU87-EV$103,Frauen!$G$9:$J$102,4),Rundäx)))</f>
        <v/>
      </c>
      <c r="EW87" s="43" t="str">
        <f>IF($CU87&gt;=RAM,"",IF($CU87-EW$103&lt;BeginnAlter,"",ROUND((SUM(DN$56:DN87)+SUM(GF$9:GF$56))/VLOOKUP($CU87,$AH$9:$AI$102,2)/VLOOKUP($CU87-EW$103,Frauen!$G$9:$J$102,4),Rundäx)))</f>
        <v/>
      </c>
      <c r="EX87" s="43" t="str">
        <f>IF($CU87&gt;=RAM,"",IF($CU87-EX$103&lt;BeginnAlter,"",ROUND((SUM(DO$56:DO87)+SUM(GG$9:GG$56))/VLOOKUP($CU87,$AH$9:$AI$102,2)/VLOOKUP($CU87-EX$103,Frauen!$G$9:$J$102,4),Rundäx)))</f>
        <v/>
      </c>
      <c r="EY87" s="43" t="str">
        <f>IF($CU87&gt;=RAM,"",IF($CU87-EY$103&lt;BeginnAlter,"",ROUND((SUM(DP$56:DP87)+SUM(GH$9:GH$56))/VLOOKUP($CU87,$AH$9:$AI$102,2)/VLOOKUP($CU87-EY$103,Frauen!$G$9:$J$102,4),Rundäx)))</f>
        <v/>
      </c>
      <c r="EZ87" s="43" t="str">
        <f>IF($CU87&gt;=RAM,"",IF($CU87-EZ$103&lt;BeginnAlter,"",ROUND((SUM(DQ$56:DQ87)+SUM(GI$9:GI$56))/VLOOKUP($CU87,$AH$9:$AI$102,2)/VLOOKUP($CU87-EZ$103,Frauen!$G$9:$J$102,4),Rundäx)))</f>
        <v/>
      </c>
      <c r="FA87" s="43" t="str">
        <f>IF($CU87&gt;=RAM,"",IF($CU87-FA$103&lt;BeginnAlter,"",ROUND((SUM(DR$56:DR87)+SUM(GJ$9:GJ$56))/VLOOKUP($CU87,$AH$9:$AI$102,2)/VLOOKUP($CU87-FA$103,Frauen!$G$9:$J$102,4),Rundäx)))</f>
        <v/>
      </c>
      <c r="FB87" s="43" t="str">
        <f>IF($CU87&gt;=RAM,"",IF($CU87-FB$103&lt;BeginnAlter,"",ROUND((SUM(DS$56:DS87)+SUM(GK$9:GK$56))/VLOOKUP($CU87,$AH$9:$AI$102,2)/VLOOKUP($CU87-FB$103,Frauen!$G$9:$J$102,4),Rundäx)))</f>
        <v/>
      </c>
      <c r="FC87" s="86"/>
      <c r="FD87" s="35">
        <f t="shared" si="135"/>
        <v>95</v>
      </c>
      <c r="FE87" s="43" t="str">
        <f>IF($CU87&gt;=RAM,"",IF($CU87-FE$103&lt;BeginnAlter,"",ROUND((SUM(DT$56:DT87)+SUM(GL$9:GL$56))/VLOOKUP($CU87,$AH$9:$AI$102,2)/VLOOKUP($CU87-FE$103,Frauen!$G$9:$J$102,4),Rundäx)))</f>
        <v/>
      </c>
      <c r="FF87" s="43" t="str">
        <f>IF($CU87&gt;=RAM,"",IF($CU87-FF$103&lt;BeginnAlter,"",ROUND((SUM(DU$56:DU87)+SUM(GM$9:GM$56))/VLOOKUP($CU87,$AH$9:$AI$102,2)/VLOOKUP($CU87-FF$103,Frauen!$G$9:$J$102,4),Rundäx)))</f>
        <v/>
      </c>
      <c r="FG87" s="43" t="str">
        <f>IF($CU87&gt;=RAM,"",IF($CU87-FG$103&lt;BeginnAlter,"",ROUND((SUM(DV$56:DV87)+SUM(GN$9:GN$56))/VLOOKUP($CU87,$AH$9:$AI$102,2)/VLOOKUP($CU87-FG$103,Frauen!$G$9:$J$102,4),Rundäx)))</f>
        <v/>
      </c>
      <c r="FH87" s="43" t="str">
        <f>IF($CU87&gt;=RAM,"",IF($CU87-FH$103&lt;BeginnAlter,"",ROUND((SUM(DW$56:DW87)+SUM(GO$9:GO$56))/VLOOKUP($CU87,$AH$9:$AI$102,2)/VLOOKUP($CU87-FH$103,Frauen!$G$9:$J$102,4),Rundäx)))</f>
        <v/>
      </c>
      <c r="FI87" s="43" t="str">
        <f>IF($CU87&gt;=RAM,"",IF($CU87-FI$103&lt;BeginnAlter,"",ROUND((SUM(DX$56:DX87)+SUM(GP$9:GP$56))/VLOOKUP($CU87,$AH$9:$AI$102,2)/VLOOKUP($CU87-FI$103,Frauen!$G$9:$J$102,4),Rundäx)))</f>
        <v/>
      </c>
      <c r="FJ87" s="43" t="str">
        <f>IF($CU87&gt;=RAM,"",IF($CU87-FJ$103&lt;BeginnAlter,"",ROUND((SUM(DY$56:DY87)+SUM(GQ$9:GQ$56))/VLOOKUP($CU87,$AH$9:$AI$102,2)/VLOOKUP($CU87-FJ$103,Frauen!$G$9:$J$102,4),Rundäx)))</f>
        <v/>
      </c>
      <c r="FK87" s="43" t="str">
        <f>IF($CU87&gt;=RAM,"",IF($CU87-FK$103&lt;BeginnAlter,"",ROUND((SUM(DZ$56:DZ87)+SUM(GR$9:GR$56))/VLOOKUP($CU87,$AH$9:$AI$102,2)/VLOOKUP($CU87-FK$103,Frauen!$G$9:$J$102,4),Rundäx)))</f>
        <v/>
      </c>
      <c r="FL87" s="86"/>
      <c r="FM87" s="35">
        <f t="shared" si="136"/>
        <v>143</v>
      </c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25"/>
      <c r="GM87" s="25"/>
      <c r="GN87" s="25"/>
      <c r="GO87" s="25"/>
      <c r="GP87" s="25"/>
      <c r="GQ87" s="25"/>
      <c r="GR87" s="25"/>
      <c r="GS87" s="24"/>
      <c r="GT87" s="24"/>
      <c r="GU87" s="24" t="str">
        <f>IF(FM87&gt;=RAM," ",#REF!/$AI87/Frauen!$J75)</f>
        <v xml:space="preserve"> </v>
      </c>
      <c r="GV87" s="24" t="str">
        <f>IF(FM87&gt;=RAM," ",#REF!/$AI87/Frauen!$J78)</f>
        <v xml:space="preserve"> </v>
      </c>
      <c r="GW87" s="24" t="str">
        <f>IF(FM87&gt;=RAM," ",#REF!/$AI87/Frauen!$J81)</f>
        <v xml:space="preserve"> </v>
      </c>
      <c r="GX87" s="24" t="str">
        <f>IF(FM87&gt;=RAM," ",#REF!/$AI87/Frauen!$J84)</f>
        <v xml:space="preserve"> </v>
      </c>
      <c r="GY87" s="24" t="str">
        <f>IF(FM87&gt;=RAM," ",#REF!/$AI87/Frauen!$J87)</f>
        <v xml:space="preserve"> </v>
      </c>
      <c r="GZ87" s="24" t="str">
        <f>IF(FM87&gt;=RAM," ",#REF!/$AI87/Frauen!$J90)</f>
        <v xml:space="preserve"> </v>
      </c>
      <c r="HA87" s="86"/>
      <c r="HB87" s="35">
        <f t="shared" si="137"/>
        <v>143</v>
      </c>
      <c r="HC87" s="24"/>
      <c r="HD87" s="24"/>
      <c r="HE87" s="24"/>
      <c r="HF87" s="24"/>
      <c r="HG87" s="24"/>
      <c r="HH87" s="24"/>
      <c r="HI87" s="24"/>
      <c r="HJ87" s="24"/>
      <c r="HK87" s="86"/>
      <c r="HL87" s="35">
        <f t="shared" si="138"/>
        <v>143</v>
      </c>
      <c r="HM87" s="24"/>
      <c r="HN87" s="24"/>
      <c r="HO87" s="24"/>
      <c r="HP87" s="24"/>
      <c r="HQ87" s="24"/>
      <c r="HR87" s="24"/>
      <c r="HS87" s="24"/>
      <c r="HT87" s="24"/>
      <c r="HU87" s="86"/>
      <c r="HV87" s="35">
        <f t="shared" si="139"/>
        <v>143</v>
      </c>
      <c r="HW87" s="24"/>
      <c r="HX87" s="24"/>
      <c r="HY87" s="24"/>
      <c r="HZ87" s="24"/>
      <c r="IA87" s="24"/>
      <c r="IB87" s="24"/>
      <c r="IC87" s="24"/>
      <c r="ID87" s="89"/>
      <c r="IE87" s="35">
        <f t="shared" si="140"/>
        <v>95</v>
      </c>
      <c r="IF87" s="25" t="str">
        <f t="shared" si="112"/>
        <v/>
      </c>
      <c r="IG87" s="25" t="str">
        <f>IF($IE87&lt;RAM,IF(S88&lt;=RAK,ROUND(SUM(IF87:INDEX(Dakx,RAM-BeginnAlter))+INDEX(Dax,RAM-BeginnAlter+1)*INDEX(äkx,1),RundDx),0),"")</f>
        <v/>
      </c>
      <c r="IH87" s="25" t="str">
        <f>IF($IE87&lt;RAM,IF(S88&lt;=RAK,ROUND(SUM(IG87:INDEX(Nakx,RAM-BeginnAlter))+INDEX(Dax,RAM-BeginnAlter+1)*INDEX(äkx,1),RundDx),0),"")</f>
        <v/>
      </c>
      <c r="II87" s="24" t="str">
        <f t="shared" si="113"/>
        <v/>
      </c>
      <c r="IJ87" s="25" t="str">
        <f t="shared" si="114"/>
        <v/>
      </c>
      <c r="IK87" s="25" t="str">
        <f>IF($IE87&lt;RAM,IF(S88&lt;=RAK,SUM(IJ87:INDEX(Dikx,RAM-BeginnAlter))+INDEX(Dix,RAM-BeginnAlter+1)*INDEX(äkx,1),0),"")</f>
        <v/>
      </c>
      <c r="IL87" s="24" t="str">
        <f t="shared" si="115"/>
        <v/>
      </c>
      <c r="IM87" s="86"/>
      <c r="IN87" s="35">
        <f t="shared" si="141"/>
        <v>143</v>
      </c>
      <c r="IO87" s="25"/>
      <c r="IP87" s="25"/>
      <c r="IQ87" s="24"/>
      <c r="IR87" s="86"/>
    </row>
    <row r="88" spans="1:252" ht="15.75" customHeight="1" x14ac:dyDescent="0.25">
      <c r="A88" s="35">
        <f t="shared" si="120"/>
        <v>96</v>
      </c>
      <c r="B88" s="77"/>
      <c r="C88" s="77"/>
      <c r="D88" s="77"/>
      <c r="E88" s="77">
        <v>0.37677163206035857</v>
      </c>
      <c r="F88" s="86"/>
      <c r="G88" s="35">
        <f t="shared" si="121"/>
        <v>96</v>
      </c>
      <c r="H88" s="25" t="str">
        <f t="shared" si="116"/>
        <v/>
      </c>
      <c r="I88" s="25" t="str">
        <f t="shared" si="117"/>
        <v/>
      </c>
      <c r="J88" s="25">
        <f t="shared" si="118"/>
        <v>3111</v>
      </c>
      <c r="K88" s="30">
        <f>IF(J88&gt;0,ROUND(SUM(J88:J$102)/J88-0.5,Rundex),"")</f>
        <v>1.81</v>
      </c>
      <c r="L88" s="25">
        <f t="shared" si="82"/>
        <v>3111</v>
      </c>
      <c r="M88" s="30">
        <f>IF(L88&gt;0,ROUND(SUM(L88:L$102)/L88-0.5,Rundex),"")</f>
        <v>1.81</v>
      </c>
      <c r="N88" s="86"/>
      <c r="O88" s="35">
        <f t="shared" si="122"/>
        <v>96</v>
      </c>
      <c r="P88" s="43">
        <v>0.26653663980251618</v>
      </c>
      <c r="Q88" s="78">
        <v>89.076665657082174</v>
      </c>
      <c r="R88" s="43"/>
      <c r="S88" s="78"/>
      <c r="T88" s="15">
        <v>0.37677163206035857</v>
      </c>
      <c r="U88" s="11">
        <f t="shared" si="119"/>
        <v>2359</v>
      </c>
      <c r="V88" s="30">
        <f>IF(U88&gt;0,ROUND(SUM(U88:U$102)/U88-0.5,Rundex),"")</f>
        <v>1.81</v>
      </c>
      <c r="W88" s="86"/>
      <c r="X88" s="35">
        <f t="shared" si="123"/>
        <v>96</v>
      </c>
      <c r="Y88" s="25" t="str">
        <f t="shared" si="83"/>
        <v xml:space="preserve"> </v>
      </c>
      <c r="Z88" s="25" t="str">
        <f>IF($X88&lt;RAM,SUM(Y88:INDEX(Dax,RAM-BeginnAlter))," ")</f>
        <v xml:space="preserve"> </v>
      </c>
      <c r="AA88" s="25" t="str">
        <f t="shared" si="84"/>
        <v xml:space="preserve"> </v>
      </c>
      <c r="AB88" s="25" t="str">
        <f>IF($X88&lt;RAM,SUM(AA88:INDEX(Cax,RAM-BeginnAlter))," ")</f>
        <v xml:space="preserve"> </v>
      </c>
      <c r="AC88" s="25" t="str">
        <f t="shared" si="85"/>
        <v xml:space="preserve"> </v>
      </c>
      <c r="AD88" s="25" t="str">
        <f>IF($X88&lt;RAM,SUM(AC88:INDEX(Caix,RAM-BeginnAlter))," ")</f>
        <v xml:space="preserve"> </v>
      </c>
      <c r="AE88" s="24" t="str">
        <f t="shared" si="86"/>
        <v xml:space="preserve"> </v>
      </c>
      <c r="AF88" s="24" t="str">
        <f t="shared" si="87"/>
        <v xml:space="preserve"> </v>
      </c>
      <c r="AG88" s="86"/>
      <c r="AH88" s="35">
        <f t="shared" si="124"/>
        <v>96</v>
      </c>
      <c r="AI88" s="25" t="str">
        <f t="shared" si="88"/>
        <v xml:space="preserve"> </v>
      </c>
      <c r="AJ88" s="25" t="str">
        <f>IF($AH88&gt;RAM," ",IF($AH88&lt;RAM,SUM(AI88:INDEX(Dix,RAM-BeginnAlter))+INDEX(Nx,RAM-BeginnAlter+1),INDEX(Nx,RAM-BeginnAlter+1)))</f>
        <v xml:space="preserve"> </v>
      </c>
      <c r="AK88" s="25" t="str">
        <f>IF($AH88&lt;RAM,SUM(AI88:INDEX(Dix,RAM-BeginnAlter))," ")</f>
        <v xml:space="preserve"> </v>
      </c>
      <c r="AL88" s="24" t="str">
        <f t="shared" si="89"/>
        <v xml:space="preserve"> </v>
      </c>
      <c r="AM88" s="24" t="str">
        <f t="shared" si="90"/>
        <v xml:space="preserve"> </v>
      </c>
      <c r="AN88" s="24" t="str">
        <f t="shared" si="91"/>
        <v xml:space="preserve"> </v>
      </c>
      <c r="AO88" s="24" t="str">
        <f t="shared" si="92"/>
        <v xml:space="preserve"> </v>
      </c>
      <c r="AP88" s="86"/>
      <c r="AQ88" s="35">
        <f t="shared" si="125"/>
        <v>96</v>
      </c>
      <c r="AR88" s="25">
        <f t="shared" si="93"/>
        <v>367</v>
      </c>
      <c r="AS88" s="25">
        <f>SUM(AR88:AR$94)</f>
        <v>828</v>
      </c>
      <c r="AT88" s="25" t="str">
        <f>IF($AQ88&lt;RAM,SUM(AR88:INDEX(Dx,RAM-BeginnAlter))," ")</f>
        <v xml:space="preserve"> </v>
      </c>
      <c r="AU88" s="24">
        <f t="shared" si="94"/>
        <v>2.2559999999999998</v>
      </c>
      <c r="AV88" s="24">
        <f t="shared" si="95"/>
        <v>1.798</v>
      </c>
      <c r="AW88" s="24" t="str">
        <f t="shared" si="96"/>
        <v xml:space="preserve"> </v>
      </c>
      <c r="AX88" s="24" t="str">
        <f t="shared" si="97"/>
        <v xml:space="preserve"> </v>
      </c>
      <c r="AY88" s="86"/>
      <c r="AZ88" s="35">
        <f t="shared" si="126"/>
        <v>96</v>
      </c>
      <c r="BA88" s="25">
        <f t="shared" si="98"/>
        <v>279</v>
      </c>
      <c r="BB88" s="25">
        <f>SUM(BA88:BA$94)</f>
        <v>628</v>
      </c>
      <c r="BC88" s="24">
        <f t="shared" si="99"/>
        <v>2.2509999999999999</v>
      </c>
      <c r="BD88" s="24">
        <f t="shared" si="100"/>
        <v>1.7929999999999999</v>
      </c>
      <c r="BE88" s="86"/>
      <c r="BF88" s="35">
        <f t="shared" si="127"/>
        <v>79</v>
      </c>
      <c r="BG88" s="24" t="str">
        <f t="shared" si="101"/>
        <v/>
      </c>
      <c r="BH88" s="24" t="str">
        <f t="shared" si="102"/>
        <v/>
      </c>
      <c r="BI88" s="86"/>
      <c r="BJ88" s="35">
        <f t="shared" si="128"/>
        <v>96</v>
      </c>
      <c r="BK88" s="25" t="str">
        <f t="shared" si="103"/>
        <v xml:space="preserve"> </v>
      </c>
      <c r="BL88" s="25" t="str">
        <f>IF(BJ88&lt;RAM,SUM(BK88:INDEX(Daix,RAM-BeginnAlter))," ")</f>
        <v xml:space="preserve"> </v>
      </c>
      <c r="BM88" s="25" t="str">
        <f>IF(BJ88&lt;RAM,SUM(BL88:INDEX(Naix,RAM-BeginnAlter))," ")</f>
        <v xml:space="preserve"> </v>
      </c>
      <c r="BN88" s="24" t="str">
        <f t="shared" si="104"/>
        <v xml:space="preserve"> </v>
      </c>
      <c r="BO88" s="24" t="str">
        <f t="shared" si="105"/>
        <v xml:space="preserve"> </v>
      </c>
      <c r="BP88" s="86"/>
      <c r="BQ88" s="35">
        <f t="shared" si="129"/>
        <v>96</v>
      </c>
      <c r="BR88" s="25" t="str">
        <f t="shared" si="142"/>
        <v xml:space="preserve"> </v>
      </c>
      <c r="BS88" s="25" t="str">
        <f>IF(BQ88&lt;RAM,SUM(BR88:INDEX(Daixs,RAM-BeginnAlter))," ")</f>
        <v xml:space="preserve"> </v>
      </c>
      <c r="BT88" s="25" t="str">
        <f>IF(BQ88&lt;RAM,SUM(BS88:INDEX(Naixs,RAM-BeginnAlter))," ")</f>
        <v xml:space="preserve"> </v>
      </c>
      <c r="BU88" s="24" t="str">
        <f t="shared" si="143"/>
        <v xml:space="preserve"> </v>
      </c>
      <c r="BV88" s="24" t="str">
        <f t="shared" si="144"/>
        <v xml:space="preserve"> </v>
      </c>
      <c r="BW88" s="86"/>
      <c r="BX88" s="35">
        <f t="shared" si="130"/>
        <v>96</v>
      </c>
      <c r="BY88" s="10" t="str">
        <f t="shared" si="106"/>
        <v/>
      </c>
      <c r="BZ88" s="11" t="str">
        <f t="shared" si="107"/>
        <v/>
      </c>
      <c r="CA88" s="25" t="str">
        <f>IF(S89&lt;=RAK,IF($BX88&lt;RAM,SUM(BZ88:INDEX(Dazx,RAM-BeginnAlter)),""),"")</f>
        <v/>
      </c>
      <c r="CB88" s="24" t="str">
        <f t="shared" si="108"/>
        <v/>
      </c>
      <c r="CC88" s="25">
        <f t="shared" si="109"/>
        <v>0</v>
      </c>
      <c r="CD88" s="24">
        <f t="shared" si="110"/>
        <v>0</v>
      </c>
      <c r="CE88" s="24" t="str">
        <f t="shared" si="111"/>
        <v/>
      </c>
      <c r="CF88" s="86"/>
      <c r="CG88" s="35">
        <f t="shared" si="131"/>
        <v>96</v>
      </c>
      <c r="CH88" s="25" t="str">
        <f>IF(CG88&lt;RAM,ROUND(v^($CG88+FaktorAlter)*$H88*($B88*0.5*($P88+$P89)*(VLOOKUP(TRUNC(0.5*($Q88+$Q89),0),Frauen!$AZ$9:$BD$95,5)+(0.5*($Q88+$Q89)-TRUNC(0.5*($Q88+$Q89),0))*(VLOOKUP(TRUNC(0.5*($Q88+$Q89)+1,0),Frauen!$AZ$9:$BD$95,5)-VLOOKUP(TRUNC(0.5*($Q88+$Q89),0),Frauen!$AZ$9:$BD$95,5)))+$C88*0.5*($CN88+$CN89)),RundDx),"")</f>
        <v/>
      </c>
      <c r="CI88" s="25" t="str">
        <f>IF(CG88&lt;RAM,ROUND(SUM(CH88:INDEX(Dawx,RAM-BeginnAlter))+INDEX(Dax,RAM-BeginnAlter+1)*INDEX(äwx,1),RundDx),"")</f>
        <v/>
      </c>
      <c r="CJ88" s="25" t="str">
        <f>IF(CG88&lt;RAM,ROUND(SUM(CI88:INDEX(Nawx,RAM-BeginnAlter))+INDEX(Dax,RAM-BeginnAlter+1)*INDEX(äwx,1),RundDx),"")</f>
        <v/>
      </c>
      <c r="CK88" s="24" t="str">
        <f t="shared" si="145"/>
        <v/>
      </c>
      <c r="CL88" s="25" t="str">
        <f>IF(CG88&lt;RAM,ROUND(v^($CG88+FaktorAlter)*$L88*$D88*0.5*($P88+$P89)*(VLOOKUP(TRUNC(0.5*($Q88+$Q89),0),Frauen!$AZ$9:$BD$95,5)+(0.5*($Q88+$Q89)-TRUNC(0.5*($Q88+$Q89),0))*(VLOOKUP(TRUNC(0.5*($Q88+$Q89)+1,0),Frauen!$AZ$9:$BD$95,5)-VLOOKUP(TRUNC(0.5*($Q88+$Q89),0),Frauen!$AZ$9:$BD$95,5))),RundDx),"")</f>
        <v/>
      </c>
      <c r="CM88" s="25" t="str">
        <f>IF(CG88&lt;RAM,SUM(CL88:INDEX(Diwx,RAM-BeginnAlter))+INDEX(Dix,RAM-BeginnAlter+1)*INDEX(äwx,1),"")</f>
        <v/>
      </c>
      <c r="CN88" s="24" t="str">
        <f t="shared" si="146"/>
        <v/>
      </c>
      <c r="CO88" s="86"/>
      <c r="CP88" s="35">
        <f t="shared" si="147"/>
        <v>144</v>
      </c>
      <c r="CQ88" s="25"/>
      <c r="CR88" s="25"/>
      <c r="CS88" s="24"/>
      <c r="CT88" s="86"/>
      <c r="CU88" s="35">
        <f t="shared" si="132"/>
        <v>96</v>
      </c>
      <c r="CV88" s="25" t="str">
        <f>IF($CU88&gt;=RAM,"",IF($CU88-CV$103&lt;BeginnAlter,"",ROUND(v^($CU88+FaktorAlter)*$L88*$D88*0.5*(VLOOKUP($CU88-CV$103,Frauen!$G$9:$J$102,4)+VLOOKUP($CU88-CV$103+1,Frauen!$G$9:$J$102,4))*0.5*(VLOOKUP($CU88-CV$103,Frauen!$AZ$9:$BD$102,5)+VLOOKUP($CU88-CV$103+1,Frauen!$AZ$9:$BD$102,5)),RundDx)))</f>
        <v/>
      </c>
      <c r="CW88" s="25" t="str">
        <f>IF($CU88&gt;=RAM,"",IF($CU88-CW$103&lt;BeginnAlter,"",ROUND(v^($CU88+FaktorAlter)*$L88*$D88*0.5*(VLOOKUP($CU88-CW$103,Frauen!$G$9:$J$102,4)+VLOOKUP($CU88-CW$103+1,Frauen!$G$9:$J$102,4))*0.5*(VLOOKUP($CU88-CW$103,Frauen!$AZ$9:$BD$102,5)+VLOOKUP($CU88-CW$103+1,Frauen!$AZ$9:$BD$102,5)),RundDx)))</f>
        <v/>
      </c>
      <c r="CX88" s="25" t="str">
        <f>IF($CU88&gt;=RAM,"",IF($CU88-CX$103&lt;BeginnAlter,"",ROUND(v^($CU88+FaktorAlter)*$L88*$D88*0.5*(VLOOKUP($CU88-CX$103,Frauen!$G$9:$J$102,4)+VLOOKUP($CU88-CX$103+1,Frauen!$G$9:$J$102,4))*0.5*(VLOOKUP($CU88-CX$103,Frauen!$AZ$9:$BD$102,5)+VLOOKUP($CU88-CX$103+1,Frauen!$AZ$9:$BD$102,5)),RundDx)))</f>
        <v/>
      </c>
      <c r="CY88" s="25" t="str">
        <f>IF($CU88&gt;=RAM,"",IF($CU88-CY$103&lt;BeginnAlter,"",ROUND(v^($CU88+FaktorAlter)*$L88*$D88*0.5*(VLOOKUP($CU88-CY$103,Frauen!$G$9:$J$102,4)+VLOOKUP($CU88-CY$103+1,Frauen!$G$9:$J$102,4))*0.5*(VLOOKUP($CU88-CY$103,Frauen!$AZ$9:$BD$102,5)+VLOOKUP($CU88-CY$103+1,Frauen!$AZ$9:$BD$102,5)),RundDx)))</f>
        <v/>
      </c>
      <c r="CZ88" s="25" t="str">
        <f>IF($CU88&gt;=RAM,"",IF($CU88-CZ$103&lt;BeginnAlter,"",ROUND(v^($CU88+FaktorAlter)*$L88*$D88*0.5*(VLOOKUP($CU88-CZ$103,Frauen!$G$9:$J$102,4)+VLOOKUP($CU88-CZ$103+1,Frauen!$G$9:$J$102,4))*0.5*(VLOOKUP($CU88-CZ$103,Frauen!$AZ$9:$BD$102,5)+VLOOKUP($CU88-CZ$103+1,Frauen!$AZ$9:$BD$102,5)),RundDx)))</f>
        <v/>
      </c>
      <c r="DA88" s="25" t="str">
        <f>IF($CU88&gt;=RAM,"",IF($CU88-DA$103&lt;BeginnAlter,"",ROUND(v^($CU88+FaktorAlter)*$L88*$D88*0.5*(VLOOKUP($CU88-DA$103,Frauen!$G$9:$J$102,4)+VLOOKUP($CU88-DA$103+1,Frauen!$G$9:$J$102,4))*0.5*(VLOOKUP($CU88-DA$103,Frauen!$AZ$9:$BD$102,5)+VLOOKUP($CU88-DA$103+1,Frauen!$AZ$9:$BD$102,5)),RundDx)))</f>
        <v/>
      </c>
      <c r="DB88" s="25" t="str">
        <f>IF($CU88&gt;=RAM,"",IF($CU88-DB$103&lt;BeginnAlter,"",ROUND(v^($CU88+FaktorAlter)*$L88*$D88*0.5*(VLOOKUP($CU88-DB$103,Frauen!$G$9:$J$102,4)+VLOOKUP($CU88-DB$103+1,Frauen!$G$9:$J$102,4))*0.5*(VLOOKUP($CU88-DB$103,Frauen!$AZ$9:$BD$102,5)+VLOOKUP($CU88-DB$103+1,Frauen!$AZ$9:$BD$102,5)),RundDx)))</f>
        <v/>
      </c>
      <c r="DC88" s="25" t="str">
        <f>IF($CU88&gt;=RAM,"",IF($CU88-DC$103&lt;BeginnAlter,"",ROUND(v^($CU88+FaktorAlter)*$L88*$D88*0.5*(VLOOKUP($CU88-DC$103,Frauen!$G$9:$J$102,4)+VLOOKUP($CU88-DC$103+1,Frauen!$G$9:$J$102,4))*0.5*(VLOOKUP($CU88-DC$103,Frauen!$AZ$9:$BD$102,5)+VLOOKUP($CU88-DC$103+1,Frauen!$AZ$9:$BD$102,5)),RundDx)))</f>
        <v/>
      </c>
      <c r="DD88" s="25" t="str">
        <f>IF($CU88&gt;=RAM,"",IF($CU88-DD$103&lt;BeginnAlter,"",ROUND(v^($CU88+FaktorAlter)*$L88*$D88*0.5*(VLOOKUP($CU88-DD$103,Frauen!$G$9:$J$102,4)+VLOOKUP($CU88-DD$103+1,Frauen!$G$9:$J$102,4))*0.5*(VLOOKUP($CU88-DD$103,Frauen!$AZ$9:$BD$102,5)+VLOOKUP($CU88-DD$103+1,Frauen!$AZ$9:$BD$102,5)),RundDx)))</f>
        <v/>
      </c>
      <c r="DE88" s="25" t="str">
        <f>IF($CU88&gt;=RAM,"",IF($CU88-DE$103&lt;BeginnAlter,"",ROUND(v^($CU88+FaktorAlter)*$L88*$D88*0.5*(VLOOKUP($CU88-DE$103,Frauen!$G$9:$J$102,4)+VLOOKUP($CU88-DE$103+1,Frauen!$G$9:$J$102,4))*0.5*(VLOOKUP($CU88-DE$103,Frauen!$AZ$9:$BD$102,5)+VLOOKUP($CU88-DE$103+1,Frauen!$AZ$9:$BD$102,5)),RundDx)))</f>
        <v/>
      </c>
      <c r="DF88" s="25" t="str">
        <f>IF($CU88&gt;=RAM,"",IF($CU88-DF$103&lt;BeginnAlter,"",ROUND(v^($CU88+FaktorAlter)*$L88*$D88*0.5*(VLOOKUP($CU88-DF$103,Frauen!$G$9:$J$102,4)+VLOOKUP($CU88-DF$103+1,Frauen!$G$9:$J$102,4))*0.5*(VLOOKUP($CU88-DF$103,Frauen!$AZ$9:$BD$102,5)+VLOOKUP($CU88-DF$103+1,Frauen!$AZ$9:$BD$102,5)),RundDx)))</f>
        <v/>
      </c>
      <c r="DG88" s="25" t="str">
        <f>IF($CU88&gt;=RAM,"",IF($CU88-DG$103&lt;BeginnAlter,"",ROUND(v^($CU88+FaktorAlter)*$L88*$D88*0.5*(VLOOKUP($CU88-DG$103,Frauen!$G$9:$J$102,4)+VLOOKUP($CU88-DG$103+1,Frauen!$G$9:$J$102,4))*0.5*(VLOOKUP($CU88-DG$103,Frauen!$AZ$9:$BD$102,5)+VLOOKUP($CU88-DG$103+1,Frauen!$AZ$9:$BD$102,5)),RundDx)))</f>
        <v/>
      </c>
      <c r="DH88" s="25" t="str">
        <f>IF($CU88&gt;=RAM,"",IF($CU88-DH$103&lt;BeginnAlter,"",ROUND(v^($CU88+FaktorAlter)*$L88*$D88*0.5*(VLOOKUP($CU88-DH$103,Frauen!$G$9:$J$102,4)+VLOOKUP($CU88-DH$103+1,Frauen!$G$9:$J$102,4))*0.5*(VLOOKUP($CU88-DH$103,Frauen!$AZ$9:$BD$102,5)+VLOOKUP($CU88-DH$103+1,Frauen!$AZ$9:$BD$102,5)),RundDx)))</f>
        <v/>
      </c>
      <c r="DI88" s="25" t="str">
        <f>IF($CU88&gt;=RAM,"",IF($CU88-DI$103&lt;BeginnAlter,"",ROUND(v^($CU88+FaktorAlter)*$L88*$D88*0.5*(VLOOKUP($CU88-DI$103,Frauen!$G$9:$J$102,4)+VLOOKUP($CU88-DI$103+1,Frauen!$G$9:$J$102,4))*0.5*(VLOOKUP($CU88-DI$103,Frauen!$AZ$9:$BD$102,5)+VLOOKUP($CU88-DI$103+1,Frauen!$AZ$9:$BD$102,5)),RundDx)))</f>
        <v/>
      </c>
      <c r="DJ88" s="25" t="str">
        <f>IF($CU88&gt;=RAM,"",IF($CU88-DJ$103&lt;BeginnAlter,"",ROUND(v^($CU88+FaktorAlter)*$L88*$D88*0.5*(VLOOKUP($CU88-DJ$103,Frauen!$G$9:$J$102,4)+VLOOKUP($CU88-DJ$103+1,Frauen!$G$9:$J$102,4))*0.5*(VLOOKUP($CU88-DJ$103,Frauen!$AZ$9:$BD$102,5)+VLOOKUP($CU88-DJ$103+1,Frauen!$AZ$9:$BD$102,5)),RundDx)))</f>
        <v/>
      </c>
      <c r="DK88" s="25" t="str">
        <f>IF($CU88&gt;=RAM,"",IF($CU88-DK$103&lt;BeginnAlter,"",ROUND(v^($CU88+FaktorAlter)*$L88*$D88*0.5*(VLOOKUP($CU88-DK$103,Frauen!$G$9:$J$102,4)+VLOOKUP($CU88-DK$103+1,Frauen!$G$9:$J$102,4))*0.5*(VLOOKUP($CU88-DK$103,Frauen!$AZ$9:$BD$102,5)+VLOOKUP($CU88-DK$103+1,Frauen!$AZ$9:$BD$102,5)),RundDx)))</f>
        <v/>
      </c>
      <c r="DL88" s="25" t="str">
        <f>IF($CU88&gt;=RAM,"",IF($CU88-DL$103&lt;BeginnAlter,"",ROUND(v^($CU88+FaktorAlter)*$L88*$D88*0.5*(VLOOKUP($CU88-DL$103,Frauen!$G$9:$J$102,4)+VLOOKUP($CU88-DL$103+1,Frauen!$G$9:$J$102,4))*0.5*(VLOOKUP($CU88-DL$103,Frauen!$AZ$9:$BD$102,5)+VLOOKUP($CU88-DL$103+1,Frauen!$AZ$9:$BD$102,5)),RundDx)))</f>
        <v/>
      </c>
      <c r="DM88" s="25" t="str">
        <f>IF($CU88&gt;=RAM,"",IF($CU88-DM$103&lt;BeginnAlter,"",ROUND(v^($CU88+FaktorAlter)*$L88*$D88*0.5*(VLOOKUP($CU88-DM$103,Frauen!$G$9:$J$102,4)+VLOOKUP($CU88-DM$103+1,Frauen!$G$9:$J$102,4))*0.5*(VLOOKUP($CU88-DM$103,Frauen!$AZ$9:$BD$102,5)+VLOOKUP($CU88-DM$103+1,Frauen!$AZ$9:$BD$102,5)),RundDx)))</f>
        <v/>
      </c>
      <c r="DN88" s="25" t="str">
        <f>IF($CU88&gt;=RAM,"",IF($CU88-DN$103&lt;BeginnAlter,"",ROUND(v^($CU88+FaktorAlter)*$L88*$D88*0.5*(VLOOKUP($CU88-DN$103,Frauen!$G$9:$J$102,4)+VLOOKUP($CU88-DN$103+1,Frauen!$G$9:$J$102,4))*0.5*(VLOOKUP($CU88-DN$103,Frauen!$AZ$9:$BD$102,5)+VLOOKUP($CU88-DN$103+1,Frauen!$AZ$9:$BD$102,5)),RundDx)))</f>
        <v/>
      </c>
      <c r="DO88" s="25" t="str">
        <f>IF($CU88&gt;=RAM,"",IF($CU88-DO$103&lt;BeginnAlter,"",ROUND(v^($CU88+FaktorAlter)*$L88*$D88*0.5*(VLOOKUP($CU88-DO$103,Frauen!$G$9:$J$102,4)+VLOOKUP($CU88-DO$103+1,Frauen!$G$9:$J$102,4))*0.5*(VLOOKUP($CU88-DO$103,Frauen!$AZ$9:$BD$102,5)+VLOOKUP($CU88-DO$103+1,Frauen!$AZ$9:$BD$102,5)),RundDx)))</f>
        <v/>
      </c>
      <c r="DP88" s="25" t="str">
        <f>IF($CU88&gt;=RAM,"",IF($CU88-DP$103&lt;BeginnAlter,"",ROUND(v^($CU88+FaktorAlter)*$L88*$D88*0.5*(VLOOKUP($CU88-DP$103,Frauen!$G$9:$J$102,4)+VLOOKUP($CU88-DP$103+1,Frauen!$G$9:$J$102,4))*0.5*(VLOOKUP($CU88-DP$103,Frauen!$AZ$9:$BD$102,5)+VLOOKUP($CU88-DP$103+1,Frauen!$AZ$9:$BD$102,5)),RundDx)))</f>
        <v/>
      </c>
      <c r="DQ88" s="25" t="str">
        <f>IF($CU88&gt;=RAM,"",IF($CU88-DQ$103&lt;BeginnAlter,"",ROUND(v^($CU88+FaktorAlter)*$L88*$D88*0.5*(VLOOKUP($CU88-DQ$103,Frauen!$G$9:$J$102,4)+VLOOKUP($CU88-DQ$103+1,Frauen!$G$9:$J$102,4))*0.5*(VLOOKUP($CU88-DQ$103,Frauen!$AZ$9:$BD$102,5)+VLOOKUP($CU88-DQ$103+1,Frauen!$AZ$9:$BD$102,5)),RundDx)))</f>
        <v/>
      </c>
      <c r="DR88" s="25" t="str">
        <f>IF($CU88&gt;=RAM,"",IF($CU88-DR$103&lt;BeginnAlter,"",ROUND(v^($CU88+FaktorAlter)*$L88*$D88*0.5*(VLOOKUP($CU88-DR$103,Frauen!$G$9:$J$102,4)+VLOOKUP($CU88-DR$103+1,Frauen!$G$9:$J$102,4))*0.5*(VLOOKUP($CU88-DR$103,Frauen!$AZ$9:$BD$102,5)+VLOOKUP($CU88-DR$103+1,Frauen!$AZ$9:$BD$102,5)),RundDx)))</f>
        <v/>
      </c>
      <c r="DS88" s="25" t="str">
        <f>IF($CU88&gt;=RAM,"",IF($CU88-DS$103&lt;BeginnAlter,"",ROUND(v^($CU88+FaktorAlter)*$L88*$D88*0.5*(VLOOKUP($CU88-DS$103,Frauen!$G$9:$J$102,4)+VLOOKUP($CU88-DS$103+1,Frauen!$G$9:$J$102,4))*0.5*(VLOOKUP($CU88-DS$103,Frauen!$AZ$9:$BD$102,5)+VLOOKUP($CU88-DS$103+1,Frauen!$AZ$9:$BD$102,5)),RundDx)))</f>
        <v/>
      </c>
      <c r="DT88" s="25" t="str">
        <f>IF($CU88&gt;=RAM,"",IF($CU88-DT$103&lt;BeginnAlter,"",ROUND(v^($CU88+FaktorAlter)*$L88*$D88*0.5*(VLOOKUP($CU88-DT$103,Frauen!$G$9:$J$102,4)+VLOOKUP($CU88-DT$103+1,Frauen!$G$9:$J$102,4))*0.5*(VLOOKUP($CU88-DT$103,Frauen!$AZ$9:$BD$102,5)+VLOOKUP($CU88-DT$103+1,Frauen!$AZ$9:$BD$102,5)),RundDx)))</f>
        <v/>
      </c>
      <c r="DU88" s="25" t="str">
        <f>IF($CU88&gt;=RAM,"",IF($CU88-DU$103&lt;BeginnAlter,"",ROUND(v^($CU88+FaktorAlter)*$L88*$D88*0.5*(VLOOKUP($CU88-DU$103,Frauen!$G$9:$J$102,4)+VLOOKUP($CU88-DU$103+1,Frauen!$G$9:$J$102,4))*0.5*(VLOOKUP($CU88-DU$103,Frauen!$AZ$9:$BD$102,5)+VLOOKUP($CU88-DU$103+1,Frauen!$AZ$9:$BD$102,5)),RundDx)))</f>
        <v/>
      </c>
      <c r="DV88" s="25" t="str">
        <f>IF($CU88&gt;=RAM,"",IF($CU88-DV$103&lt;BeginnAlter,"",ROUND(v^($CU88+FaktorAlter)*$L88*$D88*0.5*(VLOOKUP($CU88-DV$103,Frauen!$G$9:$J$102,4)+VLOOKUP($CU88-DV$103+1,Frauen!$G$9:$J$102,4))*0.5*(VLOOKUP($CU88-DV$103,Frauen!$AZ$9:$BD$102,5)+VLOOKUP($CU88-DV$103+1,Frauen!$AZ$9:$BD$102,5)),RundDx)))</f>
        <v/>
      </c>
      <c r="DW88" s="25" t="str">
        <f>IF($CU88&gt;=RAM,"",IF($CU88-DW$103&lt;BeginnAlter,"",ROUND(v^($CU88+FaktorAlter)*$L88*$D88*0.5*(VLOOKUP($CU88-DW$103,Frauen!$G$9:$J$102,4)+VLOOKUP($CU88-DW$103+1,Frauen!$G$9:$J$102,4))*0.5*(VLOOKUP($CU88-DW$103,Frauen!$AZ$9:$BD$102,5)+VLOOKUP($CU88-DW$103+1,Frauen!$AZ$9:$BD$102,5)),RundDx)))</f>
        <v/>
      </c>
      <c r="DX88" s="25" t="str">
        <f>IF($CU88&gt;=RAM,"",IF($CU88-DX$103&lt;BeginnAlter,"",ROUND(v^($CU88+FaktorAlter)*$L88*$D88*0.5*(VLOOKUP($CU88-DX$103,Frauen!$G$9:$J$102,4)+VLOOKUP($CU88-DX$103+1,Frauen!$G$9:$J$102,4))*0.5*(VLOOKUP($CU88-DX$103,Frauen!$AZ$9:$BD$102,5)+VLOOKUP($CU88-DX$103+1,Frauen!$AZ$9:$BD$102,5)),RundDx)))</f>
        <v/>
      </c>
      <c r="DY88" s="25" t="str">
        <f>IF($CU88&gt;=RAM,"",IF($CU88-DY$103&lt;BeginnAlter,"",ROUND(v^($CU88+FaktorAlter)*$L88*$D88*0.5*(VLOOKUP($CU88-DY$103,Frauen!$G$9:$J$102,4)+VLOOKUP($CU88-DY$103+1,Frauen!$G$9:$J$102,4))*0.5*(VLOOKUP($CU88-DY$103,Frauen!$AZ$9:$BD$102,5)+VLOOKUP($CU88-DY$103+1,Frauen!$AZ$9:$BD$102,5)),RundDx)))</f>
        <v/>
      </c>
      <c r="DZ88" s="25" t="str">
        <f>IF($CU88&gt;=RAM,"",IF($CU88-DZ$103&lt;BeginnAlter,"",ROUND(v^($CU88+FaktorAlter)*$L88*$D88*0.5*(VLOOKUP($CU88-DZ$103,Frauen!$G$9:$J$102,4)+VLOOKUP($CU88-DZ$103+1,Frauen!$G$9:$J$102,4))*0.5*(VLOOKUP($CU88-DZ$103,Frauen!$AZ$9:$BD$102,5)+VLOOKUP($CU88-DZ$103+1,Frauen!$AZ$9:$BD$102,5)),RundDx)))</f>
        <v/>
      </c>
      <c r="EA88" s="43" t="str">
        <f>IF($CU88&gt;=RAM,"",IF($CU88-EA$103&lt;BeginnAlter,"",ROUND((SUM(CV$56:CV88)+SUM(FN$9:FN$56))/VLOOKUP($CU88,$AH$9:$AI$102,2)/VLOOKUP($CU88-EA$103,Frauen!$G$9:$J$102,4),Rundäx)))</f>
        <v/>
      </c>
      <c r="EB88" s="43" t="str">
        <f>IF($CU88&gt;=RAM,"",IF($CU88-EB$103&lt;BeginnAlter,"",ROUND((SUM(CW$56:CW88)+SUM(FO$9:FO$56))/VLOOKUP($CU88,$AH$9:$AI$102,2)/VLOOKUP($CU88-EB$103,Frauen!$G$9:$J$102,4),Rundäx)))</f>
        <v/>
      </c>
      <c r="EC88" s="43" t="str">
        <f>IF($CU88&gt;=RAM,"",IF($CU88-EC$103&lt;BeginnAlter,"",ROUND((SUM(CX$56:CX88)+SUM(FP$9:FP$56))/VLOOKUP($CU88,$AH$9:$AI$102,2)/VLOOKUP($CU88-EC$103,Frauen!$G$9:$J$102,4),Rundäx)))</f>
        <v/>
      </c>
      <c r="ED88" s="43" t="str">
        <f>IF($CU88&gt;=RAM,"",IF($CU88-ED$103&lt;BeginnAlter,"",ROUND((SUM(CY$56:CY88)+SUM(FQ$9:FQ$56))/VLOOKUP($CU88,$AH$9:$AI$102,2)/VLOOKUP($CU88-ED$103,Frauen!$G$9:$J$102,4),Rundäx)))</f>
        <v/>
      </c>
      <c r="EE88" s="43" t="str">
        <f>IF($CU88&gt;=RAM,"",IF($CU88-EE$103&lt;BeginnAlter,"",ROUND((SUM(CZ$56:CZ88)+SUM(FR$9:FR$56))/VLOOKUP($CU88,$AH$9:$AI$102,2)/VLOOKUP($CU88-EE$103,Frauen!$G$9:$J$102,4),Rundäx)))</f>
        <v/>
      </c>
      <c r="EF88" s="43" t="str">
        <f>IF($CU88&gt;=RAM,"",IF($CU88-EF$103&lt;BeginnAlter,"",ROUND((SUM(DA$56:DA88)+SUM(FS$9:FS$56))/VLOOKUP($CU88,$AH$9:$AI$102,2)/VLOOKUP($CU88-EF$103,Frauen!$G$9:$J$102,4),Rundäx)))</f>
        <v/>
      </c>
      <c r="EG88" s="43" t="str">
        <f>IF($CU88&gt;=RAM,"",IF($CU88-EG$103&lt;BeginnAlter,"",ROUND((SUM(DB$56:DB88)+SUM(FT$9:FT$56))/VLOOKUP($CU88,$AH$9:$AI$102,2)/VLOOKUP($CU88-EG$103,Frauen!$G$9:$J$102,4),Rundäx)))</f>
        <v/>
      </c>
      <c r="EH88" s="43" t="str">
        <f>IF($CU88&gt;=RAM,"",IF($CU88-EH$103&lt;BeginnAlter,"",ROUND((SUM(DC$56:DC88)+SUM(FU$9:FU$56))/VLOOKUP($CU88,$AH$9:$AI$102,2)/VLOOKUP($CU88-EH$103,Frauen!$G$9:$J$102,4),Rundäx)))</f>
        <v/>
      </c>
      <c r="EI88" s="86"/>
      <c r="EJ88" s="35">
        <f t="shared" si="133"/>
        <v>96</v>
      </c>
      <c r="EK88" s="43" t="str">
        <f>IF($CU88&gt;=RAM,"",IF($CU88-EK$103&lt;BeginnAlter,"",ROUND((SUM(DD$56:DD88)+SUM(FV$9:FV$56))/VLOOKUP($CU88,$AH$9:$AI$102,2)/VLOOKUP($CU88-EK$103,Frauen!$G$9:$J$102,4),Rundäx)))</f>
        <v/>
      </c>
      <c r="EL88" s="43" t="str">
        <f>IF($CU88&gt;=RAM,"",IF($CU88-EL$103&lt;BeginnAlter,"",ROUND((SUM(DE$56:DE88)+SUM(FW$9:FW$56))/VLOOKUP($CU88,$AH$9:$AI$102,2)/VLOOKUP($CU88-EL$103,Frauen!$G$9:$J$102,4),Rundäx)))</f>
        <v/>
      </c>
      <c r="EM88" s="43" t="str">
        <f>IF($CU88&gt;=RAM,"",IF($CU88-EM$103&lt;BeginnAlter,"",ROUND((SUM(DF$56:DF88)+SUM(FX$9:FX$56))/VLOOKUP($CU88,$AH$9:$AI$102,2)/VLOOKUP($CU88-EM$103,Frauen!$G$9:$J$102,4),Rundäx)))</f>
        <v/>
      </c>
      <c r="EN88" s="43" t="str">
        <f>IF($CU88&gt;=RAM,"",IF($CU88-EN$103&lt;BeginnAlter,"",ROUND((SUM(DG$56:DG88)+SUM(FY$9:FY$56))/VLOOKUP($CU88,$AH$9:$AI$102,2)/VLOOKUP($CU88-EN$103,Frauen!$G$9:$J$102,4),Rundäx)))</f>
        <v/>
      </c>
      <c r="EO88" s="43" t="str">
        <f>IF($CU88&gt;=RAM,"",IF($CU88-EO$103&lt;BeginnAlter,"",ROUND((SUM(DH$56:DH88)+SUM(FZ$9:FZ$56))/VLOOKUP($CU88,$AH$9:$AI$102,2)/VLOOKUP($CU88-EO$103,Frauen!$G$9:$J$102,4),Rundäx)))</f>
        <v/>
      </c>
      <c r="EP88" s="43" t="str">
        <f>IF($CU88&gt;=RAM,"",IF($CU88-EP$103&lt;BeginnAlter,"",ROUND((SUM(DI$56:DI88)+SUM(GA$9:GA$56))/VLOOKUP($CU88,$AH$9:$AI$102,2)/VLOOKUP($CU88-EP$103,Frauen!$G$9:$J$102,4),Rundäx)))</f>
        <v/>
      </c>
      <c r="EQ88" s="43" t="str">
        <f>IF($CU88&gt;=RAM,"",IF($CU88-EQ$103&lt;BeginnAlter,"",ROUND((SUM(DJ$56:DJ88)+SUM(GB$9:GB$56))/VLOOKUP($CU88,$AH$9:$AI$102,2)/VLOOKUP($CU88-EQ$103,Frauen!$G$9:$J$102,4),Rundäx)))</f>
        <v/>
      </c>
      <c r="ER88" s="43" t="str">
        <f>IF($CU88&gt;=RAM,"",IF($CU88-ER$103&lt;BeginnAlter,"",ROUND((SUM(DK$56:DK88)+SUM(GC$9:GC$56))/VLOOKUP($CU88,$AH$9:$AI$102,2)/VLOOKUP($CU88-ER$103,Frauen!$G$9:$J$102,4),Rundäx)))</f>
        <v/>
      </c>
      <c r="ES88" s="86"/>
      <c r="ET88" s="35">
        <f t="shared" si="134"/>
        <v>96</v>
      </c>
      <c r="EU88" s="43" t="str">
        <f>IF($CU88&gt;=RAM,"",IF($CU88-EU$103&lt;BeginnAlter,"",ROUND((SUM(DL$56:DL88)+SUM(GD$9:GD$56))/VLOOKUP($CU88,$AH$9:$AI$102,2)/VLOOKUP($CU88-EU$103,Frauen!$G$9:$J$102,4),Rundäx)))</f>
        <v/>
      </c>
      <c r="EV88" s="43" t="str">
        <f>IF($CU88&gt;=RAM,"",IF($CU88-EV$103&lt;BeginnAlter,"",ROUND((SUM(DM$56:DM88)+SUM(GE$9:GE$56))/VLOOKUP($CU88,$AH$9:$AI$102,2)/VLOOKUP($CU88-EV$103,Frauen!$G$9:$J$102,4),Rundäx)))</f>
        <v/>
      </c>
      <c r="EW88" s="43" t="str">
        <f>IF($CU88&gt;=RAM,"",IF($CU88-EW$103&lt;BeginnAlter,"",ROUND((SUM(DN$56:DN88)+SUM(GF$9:GF$56))/VLOOKUP($CU88,$AH$9:$AI$102,2)/VLOOKUP($CU88-EW$103,Frauen!$G$9:$J$102,4),Rundäx)))</f>
        <v/>
      </c>
      <c r="EX88" s="43" t="str">
        <f>IF($CU88&gt;=RAM,"",IF($CU88-EX$103&lt;BeginnAlter,"",ROUND((SUM(DO$56:DO88)+SUM(GG$9:GG$56))/VLOOKUP($CU88,$AH$9:$AI$102,2)/VLOOKUP($CU88-EX$103,Frauen!$G$9:$J$102,4),Rundäx)))</f>
        <v/>
      </c>
      <c r="EY88" s="43" t="str">
        <f>IF($CU88&gt;=RAM,"",IF($CU88-EY$103&lt;BeginnAlter,"",ROUND((SUM(DP$56:DP88)+SUM(GH$9:GH$56))/VLOOKUP($CU88,$AH$9:$AI$102,2)/VLOOKUP($CU88-EY$103,Frauen!$G$9:$J$102,4),Rundäx)))</f>
        <v/>
      </c>
      <c r="EZ88" s="43" t="str">
        <f>IF($CU88&gt;=RAM,"",IF($CU88-EZ$103&lt;BeginnAlter,"",ROUND((SUM(DQ$56:DQ88)+SUM(GI$9:GI$56))/VLOOKUP($CU88,$AH$9:$AI$102,2)/VLOOKUP($CU88-EZ$103,Frauen!$G$9:$J$102,4),Rundäx)))</f>
        <v/>
      </c>
      <c r="FA88" s="43" t="str">
        <f>IF($CU88&gt;=RAM,"",IF($CU88-FA$103&lt;BeginnAlter,"",ROUND((SUM(DR$56:DR88)+SUM(GJ$9:GJ$56))/VLOOKUP($CU88,$AH$9:$AI$102,2)/VLOOKUP($CU88-FA$103,Frauen!$G$9:$J$102,4),Rundäx)))</f>
        <v/>
      </c>
      <c r="FB88" s="43" t="str">
        <f>IF($CU88&gt;=RAM,"",IF($CU88-FB$103&lt;BeginnAlter,"",ROUND((SUM(DS$56:DS88)+SUM(GK$9:GK$56))/VLOOKUP($CU88,$AH$9:$AI$102,2)/VLOOKUP($CU88-FB$103,Frauen!$G$9:$J$102,4),Rundäx)))</f>
        <v/>
      </c>
      <c r="FC88" s="86"/>
      <c r="FD88" s="35">
        <f t="shared" si="135"/>
        <v>96</v>
      </c>
      <c r="FE88" s="43" t="str">
        <f>IF($CU88&gt;=RAM,"",IF($CU88-FE$103&lt;BeginnAlter,"",ROUND((SUM(DT$56:DT88)+SUM(GL$9:GL$56))/VLOOKUP($CU88,$AH$9:$AI$102,2)/VLOOKUP($CU88-FE$103,Frauen!$G$9:$J$102,4),Rundäx)))</f>
        <v/>
      </c>
      <c r="FF88" s="43" t="str">
        <f>IF($CU88&gt;=RAM,"",IF($CU88-FF$103&lt;BeginnAlter,"",ROUND((SUM(DU$56:DU88)+SUM(GM$9:GM$56))/VLOOKUP($CU88,$AH$9:$AI$102,2)/VLOOKUP($CU88-FF$103,Frauen!$G$9:$J$102,4),Rundäx)))</f>
        <v/>
      </c>
      <c r="FG88" s="43" t="str">
        <f>IF($CU88&gt;=RAM,"",IF($CU88-FG$103&lt;BeginnAlter,"",ROUND((SUM(DV$56:DV88)+SUM(GN$9:GN$56))/VLOOKUP($CU88,$AH$9:$AI$102,2)/VLOOKUP($CU88-FG$103,Frauen!$G$9:$J$102,4),Rundäx)))</f>
        <v/>
      </c>
      <c r="FH88" s="43" t="str">
        <f>IF($CU88&gt;=RAM,"",IF($CU88-FH$103&lt;BeginnAlter,"",ROUND((SUM(DW$56:DW88)+SUM(GO$9:GO$56))/VLOOKUP($CU88,$AH$9:$AI$102,2)/VLOOKUP($CU88-FH$103,Frauen!$G$9:$J$102,4),Rundäx)))</f>
        <v/>
      </c>
      <c r="FI88" s="43" t="str">
        <f>IF($CU88&gt;=RAM,"",IF($CU88-FI$103&lt;BeginnAlter,"",ROUND((SUM(DX$56:DX88)+SUM(GP$9:GP$56))/VLOOKUP($CU88,$AH$9:$AI$102,2)/VLOOKUP($CU88-FI$103,Frauen!$G$9:$J$102,4),Rundäx)))</f>
        <v/>
      </c>
      <c r="FJ88" s="43" t="str">
        <f>IF($CU88&gt;=RAM,"",IF($CU88-FJ$103&lt;BeginnAlter,"",ROUND((SUM(DY$56:DY88)+SUM(GQ$9:GQ$56))/VLOOKUP($CU88,$AH$9:$AI$102,2)/VLOOKUP($CU88-FJ$103,Frauen!$G$9:$J$102,4),Rundäx)))</f>
        <v/>
      </c>
      <c r="FK88" s="43" t="str">
        <f>IF($CU88&gt;=RAM,"",IF($CU88-FK$103&lt;BeginnAlter,"",ROUND((SUM(DZ$56:DZ88)+SUM(GR$9:GR$56))/VLOOKUP($CU88,$AH$9:$AI$102,2)/VLOOKUP($CU88-FK$103,Frauen!$G$9:$J$102,4),Rundäx)))</f>
        <v/>
      </c>
      <c r="FL88" s="86"/>
      <c r="FM88" s="35">
        <f t="shared" si="136"/>
        <v>144</v>
      </c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25"/>
      <c r="GM88" s="25"/>
      <c r="GN88" s="25"/>
      <c r="GO88" s="25"/>
      <c r="GP88" s="25"/>
      <c r="GQ88" s="25"/>
      <c r="GR88" s="25"/>
      <c r="GS88" s="24"/>
      <c r="GT88" s="24"/>
      <c r="GU88" s="24" t="str">
        <f>IF(FM88&gt;=RAM," ",#REF!/$AI88/Frauen!$J76)</f>
        <v xml:space="preserve"> </v>
      </c>
      <c r="GV88" s="24" t="str">
        <f>IF(FM88&gt;=RAM," ",#REF!/$AI88/Frauen!$J79)</f>
        <v xml:space="preserve"> </v>
      </c>
      <c r="GW88" s="24" t="str">
        <f>IF(FM88&gt;=RAM," ",#REF!/$AI88/Frauen!$J82)</f>
        <v xml:space="preserve"> </v>
      </c>
      <c r="GX88" s="24" t="str">
        <f>IF(FM88&gt;=RAM," ",#REF!/$AI88/Frauen!$J85)</f>
        <v xml:space="preserve"> </v>
      </c>
      <c r="GY88" s="24" t="str">
        <f>IF(FM88&gt;=RAM," ",#REF!/$AI88/Frauen!$J88)</f>
        <v xml:space="preserve"> </v>
      </c>
      <c r="GZ88" s="24" t="str">
        <f>IF(FM88&gt;=RAM," ",#REF!/$AI88/Frauen!$J91)</f>
        <v xml:space="preserve"> </v>
      </c>
      <c r="HA88" s="86"/>
      <c r="HB88" s="35">
        <f t="shared" si="137"/>
        <v>144</v>
      </c>
      <c r="HC88" s="24"/>
      <c r="HD88" s="24"/>
      <c r="HE88" s="24"/>
      <c r="HF88" s="24"/>
      <c r="HG88" s="24"/>
      <c r="HH88" s="24"/>
      <c r="HI88" s="24"/>
      <c r="HJ88" s="24"/>
      <c r="HK88" s="86"/>
      <c r="HL88" s="35">
        <f t="shared" si="138"/>
        <v>144</v>
      </c>
      <c r="HM88" s="24"/>
      <c r="HN88" s="24"/>
      <c r="HO88" s="24"/>
      <c r="HP88" s="24"/>
      <c r="HQ88" s="24"/>
      <c r="HR88" s="24"/>
      <c r="HS88" s="24"/>
      <c r="HT88" s="24"/>
      <c r="HU88" s="86"/>
      <c r="HV88" s="35">
        <f t="shared" si="139"/>
        <v>144</v>
      </c>
      <c r="HW88" s="24"/>
      <c r="HX88" s="24"/>
      <c r="HY88" s="24"/>
      <c r="HZ88" s="24"/>
      <c r="IA88" s="24"/>
      <c r="IB88" s="24"/>
      <c r="IC88" s="24"/>
      <c r="ID88" s="89"/>
      <c r="IE88" s="35">
        <f t="shared" si="140"/>
        <v>96</v>
      </c>
      <c r="IF88" s="25" t="str">
        <f t="shared" si="112"/>
        <v/>
      </c>
      <c r="IG88" s="25" t="str">
        <f>IF($IE88&lt;RAM,IF(S89&lt;=RAK,ROUND(SUM(IF88:INDEX(Dakx,RAM-BeginnAlter))+INDEX(Dax,RAM-BeginnAlter+1)*INDEX(äkx,1),RundDx),0),"")</f>
        <v/>
      </c>
      <c r="IH88" s="25" t="str">
        <f>IF($IE88&lt;RAM,IF(S89&lt;=RAK,ROUND(SUM(IG88:INDEX(Nakx,RAM-BeginnAlter))+INDEX(Dax,RAM-BeginnAlter+1)*INDEX(äkx,1),RundDx),0),"")</f>
        <v/>
      </c>
      <c r="II88" s="24" t="str">
        <f t="shared" si="113"/>
        <v/>
      </c>
      <c r="IJ88" s="25" t="str">
        <f t="shared" si="114"/>
        <v/>
      </c>
      <c r="IK88" s="25" t="str">
        <f>IF($IE88&lt;RAM,IF(S89&lt;=RAK,SUM(IJ88:INDEX(Dikx,RAM-BeginnAlter))+INDEX(Dix,RAM-BeginnAlter+1)*INDEX(äkx,1),0),"")</f>
        <v/>
      </c>
      <c r="IL88" s="24" t="str">
        <f t="shared" si="115"/>
        <v/>
      </c>
      <c r="IM88" s="86"/>
      <c r="IN88" s="35">
        <f t="shared" si="141"/>
        <v>144</v>
      </c>
      <c r="IO88" s="25"/>
      <c r="IP88" s="25"/>
      <c r="IQ88" s="24"/>
      <c r="IR88" s="86"/>
    </row>
    <row r="89" spans="1:252" ht="15.75" customHeight="1" x14ac:dyDescent="0.25">
      <c r="A89" s="35">
        <f t="shared" si="120"/>
        <v>97</v>
      </c>
      <c r="B89" s="77"/>
      <c r="C89" s="77"/>
      <c r="D89" s="77"/>
      <c r="E89" s="77">
        <v>0.42323485420614471</v>
      </c>
      <c r="F89" s="86"/>
      <c r="G89" s="35">
        <f t="shared" si="121"/>
        <v>97</v>
      </c>
      <c r="H89" s="25" t="str">
        <f t="shared" si="116"/>
        <v/>
      </c>
      <c r="I89" s="25" t="str">
        <f t="shared" si="117"/>
        <v/>
      </c>
      <c r="J89" s="25">
        <f t="shared" si="118"/>
        <v>1939</v>
      </c>
      <c r="K89" s="30">
        <f>IF(J89&gt;0,ROUND(SUM(J89:J$102)/J89-0.5,Rundex),"")</f>
        <v>1.6</v>
      </c>
      <c r="L89" s="25">
        <f t="shared" si="82"/>
        <v>1939</v>
      </c>
      <c r="M89" s="30">
        <f>IF(L89&gt;0,ROUND(SUM(L89:L$102)/L89-0.5,Rundex),"")</f>
        <v>1.6</v>
      </c>
      <c r="N89" s="86"/>
      <c r="O89" s="35">
        <f t="shared" si="122"/>
        <v>97</v>
      </c>
      <c r="P89" s="43">
        <v>0.22270535543486059</v>
      </c>
      <c r="Q89" s="78">
        <v>89.973385088828962</v>
      </c>
      <c r="R89" s="43"/>
      <c r="S89" s="78"/>
      <c r="T89" s="15">
        <v>0.42323485420614471</v>
      </c>
      <c r="U89" s="11">
        <f t="shared" si="119"/>
        <v>1470</v>
      </c>
      <c r="V89" s="30">
        <f>IF(U89&gt;0,ROUND(SUM(U89:U$102)/U89-0.5,Rundex),"")</f>
        <v>1.6</v>
      </c>
      <c r="W89" s="86"/>
      <c r="X89" s="35">
        <f t="shared" si="123"/>
        <v>97</v>
      </c>
      <c r="Y89" s="25" t="str">
        <f t="shared" si="83"/>
        <v xml:space="preserve"> </v>
      </c>
      <c r="Z89" s="25" t="str">
        <f>IF($X89&lt;RAM,SUM(Y89:INDEX(Dax,RAM-BeginnAlter))," ")</f>
        <v xml:space="preserve"> </v>
      </c>
      <c r="AA89" s="25" t="str">
        <f t="shared" si="84"/>
        <v xml:space="preserve"> </v>
      </c>
      <c r="AB89" s="25" t="str">
        <f>IF($X89&lt;RAM,SUM(AA89:INDEX(Cax,RAM-BeginnAlter))," ")</f>
        <v xml:space="preserve"> </v>
      </c>
      <c r="AC89" s="25" t="str">
        <f t="shared" si="85"/>
        <v xml:space="preserve"> </v>
      </c>
      <c r="AD89" s="25" t="str">
        <f>IF($X89&lt;RAM,SUM(AC89:INDEX(Caix,RAM-BeginnAlter))," ")</f>
        <v xml:space="preserve"> </v>
      </c>
      <c r="AE89" s="24" t="str">
        <f t="shared" si="86"/>
        <v xml:space="preserve"> </v>
      </c>
      <c r="AF89" s="24" t="str">
        <f t="shared" si="87"/>
        <v xml:space="preserve"> </v>
      </c>
      <c r="AG89" s="86"/>
      <c r="AH89" s="35">
        <f t="shared" si="124"/>
        <v>97</v>
      </c>
      <c r="AI89" s="25" t="str">
        <f t="shared" si="88"/>
        <v xml:space="preserve"> </v>
      </c>
      <c r="AJ89" s="25" t="str">
        <f>IF($AH89&gt;RAM," ",IF($AH89&lt;RAM,SUM(AI89:INDEX(Dix,RAM-BeginnAlter))+INDEX(Nx,RAM-BeginnAlter+1),INDEX(Nx,RAM-BeginnAlter+1)))</f>
        <v xml:space="preserve"> </v>
      </c>
      <c r="AK89" s="25" t="str">
        <f>IF($AH89&lt;RAM,SUM(AI89:INDEX(Dix,RAM-BeginnAlter))," ")</f>
        <v xml:space="preserve"> </v>
      </c>
      <c r="AL89" s="24" t="str">
        <f t="shared" si="89"/>
        <v xml:space="preserve"> </v>
      </c>
      <c r="AM89" s="24" t="str">
        <f t="shared" si="90"/>
        <v xml:space="preserve"> </v>
      </c>
      <c r="AN89" s="24" t="str">
        <f t="shared" si="91"/>
        <v xml:space="preserve"> </v>
      </c>
      <c r="AO89" s="24" t="str">
        <f t="shared" si="92"/>
        <v xml:space="preserve"> </v>
      </c>
      <c r="AP89" s="86"/>
      <c r="AQ89" s="35">
        <f t="shared" si="125"/>
        <v>97</v>
      </c>
      <c r="AR89" s="25">
        <f t="shared" si="93"/>
        <v>224</v>
      </c>
      <c r="AS89" s="25">
        <f>SUM(AR89:AR$94)</f>
        <v>461</v>
      </c>
      <c r="AT89" s="25" t="str">
        <f>IF($AQ89&lt;RAM,SUM(AR89:INDEX(Dx,RAM-BeginnAlter))," ")</f>
        <v xml:space="preserve"> </v>
      </c>
      <c r="AU89" s="24">
        <f t="shared" si="94"/>
        <v>2.0579999999999998</v>
      </c>
      <c r="AV89" s="24">
        <f t="shared" si="95"/>
        <v>1.6</v>
      </c>
      <c r="AW89" s="24" t="str">
        <f t="shared" si="96"/>
        <v xml:space="preserve"> </v>
      </c>
      <c r="AX89" s="24" t="str">
        <f t="shared" si="97"/>
        <v xml:space="preserve"> </v>
      </c>
      <c r="AY89" s="86"/>
      <c r="AZ89" s="35">
        <f t="shared" si="126"/>
        <v>97</v>
      </c>
      <c r="BA89" s="25">
        <f t="shared" si="98"/>
        <v>170</v>
      </c>
      <c r="BB89" s="25">
        <f>SUM(BA89:BA$94)</f>
        <v>349</v>
      </c>
      <c r="BC89" s="24">
        <f t="shared" si="99"/>
        <v>2.0529999999999999</v>
      </c>
      <c r="BD89" s="24">
        <f t="shared" si="100"/>
        <v>1.595</v>
      </c>
      <c r="BE89" s="86"/>
      <c r="BF89" s="35">
        <f t="shared" si="127"/>
        <v>80</v>
      </c>
      <c r="BG89" s="24" t="str">
        <f t="shared" si="101"/>
        <v/>
      </c>
      <c r="BH89" s="24" t="str">
        <f t="shared" si="102"/>
        <v/>
      </c>
      <c r="BI89" s="86"/>
      <c r="BJ89" s="35">
        <f t="shared" si="128"/>
        <v>97</v>
      </c>
      <c r="BK89" s="25" t="str">
        <f t="shared" si="103"/>
        <v xml:space="preserve"> </v>
      </c>
      <c r="BL89" s="25" t="str">
        <f>IF(BJ89&lt;RAM,SUM(BK89:INDEX(Daix,RAM-BeginnAlter))," ")</f>
        <v xml:space="preserve"> </v>
      </c>
      <c r="BM89" s="25" t="str">
        <f>IF(BJ89&lt;RAM,SUM(BL89:INDEX(Naix,RAM-BeginnAlter))," ")</f>
        <v xml:space="preserve"> </v>
      </c>
      <c r="BN89" s="24" t="str">
        <f t="shared" si="104"/>
        <v xml:space="preserve"> </v>
      </c>
      <c r="BO89" s="24" t="str">
        <f t="shared" si="105"/>
        <v xml:space="preserve"> </v>
      </c>
      <c r="BP89" s="86"/>
      <c r="BQ89" s="35">
        <f t="shared" si="129"/>
        <v>97</v>
      </c>
      <c r="BR89" s="25" t="str">
        <f t="shared" si="142"/>
        <v xml:space="preserve"> </v>
      </c>
      <c r="BS89" s="25" t="str">
        <f>IF(BQ89&lt;RAM,SUM(BR89:INDEX(Daixs,RAM-BeginnAlter))," ")</f>
        <v xml:space="preserve"> </v>
      </c>
      <c r="BT89" s="25" t="str">
        <f>IF(BQ89&lt;RAM,SUM(BS89:INDEX(Naixs,RAM-BeginnAlter))," ")</f>
        <v xml:space="preserve"> </v>
      </c>
      <c r="BU89" s="24" t="str">
        <f t="shared" si="143"/>
        <v xml:space="preserve"> </v>
      </c>
      <c r="BV89" s="24" t="str">
        <f t="shared" si="144"/>
        <v xml:space="preserve"> </v>
      </c>
      <c r="BW89" s="86"/>
      <c r="BX89" s="35">
        <f t="shared" si="130"/>
        <v>97</v>
      </c>
      <c r="BY89" s="10" t="str">
        <f t="shared" si="106"/>
        <v/>
      </c>
      <c r="BZ89" s="11" t="str">
        <f t="shared" si="107"/>
        <v/>
      </c>
      <c r="CA89" s="25" t="str">
        <f>IF(S90&lt;=RAK,IF($BX89&lt;RAM,SUM(BZ89:INDEX(Dazx,RAM-BeginnAlter)),""),"")</f>
        <v/>
      </c>
      <c r="CB89" s="24" t="str">
        <f t="shared" si="108"/>
        <v/>
      </c>
      <c r="CC89" s="25">
        <f t="shared" si="109"/>
        <v>0</v>
      </c>
      <c r="CD89" s="24">
        <f t="shared" si="110"/>
        <v>0</v>
      </c>
      <c r="CE89" s="24" t="str">
        <f t="shared" si="111"/>
        <v/>
      </c>
      <c r="CF89" s="86"/>
      <c r="CG89" s="35">
        <f t="shared" si="131"/>
        <v>97</v>
      </c>
      <c r="CH89" s="25" t="str">
        <f>IF(CG89&lt;RAM,ROUND(v^($CG89+FaktorAlter)*$H89*($B89*0.5*($P89+$P90)*(VLOOKUP(TRUNC(0.5*($Q89+$Q90),0),Frauen!$AZ$9:$BD$95,5)+(0.5*($Q89+$Q90)-TRUNC(0.5*($Q89+$Q90),0))*(VLOOKUP(TRUNC(0.5*($Q89+$Q90)+1,0),Frauen!$AZ$9:$BD$95,5)-VLOOKUP(TRUNC(0.5*($Q89+$Q90),0),Frauen!$AZ$9:$BD$95,5)))+$C89*0.5*($CN89+$CN90)),RundDx),"")</f>
        <v/>
      </c>
      <c r="CI89" s="25" t="str">
        <f>IF(CG89&lt;RAM,ROUND(SUM(CH89:INDEX(Dawx,RAM-BeginnAlter))+INDEX(Dax,RAM-BeginnAlter+1)*INDEX(äwx,1),RundDx),"")</f>
        <v/>
      </c>
      <c r="CJ89" s="25" t="str">
        <f>IF(CG89&lt;RAM,ROUND(SUM(CI89:INDEX(Nawx,RAM-BeginnAlter))+INDEX(Dax,RAM-BeginnAlter+1)*INDEX(äwx,1),RundDx),"")</f>
        <v/>
      </c>
      <c r="CK89" s="24" t="str">
        <f t="shared" si="145"/>
        <v/>
      </c>
      <c r="CL89" s="25" t="str">
        <f>IF(CG89&lt;RAM,ROUND(v^($CG89+FaktorAlter)*$L89*$D89*0.5*($P89+$P90)*(VLOOKUP(TRUNC(0.5*($Q89+$Q90),0),Frauen!$AZ$9:$BD$95,5)+(0.5*($Q89+$Q90)-TRUNC(0.5*($Q89+$Q90),0))*(VLOOKUP(TRUNC(0.5*($Q89+$Q90)+1,0),Frauen!$AZ$9:$BD$95,5)-VLOOKUP(TRUNC(0.5*($Q89+$Q90),0),Frauen!$AZ$9:$BD$95,5))),RundDx),"")</f>
        <v/>
      </c>
      <c r="CM89" s="25" t="str">
        <f>IF(CG89&lt;RAM,SUM(CL89:INDEX(Diwx,RAM-BeginnAlter))+INDEX(Dix,RAM-BeginnAlter+1)*INDEX(äwx,1),"")</f>
        <v/>
      </c>
      <c r="CN89" s="24" t="str">
        <f t="shared" si="146"/>
        <v/>
      </c>
      <c r="CO89" s="86"/>
      <c r="CP89" s="35">
        <f t="shared" si="147"/>
        <v>145</v>
      </c>
      <c r="CQ89" s="25"/>
      <c r="CR89" s="25"/>
      <c r="CS89" s="24"/>
      <c r="CT89" s="86"/>
      <c r="CU89" s="35">
        <f t="shared" si="132"/>
        <v>97</v>
      </c>
      <c r="CV89" s="25" t="str">
        <f>IF($CU89&gt;=RAM,"",IF($CU89-CV$103&lt;BeginnAlter,"",ROUND(v^($CU89+FaktorAlter)*$L89*$D89*0.5*(VLOOKUP($CU89-CV$103,Frauen!$G$9:$J$102,4)+VLOOKUP($CU89-CV$103+1,Frauen!$G$9:$J$102,4))*0.5*(VLOOKUP($CU89-CV$103,Frauen!$AZ$9:$BD$102,5)+VLOOKUP($CU89-CV$103+1,Frauen!$AZ$9:$BD$102,5)),RundDx)))</f>
        <v/>
      </c>
      <c r="CW89" s="25" t="str">
        <f>IF($CU89&gt;=RAM,"",IF($CU89-CW$103&lt;BeginnAlter,"",ROUND(v^($CU89+FaktorAlter)*$L89*$D89*0.5*(VLOOKUP($CU89-CW$103,Frauen!$G$9:$J$102,4)+VLOOKUP($CU89-CW$103+1,Frauen!$G$9:$J$102,4))*0.5*(VLOOKUP($CU89-CW$103,Frauen!$AZ$9:$BD$102,5)+VLOOKUP($CU89-CW$103+1,Frauen!$AZ$9:$BD$102,5)),RundDx)))</f>
        <v/>
      </c>
      <c r="CX89" s="25" t="str">
        <f>IF($CU89&gt;=RAM,"",IF($CU89-CX$103&lt;BeginnAlter,"",ROUND(v^($CU89+FaktorAlter)*$L89*$D89*0.5*(VLOOKUP($CU89-CX$103,Frauen!$G$9:$J$102,4)+VLOOKUP($CU89-CX$103+1,Frauen!$G$9:$J$102,4))*0.5*(VLOOKUP($CU89-CX$103,Frauen!$AZ$9:$BD$102,5)+VLOOKUP($CU89-CX$103+1,Frauen!$AZ$9:$BD$102,5)),RundDx)))</f>
        <v/>
      </c>
      <c r="CY89" s="25" t="str">
        <f>IF($CU89&gt;=RAM,"",IF($CU89-CY$103&lt;BeginnAlter,"",ROUND(v^($CU89+FaktorAlter)*$L89*$D89*0.5*(VLOOKUP($CU89-CY$103,Frauen!$G$9:$J$102,4)+VLOOKUP($CU89-CY$103+1,Frauen!$G$9:$J$102,4))*0.5*(VLOOKUP($CU89-CY$103,Frauen!$AZ$9:$BD$102,5)+VLOOKUP($CU89-CY$103+1,Frauen!$AZ$9:$BD$102,5)),RundDx)))</f>
        <v/>
      </c>
      <c r="CZ89" s="25" t="str">
        <f>IF($CU89&gt;=RAM,"",IF($CU89-CZ$103&lt;BeginnAlter,"",ROUND(v^($CU89+FaktorAlter)*$L89*$D89*0.5*(VLOOKUP($CU89-CZ$103,Frauen!$G$9:$J$102,4)+VLOOKUP($CU89-CZ$103+1,Frauen!$G$9:$J$102,4))*0.5*(VLOOKUP($CU89-CZ$103,Frauen!$AZ$9:$BD$102,5)+VLOOKUP($CU89-CZ$103+1,Frauen!$AZ$9:$BD$102,5)),RundDx)))</f>
        <v/>
      </c>
      <c r="DA89" s="25" t="str">
        <f>IF($CU89&gt;=RAM,"",IF($CU89-DA$103&lt;BeginnAlter,"",ROUND(v^($CU89+FaktorAlter)*$L89*$D89*0.5*(VLOOKUP($CU89-DA$103,Frauen!$G$9:$J$102,4)+VLOOKUP($CU89-DA$103+1,Frauen!$G$9:$J$102,4))*0.5*(VLOOKUP($CU89-DA$103,Frauen!$AZ$9:$BD$102,5)+VLOOKUP($CU89-DA$103+1,Frauen!$AZ$9:$BD$102,5)),RundDx)))</f>
        <v/>
      </c>
      <c r="DB89" s="25" t="str">
        <f>IF($CU89&gt;=RAM,"",IF($CU89-DB$103&lt;BeginnAlter,"",ROUND(v^($CU89+FaktorAlter)*$L89*$D89*0.5*(VLOOKUP($CU89-DB$103,Frauen!$G$9:$J$102,4)+VLOOKUP($CU89-DB$103+1,Frauen!$G$9:$J$102,4))*0.5*(VLOOKUP($CU89-DB$103,Frauen!$AZ$9:$BD$102,5)+VLOOKUP($CU89-DB$103+1,Frauen!$AZ$9:$BD$102,5)),RundDx)))</f>
        <v/>
      </c>
      <c r="DC89" s="25" t="str">
        <f>IF($CU89&gt;=RAM,"",IF($CU89-DC$103&lt;BeginnAlter,"",ROUND(v^($CU89+FaktorAlter)*$L89*$D89*0.5*(VLOOKUP($CU89-DC$103,Frauen!$G$9:$J$102,4)+VLOOKUP($CU89-DC$103+1,Frauen!$G$9:$J$102,4))*0.5*(VLOOKUP($CU89-DC$103,Frauen!$AZ$9:$BD$102,5)+VLOOKUP($CU89-DC$103+1,Frauen!$AZ$9:$BD$102,5)),RundDx)))</f>
        <v/>
      </c>
      <c r="DD89" s="25" t="str">
        <f>IF($CU89&gt;=RAM,"",IF($CU89-DD$103&lt;BeginnAlter,"",ROUND(v^($CU89+FaktorAlter)*$L89*$D89*0.5*(VLOOKUP($CU89-DD$103,Frauen!$G$9:$J$102,4)+VLOOKUP($CU89-DD$103+1,Frauen!$G$9:$J$102,4))*0.5*(VLOOKUP($CU89-DD$103,Frauen!$AZ$9:$BD$102,5)+VLOOKUP($CU89-DD$103+1,Frauen!$AZ$9:$BD$102,5)),RundDx)))</f>
        <v/>
      </c>
      <c r="DE89" s="25" t="str">
        <f>IF($CU89&gt;=RAM,"",IF($CU89-DE$103&lt;BeginnAlter,"",ROUND(v^($CU89+FaktorAlter)*$L89*$D89*0.5*(VLOOKUP($CU89-DE$103,Frauen!$G$9:$J$102,4)+VLOOKUP($CU89-DE$103+1,Frauen!$G$9:$J$102,4))*0.5*(VLOOKUP($CU89-DE$103,Frauen!$AZ$9:$BD$102,5)+VLOOKUP($CU89-DE$103+1,Frauen!$AZ$9:$BD$102,5)),RundDx)))</f>
        <v/>
      </c>
      <c r="DF89" s="25" t="str">
        <f>IF($CU89&gt;=RAM,"",IF($CU89-DF$103&lt;BeginnAlter,"",ROUND(v^($CU89+FaktorAlter)*$L89*$D89*0.5*(VLOOKUP($CU89-DF$103,Frauen!$G$9:$J$102,4)+VLOOKUP($CU89-DF$103+1,Frauen!$G$9:$J$102,4))*0.5*(VLOOKUP($CU89-DF$103,Frauen!$AZ$9:$BD$102,5)+VLOOKUP($CU89-DF$103+1,Frauen!$AZ$9:$BD$102,5)),RundDx)))</f>
        <v/>
      </c>
      <c r="DG89" s="25" t="str">
        <f>IF($CU89&gt;=RAM,"",IF($CU89-DG$103&lt;BeginnAlter,"",ROUND(v^($CU89+FaktorAlter)*$L89*$D89*0.5*(VLOOKUP($CU89-DG$103,Frauen!$G$9:$J$102,4)+VLOOKUP($CU89-DG$103+1,Frauen!$G$9:$J$102,4))*0.5*(VLOOKUP($CU89-DG$103,Frauen!$AZ$9:$BD$102,5)+VLOOKUP($CU89-DG$103+1,Frauen!$AZ$9:$BD$102,5)),RundDx)))</f>
        <v/>
      </c>
      <c r="DH89" s="25" t="str">
        <f>IF($CU89&gt;=RAM,"",IF($CU89-DH$103&lt;BeginnAlter,"",ROUND(v^($CU89+FaktorAlter)*$L89*$D89*0.5*(VLOOKUP($CU89-DH$103,Frauen!$G$9:$J$102,4)+VLOOKUP($CU89-DH$103+1,Frauen!$G$9:$J$102,4))*0.5*(VLOOKUP($CU89-DH$103,Frauen!$AZ$9:$BD$102,5)+VLOOKUP($CU89-DH$103+1,Frauen!$AZ$9:$BD$102,5)),RundDx)))</f>
        <v/>
      </c>
      <c r="DI89" s="25" t="str">
        <f>IF($CU89&gt;=RAM,"",IF($CU89-DI$103&lt;BeginnAlter,"",ROUND(v^($CU89+FaktorAlter)*$L89*$D89*0.5*(VLOOKUP($CU89-DI$103,Frauen!$G$9:$J$102,4)+VLOOKUP($CU89-DI$103+1,Frauen!$G$9:$J$102,4))*0.5*(VLOOKUP($CU89-DI$103,Frauen!$AZ$9:$BD$102,5)+VLOOKUP($CU89-DI$103+1,Frauen!$AZ$9:$BD$102,5)),RundDx)))</f>
        <v/>
      </c>
      <c r="DJ89" s="25" t="str">
        <f>IF($CU89&gt;=RAM,"",IF($CU89-DJ$103&lt;BeginnAlter,"",ROUND(v^($CU89+FaktorAlter)*$L89*$D89*0.5*(VLOOKUP($CU89-DJ$103,Frauen!$G$9:$J$102,4)+VLOOKUP($CU89-DJ$103+1,Frauen!$G$9:$J$102,4))*0.5*(VLOOKUP($CU89-DJ$103,Frauen!$AZ$9:$BD$102,5)+VLOOKUP($CU89-DJ$103+1,Frauen!$AZ$9:$BD$102,5)),RundDx)))</f>
        <v/>
      </c>
      <c r="DK89" s="25" t="str">
        <f>IF($CU89&gt;=RAM,"",IF($CU89-DK$103&lt;BeginnAlter,"",ROUND(v^($CU89+FaktorAlter)*$L89*$D89*0.5*(VLOOKUP($CU89-DK$103,Frauen!$G$9:$J$102,4)+VLOOKUP($CU89-DK$103+1,Frauen!$G$9:$J$102,4))*0.5*(VLOOKUP($CU89-DK$103,Frauen!$AZ$9:$BD$102,5)+VLOOKUP($CU89-DK$103+1,Frauen!$AZ$9:$BD$102,5)),RundDx)))</f>
        <v/>
      </c>
      <c r="DL89" s="25" t="str">
        <f>IF($CU89&gt;=RAM,"",IF($CU89-DL$103&lt;BeginnAlter,"",ROUND(v^($CU89+FaktorAlter)*$L89*$D89*0.5*(VLOOKUP($CU89-DL$103,Frauen!$G$9:$J$102,4)+VLOOKUP($CU89-DL$103+1,Frauen!$G$9:$J$102,4))*0.5*(VLOOKUP($CU89-DL$103,Frauen!$AZ$9:$BD$102,5)+VLOOKUP($CU89-DL$103+1,Frauen!$AZ$9:$BD$102,5)),RundDx)))</f>
        <v/>
      </c>
      <c r="DM89" s="25" t="str">
        <f>IF($CU89&gt;=RAM,"",IF($CU89-DM$103&lt;BeginnAlter,"",ROUND(v^($CU89+FaktorAlter)*$L89*$D89*0.5*(VLOOKUP($CU89-DM$103,Frauen!$G$9:$J$102,4)+VLOOKUP($CU89-DM$103+1,Frauen!$G$9:$J$102,4))*0.5*(VLOOKUP($CU89-DM$103,Frauen!$AZ$9:$BD$102,5)+VLOOKUP($CU89-DM$103+1,Frauen!$AZ$9:$BD$102,5)),RundDx)))</f>
        <v/>
      </c>
      <c r="DN89" s="25" t="str">
        <f>IF($CU89&gt;=RAM,"",IF($CU89-DN$103&lt;BeginnAlter,"",ROUND(v^($CU89+FaktorAlter)*$L89*$D89*0.5*(VLOOKUP($CU89-DN$103,Frauen!$G$9:$J$102,4)+VLOOKUP($CU89-DN$103+1,Frauen!$G$9:$J$102,4))*0.5*(VLOOKUP($CU89-DN$103,Frauen!$AZ$9:$BD$102,5)+VLOOKUP($CU89-DN$103+1,Frauen!$AZ$9:$BD$102,5)),RundDx)))</f>
        <v/>
      </c>
      <c r="DO89" s="25" t="str">
        <f>IF($CU89&gt;=RAM,"",IF($CU89-DO$103&lt;BeginnAlter,"",ROUND(v^($CU89+FaktorAlter)*$L89*$D89*0.5*(VLOOKUP($CU89-DO$103,Frauen!$G$9:$J$102,4)+VLOOKUP($CU89-DO$103+1,Frauen!$G$9:$J$102,4))*0.5*(VLOOKUP($CU89-DO$103,Frauen!$AZ$9:$BD$102,5)+VLOOKUP($CU89-DO$103+1,Frauen!$AZ$9:$BD$102,5)),RundDx)))</f>
        <v/>
      </c>
      <c r="DP89" s="25" t="str">
        <f>IF($CU89&gt;=RAM,"",IF($CU89-DP$103&lt;BeginnAlter,"",ROUND(v^($CU89+FaktorAlter)*$L89*$D89*0.5*(VLOOKUP($CU89-DP$103,Frauen!$G$9:$J$102,4)+VLOOKUP($CU89-DP$103+1,Frauen!$G$9:$J$102,4))*0.5*(VLOOKUP($CU89-DP$103,Frauen!$AZ$9:$BD$102,5)+VLOOKUP($CU89-DP$103+1,Frauen!$AZ$9:$BD$102,5)),RundDx)))</f>
        <v/>
      </c>
      <c r="DQ89" s="25" t="str">
        <f>IF($CU89&gt;=RAM,"",IF($CU89-DQ$103&lt;BeginnAlter,"",ROUND(v^($CU89+FaktorAlter)*$L89*$D89*0.5*(VLOOKUP($CU89-DQ$103,Frauen!$G$9:$J$102,4)+VLOOKUP($CU89-DQ$103+1,Frauen!$G$9:$J$102,4))*0.5*(VLOOKUP($CU89-DQ$103,Frauen!$AZ$9:$BD$102,5)+VLOOKUP($CU89-DQ$103+1,Frauen!$AZ$9:$BD$102,5)),RundDx)))</f>
        <v/>
      </c>
      <c r="DR89" s="25" t="str">
        <f>IF($CU89&gt;=RAM,"",IF($CU89-DR$103&lt;BeginnAlter,"",ROUND(v^($CU89+FaktorAlter)*$L89*$D89*0.5*(VLOOKUP($CU89-DR$103,Frauen!$G$9:$J$102,4)+VLOOKUP($CU89-DR$103+1,Frauen!$G$9:$J$102,4))*0.5*(VLOOKUP($CU89-DR$103,Frauen!$AZ$9:$BD$102,5)+VLOOKUP($CU89-DR$103+1,Frauen!$AZ$9:$BD$102,5)),RundDx)))</f>
        <v/>
      </c>
      <c r="DS89" s="25" t="str">
        <f>IF($CU89&gt;=RAM,"",IF($CU89-DS$103&lt;BeginnAlter,"",ROUND(v^($CU89+FaktorAlter)*$L89*$D89*0.5*(VLOOKUP($CU89-DS$103,Frauen!$G$9:$J$102,4)+VLOOKUP($CU89-DS$103+1,Frauen!$G$9:$J$102,4))*0.5*(VLOOKUP($CU89-DS$103,Frauen!$AZ$9:$BD$102,5)+VLOOKUP($CU89-DS$103+1,Frauen!$AZ$9:$BD$102,5)),RundDx)))</f>
        <v/>
      </c>
      <c r="DT89" s="25" t="str">
        <f>IF($CU89&gt;=RAM,"",IF($CU89-DT$103&lt;BeginnAlter,"",ROUND(v^($CU89+FaktorAlter)*$L89*$D89*0.5*(VLOOKUP($CU89-DT$103,Frauen!$G$9:$J$102,4)+VLOOKUP($CU89-DT$103+1,Frauen!$G$9:$J$102,4))*0.5*(VLOOKUP($CU89-DT$103,Frauen!$AZ$9:$BD$102,5)+VLOOKUP($CU89-DT$103+1,Frauen!$AZ$9:$BD$102,5)),RundDx)))</f>
        <v/>
      </c>
      <c r="DU89" s="25" t="str">
        <f>IF($CU89&gt;=RAM,"",IF($CU89-DU$103&lt;BeginnAlter,"",ROUND(v^($CU89+FaktorAlter)*$L89*$D89*0.5*(VLOOKUP($CU89-DU$103,Frauen!$G$9:$J$102,4)+VLOOKUP($CU89-DU$103+1,Frauen!$G$9:$J$102,4))*0.5*(VLOOKUP($CU89-DU$103,Frauen!$AZ$9:$BD$102,5)+VLOOKUP($CU89-DU$103+1,Frauen!$AZ$9:$BD$102,5)),RundDx)))</f>
        <v/>
      </c>
      <c r="DV89" s="25" t="str">
        <f>IF($CU89&gt;=RAM,"",IF($CU89-DV$103&lt;BeginnAlter,"",ROUND(v^($CU89+FaktorAlter)*$L89*$D89*0.5*(VLOOKUP($CU89-DV$103,Frauen!$G$9:$J$102,4)+VLOOKUP($CU89-DV$103+1,Frauen!$G$9:$J$102,4))*0.5*(VLOOKUP($CU89-DV$103,Frauen!$AZ$9:$BD$102,5)+VLOOKUP($CU89-DV$103+1,Frauen!$AZ$9:$BD$102,5)),RundDx)))</f>
        <v/>
      </c>
      <c r="DW89" s="25" t="str">
        <f>IF($CU89&gt;=RAM,"",IF($CU89-DW$103&lt;BeginnAlter,"",ROUND(v^($CU89+FaktorAlter)*$L89*$D89*0.5*(VLOOKUP($CU89-DW$103,Frauen!$G$9:$J$102,4)+VLOOKUP($CU89-DW$103+1,Frauen!$G$9:$J$102,4))*0.5*(VLOOKUP($CU89-DW$103,Frauen!$AZ$9:$BD$102,5)+VLOOKUP($CU89-DW$103+1,Frauen!$AZ$9:$BD$102,5)),RundDx)))</f>
        <v/>
      </c>
      <c r="DX89" s="25" t="str">
        <f>IF($CU89&gt;=RAM,"",IF($CU89-DX$103&lt;BeginnAlter,"",ROUND(v^($CU89+FaktorAlter)*$L89*$D89*0.5*(VLOOKUP($CU89-DX$103,Frauen!$G$9:$J$102,4)+VLOOKUP($CU89-DX$103+1,Frauen!$G$9:$J$102,4))*0.5*(VLOOKUP($CU89-DX$103,Frauen!$AZ$9:$BD$102,5)+VLOOKUP($CU89-DX$103+1,Frauen!$AZ$9:$BD$102,5)),RundDx)))</f>
        <v/>
      </c>
      <c r="DY89" s="25" t="str">
        <f>IF($CU89&gt;=RAM,"",IF($CU89-DY$103&lt;BeginnAlter,"",ROUND(v^($CU89+FaktorAlter)*$L89*$D89*0.5*(VLOOKUP($CU89-DY$103,Frauen!$G$9:$J$102,4)+VLOOKUP($CU89-DY$103+1,Frauen!$G$9:$J$102,4))*0.5*(VLOOKUP($CU89-DY$103,Frauen!$AZ$9:$BD$102,5)+VLOOKUP($CU89-DY$103+1,Frauen!$AZ$9:$BD$102,5)),RundDx)))</f>
        <v/>
      </c>
      <c r="DZ89" s="25" t="str">
        <f>IF($CU89&gt;=RAM,"",IF($CU89-DZ$103&lt;BeginnAlter,"",ROUND(v^($CU89+FaktorAlter)*$L89*$D89*0.5*(VLOOKUP($CU89-DZ$103,Frauen!$G$9:$J$102,4)+VLOOKUP($CU89-DZ$103+1,Frauen!$G$9:$J$102,4))*0.5*(VLOOKUP($CU89-DZ$103,Frauen!$AZ$9:$BD$102,5)+VLOOKUP($CU89-DZ$103+1,Frauen!$AZ$9:$BD$102,5)),RundDx)))</f>
        <v/>
      </c>
      <c r="EA89" s="43" t="str">
        <f>IF($CU89&gt;=RAM,"",IF($CU89-EA$103&lt;BeginnAlter,"",ROUND((SUM(CV$56:CV89)+SUM(FN$9:FN$56))/VLOOKUP($CU89,$AH$9:$AI$102,2)/VLOOKUP($CU89-EA$103,Frauen!$G$9:$J$102,4),Rundäx)))</f>
        <v/>
      </c>
      <c r="EB89" s="43" t="str">
        <f>IF($CU89&gt;=RAM,"",IF($CU89-EB$103&lt;BeginnAlter,"",ROUND((SUM(CW$56:CW89)+SUM(FO$9:FO$56))/VLOOKUP($CU89,$AH$9:$AI$102,2)/VLOOKUP($CU89-EB$103,Frauen!$G$9:$J$102,4),Rundäx)))</f>
        <v/>
      </c>
      <c r="EC89" s="43" t="str">
        <f>IF($CU89&gt;=RAM,"",IF($CU89-EC$103&lt;BeginnAlter,"",ROUND((SUM(CX$56:CX89)+SUM(FP$9:FP$56))/VLOOKUP($CU89,$AH$9:$AI$102,2)/VLOOKUP($CU89-EC$103,Frauen!$G$9:$J$102,4),Rundäx)))</f>
        <v/>
      </c>
      <c r="ED89" s="43" t="str">
        <f>IF($CU89&gt;=RAM,"",IF($CU89-ED$103&lt;BeginnAlter,"",ROUND((SUM(CY$56:CY89)+SUM(FQ$9:FQ$56))/VLOOKUP($CU89,$AH$9:$AI$102,2)/VLOOKUP($CU89-ED$103,Frauen!$G$9:$J$102,4),Rundäx)))</f>
        <v/>
      </c>
      <c r="EE89" s="43" t="str">
        <f>IF($CU89&gt;=RAM,"",IF($CU89-EE$103&lt;BeginnAlter,"",ROUND((SUM(CZ$56:CZ89)+SUM(FR$9:FR$56))/VLOOKUP($CU89,$AH$9:$AI$102,2)/VLOOKUP($CU89-EE$103,Frauen!$G$9:$J$102,4),Rundäx)))</f>
        <v/>
      </c>
      <c r="EF89" s="43" t="str">
        <f>IF($CU89&gt;=RAM,"",IF($CU89-EF$103&lt;BeginnAlter,"",ROUND((SUM(DA$56:DA89)+SUM(FS$9:FS$56))/VLOOKUP($CU89,$AH$9:$AI$102,2)/VLOOKUP($CU89-EF$103,Frauen!$G$9:$J$102,4),Rundäx)))</f>
        <v/>
      </c>
      <c r="EG89" s="43" t="str">
        <f>IF($CU89&gt;=RAM,"",IF($CU89-EG$103&lt;BeginnAlter,"",ROUND((SUM(DB$56:DB89)+SUM(FT$9:FT$56))/VLOOKUP($CU89,$AH$9:$AI$102,2)/VLOOKUP($CU89-EG$103,Frauen!$G$9:$J$102,4),Rundäx)))</f>
        <v/>
      </c>
      <c r="EH89" s="43" t="str">
        <f>IF($CU89&gt;=RAM,"",IF($CU89-EH$103&lt;BeginnAlter,"",ROUND((SUM(DC$56:DC89)+SUM(FU$9:FU$56))/VLOOKUP($CU89,$AH$9:$AI$102,2)/VLOOKUP($CU89-EH$103,Frauen!$G$9:$J$102,4),Rundäx)))</f>
        <v/>
      </c>
      <c r="EI89" s="86"/>
      <c r="EJ89" s="35">
        <f t="shared" si="133"/>
        <v>97</v>
      </c>
      <c r="EK89" s="43" t="str">
        <f>IF($CU89&gt;=RAM,"",IF($CU89-EK$103&lt;BeginnAlter,"",ROUND((SUM(DD$56:DD89)+SUM(FV$9:FV$56))/VLOOKUP($CU89,$AH$9:$AI$102,2)/VLOOKUP($CU89-EK$103,Frauen!$G$9:$J$102,4),Rundäx)))</f>
        <v/>
      </c>
      <c r="EL89" s="43" t="str">
        <f>IF($CU89&gt;=RAM,"",IF($CU89-EL$103&lt;BeginnAlter,"",ROUND((SUM(DE$56:DE89)+SUM(FW$9:FW$56))/VLOOKUP($CU89,$AH$9:$AI$102,2)/VLOOKUP($CU89-EL$103,Frauen!$G$9:$J$102,4),Rundäx)))</f>
        <v/>
      </c>
      <c r="EM89" s="43" t="str">
        <f>IF($CU89&gt;=RAM,"",IF($CU89-EM$103&lt;BeginnAlter,"",ROUND((SUM(DF$56:DF89)+SUM(FX$9:FX$56))/VLOOKUP($CU89,$AH$9:$AI$102,2)/VLOOKUP($CU89-EM$103,Frauen!$G$9:$J$102,4),Rundäx)))</f>
        <v/>
      </c>
      <c r="EN89" s="43" t="str">
        <f>IF($CU89&gt;=RAM,"",IF($CU89-EN$103&lt;BeginnAlter,"",ROUND((SUM(DG$56:DG89)+SUM(FY$9:FY$56))/VLOOKUP($CU89,$AH$9:$AI$102,2)/VLOOKUP($CU89-EN$103,Frauen!$G$9:$J$102,4),Rundäx)))</f>
        <v/>
      </c>
      <c r="EO89" s="43" t="str">
        <f>IF($CU89&gt;=RAM,"",IF($CU89-EO$103&lt;BeginnAlter,"",ROUND((SUM(DH$56:DH89)+SUM(FZ$9:FZ$56))/VLOOKUP($CU89,$AH$9:$AI$102,2)/VLOOKUP($CU89-EO$103,Frauen!$G$9:$J$102,4),Rundäx)))</f>
        <v/>
      </c>
      <c r="EP89" s="43" t="str">
        <f>IF($CU89&gt;=RAM,"",IF($CU89-EP$103&lt;BeginnAlter,"",ROUND((SUM(DI$56:DI89)+SUM(GA$9:GA$56))/VLOOKUP($CU89,$AH$9:$AI$102,2)/VLOOKUP($CU89-EP$103,Frauen!$G$9:$J$102,4),Rundäx)))</f>
        <v/>
      </c>
      <c r="EQ89" s="43" t="str">
        <f>IF($CU89&gt;=RAM,"",IF($CU89-EQ$103&lt;BeginnAlter,"",ROUND((SUM(DJ$56:DJ89)+SUM(GB$9:GB$56))/VLOOKUP($CU89,$AH$9:$AI$102,2)/VLOOKUP($CU89-EQ$103,Frauen!$G$9:$J$102,4),Rundäx)))</f>
        <v/>
      </c>
      <c r="ER89" s="43" t="str">
        <f>IF($CU89&gt;=RAM,"",IF($CU89-ER$103&lt;BeginnAlter,"",ROUND((SUM(DK$56:DK89)+SUM(GC$9:GC$56))/VLOOKUP($CU89,$AH$9:$AI$102,2)/VLOOKUP($CU89-ER$103,Frauen!$G$9:$J$102,4),Rundäx)))</f>
        <v/>
      </c>
      <c r="ES89" s="86"/>
      <c r="ET89" s="35">
        <f t="shared" si="134"/>
        <v>97</v>
      </c>
      <c r="EU89" s="43" t="str">
        <f>IF($CU89&gt;=RAM,"",IF($CU89-EU$103&lt;BeginnAlter,"",ROUND((SUM(DL$56:DL89)+SUM(GD$9:GD$56))/VLOOKUP($CU89,$AH$9:$AI$102,2)/VLOOKUP($CU89-EU$103,Frauen!$G$9:$J$102,4),Rundäx)))</f>
        <v/>
      </c>
      <c r="EV89" s="43" t="str">
        <f>IF($CU89&gt;=RAM,"",IF($CU89-EV$103&lt;BeginnAlter,"",ROUND((SUM(DM$56:DM89)+SUM(GE$9:GE$56))/VLOOKUP($CU89,$AH$9:$AI$102,2)/VLOOKUP($CU89-EV$103,Frauen!$G$9:$J$102,4),Rundäx)))</f>
        <v/>
      </c>
      <c r="EW89" s="43" t="str">
        <f>IF($CU89&gt;=RAM,"",IF($CU89-EW$103&lt;BeginnAlter,"",ROUND((SUM(DN$56:DN89)+SUM(GF$9:GF$56))/VLOOKUP($CU89,$AH$9:$AI$102,2)/VLOOKUP($CU89-EW$103,Frauen!$G$9:$J$102,4),Rundäx)))</f>
        <v/>
      </c>
      <c r="EX89" s="43" t="str">
        <f>IF($CU89&gt;=RAM,"",IF($CU89-EX$103&lt;BeginnAlter,"",ROUND((SUM(DO$56:DO89)+SUM(GG$9:GG$56))/VLOOKUP($CU89,$AH$9:$AI$102,2)/VLOOKUP($CU89-EX$103,Frauen!$G$9:$J$102,4),Rundäx)))</f>
        <v/>
      </c>
      <c r="EY89" s="43" t="str">
        <f>IF($CU89&gt;=RAM,"",IF($CU89-EY$103&lt;BeginnAlter,"",ROUND((SUM(DP$56:DP89)+SUM(GH$9:GH$56))/VLOOKUP($CU89,$AH$9:$AI$102,2)/VLOOKUP($CU89-EY$103,Frauen!$G$9:$J$102,4),Rundäx)))</f>
        <v/>
      </c>
      <c r="EZ89" s="43" t="str">
        <f>IF($CU89&gt;=RAM,"",IF($CU89-EZ$103&lt;BeginnAlter,"",ROUND((SUM(DQ$56:DQ89)+SUM(GI$9:GI$56))/VLOOKUP($CU89,$AH$9:$AI$102,2)/VLOOKUP($CU89-EZ$103,Frauen!$G$9:$J$102,4),Rundäx)))</f>
        <v/>
      </c>
      <c r="FA89" s="43" t="str">
        <f>IF($CU89&gt;=RAM,"",IF($CU89-FA$103&lt;BeginnAlter,"",ROUND((SUM(DR$56:DR89)+SUM(GJ$9:GJ$56))/VLOOKUP($CU89,$AH$9:$AI$102,2)/VLOOKUP($CU89-FA$103,Frauen!$G$9:$J$102,4),Rundäx)))</f>
        <v/>
      </c>
      <c r="FB89" s="43" t="str">
        <f>IF($CU89&gt;=RAM,"",IF($CU89-FB$103&lt;BeginnAlter,"",ROUND((SUM(DS$56:DS89)+SUM(GK$9:GK$56))/VLOOKUP($CU89,$AH$9:$AI$102,2)/VLOOKUP($CU89-FB$103,Frauen!$G$9:$J$102,4),Rundäx)))</f>
        <v/>
      </c>
      <c r="FC89" s="86"/>
      <c r="FD89" s="35">
        <f t="shared" si="135"/>
        <v>97</v>
      </c>
      <c r="FE89" s="43" t="str">
        <f>IF($CU89&gt;=RAM,"",IF($CU89-FE$103&lt;BeginnAlter,"",ROUND((SUM(DT$56:DT89)+SUM(GL$9:GL$56))/VLOOKUP($CU89,$AH$9:$AI$102,2)/VLOOKUP($CU89-FE$103,Frauen!$G$9:$J$102,4),Rundäx)))</f>
        <v/>
      </c>
      <c r="FF89" s="43" t="str">
        <f>IF($CU89&gt;=RAM,"",IF($CU89-FF$103&lt;BeginnAlter,"",ROUND((SUM(DU$56:DU89)+SUM(GM$9:GM$56))/VLOOKUP($CU89,$AH$9:$AI$102,2)/VLOOKUP($CU89-FF$103,Frauen!$G$9:$J$102,4),Rundäx)))</f>
        <v/>
      </c>
      <c r="FG89" s="43" t="str">
        <f>IF($CU89&gt;=RAM,"",IF($CU89-FG$103&lt;BeginnAlter,"",ROUND((SUM(DV$56:DV89)+SUM(GN$9:GN$56))/VLOOKUP($CU89,$AH$9:$AI$102,2)/VLOOKUP($CU89-FG$103,Frauen!$G$9:$J$102,4),Rundäx)))</f>
        <v/>
      </c>
      <c r="FH89" s="43" t="str">
        <f>IF($CU89&gt;=RAM,"",IF($CU89-FH$103&lt;BeginnAlter,"",ROUND((SUM(DW$56:DW89)+SUM(GO$9:GO$56))/VLOOKUP($CU89,$AH$9:$AI$102,2)/VLOOKUP($CU89-FH$103,Frauen!$G$9:$J$102,4),Rundäx)))</f>
        <v/>
      </c>
      <c r="FI89" s="43" t="str">
        <f>IF($CU89&gt;=RAM,"",IF($CU89-FI$103&lt;BeginnAlter,"",ROUND((SUM(DX$56:DX89)+SUM(GP$9:GP$56))/VLOOKUP($CU89,$AH$9:$AI$102,2)/VLOOKUP($CU89-FI$103,Frauen!$G$9:$J$102,4),Rundäx)))</f>
        <v/>
      </c>
      <c r="FJ89" s="43" t="str">
        <f>IF($CU89&gt;=RAM,"",IF($CU89-FJ$103&lt;BeginnAlter,"",ROUND((SUM(DY$56:DY89)+SUM(GQ$9:GQ$56))/VLOOKUP($CU89,$AH$9:$AI$102,2)/VLOOKUP($CU89-FJ$103,Frauen!$G$9:$J$102,4),Rundäx)))</f>
        <v/>
      </c>
      <c r="FK89" s="43" t="str">
        <f>IF($CU89&gt;=RAM,"",IF($CU89-FK$103&lt;BeginnAlter,"",ROUND((SUM(DZ$56:DZ89)+SUM(GR$9:GR$56))/VLOOKUP($CU89,$AH$9:$AI$102,2)/VLOOKUP($CU89-FK$103,Frauen!$G$9:$J$102,4),Rundäx)))</f>
        <v/>
      </c>
      <c r="FL89" s="86"/>
      <c r="FM89" s="35">
        <f t="shared" si="136"/>
        <v>145</v>
      </c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25"/>
      <c r="GM89" s="25"/>
      <c r="GN89" s="25"/>
      <c r="GO89" s="25"/>
      <c r="GP89" s="25"/>
      <c r="GQ89" s="25"/>
      <c r="GR89" s="25"/>
      <c r="GS89" s="24"/>
      <c r="GT89" s="24"/>
      <c r="GU89" s="24" t="str">
        <f>IF(FM89&gt;=RAM," ",#REF!/$AI89/Frauen!$J77)</f>
        <v xml:space="preserve"> </v>
      </c>
      <c r="GV89" s="24" t="str">
        <f>IF(FM89&gt;=RAM," ",#REF!/$AI89/Frauen!$J80)</f>
        <v xml:space="preserve"> </v>
      </c>
      <c r="GW89" s="24" t="str">
        <f>IF(FM89&gt;=RAM," ",#REF!/$AI89/Frauen!$J83)</f>
        <v xml:space="preserve"> </v>
      </c>
      <c r="GX89" s="24" t="str">
        <f>IF(FM89&gt;=RAM," ",#REF!/$AI89/Frauen!$J86)</f>
        <v xml:space="preserve"> </v>
      </c>
      <c r="GY89" s="24" t="str">
        <f>IF(FM89&gt;=RAM," ",#REF!/$AI89/Frauen!$J89)</f>
        <v xml:space="preserve"> </v>
      </c>
      <c r="GZ89" s="24" t="str">
        <f>IF(FM89&gt;=RAM," ",#REF!/$AI89/Frauen!$J92)</f>
        <v xml:space="preserve"> </v>
      </c>
      <c r="HA89" s="86"/>
      <c r="HB89" s="35">
        <f t="shared" si="137"/>
        <v>145</v>
      </c>
      <c r="HC89" s="24"/>
      <c r="HD89" s="24"/>
      <c r="HE89" s="24"/>
      <c r="HF89" s="24"/>
      <c r="HG89" s="24"/>
      <c r="HH89" s="24"/>
      <c r="HI89" s="24"/>
      <c r="HJ89" s="24"/>
      <c r="HK89" s="86"/>
      <c r="HL89" s="35">
        <f t="shared" si="138"/>
        <v>145</v>
      </c>
      <c r="HM89" s="24"/>
      <c r="HN89" s="24"/>
      <c r="HO89" s="24"/>
      <c r="HP89" s="24"/>
      <c r="HQ89" s="24"/>
      <c r="HR89" s="24"/>
      <c r="HS89" s="24"/>
      <c r="HT89" s="24"/>
      <c r="HU89" s="86"/>
      <c r="HV89" s="35">
        <f t="shared" si="139"/>
        <v>145</v>
      </c>
      <c r="HW89" s="24"/>
      <c r="HX89" s="24"/>
      <c r="HY89" s="24"/>
      <c r="HZ89" s="24"/>
      <c r="IA89" s="24"/>
      <c r="IB89" s="24"/>
      <c r="IC89" s="24"/>
      <c r="ID89" s="89"/>
      <c r="IE89" s="35">
        <f t="shared" si="140"/>
        <v>97</v>
      </c>
      <c r="IF89" s="25" t="str">
        <f t="shared" si="112"/>
        <v/>
      </c>
      <c r="IG89" s="25" t="str">
        <f>IF($IE89&lt;RAM,IF(S90&lt;=RAK,ROUND(SUM(IF89:INDEX(Dakx,RAM-BeginnAlter))+INDEX(Dax,RAM-BeginnAlter+1)*INDEX(äkx,1),RundDx),0),"")</f>
        <v/>
      </c>
      <c r="IH89" s="25" t="str">
        <f>IF($IE89&lt;RAM,IF(S90&lt;=RAK,ROUND(SUM(IG89:INDEX(Nakx,RAM-BeginnAlter))+INDEX(Dax,RAM-BeginnAlter+1)*INDEX(äkx,1),RundDx),0),"")</f>
        <v/>
      </c>
      <c r="II89" s="24" t="str">
        <f t="shared" si="113"/>
        <v/>
      </c>
      <c r="IJ89" s="25" t="str">
        <f t="shared" si="114"/>
        <v/>
      </c>
      <c r="IK89" s="25" t="str">
        <f>IF($IE89&lt;RAM,IF(S90&lt;=RAK,SUM(IJ89:INDEX(Dikx,RAM-BeginnAlter))+INDEX(Dix,RAM-BeginnAlter+1)*INDEX(äkx,1),0),"")</f>
        <v/>
      </c>
      <c r="IL89" s="24" t="str">
        <f t="shared" si="115"/>
        <v/>
      </c>
      <c r="IM89" s="86"/>
      <c r="IN89" s="35">
        <f t="shared" si="141"/>
        <v>145</v>
      </c>
      <c r="IO89" s="25"/>
      <c r="IP89" s="25"/>
      <c r="IQ89" s="24"/>
      <c r="IR89" s="86"/>
    </row>
    <row r="90" spans="1:252" ht="15.75" customHeight="1" x14ac:dyDescent="0.25">
      <c r="A90" s="35">
        <f t="shared" si="120"/>
        <v>98</v>
      </c>
      <c r="B90" s="77"/>
      <c r="C90" s="77"/>
      <c r="D90" s="77"/>
      <c r="E90" s="77">
        <v>0.47471413436632248</v>
      </c>
      <c r="F90" s="86"/>
      <c r="G90" s="35">
        <f t="shared" si="121"/>
        <v>98</v>
      </c>
      <c r="H90" s="25" t="str">
        <f t="shared" si="116"/>
        <v/>
      </c>
      <c r="I90" s="25" t="str">
        <f t="shared" si="117"/>
        <v/>
      </c>
      <c r="J90" s="25">
        <f t="shared" si="118"/>
        <v>1118</v>
      </c>
      <c r="K90" s="30">
        <f>IF(J90&gt;0,ROUND(SUM(J90:J$102)/J90-0.5,Rundex),"")</f>
        <v>1.42</v>
      </c>
      <c r="L90" s="25">
        <f t="shared" si="82"/>
        <v>1118</v>
      </c>
      <c r="M90" s="30">
        <f>IF(L90&gt;0,ROUND(SUM(L90:L$102)/L90-0.5,Rundex),"")</f>
        <v>1.42</v>
      </c>
      <c r="N90" s="86"/>
      <c r="O90" s="35">
        <f t="shared" si="122"/>
        <v>98</v>
      </c>
      <c r="P90" s="43">
        <v>0.17925821847657541</v>
      </c>
      <c r="Q90" s="78">
        <v>90.870104520575765</v>
      </c>
      <c r="R90" s="43"/>
      <c r="S90" s="78"/>
      <c r="T90" s="15">
        <v>0.47471413436632248</v>
      </c>
      <c r="U90" s="11">
        <f t="shared" si="119"/>
        <v>848</v>
      </c>
      <c r="V90" s="30">
        <f>IF(U90&gt;0,ROUND(SUM(U90:U$102)/U90-0.5,Rundex),"")</f>
        <v>1.41</v>
      </c>
      <c r="W90" s="86"/>
      <c r="X90" s="35">
        <f t="shared" si="123"/>
        <v>98</v>
      </c>
      <c r="Y90" s="25" t="str">
        <f t="shared" si="83"/>
        <v xml:space="preserve"> </v>
      </c>
      <c r="Z90" s="25" t="str">
        <f>IF($X90&lt;RAM,SUM(Y90:INDEX(Dax,RAM-BeginnAlter))," ")</f>
        <v xml:space="preserve"> </v>
      </c>
      <c r="AA90" s="25" t="str">
        <f t="shared" si="84"/>
        <v xml:space="preserve"> </v>
      </c>
      <c r="AB90" s="25" t="str">
        <f>IF($X90&lt;RAM,SUM(AA90:INDEX(Cax,RAM-BeginnAlter))," ")</f>
        <v xml:space="preserve"> </v>
      </c>
      <c r="AC90" s="25" t="str">
        <f t="shared" si="85"/>
        <v xml:space="preserve"> </v>
      </c>
      <c r="AD90" s="25" t="str">
        <f>IF($X90&lt;RAM,SUM(AC90:INDEX(Caix,RAM-BeginnAlter))," ")</f>
        <v xml:space="preserve"> </v>
      </c>
      <c r="AE90" s="24" t="str">
        <f t="shared" si="86"/>
        <v xml:space="preserve"> </v>
      </c>
      <c r="AF90" s="24" t="str">
        <f t="shared" si="87"/>
        <v xml:space="preserve"> </v>
      </c>
      <c r="AG90" s="86"/>
      <c r="AH90" s="35">
        <f t="shared" si="124"/>
        <v>98</v>
      </c>
      <c r="AI90" s="25" t="str">
        <f t="shared" si="88"/>
        <v xml:space="preserve"> </v>
      </c>
      <c r="AJ90" s="25" t="str">
        <f>IF($AH90&gt;RAM," ",IF($AH90&lt;RAM,SUM(AI90:INDEX(Dix,RAM-BeginnAlter))+INDEX(Nx,RAM-BeginnAlter+1),INDEX(Nx,RAM-BeginnAlter+1)))</f>
        <v xml:space="preserve"> </v>
      </c>
      <c r="AK90" s="25" t="str">
        <f>IF($AH90&lt;RAM,SUM(AI90:INDEX(Dix,RAM-BeginnAlter))," ")</f>
        <v xml:space="preserve"> </v>
      </c>
      <c r="AL90" s="24" t="str">
        <f t="shared" si="89"/>
        <v xml:space="preserve"> </v>
      </c>
      <c r="AM90" s="24" t="str">
        <f t="shared" si="90"/>
        <v xml:space="preserve"> </v>
      </c>
      <c r="AN90" s="24" t="str">
        <f t="shared" si="91"/>
        <v xml:space="preserve"> </v>
      </c>
      <c r="AO90" s="24" t="str">
        <f t="shared" si="92"/>
        <v xml:space="preserve"> </v>
      </c>
      <c r="AP90" s="86"/>
      <c r="AQ90" s="35">
        <f t="shared" si="125"/>
        <v>98</v>
      </c>
      <c r="AR90" s="25">
        <f t="shared" si="93"/>
        <v>126</v>
      </c>
      <c r="AS90" s="25">
        <f>SUM(AR90:AR$94)</f>
        <v>237</v>
      </c>
      <c r="AT90" s="25" t="str">
        <f>IF($AQ90&lt;RAM,SUM(AR90:INDEX(Dx,RAM-BeginnAlter))," ")</f>
        <v xml:space="preserve"> </v>
      </c>
      <c r="AU90" s="24">
        <f t="shared" si="94"/>
        <v>1.881</v>
      </c>
      <c r="AV90" s="24">
        <f t="shared" si="95"/>
        <v>1.423</v>
      </c>
      <c r="AW90" s="24" t="str">
        <f t="shared" si="96"/>
        <v xml:space="preserve"> </v>
      </c>
      <c r="AX90" s="24" t="str">
        <f t="shared" si="97"/>
        <v xml:space="preserve"> </v>
      </c>
      <c r="AY90" s="86"/>
      <c r="AZ90" s="35">
        <f t="shared" si="126"/>
        <v>98</v>
      </c>
      <c r="BA90" s="25">
        <f t="shared" si="98"/>
        <v>96</v>
      </c>
      <c r="BB90" s="25">
        <f>SUM(BA90:BA$94)</f>
        <v>179</v>
      </c>
      <c r="BC90" s="24">
        <f t="shared" si="99"/>
        <v>1.865</v>
      </c>
      <c r="BD90" s="24">
        <f t="shared" si="100"/>
        <v>1.4059999999999999</v>
      </c>
      <c r="BE90" s="86"/>
      <c r="BF90" s="35">
        <f t="shared" si="127"/>
        <v>81</v>
      </c>
      <c r="BG90" s="24" t="str">
        <f t="shared" si="101"/>
        <v/>
      </c>
      <c r="BH90" s="24" t="str">
        <f t="shared" si="102"/>
        <v/>
      </c>
      <c r="BI90" s="86"/>
      <c r="BJ90" s="35">
        <f t="shared" si="128"/>
        <v>98</v>
      </c>
      <c r="BK90" s="25" t="str">
        <f t="shared" si="103"/>
        <v xml:space="preserve"> </v>
      </c>
      <c r="BL90" s="25" t="str">
        <f>IF(BJ90&lt;RAM,SUM(BK90:INDEX(Daix,RAM-BeginnAlter))," ")</f>
        <v xml:space="preserve"> </v>
      </c>
      <c r="BM90" s="25" t="str">
        <f>IF(BJ90&lt;RAM,SUM(BL90:INDEX(Naix,RAM-BeginnAlter))," ")</f>
        <v xml:space="preserve"> </v>
      </c>
      <c r="BN90" s="24" t="str">
        <f t="shared" si="104"/>
        <v xml:space="preserve"> </v>
      </c>
      <c r="BO90" s="24" t="str">
        <f t="shared" si="105"/>
        <v xml:space="preserve"> </v>
      </c>
      <c r="BP90" s="86"/>
      <c r="BQ90" s="35">
        <f t="shared" si="129"/>
        <v>98</v>
      </c>
      <c r="BR90" s="25" t="str">
        <f t="shared" si="142"/>
        <v xml:space="preserve"> </v>
      </c>
      <c r="BS90" s="25" t="str">
        <f>IF(BQ90&lt;RAM,SUM(BR90:INDEX(Daixs,RAM-BeginnAlter))," ")</f>
        <v xml:space="preserve"> </v>
      </c>
      <c r="BT90" s="25" t="str">
        <f>IF(BQ90&lt;RAM,SUM(BS90:INDEX(Naixs,RAM-BeginnAlter))," ")</f>
        <v xml:space="preserve"> </v>
      </c>
      <c r="BU90" s="24" t="str">
        <f t="shared" si="143"/>
        <v xml:space="preserve"> </v>
      </c>
      <c r="BV90" s="24" t="str">
        <f t="shared" si="144"/>
        <v xml:space="preserve"> </v>
      </c>
      <c r="BW90" s="86"/>
      <c r="BX90" s="35">
        <f t="shared" si="130"/>
        <v>98</v>
      </c>
      <c r="BY90" s="10" t="str">
        <f t="shared" si="106"/>
        <v/>
      </c>
      <c r="BZ90" s="11" t="str">
        <f t="shared" si="107"/>
        <v/>
      </c>
      <c r="CA90" s="25" t="str">
        <f>IF(S91&lt;=RAK,IF($BX90&lt;RAM,SUM(BZ90:INDEX(Dazx,RAM-BeginnAlter)),""),"")</f>
        <v/>
      </c>
      <c r="CB90" s="24" t="str">
        <f t="shared" si="108"/>
        <v/>
      </c>
      <c r="CC90" s="25">
        <f t="shared" si="109"/>
        <v>0</v>
      </c>
      <c r="CD90" s="24">
        <f t="shared" si="110"/>
        <v>0</v>
      </c>
      <c r="CE90" s="24" t="str">
        <f t="shared" si="111"/>
        <v/>
      </c>
      <c r="CF90" s="86"/>
      <c r="CG90" s="35">
        <f t="shared" si="131"/>
        <v>98</v>
      </c>
      <c r="CH90" s="25" t="str">
        <f>IF(CG90&lt;RAM,ROUND(v^($CG90+FaktorAlter)*$H90*($B90*0.5*($P90+$P91)*(VLOOKUP(TRUNC(0.5*($Q90+$Q91),0),Frauen!$AZ$9:$BD$95,5)+(0.5*($Q90+$Q91)-TRUNC(0.5*($Q90+$Q91),0))*(VLOOKUP(TRUNC(0.5*($Q90+$Q91)+1,0),Frauen!$AZ$9:$BD$95,5)-VLOOKUP(TRUNC(0.5*($Q90+$Q91),0),Frauen!$AZ$9:$BD$95,5)))+$C90*0.5*($CN90+$CN91)),RundDx),"")</f>
        <v/>
      </c>
      <c r="CI90" s="25" t="str">
        <f>IF(CG90&lt;RAM,ROUND(SUM(CH90:INDEX(Dawx,RAM-BeginnAlter))+INDEX(Dax,RAM-BeginnAlter+1)*INDEX(äwx,1),RundDx),"")</f>
        <v/>
      </c>
      <c r="CJ90" s="25" t="str">
        <f>IF(CG90&lt;RAM,ROUND(SUM(CI90:INDEX(Nawx,RAM-BeginnAlter))+INDEX(Dax,RAM-BeginnAlter+1)*INDEX(äwx,1),RundDx),"")</f>
        <v/>
      </c>
      <c r="CK90" s="24" t="str">
        <f t="shared" si="145"/>
        <v/>
      </c>
      <c r="CL90" s="25" t="str">
        <f>IF(CG90&lt;RAM,ROUND(v^($CG90+FaktorAlter)*$L90*$D90*0.5*($P90+$P91)*(VLOOKUP(TRUNC(0.5*($Q90+$Q91),0),Frauen!$AZ$9:$BD$95,5)+(0.5*($Q90+$Q91)-TRUNC(0.5*($Q90+$Q91),0))*(VLOOKUP(TRUNC(0.5*($Q90+$Q91)+1,0),Frauen!$AZ$9:$BD$95,5)-VLOOKUP(TRUNC(0.5*($Q90+$Q91),0),Frauen!$AZ$9:$BD$95,5))),RundDx),"")</f>
        <v/>
      </c>
      <c r="CM90" s="25" t="str">
        <f>IF(CG90&lt;RAM,SUM(CL90:INDEX(Diwx,RAM-BeginnAlter))+INDEX(Dix,RAM-BeginnAlter+1)*INDEX(äwx,1),"")</f>
        <v/>
      </c>
      <c r="CN90" s="24" t="str">
        <f t="shared" si="146"/>
        <v/>
      </c>
      <c r="CO90" s="86"/>
      <c r="CP90" s="35">
        <f t="shared" si="147"/>
        <v>146</v>
      </c>
      <c r="CQ90" s="25"/>
      <c r="CR90" s="25"/>
      <c r="CS90" s="24"/>
      <c r="CT90" s="86"/>
      <c r="CU90" s="35">
        <f t="shared" si="132"/>
        <v>98</v>
      </c>
      <c r="CV90" s="25" t="str">
        <f>IF($CU90&gt;=RAM,"",IF($CU90-CV$103&lt;BeginnAlter,"",ROUND(v^($CU90+FaktorAlter)*$L90*$D90*0.5*(VLOOKUP($CU90-CV$103,Frauen!$G$9:$J$102,4)+VLOOKUP($CU90-CV$103+1,Frauen!$G$9:$J$102,4))*0.5*(VLOOKUP($CU90-CV$103,Frauen!$AZ$9:$BD$102,5)+VLOOKUP($CU90-CV$103+1,Frauen!$AZ$9:$BD$102,5)),RundDx)))</f>
        <v/>
      </c>
      <c r="CW90" s="25" t="str">
        <f>IF($CU90&gt;=RAM,"",IF($CU90-CW$103&lt;BeginnAlter,"",ROUND(v^($CU90+FaktorAlter)*$L90*$D90*0.5*(VLOOKUP($CU90-CW$103,Frauen!$G$9:$J$102,4)+VLOOKUP($CU90-CW$103+1,Frauen!$G$9:$J$102,4))*0.5*(VLOOKUP($CU90-CW$103,Frauen!$AZ$9:$BD$102,5)+VLOOKUP($CU90-CW$103+1,Frauen!$AZ$9:$BD$102,5)),RundDx)))</f>
        <v/>
      </c>
      <c r="CX90" s="25" t="str">
        <f>IF($CU90&gt;=RAM,"",IF($CU90-CX$103&lt;BeginnAlter,"",ROUND(v^($CU90+FaktorAlter)*$L90*$D90*0.5*(VLOOKUP($CU90-CX$103,Frauen!$G$9:$J$102,4)+VLOOKUP($CU90-CX$103+1,Frauen!$G$9:$J$102,4))*0.5*(VLOOKUP($CU90-CX$103,Frauen!$AZ$9:$BD$102,5)+VLOOKUP($CU90-CX$103+1,Frauen!$AZ$9:$BD$102,5)),RundDx)))</f>
        <v/>
      </c>
      <c r="CY90" s="25" t="str">
        <f>IF($CU90&gt;=RAM,"",IF($CU90-CY$103&lt;BeginnAlter,"",ROUND(v^($CU90+FaktorAlter)*$L90*$D90*0.5*(VLOOKUP($CU90-CY$103,Frauen!$G$9:$J$102,4)+VLOOKUP($CU90-CY$103+1,Frauen!$G$9:$J$102,4))*0.5*(VLOOKUP($CU90-CY$103,Frauen!$AZ$9:$BD$102,5)+VLOOKUP($CU90-CY$103+1,Frauen!$AZ$9:$BD$102,5)),RundDx)))</f>
        <v/>
      </c>
      <c r="CZ90" s="25" t="str">
        <f>IF($CU90&gt;=RAM,"",IF($CU90-CZ$103&lt;BeginnAlter,"",ROUND(v^($CU90+FaktorAlter)*$L90*$D90*0.5*(VLOOKUP($CU90-CZ$103,Frauen!$G$9:$J$102,4)+VLOOKUP($CU90-CZ$103+1,Frauen!$G$9:$J$102,4))*0.5*(VLOOKUP($CU90-CZ$103,Frauen!$AZ$9:$BD$102,5)+VLOOKUP($CU90-CZ$103+1,Frauen!$AZ$9:$BD$102,5)),RundDx)))</f>
        <v/>
      </c>
      <c r="DA90" s="25" t="str">
        <f>IF($CU90&gt;=RAM,"",IF($CU90-DA$103&lt;BeginnAlter,"",ROUND(v^($CU90+FaktorAlter)*$L90*$D90*0.5*(VLOOKUP($CU90-DA$103,Frauen!$G$9:$J$102,4)+VLOOKUP($CU90-DA$103+1,Frauen!$G$9:$J$102,4))*0.5*(VLOOKUP($CU90-DA$103,Frauen!$AZ$9:$BD$102,5)+VLOOKUP($CU90-DA$103+1,Frauen!$AZ$9:$BD$102,5)),RundDx)))</f>
        <v/>
      </c>
      <c r="DB90" s="25" t="str">
        <f>IF($CU90&gt;=RAM,"",IF($CU90-DB$103&lt;BeginnAlter,"",ROUND(v^($CU90+FaktorAlter)*$L90*$D90*0.5*(VLOOKUP($CU90-DB$103,Frauen!$G$9:$J$102,4)+VLOOKUP($CU90-DB$103+1,Frauen!$G$9:$J$102,4))*0.5*(VLOOKUP($CU90-DB$103,Frauen!$AZ$9:$BD$102,5)+VLOOKUP($CU90-DB$103+1,Frauen!$AZ$9:$BD$102,5)),RundDx)))</f>
        <v/>
      </c>
      <c r="DC90" s="25" t="str">
        <f>IF($CU90&gt;=RAM,"",IF($CU90-DC$103&lt;BeginnAlter,"",ROUND(v^($CU90+FaktorAlter)*$L90*$D90*0.5*(VLOOKUP($CU90-DC$103,Frauen!$G$9:$J$102,4)+VLOOKUP($CU90-DC$103+1,Frauen!$G$9:$J$102,4))*0.5*(VLOOKUP($CU90-DC$103,Frauen!$AZ$9:$BD$102,5)+VLOOKUP($CU90-DC$103+1,Frauen!$AZ$9:$BD$102,5)),RundDx)))</f>
        <v/>
      </c>
      <c r="DD90" s="25" t="str">
        <f>IF($CU90&gt;=RAM,"",IF($CU90-DD$103&lt;BeginnAlter,"",ROUND(v^($CU90+FaktorAlter)*$L90*$D90*0.5*(VLOOKUP($CU90-DD$103,Frauen!$G$9:$J$102,4)+VLOOKUP($CU90-DD$103+1,Frauen!$G$9:$J$102,4))*0.5*(VLOOKUP($CU90-DD$103,Frauen!$AZ$9:$BD$102,5)+VLOOKUP($CU90-DD$103+1,Frauen!$AZ$9:$BD$102,5)),RundDx)))</f>
        <v/>
      </c>
      <c r="DE90" s="25" t="str">
        <f>IF($CU90&gt;=RAM,"",IF($CU90-DE$103&lt;BeginnAlter,"",ROUND(v^($CU90+FaktorAlter)*$L90*$D90*0.5*(VLOOKUP($CU90-DE$103,Frauen!$G$9:$J$102,4)+VLOOKUP($CU90-DE$103+1,Frauen!$G$9:$J$102,4))*0.5*(VLOOKUP($CU90-DE$103,Frauen!$AZ$9:$BD$102,5)+VLOOKUP($CU90-DE$103+1,Frauen!$AZ$9:$BD$102,5)),RundDx)))</f>
        <v/>
      </c>
      <c r="DF90" s="25" t="str">
        <f>IF($CU90&gt;=RAM,"",IF($CU90-DF$103&lt;BeginnAlter,"",ROUND(v^($CU90+FaktorAlter)*$L90*$D90*0.5*(VLOOKUP($CU90-DF$103,Frauen!$G$9:$J$102,4)+VLOOKUP($CU90-DF$103+1,Frauen!$G$9:$J$102,4))*0.5*(VLOOKUP($CU90-DF$103,Frauen!$AZ$9:$BD$102,5)+VLOOKUP($CU90-DF$103+1,Frauen!$AZ$9:$BD$102,5)),RundDx)))</f>
        <v/>
      </c>
      <c r="DG90" s="25" t="str">
        <f>IF($CU90&gt;=RAM,"",IF($CU90-DG$103&lt;BeginnAlter,"",ROUND(v^($CU90+FaktorAlter)*$L90*$D90*0.5*(VLOOKUP($CU90-DG$103,Frauen!$G$9:$J$102,4)+VLOOKUP($CU90-DG$103+1,Frauen!$G$9:$J$102,4))*0.5*(VLOOKUP($CU90-DG$103,Frauen!$AZ$9:$BD$102,5)+VLOOKUP($CU90-DG$103+1,Frauen!$AZ$9:$BD$102,5)),RundDx)))</f>
        <v/>
      </c>
      <c r="DH90" s="25" t="str">
        <f>IF($CU90&gt;=RAM,"",IF($CU90-DH$103&lt;BeginnAlter,"",ROUND(v^($CU90+FaktorAlter)*$L90*$D90*0.5*(VLOOKUP($CU90-DH$103,Frauen!$G$9:$J$102,4)+VLOOKUP($CU90-DH$103+1,Frauen!$G$9:$J$102,4))*0.5*(VLOOKUP($CU90-DH$103,Frauen!$AZ$9:$BD$102,5)+VLOOKUP($CU90-DH$103+1,Frauen!$AZ$9:$BD$102,5)),RundDx)))</f>
        <v/>
      </c>
      <c r="DI90" s="25" t="str">
        <f>IF($CU90&gt;=RAM,"",IF($CU90-DI$103&lt;BeginnAlter,"",ROUND(v^($CU90+FaktorAlter)*$L90*$D90*0.5*(VLOOKUP($CU90-DI$103,Frauen!$G$9:$J$102,4)+VLOOKUP($CU90-DI$103+1,Frauen!$G$9:$J$102,4))*0.5*(VLOOKUP($CU90-DI$103,Frauen!$AZ$9:$BD$102,5)+VLOOKUP($CU90-DI$103+1,Frauen!$AZ$9:$BD$102,5)),RundDx)))</f>
        <v/>
      </c>
      <c r="DJ90" s="25" t="str">
        <f>IF($CU90&gt;=RAM,"",IF($CU90-DJ$103&lt;BeginnAlter,"",ROUND(v^($CU90+FaktorAlter)*$L90*$D90*0.5*(VLOOKUP($CU90-DJ$103,Frauen!$G$9:$J$102,4)+VLOOKUP($CU90-DJ$103+1,Frauen!$G$9:$J$102,4))*0.5*(VLOOKUP($CU90-DJ$103,Frauen!$AZ$9:$BD$102,5)+VLOOKUP($CU90-DJ$103+1,Frauen!$AZ$9:$BD$102,5)),RundDx)))</f>
        <v/>
      </c>
      <c r="DK90" s="25" t="str">
        <f>IF($CU90&gt;=RAM,"",IF($CU90-DK$103&lt;BeginnAlter,"",ROUND(v^($CU90+FaktorAlter)*$L90*$D90*0.5*(VLOOKUP($CU90-DK$103,Frauen!$G$9:$J$102,4)+VLOOKUP($CU90-DK$103+1,Frauen!$G$9:$J$102,4))*0.5*(VLOOKUP($CU90-DK$103,Frauen!$AZ$9:$BD$102,5)+VLOOKUP($CU90-DK$103+1,Frauen!$AZ$9:$BD$102,5)),RundDx)))</f>
        <v/>
      </c>
      <c r="DL90" s="25" t="str">
        <f>IF($CU90&gt;=RAM,"",IF($CU90-DL$103&lt;BeginnAlter,"",ROUND(v^($CU90+FaktorAlter)*$L90*$D90*0.5*(VLOOKUP($CU90-DL$103,Frauen!$G$9:$J$102,4)+VLOOKUP($CU90-DL$103+1,Frauen!$G$9:$J$102,4))*0.5*(VLOOKUP($CU90-DL$103,Frauen!$AZ$9:$BD$102,5)+VLOOKUP($CU90-DL$103+1,Frauen!$AZ$9:$BD$102,5)),RundDx)))</f>
        <v/>
      </c>
      <c r="DM90" s="25" t="str">
        <f>IF($CU90&gt;=RAM,"",IF($CU90-DM$103&lt;BeginnAlter,"",ROUND(v^($CU90+FaktorAlter)*$L90*$D90*0.5*(VLOOKUP($CU90-DM$103,Frauen!$G$9:$J$102,4)+VLOOKUP($CU90-DM$103+1,Frauen!$G$9:$J$102,4))*0.5*(VLOOKUP($CU90-DM$103,Frauen!$AZ$9:$BD$102,5)+VLOOKUP($CU90-DM$103+1,Frauen!$AZ$9:$BD$102,5)),RundDx)))</f>
        <v/>
      </c>
      <c r="DN90" s="25" t="str">
        <f>IF($CU90&gt;=RAM,"",IF($CU90-DN$103&lt;BeginnAlter,"",ROUND(v^($CU90+FaktorAlter)*$L90*$D90*0.5*(VLOOKUP($CU90-DN$103,Frauen!$G$9:$J$102,4)+VLOOKUP($CU90-DN$103+1,Frauen!$G$9:$J$102,4))*0.5*(VLOOKUP($CU90-DN$103,Frauen!$AZ$9:$BD$102,5)+VLOOKUP($CU90-DN$103+1,Frauen!$AZ$9:$BD$102,5)),RundDx)))</f>
        <v/>
      </c>
      <c r="DO90" s="25" t="str">
        <f>IF($CU90&gt;=RAM,"",IF($CU90-DO$103&lt;BeginnAlter,"",ROUND(v^($CU90+FaktorAlter)*$L90*$D90*0.5*(VLOOKUP($CU90-DO$103,Frauen!$G$9:$J$102,4)+VLOOKUP($CU90-DO$103+1,Frauen!$G$9:$J$102,4))*0.5*(VLOOKUP($CU90-DO$103,Frauen!$AZ$9:$BD$102,5)+VLOOKUP($CU90-DO$103+1,Frauen!$AZ$9:$BD$102,5)),RundDx)))</f>
        <v/>
      </c>
      <c r="DP90" s="25" t="str">
        <f>IF($CU90&gt;=RAM,"",IF($CU90-DP$103&lt;BeginnAlter,"",ROUND(v^($CU90+FaktorAlter)*$L90*$D90*0.5*(VLOOKUP($CU90-DP$103,Frauen!$G$9:$J$102,4)+VLOOKUP($CU90-DP$103+1,Frauen!$G$9:$J$102,4))*0.5*(VLOOKUP($CU90-DP$103,Frauen!$AZ$9:$BD$102,5)+VLOOKUP($CU90-DP$103+1,Frauen!$AZ$9:$BD$102,5)),RundDx)))</f>
        <v/>
      </c>
      <c r="DQ90" s="25" t="str">
        <f>IF($CU90&gt;=RAM,"",IF($CU90-DQ$103&lt;BeginnAlter,"",ROUND(v^($CU90+FaktorAlter)*$L90*$D90*0.5*(VLOOKUP($CU90-DQ$103,Frauen!$G$9:$J$102,4)+VLOOKUP($CU90-DQ$103+1,Frauen!$G$9:$J$102,4))*0.5*(VLOOKUP($CU90-DQ$103,Frauen!$AZ$9:$BD$102,5)+VLOOKUP($CU90-DQ$103+1,Frauen!$AZ$9:$BD$102,5)),RundDx)))</f>
        <v/>
      </c>
      <c r="DR90" s="25" t="str">
        <f>IF($CU90&gt;=RAM,"",IF($CU90-DR$103&lt;BeginnAlter,"",ROUND(v^($CU90+FaktorAlter)*$L90*$D90*0.5*(VLOOKUP($CU90-DR$103,Frauen!$G$9:$J$102,4)+VLOOKUP($CU90-DR$103+1,Frauen!$G$9:$J$102,4))*0.5*(VLOOKUP($CU90-DR$103,Frauen!$AZ$9:$BD$102,5)+VLOOKUP($CU90-DR$103+1,Frauen!$AZ$9:$BD$102,5)),RundDx)))</f>
        <v/>
      </c>
      <c r="DS90" s="25" t="str">
        <f>IF($CU90&gt;=RAM,"",IF($CU90-DS$103&lt;BeginnAlter,"",ROUND(v^($CU90+FaktorAlter)*$L90*$D90*0.5*(VLOOKUP($CU90-DS$103,Frauen!$G$9:$J$102,4)+VLOOKUP($CU90-DS$103+1,Frauen!$G$9:$J$102,4))*0.5*(VLOOKUP($CU90-DS$103,Frauen!$AZ$9:$BD$102,5)+VLOOKUP($CU90-DS$103+1,Frauen!$AZ$9:$BD$102,5)),RundDx)))</f>
        <v/>
      </c>
      <c r="DT90" s="25" t="str">
        <f>IF($CU90&gt;=RAM,"",IF($CU90-DT$103&lt;BeginnAlter,"",ROUND(v^($CU90+FaktorAlter)*$L90*$D90*0.5*(VLOOKUP($CU90-DT$103,Frauen!$G$9:$J$102,4)+VLOOKUP($CU90-DT$103+1,Frauen!$G$9:$J$102,4))*0.5*(VLOOKUP($CU90-DT$103,Frauen!$AZ$9:$BD$102,5)+VLOOKUP($CU90-DT$103+1,Frauen!$AZ$9:$BD$102,5)),RundDx)))</f>
        <v/>
      </c>
      <c r="DU90" s="25" t="str">
        <f>IF($CU90&gt;=RAM,"",IF($CU90-DU$103&lt;BeginnAlter,"",ROUND(v^($CU90+FaktorAlter)*$L90*$D90*0.5*(VLOOKUP($CU90-DU$103,Frauen!$G$9:$J$102,4)+VLOOKUP($CU90-DU$103+1,Frauen!$G$9:$J$102,4))*0.5*(VLOOKUP($CU90-DU$103,Frauen!$AZ$9:$BD$102,5)+VLOOKUP($CU90-DU$103+1,Frauen!$AZ$9:$BD$102,5)),RundDx)))</f>
        <v/>
      </c>
      <c r="DV90" s="25" t="str">
        <f>IF($CU90&gt;=RAM,"",IF($CU90-DV$103&lt;BeginnAlter,"",ROUND(v^($CU90+FaktorAlter)*$L90*$D90*0.5*(VLOOKUP($CU90-DV$103,Frauen!$G$9:$J$102,4)+VLOOKUP($CU90-DV$103+1,Frauen!$G$9:$J$102,4))*0.5*(VLOOKUP($CU90-DV$103,Frauen!$AZ$9:$BD$102,5)+VLOOKUP($CU90-DV$103+1,Frauen!$AZ$9:$BD$102,5)),RundDx)))</f>
        <v/>
      </c>
      <c r="DW90" s="25" t="str">
        <f>IF($CU90&gt;=RAM,"",IF($CU90-DW$103&lt;BeginnAlter,"",ROUND(v^($CU90+FaktorAlter)*$L90*$D90*0.5*(VLOOKUP($CU90-DW$103,Frauen!$G$9:$J$102,4)+VLOOKUP($CU90-DW$103+1,Frauen!$G$9:$J$102,4))*0.5*(VLOOKUP($CU90-DW$103,Frauen!$AZ$9:$BD$102,5)+VLOOKUP($CU90-DW$103+1,Frauen!$AZ$9:$BD$102,5)),RundDx)))</f>
        <v/>
      </c>
      <c r="DX90" s="25" t="str">
        <f>IF($CU90&gt;=RAM,"",IF($CU90-DX$103&lt;BeginnAlter,"",ROUND(v^($CU90+FaktorAlter)*$L90*$D90*0.5*(VLOOKUP($CU90-DX$103,Frauen!$G$9:$J$102,4)+VLOOKUP($CU90-DX$103+1,Frauen!$G$9:$J$102,4))*0.5*(VLOOKUP($CU90-DX$103,Frauen!$AZ$9:$BD$102,5)+VLOOKUP($CU90-DX$103+1,Frauen!$AZ$9:$BD$102,5)),RundDx)))</f>
        <v/>
      </c>
      <c r="DY90" s="25" t="str">
        <f>IF($CU90&gt;=RAM,"",IF($CU90-DY$103&lt;BeginnAlter,"",ROUND(v^($CU90+FaktorAlter)*$L90*$D90*0.5*(VLOOKUP($CU90-DY$103,Frauen!$G$9:$J$102,4)+VLOOKUP($CU90-DY$103+1,Frauen!$G$9:$J$102,4))*0.5*(VLOOKUP($CU90-DY$103,Frauen!$AZ$9:$BD$102,5)+VLOOKUP($CU90-DY$103+1,Frauen!$AZ$9:$BD$102,5)),RundDx)))</f>
        <v/>
      </c>
      <c r="DZ90" s="25" t="str">
        <f>IF($CU90&gt;=RAM,"",IF($CU90-DZ$103&lt;BeginnAlter,"",ROUND(v^($CU90+FaktorAlter)*$L90*$D90*0.5*(VLOOKUP($CU90-DZ$103,Frauen!$G$9:$J$102,4)+VLOOKUP($CU90-DZ$103+1,Frauen!$G$9:$J$102,4))*0.5*(VLOOKUP($CU90-DZ$103,Frauen!$AZ$9:$BD$102,5)+VLOOKUP($CU90-DZ$103+1,Frauen!$AZ$9:$BD$102,5)),RundDx)))</f>
        <v/>
      </c>
      <c r="EA90" s="43" t="str">
        <f>IF($CU90&gt;=RAM,"",IF($CU90-EA$103&lt;BeginnAlter,"",ROUND((SUM(CV$56:CV90)+SUM(FN$9:FN$56))/VLOOKUP($CU90,$AH$9:$AI$102,2)/VLOOKUP($CU90-EA$103,Frauen!$G$9:$J$102,4),Rundäx)))</f>
        <v/>
      </c>
      <c r="EB90" s="43" t="str">
        <f>IF($CU90&gt;=RAM,"",IF($CU90-EB$103&lt;BeginnAlter,"",ROUND((SUM(CW$56:CW90)+SUM(FO$9:FO$56))/VLOOKUP($CU90,$AH$9:$AI$102,2)/VLOOKUP($CU90-EB$103,Frauen!$G$9:$J$102,4),Rundäx)))</f>
        <v/>
      </c>
      <c r="EC90" s="43" t="str">
        <f>IF($CU90&gt;=RAM,"",IF($CU90-EC$103&lt;BeginnAlter,"",ROUND((SUM(CX$56:CX90)+SUM(FP$9:FP$56))/VLOOKUP($CU90,$AH$9:$AI$102,2)/VLOOKUP($CU90-EC$103,Frauen!$G$9:$J$102,4),Rundäx)))</f>
        <v/>
      </c>
      <c r="ED90" s="43" t="str">
        <f>IF($CU90&gt;=RAM,"",IF($CU90-ED$103&lt;BeginnAlter,"",ROUND((SUM(CY$56:CY90)+SUM(FQ$9:FQ$56))/VLOOKUP($CU90,$AH$9:$AI$102,2)/VLOOKUP($CU90-ED$103,Frauen!$G$9:$J$102,4),Rundäx)))</f>
        <v/>
      </c>
      <c r="EE90" s="43" t="str">
        <f>IF($CU90&gt;=RAM,"",IF($CU90-EE$103&lt;BeginnAlter,"",ROUND((SUM(CZ$56:CZ90)+SUM(FR$9:FR$56))/VLOOKUP($CU90,$AH$9:$AI$102,2)/VLOOKUP($CU90-EE$103,Frauen!$G$9:$J$102,4),Rundäx)))</f>
        <v/>
      </c>
      <c r="EF90" s="43" t="str">
        <f>IF($CU90&gt;=RAM,"",IF($CU90-EF$103&lt;BeginnAlter,"",ROUND((SUM(DA$56:DA90)+SUM(FS$9:FS$56))/VLOOKUP($CU90,$AH$9:$AI$102,2)/VLOOKUP($CU90-EF$103,Frauen!$G$9:$J$102,4),Rundäx)))</f>
        <v/>
      </c>
      <c r="EG90" s="43" t="str">
        <f>IF($CU90&gt;=RAM,"",IF($CU90-EG$103&lt;BeginnAlter,"",ROUND((SUM(DB$56:DB90)+SUM(FT$9:FT$56))/VLOOKUP($CU90,$AH$9:$AI$102,2)/VLOOKUP($CU90-EG$103,Frauen!$G$9:$J$102,4),Rundäx)))</f>
        <v/>
      </c>
      <c r="EH90" s="43" t="str">
        <f>IF($CU90&gt;=RAM,"",IF($CU90-EH$103&lt;BeginnAlter,"",ROUND((SUM(DC$56:DC90)+SUM(FU$9:FU$56))/VLOOKUP($CU90,$AH$9:$AI$102,2)/VLOOKUP($CU90-EH$103,Frauen!$G$9:$J$102,4),Rundäx)))</f>
        <v/>
      </c>
      <c r="EI90" s="86"/>
      <c r="EJ90" s="35">
        <f t="shared" si="133"/>
        <v>98</v>
      </c>
      <c r="EK90" s="43" t="str">
        <f>IF($CU90&gt;=RAM,"",IF($CU90-EK$103&lt;BeginnAlter,"",ROUND((SUM(DD$56:DD90)+SUM(FV$9:FV$56))/VLOOKUP($CU90,$AH$9:$AI$102,2)/VLOOKUP($CU90-EK$103,Frauen!$G$9:$J$102,4),Rundäx)))</f>
        <v/>
      </c>
      <c r="EL90" s="43" t="str">
        <f>IF($CU90&gt;=RAM,"",IF($CU90-EL$103&lt;BeginnAlter,"",ROUND((SUM(DE$56:DE90)+SUM(FW$9:FW$56))/VLOOKUP($CU90,$AH$9:$AI$102,2)/VLOOKUP($CU90-EL$103,Frauen!$G$9:$J$102,4),Rundäx)))</f>
        <v/>
      </c>
      <c r="EM90" s="43" t="str">
        <f>IF($CU90&gt;=RAM,"",IF($CU90-EM$103&lt;BeginnAlter,"",ROUND((SUM(DF$56:DF90)+SUM(FX$9:FX$56))/VLOOKUP($CU90,$AH$9:$AI$102,2)/VLOOKUP($CU90-EM$103,Frauen!$G$9:$J$102,4),Rundäx)))</f>
        <v/>
      </c>
      <c r="EN90" s="43" t="str">
        <f>IF($CU90&gt;=RAM,"",IF($CU90-EN$103&lt;BeginnAlter,"",ROUND((SUM(DG$56:DG90)+SUM(FY$9:FY$56))/VLOOKUP($CU90,$AH$9:$AI$102,2)/VLOOKUP($CU90-EN$103,Frauen!$G$9:$J$102,4),Rundäx)))</f>
        <v/>
      </c>
      <c r="EO90" s="43" t="str">
        <f>IF($CU90&gt;=RAM,"",IF($CU90-EO$103&lt;BeginnAlter,"",ROUND((SUM(DH$56:DH90)+SUM(FZ$9:FZ$56))/VLOOKUP($CU90,$AH$9:$AI$102,2)/VLOOKUP($CU90-EO$103,Frauen!$G$9:$J$102,4),Rundäx)))</f>
        <v/>
      </c>
      <c r="EP90" s="43" t="str">
        <f>IF($CU90&gt;=RAM,"",IF($CU90-EP$103&lt;BeginnAlter,"",ROUND((SUM(DI$56:DI90)+SUM(GA$9:GA$56))/VLOOKUP($CU90,$AH$9:$AI$102,2)/VLOOKUP($CU90-EP$103,Frauen!$G$9:$J$102,4),Rundäx)))</f>
        <v/>
      </c>
      <c r="EQ90" s="43" t="str">
        <f>IF($CU90&gt;=RAM,"",IF($CU90-EQ$103&lt;BeginnAlter,"",ROUND((SUM(DJ$56:DJ90)+SUM(GB$9:GB$56))/VLOOKUP($CU90,$AH$9:$AI$102,2)/VLOOKUP($CU90-EQ$103,Frauen!$G$9:$J$102,4),Rundäx)))</f>
        <v/>
      </c>
      <c r="ER90" s="43" t="str">
        <f>IF($CU90&gt;=RAM,"",IF($CU90-ER$103&lt;BeginnAlter,"",ROUND((SUM(DK$56:DK90)+SUM(GC$9:GC$56))/VLOOKUP($CU90,$AH$9:$AI$102,2)/VLOOKUP($CU90-ER$103,Frauen!$G$9:$J$102,4),Rundäx)))</f>
        <v/>
      </c>
      <c r="ES90" s="86"/>
      <c r="ET90" s="35">
        <f t="shared" si="134"/>
        <v>98</v>
      </c>
      <c r="EU90" s="43" t="str">
        <f>IF($CU90&gt;=RAM,"",IF($CU90-EU$103&lt;BeginnAlter,"",ROUND((SUM(DL$56:DL90)+SUM(GD$9:GD$56))/VLOOKUP($CU90,$AH$9:$AI$102,2)/VLOOKUP($CU90-EU$103,Frauen!$G$9:$J$102,4),Rundäx)))</f>
        <v/>
      </c>
      <c r="EV90" s="43" t="str">
        <f>IF($CU90&gt;=RAM,"",IF($CU90-EV$103&lt;BeginnAlter,"",ROUND((SUM(DM$56:DM90)+SUM(GE$9:GE$56))/VLOOKUP($CU90,$AH$9:$AI$102,2)/VLOOKUP($CU90-EV$103,Frauen!$G$9:$J$102,4),Rundäx)))</f>
        <v/>
      </c>
      <c r="EW90" s="43" t="str">
        <f>IF($CU90&gt;=RAM,"",IF($CU90-EW$103&lt;BeginnAlter,"",ROUND((SUM(DN$56:DN90)+SUM(GF$9:GF$56))/VLOOKUP($CU90,$AH$9:$AI$102,2)/VLOOKUP($CU90-EW$103,Frauen!$G$9:$J$102,4),Rundäx)))</f>
        <v/>
      </c>
      <c r="EX90" s="43" t="str">
        <f>IF($CU90&gt;=RAM,"",IF($CU90-EX$103&lt;BeginnAlter,"",ROUND((SUM(DO$56:DO90)+SUM(GG$9:GG$56))/VLOOKUP($CU90,$AH$9:$AI$102,2)/VLOOKUP($CU90-EX$103,Frauen!$G$9:$J$102,4),Rundäx)))</f>
        <v/>
      </c>
      <c r="EY90" s="43" t="str">
        <f>IF($CU90&gt;=RAM,"",IF($CU90-EY$103&lt;BeginnAlter,"",ROUND((SUM(DP$56:DP90)+SUM(GH$9:GH$56))/VLOOKUP($CU90,$AH$9:$AI$102,2)/VLOOKUP($CU90-EY$103,Frauen!$G$9:$J$102,4),Rundäx)))</f>
        <v/>
      </c>
      <c r="EZ90" s="43" t="str">
        <f>IF($CU90&gt;=RAM,"",IF($CU90-EZ$103&lt;BeginnAlter,"",ROUND((SUM(DQ$56:DQ90)+SUM(GI$9:GI$56))/VLOOKUP($CU90,$AH$9:$AI$102,2)/VLOOKUP($CU90-EZ$103,Frauen!$G$9:$J$102,4),Rundäx)))</f>
        <v/>
      </c>
      <c r="FA90" s="43" t="str">
        <f>IF($CU90&gt;=RAM,"",IF($CU90-FA$103&lt;BeginnAlter,"",ROUND((SUM(DR$56:DR90)+SUM(GJ$9:GJ$56))/VLOOKUP($CU90,$AH$9:$AI$102,2)/VLOOKUP($CU90-FA$103,Frauen!$G$9:$J$102,4),Rundäx)))</f>
        <v/>
      </c>
      <c r="FB90" s="43" t="str">
        <f>IF($CU90&gt;=RAM,"",IF($CU90-FB$103&lt;BeginnAlter,"",ROUND((SUM(DS$56:DS90)+SUM(GK$9:GK$56))/VLOOKUP($CU90,$AH$9:$AI$102,2)/VLOOKUP($CU90-FB$103,Frauen!$G$9:$J$102,4),Rundäx)))</f>
        <v/>
      </c>
      <c r="FC90" s="86"/>
      <c r="FD90" s="35">
        <f t="shared" si="135"/>
        <v>98</v>
      </c>
      <c r="FE90" s="43" t="str">
        <f>IF($CU90&gt;=RAM,"",IF($CU90-FE$103&lt;BeginnAlter,"",ROUND((SUM(DT$56:DT90)+SUM(GL$9:GL$56))/VLOOKUP($CU90,$AH$9:$AI$102,2)/VLOOKUP($CU90-FE$103,Frauen!$G$9:$J$102,4),Rundäx)))</f>
        <v/>
      </c>
      <c r="FF90" s="43" t="str">
        <f>IF($CU90&gt;=RAM,"",IF($CU90-FF$103&lt;BeginnAlter,"",ROUND((SUM(DU$56:DU90)+SUM(GM$9:GM$56))/VLOOKUP($CU90,$AH$9:$AI$102,2)/VLOOKUP($CU90-FF$103,Frauen!$G$9:$J$102,4),Rundäx)))</f>
        <v/>
      </c>
      <c r="FG90" s="43" t="str">
        <f>IF($CU90&gt;=RAM,"",IF($CU90-FG$103&lt;BeginnAlter,"",ROUND((SUM(DV$56:DV90)+SUM(GN$9:GN$56))/VLOOKUP($CU90,$AH$9:$AI$102,2)/VLOOKUP($CU90-FG$103,Frauen!$G$9:$J$102,4),Rundäx)))</f>
        <v/>
      </c>
      <c r="FH90" s="43" t="str">
        <f>IF($CU90&gt;=RAM,"",IF($CU90-FH$103&lt;BeginnAlter,"",ROUND((SUM(DW$56:DW90)+SUM(GO$9:GO$56))/VLOOKUP($CU90,$AH$9:$AI$102,2)/VLOOKUP($CU90-FH$103,Frauen!$G$9:$J$102,4),Rundäx)))</f>
        <v/>
      </c>
      <c r="FI90" s="43" t="str">
        <f>IF($CU90&gt;=RAM,"",IF($CU90-FI$103&lt;BeginnAlter,"",ROUND((SUM(DX$56:DX90)+SUM(GP$9:GP$56))/VLOOKUP($CU90,$AH$9:$AI$102,2)/VLOOKUP($CU90-FI$103,Frauen!$G$9:$J$102,4),Rundäx)))</f>
        <v/>
      </c>
      <c r="FJ90" s="43" t="str">
        <f>IF($CU90&gt;=RAM,"",IF($CU90-FJ$103&lt;BeginnAlter,"",ROUND((SUM(DY$56:DY90)+SUM(GQ$9:GQ$56))/VLOOKUP($CU90,$AH$9:$AI$102,2)/VLOOKUP($CU90-FJ$103,Frauen!$G$9:$J$102,4),Rundäx)))</f>
        <v/>
      </c>
      <c r="FK90" s="43" t="str">
        <f>IF($CU90&gt;=RAM,"",IF($CU90-FK$103&lt;BeginnAlter,"",ROUND((SUM(DZ$56:DZ90)+SUM(GR$9:GR$56))/VLOOKUP($CU90,$AH$9:$AI$102,2)/VLOOKUP($CU90-FK$103,Frauen!$G$9:$J$102,4),Rundäx)))</f>
        <v/>
      </c>
      <c r="FL90" s="86"/>
      <c r="FM90" s="35">
        <f t="shared" si="136"/>
        <v>146</v>
      </c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4"/>
      <c r="GT90" s="24"/>
      <c r="GU90" s="24" t="str">
        <f>IF(FM90&gt;=RAM," ",#REF!/$AI90/Frauen!$J78)</f>
        <v xml:space="preserve"> </v>
      </c>
      <c r="GV90" s="24" t="str">
        <f>IF(FM90&gt;=RAM," ",#REF!/$AI90/Frauen!$J81)</f>
        <v xml:space="preserve"> </v>
      </c>
      <c r="GW90" s="24" t="str">
        <f>IF(FM90&gt;=RAM," ",#REF!/$AI90/Frauen!$J84)</f>
        <v xml:space="preserve"> </v>
      </c>
      <c r="GX90" s="24" t="str">
        <f>IF(FM90&gt;=RAM," ",#REF!/$AI90/Frauen!$J87)</f>
        <v xml:space="preserve"> </v>
      </c>
      <c r="GY90" s="24" t="str">
        <f>IF(FM90&gt;=RAM," ",#REF!/$AI90/Frauen!$J90)</f>
        <v xml:space="preserve"> </v>
      </c>
      <c r="GZ90" s="24" t="str">
        <f>IF(FM90&gt;=RAM," ",#REF!/$AI90/Frauen!$J93)</f>
        <v xml:space="preserve"> </v>
      </c>
      <c r="HA90" s="86"/>
      <c r="HB90" s="35">
        <f t="shared" si="137"/>
        <v>146</v>
      </c>
      <c r="HC90" s="24"/>
      <c r="HD90" s="24"/>
      <c r="HE90" s="24"/>
      <c r="HF90" s="24"/>
      <c r="HG90" s="24"/>
      <c r="HH90" s="24"/>
      <c r="HI90" s="24"/>
      <c r="HJ90" s="24"/>
      <c r="HK90" s="86"/>
      <c r="HL90" s="35">
        <f t="shared" si="138"/>
        <v>146</v>
      </c>
      <c r="HM90" s="24"/>
      <c r="HN90" s="24"/>
      <c r="HO90" s="24"/>
      <c r="HP90" s="24"/>
      <c r="HQ90" s="24"/>
      <c r="HR90" s="24"/>
      <c r="HS90" s="24"/>
      <c r="HT90" s="24"/>
      <c r="HU90" s="86"/>
      <c r="HV90" s="35">
        <f t="shared" si="139"/>
        <v>146</v>
      </c>
      <c r="HW90" s="24"/>
      <c r="HX90" s="24"/>
      <c r="HY90" s="24"/>
      <c r="HZ90" s="24"/>
      <c r="IA90" s="24"/>
      <c r="IB90" s="24"/>
      <c r="IC90" s="24"/>
      <c r="ID90" s="89"/>
      <c r="IE90" s="35">
        <f t="shared" si="140"/>
        <v>98</v>
      </c>
      <c r="IF90" s="25" t="str">
        <f t="shared" si="112"/>
        <v/>
      </c>
      <c r="IG90" s="25" t="str">
        <f>IF($IE90&lt;RAM,IF(S91&lt;=RAK,ROUND(SUM(IF90:INDEX(Dakx,RAM-BeginnAlter))+INDEX(Dax,RAM-BeginnAlter+1)*INDEX(äkx,1),RundDx),0),"")</f>
        <v/>
      </c>
      <c r="IH90" s="25" t="str">
        <f>IF($IE90&lt;RAM,IF(S91&lt;=RAK,ROUND(SUM(IG90:INDEX(Nakx,RAM-BeginnAlter))+INDEX(Dax,RAM-BeginnAlter+1)*INDEX(äkx,1),RundDx),0),"")</f>
        <v/>
      </c>
      <c r="II90" s="24" t="str">
        <f t="shared" si="113"/>
        <v/>
      </c>
      <c r="IJ90" s="25" t="str">
        <f t="shared" si="114"/>
        <v/>
      </c>
      <c r="IK90" s="25" t="str">
        <f>IF($IE90&lt;RAM,IF(S91&lt;=RAK,SUM(IJ90:INDEX(Dikx,RAM-BeginnAlter))+INDEX(Dix,RAM-BeginnAlter+1)*INDEX(äkx,1),0),"")</f>
        <v/>
      </c>
      <c r="IL90" s="24" t="str">
        <f t="shared" si="115"/>
        <v/>
      </c>
      <c r="IM90" s="86"/>
      <c r="IN90" s="35">
        <f t="shared" si="141"/>
        <v>146</v>
      </c>
      <c r="IO90" s="25"/>
      <c r="IP90" s="25"/>
      <c r="IQ90" s="24"/>
      <c r="IR90" s="86"/>
    </row>
    <row r="91" spans="1:252" ht="15.75" customHeight="1" x14ac:dyDescent="0.25">
      <c r="A91" s="35">
        <f t="shared" si="120"/>
        <v>99</v>
      </c>
      <c r="B91" s="77"/>
      <c r="C91" s="77"/>
      <c r="D91" s="77"/>
      <c r="E91" s="77">
        <v>0.53158993495252216</v>
      </c>
      <c r="F91" s="86"/>
      <c r="G91" s="35">
        <f t="shared" si="121"/>
        <v>99</v>
      </c>
      <c r="H91" s="25" t="str">
        <f t="shared" si="116"/>
        <v/>
      </c>
      <c r="I91" s="25" t="str">
        <f t="shared" si="117"/>
        <v/>
      </c>
      <c r="J91" s="25">
        <f t="shared" si="118"/>
        <v>587</v>
      </c>
      <c r="K91" s="30">
        <f>IF(J91&gt;0,ROUND(SUM(J91:J$102)/J91-0.5,Rundex),"")</f>
        <v>1.24</v>
      </c>
      <c r="L91" s="25">
        <f t="shared" si="82"/>
        <v>587</v>
      </c>
      <c r="M91" s="30">
        <f>IF(L91&gt;0,ROUND(SUM(L91:L$102)/L91-0.5,Rundex),"")</f>
        <v>1.24</v>
      </c>
      <c r="N91" s="86"/>
      <c r="O91" s="35">
        <f t="shared" si="122"/>
        <v>99</v>
      </c>
      <c r="P91" s="43">
        <v>0.13692104156828488</v>
      </c>
      <c r="Q91" s="78">
        <v>91.766823952322554</v>
      </c>
      <c r="R91" s="43"/>
      <c r="S91" s="78"/>
      <c r="T91" s="15">
        <v>0.53158993495252216</v>
      </c>
      <c r="U91" s="11">
        <f t="shared" si="119"/>
        <v>445</v>
      </c>
      <c r="V91" s="30">
        <f>IF(U91&gt;0,ROUND(SUM(U91:U$102)/U91-0.5,Rundex),"")</f>
        <v>1.24</v>
      </c>
      <c r="W91" s="86"/>
      <c r="X91" s="35">
        <f t="shared" si="123"/>
        <v>99</v>
      </c>
      <c r="Y91" s="25" t="str">
        <f t="shared" si="83"/>
        <v xml:space="preserve"> </v>
      </c>
      <c r="Z91" s="25" t="str">
        <f>IF($X91&lt;RAM,SUM(Y91:INDEX(Dax,RAM-BeginnAlter))," ")</f>
        <v xml:space="preserve"> </v>
      </c>
      <c r="AA91" s="25" t="str">
        <f t="shared" si="84"/>
        <v xml:space="preserve"> </v>
      </c>
      <c r="AB91" s="25" t="str">
        <f>IF($X91&lt;RAM,SUM(AA91:INDEX(Cax,RAM-BeginnAlter))," ")</f>
        <v xml:space="preserve"> </v>
      </c>
      <c r="AC91" s="25" t="str">
        <f t="shared" si="85"/>
        <v xml:space="preserve"> </v>
      </c>
      <c r="AD91" s="25" t="str">
        <f>IF($X91&lt;RAM,SUM(AC91:INDEX(Caix,RAM-BeginnAlter))," ")</f>
        <v xml:space="preserve"> </v>
      </c>
      <c r="AE91" s="24" t="str">
        <f t="shared" si="86"/>
        <v xml:space="preserve"> </v>
      </c>
      <c r="AF91" s="24" t="str">
        <f t="shared" si="87"/>
        <v xml:space="preserve"> </v>
      </c>
      <c r="AG91" s="86"/>
      <c r="AH91" s="35">
        <f t="shared" si="124"/>
        <v>99</v>
      </c>
      <c r="AI91" s="25" t="str">
        <f t="shared" si="88"/>
        <v xml:space="preserve"> </v>
      </c>
      <c r="AJ91" s="25" t="str">
        <f>IF($AH91&gt;RAM," ",IF($AH91&lt;RAM,SUM(AI91:INDEX(Dix,RAM-BeginnAlter))+INDEX(Nx,RAM-BeginnAlter+1),INDEX(Nx,RAM-BeginnAlter+1)))</f>
        <v xml:space="preserve"> </v>
      </c>
      <c r="AK91" s="25" t="str">
        <f>IF($AH91&lt;RAM,SUM(AI91:INDEX(Dix,RAM-BeginnAlter))," ")</f>
        <v xml:space="preserve"> </v>
      </c>
      <c r="AL91" s="24" t="str">
        <f t="shared" si="89"/>
        <v xml:space="preserve"> </v>
      </c>
      <c r="AM91" s="24" t="str">
        <f t="shared" si="90"/>
        <v xml:space="preserve"> </v>
      </c>
      <c r="AN91" s="24" t="str">
        <f t="shared" si="91"/>
        <v xml:space="preserve"> </v>
      </c>
      <c r="AO91" s="24" t="str">
        <f t="shared" si="92"/>
        <v xml:space="preserve"> </v>
      </c>
      <c r="AP91" s="86"/>
      <c r="AQ91" s="35">
        <f t="shared" si="125"/>
        <v>99</v>
      </c>
      <c r="AR91" s="25">
        <f t="shared" si="93"/>
        <v>65</v>
      </c>
      <c r="AS91" s="25">
        <f>SUM(AR91:AR$94)</f>
        <v>111</v>
      </c>
      <c r="AT91" s="25" t="str">
        <f>IF($AQ91&lt;RAM,SUM(AR91:INDEX(Dx,RAM-BeginnAlter))," ")</f>
        <v xml:space="preserve"> </v>
      </c>
      <c r="AU91" s="24">
        <f t="shared" si="94"/>
        <v>1.708</v>
      </c>
      <c r="AV91" s="24">
        <f t="shared" si="95"/>
        <v>1.2490000000000001</v>
      </c>
      <c r="AW91" s="24" t="str">
        <f t="shared" si="96"/>
        <v xml:space="preserve"> </v>
      </c>
      <c r="AX91" s="24" t="str">
        <f t="shared" si="97"/>
        <v xml:space="preserve"> </v>
      </c>
      <c r="AY91" s="86"/>
      <c r="AZ91" s="35">
        <f t="shared" si="126"/>
        <v>99</v>
      </c>
      <c r="BA91" s="25">
        <f t="shared" si="98"/>
        <v>49</v>
      </c>
      <c r="BB91" s="25">
        <f>SUM(BA91:BA$94)</f>
        <v>83</v>
      </c>
      <c r="BC91" s="24">
        <f t="shared" si="99"/>
        <v>1.694</v>
      </c>
      <c r="BD91" s="24">
        <f t="shared" si="100"/>
        <v>1.236</v>
      </c>
      <c r="BE91" s="86"/>
      <c r="BF91" s="35">
        <f t="shared" si="127"/>
        <v>82</v>
      </c>
      <c r="BG91" s="24" t="str">
        <f t="shared" si="101"/>
        <v/>
      </c>
      <c r="BH91" s="24" t="str">
        <f t="shared" si="102"/>
        <v/>
      </c>
      <c r="BI91" s="86"/>
      <c r="BJ91" s="35">
        <f t="shared" si="128"/>
        <v>99</v>
      </c>
      <c r="BK91" s="25" t="str">
        <f t="shared" si="103"/>
        <v xml:space="preserve"> </v>
      </c>
      <c r="BL91" s="25" t="str">
        <f>IF(BJ91&lt;RAM,SUM(BK91:INDEX(Daix,RAM-BeginnAlter))," ")</f>
        <v xml:space="preserve"> </v>
      </c>
      <c r="BM91" s="25" t="str">
        <f>IF(BJ91&lt;RAM,SUM(BL91:INDEX(Naix,RAM-BeginnAlter))," ")</f>
        <v xml:space="preserve"> </v>
      </c>
      <c r="BN91" s="24" t="str">
        <f t="shared" si="104"/>
        <v xml:space="preserve"> </v>
      </c>
      <c r="BO91" s="24" t="str">
        <f t="shared" si="105"/>
        <v xml:space="preserve"> </v>
      </c>
      <c r="BP91" s="86"/>
      <c r="BQ91" s="35">
        <f t="shared" si="129"/>
        <v>99</v>
      </c>
      <c r="BR91" s="25" t="str">
        <f t="shared" si="142"/>
        <v xml:space="preserve"> </v>
      </c>
      <c r="BS91" s="25" t="str">
        <f>IF(BQ91&lt;RAM,SUM(BR91:INDEX(Daixs,RAM-BeginnAlter))," ")</f>
        <v xml:space="preserve"> </v>
      </c>
      <c r="BT91" s="25" t="str">
        <f>IF(BQ91&lt;RAM,SUM(BS91:INDEX(Naixs,RAM-BeginnAlter))," ")</f>
        <v xml:space="preserve"> </v>
      </c>
      <c r="BU91" s="24" t="str">
        <f t="shared" si="143"/>
        <v xml:space="preserve"> </v>
      </c>
      <c r="BV91" s="24" t="str">
        <f t="shared" si="144"/>
        <v xml:space="preserve"> </v>
      </c>
      <c r="BW91" s="86"/>
      <c r="BX91" s="35">
        <f t="shared" si="130"/>
        <v>99</v>
      </c>
      <c r="BY91" s="10" t="str">
        <f t="shared" si="106"/>
        <v/>
      </c>
      <c r="BZ91" s="11" t="str">
        <f t="shared" si="107"/>
        <v/>
      </c>
      <c r="CA91" s="25" t="str">
        <f>IF(S92&lt;=RAK,IF($BX91&lt;RAM,SUM(BZ91:INDEX(Dazx,RAM-BeginnAlter)),""),"")</f>
        <v/>
      </c>
      <c r="CB91" s="24" t="str">
        <f t="shared" si="108"/>
        <v/>
      </c>
      <c r="CC91" s="25">
        <f t="shared" si="109"/>
        <v>0</v>
      </c>
      <c r="CD91" s="24">
        <f t="shared" si="110"/>
        <v>0</v>
      </c>
      <c r="CE91" s="24" t="str">
        <f t="shared" si="111"/>
        <v/>
      </c>
      <c r="CF91" s="86"/>
      <c r="CG91" s="35">
        <f t="shared" si="131"/>
        <v>99</v>
      </c>
      <c r="CH91" s="25" t="str">
        <f>IF(CG91&lt;RAM,ROUND(v^($CG91+FaktorAlter)*$H91*($B91*0.5*($P91+$P92)*(VLOOKUP(TRUNC(0.5*($Q91+$Q92),0),Frauen!$AZ$9:$BD$95,5)+(0.5*($Q91+$Q92)-TRUNC(0.5*($Q91+$Q92),0))*(VLOOKUP(TRUNC(0.5*($Q91+$Q92)+1,0),Frauen!$AZ$9:$BD$95,5)-VLOOKUP(TRUNC(0.5*($Q91+$Q92),0),Frauen!$AZ$9:$BD$95,5)))+$C91*0.5*($CN91+$CN92)),RundDx),"")</f>
        <v/>
      </c>
      <c r="CI91" s="25" t="str">
        <f>IF(CG91&lt;RAM,ROUND(SUM(CH91:INDEX(Dawx,RAM-BeginnAlter))+INDEX(Dax,RAM-BeginnAlter+1)*INDEX(äwx,1),RundDx),"")</f>
        <v/>
      </c>
      <c r="CJ91" s="25" t="str">
        <f>IF(CG91&lt;RAM,ROUND(SUM(CI91:INDEX(Nawx,RAM-BeginnAlter))+INDEX(Dax,RAM-BeginnAlter+1)*INDEX(äwx,1),RundDx),"")</f>
        <v/>
      </c>
      <c r="CK91" s="24" t="str">
        <f t="shared" si="145"/>
        <v/>
      </c>
      <c r="CL91" s="25" t="str">
        <f>IF(CG91&lt;RAM,ROUND(v^($CG91+FaktorAlter)*$L91*$D91*0.5*($P91+$P92)*(VLOOKUP(TRUNC(0.5*($Q91+$Q92),0),Frauen!$AZ$9:$BD$95,5)+(0.5*($Q91+$Q92)-TRUNC(0.5*($Q91+$Q92),0))*(VLOOKUP(TRUNC(0.5*($Q91+$Q92)+1,0),Frauen!$AZ$9:$BD$95,5)-VLOOKUP(TRUNC(0.5*($Q91+$Q92),0),Frauen!$AZ$9:$BD$95,5))),RundDx),"")</f>
        <v/>
      </c>
      <c r="CM91" s="25" t="str">
        <f>IF(CG91&lt;RAM,SUM(CL91:INDEX(Diwx,RAM-BeginnAlter))+INDEX(Dix,RAM-BeginnAlter+1)*INDEX(äwx,1),"")</f>
        <v/>
      </c>
      <c r="CN91" s="24" t="str">
        <f t="shared" si="146"/>
        <v/>
      </c>
      <c r="CO91" s="86"/>
      <c r="CP91" s="35">
        <f t="shared" si="147"/>
        <v>147</v>
      </c>
      <c r="CQ91" s="25"/>
      <c r="CR91" s="25"/>
      <c r="CS91" s="24"/>
      <c r="CT91" s="86"/>
      <c r="CU91" s="35">
        <f t="shared" si="132"/>
        <v>99</v>
      </c>
      <c r="CV91" s="25" t="str">
        <f>IF($CU91&gt;=RAM,"",IF($CU91-CV$103&lt;BeginnAlter,"",ROUND(v^($CU91+FaktorAlter)*$L91*$D91*0.5*(VLOOKUP($CU91-CV$103,Frauen!$G$9:$J$102,4)+VLOOKUP($CU91-CV$103+1,Frauen!$G$9:$J$102,4))*0.5*(VLOOKUP($CU91-CV$103,Frauen!$AZ$9:$BD$102,5)+VLOOKUP($CU91-CV$103+1,Frauen!$AZ$9:$BD$102,5)),RundDx)))</f>
        <v/>
      </c>
      <c r="CW91" s="25" t="str">
        <f>IF($CU91&gt;=RAM,"",IF($CU91-CW$103&lt;BeginnAlter,"",ROUND(v^($CU91+FaktorAlter)*$L91*$D91*0.5*(VLOOKUP($CU91-CW$103,Frauen!$G$9:$J$102,4)+VLOOKUP($CU91-CW$103+1,Frauen!$G$9:$J$102,4))*0.5*(VLOOKUP($CU91-CW$103,Frauen!$AZ$9:$BD$102,5)+VLOOKUP($CU91-CW$103+1,Frauen!$AZ$9:$BD$102,5)),RundDx)))</f>
        <v/>
      </c>
      <c r="CX91" s="25" t="str">
        <f>IF($CU91&gt;=RAM,"",IF($CU91-CX$103&lt;BeginnAlter,"",ROUND(v^($CU91+FaktorAlter)*$L91*$D91*0.5*(VLOOKUP($CU91-CX$103,Frauen!$G$9:$J$102,4)+VLOOKUP($CU91-CX$103+1,Frauen!$G$9:$J$102,4))*0.5*(VLOOKUP($CU91-CX$103,Frauen!$AZ$9:$BD$102,5)+VLOOKUP($CU91-CX$103+1,Frauen!$AZ$9:$BD$102,5)),RundDx)))</f>
        <v/>
      </c>
      <c r="CY91" s="25" t="str">
        <f>IF($CU91&gt;=RAM,"",IF($CU91-CY$103&lt;BeginnAlter,"",ROUND(v^($CU91+FaktorAlter)*$L91*$D91*0.5*(VLOOKUP($CU91-CY$103,Frauen!$G$9:$J$102,4)+VLOOKUP($CU91-CY$103+1,Frauen!$G$9:$J$102,4))*0.5*(VLOOKUP($CU91-CY$103,Frauen!$AZ$9:$BD$102,5)+VLOOKUP($CU91-CY$103+1,Frauen!$AZ$9:$BD$102,5)),RundDx)))</f>
        <v/>
      </c>
      <c r="CZ91" s="25" t="str">
        <f>IF($CU91&gt;=RAM,"",IF($CU91-CZ$103&lt;BeginnAlter,"",ROUND(v^($CU91+FaktorAlter)*$L91*$D91*0.5*(VLOOKUP($CU91-CZ$103,Frauen!$G$9:$J$102,4)+VLOOKUP($CU91-CZ$103+1,Frauen!$G$9:$J$102,4))*0.5*(VLOOKUP($CU91-CZ$103,Frauen!$AZ$9:$BD$102,5)+VLOOKUP($CU91-CZ$103+1,Frauen!$AZ$9:$BD$102,5)),RundDx)))</f>
        <v/>
      </c>
      <c r="DA91" s="25" t="str">
        <f>IF($CU91&gt;=RAM,"",IF($CU91-DA$103&lt;BeginnAlter,"",ROUND(v^($CU91+FaktorAlter)*$L91*$D91*0.5*(VLOOKUP($CU91-DA$103,Frauen!$G$9:$J$102,4)+VLOOKUP($CU91-DA$103+1,Frauen!$G$9:$J$102,4))*0.5*(VLOOKUP($CU91-DA$103,Frauen!$AZ$9:$BD$102,5)+VLOOKUP($CU91-DA$103+1,Frauen!$AZ$9:$BD$102,5)),RundDx)))</f>
        <v/>
      </c>
      <c r="DB91" s="25" t="str">
        <f>IF($CU91&gt;=RAM,"",IF($CU91-DB$103&lt;BeginnAlter,"",ROUND(v^($CU91+FaktorAlter)*$L91*$D91*0.5*(VLOOKUP($CU91-DB$103,Frauen!$G$9:$J$102,4)+VLOOKUP($CU91-DB$103+1,Frauen!$G$9:$J$102,4))*0.5*(VLOOKUP($CU91-DB$103,Frauen!$AZ$9:$BD$102,5)+VLOOKUP($CU91-DB$103+1,Frauen!$AZ$9:$BD$102,5)),RundDx)))</f>
        <v/>
      </c>
      <c r="DC91" s="25" t="str">
        <f>IF($CU91&gt;=RAM,"",IF($CU91-DC$103&lt;BeginnAlter,"",ROUND(v^($CU91+FaktorAlter)*$L91*$D91*0.5*(VLOOKUP($CU91-DC$103,Frauen!$G$9:$J$102,4)+VLOOKUP($CU91-DC$103+1,Frauen!$G$9:$J$102,4))*0.5*(VLOOKUP($CU91-DC$103,Frauen!$AZ$9:$BD$102,5)+VLOOKUP($CU91-DC$103+1,Frauen!$AZ$9:$BD$102,5)),RundDx)))</f>
        <v/>
      </c>
      <c r="DD91" s="25" t="str">
        <f>IF($CU91&gt;=RAM,"",IF($CU91-DD$103&lt;BeginnAlter,"",ROUND(v^($CU91+FaktorAlter)*$L91*$D91*0.5*(VLOOKUP($CU91-DD$103,Frauen!$G$9:$J$102,4)+VLOOKUP($CU91-DD$103+1,Frauen!$G$9:$J$102,4))*0.5*(VLOOKUP($CU91-DD$103,Frauen!$AZ$9:$BD$102,5)+VLOOKUP($CU91-DD$103+1,Frauen!$AZ$9:$BD$102,5)),RundDx)))</f>
        <v/>
      </c>
      <c r="DE91" s="25" t="str">
        <f>IF($CU91&gt;=RAM,"",IF($CU91-DE$103&lt;BeginnAlter,"",ROUND(v^($CU91+FaktorAlter)*$L91*$D91*0.5*(VLOOKUP($CU91-DE$103,Frauen!$G$9:$J$102,4)+VLOOKUP($CU91-DE$103+1,Frauen!$G$9:$J$102,4))*0.5*(VLOOKUP($CU91-DE$103,Frauen!$AZ$9:$BD$102,5)+VLOOKUP($CU91-DE$103+1,Frauen!$AZ$9:$BD$102,5)),RundDx)))</f>
        <v/>
      </c>
      <c r="DF91" s="25" t="str">
        <f>IF($CU91&gt;=RAM,"",IF($CU91-DF$103&lt;BeginnAlter,"",ROUND(v^($CU91+FaktorAlter)*$L91*$D91*0.5*(VLOOKUP($CU91-DF$103,Frauen!$G$9:$J$102,4)+VLOOKUP($CU91-DF$103+1,Frauen!$G$9:$J$102,4))*0.5*(VLOOKUP($CU91-DF$103,Frauen!$AZ$9:$BD$102,5)+VLOOKUP($CU91-DF$103+1,Frauen!$AZ$9:$BD$102,5)),RundDx)))</f>
        <v/>
      </c>
      <c r="DG91" s="25" t="str">
        <f>IF($CU91&gt;=RAM,"",IF($CU91-DG$103&lt;BeginnAlter,"",ROUND(v^($CU91+FaktorAlter)*$L91*$D91*0.5*(VLOOKUP($CU91-DG$103,Frauen!$G$9:$J$102,4)+VLOOKUP($CU91-DG$103+1,Frauen!$G$9:$J$102,4))*0.5*(VLOOKUP($CU91-DG$103,Frauen!$AZ$9:$BD$102,5)+VLOOKUP($CU91-DG$103+1,Frauen!$AZ$9:$BD$102,5)),RundDx)))</f>
        <v/>
      </c>
      <c r="DH91" s="25" t="str">
        <f>IF($CU91&gt;=RAM,"",IF($CU91-DH$103&lt;BeginnAlter,"",ROUND(v^($CU91+FaktorAlter)*$L91*$D91*0.5*(VLOOKUP($CU91-DH$103,Frauen!$G$9:$J$102,4)+VLOOKUP($CU91-DH$103+1,Frauen!$G$9:$J$102,4))*0.5*(VLOOKUP($CU91-DH$103,Frauen!$AZ$9:$BD$102,5)+VLOOKUP($CU91-DH$103+1,Frauen!$AZ$9:$BD$102,5)),RundDx)))</f>
        <v/>
      </c>
      <c r="DI91" s="25" t="str">
        <f>IF($CU91&gt;=RAM,"",IF($CU91-DI$103&lt;BeginnAlter,"",ROUND(v^($CU91+FaktorAlter)*$L91*$D91*0.5*(VLOOKUP($CU91-DI$103,Frauen!$G$9:$J$102,4)+VLOOKUP($CU91-DI$103+1,Frauen!$G$9:$J$102,4))*0.5*(VLOOKUP($CU91-DI$103,Frauen!$AZ$9:$BD$102,5)+VLOOKUP($CU91-DI$103+1,Frauen!$AZ$9:$BD$102,5)),RundDx)))</f>
        <v/>
      </c>
      <c r="DJ91" s="25" t="str">
        <f>IF($CU91&gt;=RAM,"",IF($CU91-DJ$103&lt;BeginnAlter,"",ROUND(v^($CU91+FaktorAlter)*$L91*$D91*0.5*(VLOOKUP($CU91-DJ$103,Frauen!$G$9:$J$102,4)+VLOOKUP($CU91-DJ$103+1,Frauen!$G$9:$J$102,4))*0.5*(VLOOKUP($CU91-DJ$103,Frauen!$AZ$9:$BD$102,5)+VLOOKUP($CU91-DJ$103+1,Frauen!$AZ$9:$BD$102,5)),RundDx)))</f>
        <v/>
      </c>
      <c r="DK91" s="25" t="str">
        <f>IF($CU91&gt;=RAM,"",IF($CU91-DK$103&lt;BeginnAlter,"",ROUND(v^($CU91+FaktorAlter)*$L91*$D91*0.5*(VLOOKUP($CU91-DK$103,Frauen!$G$9:$J$102,4)+VLOOKUP($CU91-DK$103+1,Frauen!$G$9:$J$102,4))*0.5*(VLOOKUP($CU91-DK$103,Frauen!$AZ$9:$BD$102,5)+VLOOKUP($CU91-DK$103+1,Frauen!$AZ$9:$BD$102,5)),RundDx)))</f>
        <v/>
      </c>
      <c r="DL91" s="25" t="str">
        <f>IF($CU91&gt;=RAM,"",IF($CU91-DL$103&lt;BeginnAlter,"",ROUND(v^($CU91+FaktorAlter)*$L91*$D91*0.5*(VLOOKUP($CU91-DL$103,Frauen!$G$9:$J$102,4)+VLOOKUP($CU91-DL$103+1,Frauen!$G$9:$J$102,4))*0.5*(VLOOKUP($CU91-DL$103,Frauen!$AZ$9:$BD$102,5)+VLOOKUP($CU91-DL$103+1,Frauen!$AZ$9:$BD$102,5)),RundDx)))</f>
        <v/>
      </c>
      <c r="DM91" s="25" t="str">
        <f>IF($CU91&gt;=RAM,"",IF($CU91-DM$103&lt;BeginnAlter,"",ROUND(v^($CU91+FaktorAlter)*$L91*$D91*0.5*(VLOOKUP($CU91-DM$103,Frauen!$G$9:$J$102,4)+VLOOKUP($CU91-DM$103+1,Frauen!$G$9:$J$102,4))*0.5*(VLOOKUP($CU91-DM$103,Frauen!$AZ$9:$BD$102,5)+VLOOKUP($CU91-DM$103+1,Frauen!$AZ$9:$BD$102,5)),RundDx)))</f>
        <v/>
      </c>
      <c r="DN91" s="25" t="str">
        <f>IF($CU91&gt;=RAM,"",IF($CU91-DN$103&lt;BeginnAlter,"",ROUND(v^($CU91+FaktorAlter)*$L91*$D91*0.5*(VLOOKUP($CU91-DN$103,Frauen!$G$9:$J$102,4)+VLOOKUP($CU91-DN$103+1,Frauen!$G$9:$J$102,4))*0.5*(VLOOKUP($CU91-DN$103,Frauen!$AZ$9:$BD$102,5)+VLOOKUP($CU91-DN$103+1,Frauen!$AZ$9:$BD$102,5)),RundDx)))</f>
        <v/>
      </c>
      <c r="DO91" s="25" t="str">
        <f>IF($CU91&gt;=RAM,"",IF($CU91-DO$103&lt;BeginnAlter,"",ROUND(v^($CU91+FaktorAlter)*$L91*$D91*0.5*(VLOOKUP($CU91-DO$103,Frauen!$G$9:$J$102,4)+VLOOKUP($CU91-DO$103+1,Frauen!$G$9:$J$102,4))*0.5*(VLOOKUP($CU91-DO$103,Frauen!$AZ$9:$BD$102,5)+VLOOKUP($CU91-DO$103+1,Frauen!$AZ$9:$BD$102,5)),RundDx)))</f>
        <v/>
      </c>
      <c r="DP91" s="25" t="str">
        <f>IF($CU91&gt;=RAM,"",IF($CU91-DP$103&lt;BeginnAlter,"",ROUND(v^($CU91+FaktorAlter)*$L91*$D91*0.5*(VLOOKUP($CU91-DP$103,Frauen!$G$9:$J$102,4)+VLOOKUP($CU91-DP$103+1,Frauen!$G$9:$J$102,4))*0.5*(VLOOKUP($CU91-DP$103,Frauen!$AZ$9:$BD$102,5)+VLOOKUP($CU91-DP$103+1,Frauen!$AZ$9:$BD$102,5)),RundDx)))</f>
        <v/>
      </c>
      <c r="DQ91" s="25" t="str">
        <f>IF($CU91&gt;=RAM,"",IF($CU91-DQ$103&lt;BeginnAlter,"",ROUND(v^($CU91+FaktorAlter)*$L91*$D91*0.5*(VLOOKUP($CU91-DQ$103,Frauen!$G$9:$J$102,4)+VLOOKUP($CU91-DQ$103+1,Frauen!$G$9:$J$102,4))*0.5*(VLOOKUP($CU91-DQ$103,Frauen!$AZ$9:$BD$102,5)+VLOOKUP($CU91-DQ$103+1,Frauen!$AZ$9:$BD$102,5)),RundDx)))</f>
        <v/>
      </c>
      <c r="DR91" s="25" t="str">
        <f>IF($CU91&gt;=RAM,"",IF($CU91-DR$103&lt;BeginnAlter,"",ROUND(v^($CU91+FaktorAlter)*$L91*$D91*0.5*(VLOOKUP($CU91-DR$103,Frauen!$G$9:$J$102,4)+VLOOKUP($CU91-DR$103+1,Frauen!$G$9:$J$102,4))*0.5*(VLOOKUP($CU91-DR$103,Frauen!$AZ$9:$BD$102,5)+VLOOKUP($CU91-DR$103+1,Frauen!$AZ$9:$BD$102,5)),RundDx)))</f>
        <v/>
      </c>
      <c r="DS91" s="25" t="str">
        <f>IF($CU91&gt;=RAM,"",IF($CU91-DS$103&lt;BeginnAlter,"",ROUND(v^($CU91+FaktorAlter)*$L91*$D91*0.5*(VLOOKUP($CU91-DS$103,Frauen!$G$9:$J$102,4)+VLOOKUP($CU91-DS$103+1,Frauen!$G$9:$J$102,4))*0.5*(VLOOKUP($CU91-DS$103,Frauen!$AZ$9:$BD$102,5)+VLOOKUP($CU91-DS$103+1,Frauen!$AZ$9:$BD$102,5)),RundDx)))</f>
        <v/>
      </c>
      <c r="DT91" s="25" t="str">
        <f>IF($CU91&gt;=RAM,"",IF($CU91-DT$103&lt;BeginnAlter,"",ROUND(v^($CU91+FaktorAlter)*$L91*$D91*0.5*(VLOOKUP($CU91-DT$103,Frauen!$G$9:$J$102,4)+VLOOKUP($CU91-DT$103+1,Frauen!$G$9:$J$102,4))*0.5*(VLOOKUP($CU91-DT$103,Frauen!$AZ$9:$BD$102,5)+VLOOKUP($CU91-DT$103+1,Frauen!$AZ$9:$BD$102,5)),RundDx)))</f>
        <v/>
      </c>
      <c r="DU91" s="25" t="str">
        <f>IF($CU91&gt;=RAM,"",IF($CU91-DU$103&lt;BeginnAlter,"",ROUND(v^($CU91+FaktorAlter)*$L91*$D91*0.5*(VLOOKUP($CU91-DU$103,Frauen!$G$9:$J$102,4)+VLOOKUP($CU91-DU$103+1,Frauen!$G$9:$J$102,4))*0.5*(VLOOKUP($CU91-DU$103,Frauen!$AZ$9:$BD$102,5)+VLOOKUP($CU91-DU$103+1,Frauen!$AZ$9:$BD$102,5)),RundDx)))</f>
        <v/>
      </c>
      <c r="DV91" s="25" t="str">
        <f>IF($CU91&gt;=RAM,"",IF($CU91-DV$103&lt;BeginnAlter,"",ROUND(v^($CU91+FaktorAlter)*$L91*$D91*0.5*(VLOOKUP($CU91-DV$103,Frauen!$G$9:$J$102,4)+VLOOKUP($CU91-DV$103+1,Frauen!$G$9:$J$102,4))*0.5*(VLOOKUP($CU91-DV$103,Frauen!$AZ$9:$BD$102,5)+VLOOKUP($CU91-DV$103+1,Frauen!$AZ$9:$BD$102,5)),RundDx)))</f>
        <v/>
      </c>
      <c r="DW91" s="25" t="str">
        <f>IF($CU91&gt;=RAM,"",IF($CU91-DW$103&lt;BeginnAlter,"",ROUND(v^($CU91+FaktorAlter)*$L91*$D91*0.5*(VLOOKUP($CU91-DW$103,Frauen!$G$9:$J$102,4)+VLOOKUP($CU91-DW$103+1,Frauen!$G$9:$J$102,4))*0.5*(VLOOKUP($CU91-DW$103,Frauen!$AZ$9:$BD$102,5)+VLOOKUP($CU91-DW$103+1,Frauen!$AZ$9:$BD$102,5)),RundDx)))</f>
        <v/>
      </c>
      <c r="DX91" s="25" t="str">
        <f>IF($CU91&gt;=RAM,"",IF($CU91-DX$103&lt;BeginnAlter,"",ROUND(v^($CU91+FaktorAlter)*$L91*$D91*0.5*(VLOOKUP($CU91-DX$103,Frauen!$G$9:$J$102,4)+VLOOKUP($CU91-DX$103+1,Frauen!$G$9:$J$102,4))*0.5*(VLOOKUP($CU91-DX$103,Frauen!$AZ$9:$BD$102,5)+VLOOKUP($CU91-DX$103+1,Frauen!$AZ$9:$BD$102,5)),RundDx)))</f>
        <v/>
      </c>
      <c r="DY91" s="25" t="str">
        <f>IF($CU91&gt;=RAM,"",IF($CU91-DY$103&lt;BeginnAlter,"",ROUND(v^($CU91+FaktorAlter)*$L91*$D91*0.5*(VLOOKUP($CU91-DY$103,Frauen!$G$9:$J$102,4)+VLOOKUP($CU91-DY$103+1,Frauen!$G$9:$J$102,4))*0.5*(VLOOKUP($CU91-DY$103,Frauen!$AZ$9:$BD$102,5)+VLOOKUP($CU91-DY$103+1,Frauen!$AZ$9:$BD$102,5)),RundDx)))</f>
        <v/>
      </c>
      <c r="DZ91" s="25" t="str">
        <f>IF($CU91&gt;=RAM,"",IF($CU91-DZ$103&lt;BeginnAlter,"",ROUND(v^($CU91+FaktorAlter)*$L91*$D91*0.5*(VLOOKUP($CU91-DZ$103,Frauen!$G$9:$J$102,4)+VLOOKUP($CU91-DZ$103+1,Frauen!$G$9:$J$102,4))*0.5*(VLOOKUP($CU91-DZ$103,Frauen!$AZ$9:$BD$102,5)+VLOOKUP($CU91-DZ$103+1,Frauen!$AZ$9:$BD$102,5)),RundDx)))</f>
        <v/>
      </c>
      <c r="EA91" s="43" t="str">
        <f>IF($CU91&gt;=RAM,"",IF($CU91-EA$103&lt;BeginnAlter,"",ROUND((SUM(CV$56:CV91)+SUM(FN$9:FN$56))/VLOOKUP($CU91,$AH$9:$AI$102,2)/VLOOKUP($CU91-EA$103,Frauen!$G$9:$J$102,4),Rundäx)))</f>
        <v/>
      </c>
      <c r="EB91" s="43" t="str">
        <f>IF($CU91&gt;=RAM,"",IF($CU91-EB$103&lt;BeginnAlter,"",ROUND((SUM(CW$56:CW91)+SUM(FO$9:FO$56))/VLOOKUP($CU91,$AH$9:$AI$102,2)/VLOOKUP($CU91-EB$103,Frauen!$G$9:$J$102,4),Rundäx)))</f>
        <v/>
      </c>
      <c r="EC91" s="43" t="str">
        <f>IF($CU91&gt;=RAM,"",IF($CU91-EC$103&lt;BeginnAlter,"",ROUND((SUM(CX$56:CX91)+SUM(FP$9:FP$56))/VLOOKUP($CU91,$AH$9:$AI$102,2)/VLOOKUP($CU91-EC$103,Frauen!$G$9:$J$102,4),Rundäx)))</f>
        <v/>
      </c>
      <c r="ED91" s="43" t="str">
        <f>IF($CU91&gt;=RAM,"",IF($CU91-ED$103&lt;BeginnAlter,"",ROUND((SUM(CY$56:CY91)+SUM(FQ$9:FQ$56))/VLOOKUP($CU91,$AH$9:$AI$102,2)/VLOOKUP($CU91-ED$103,Frauen!$G$9:$J$102,4),Rundäx)))</f>
        <v/>
      </c>
      <c r="EE91" s="43" t="str">
        <f>IF($CU91&gt;=RAM,"",IF($CU91-EE$103&lt;BeginnAlter,"",ROUND((SUM(CZ$56:CZ91)+SUM(FR$9:FR$56))/VLOOKUP($CU91,$AH$9:$AI$102,2)/VLOOKUP($CU91-EE$103,Frauen!$G$9:$J$102,4),Rundäx)))</f>
        <v/>
      </c>
      <c r="EF91" s="43" t="str">
        <f>IF($CU91&gt;=RAM,"",IF($CU91-EF$103&lt;BeginnAlter,"",ROUND((SUM(DA$56:DA91)+SUM(FS$9:FS$56))/VLOOKUP($CU91,$AH$9:$AI$102,2)/VLOOKUP($CU91-EF$103,Frauen!$G$9:$J$102,4),Rundäx)))</f>
        <v/>
      </c>
      <c r="EG91" s="43" t="str">
        <f>IF($CU91&gt;=RAM,"",IF($CU91-EG$103&lt;BeginnAlter,"",ROUND((SUM(DB$56:DB91)+SUM(FT$9:FT$56))/VLOOKUP($CU91,$AH$9:$AI$102,2)/VLOOKUP($CU91-EG$103,Frauen!$G$9:$J$102,4),Rundäx)))</f>
        <v/>
      </c>
      <c r="EH91" s="43" t="str">
        <f>IF($CU91&gt;=RAM,"",IF($CU91-EH$103&lt;BeginnAlter,"",ROUND((SUM(DC$56:DC91)+SUM(FU$9:FU$56))/VLOOKUP($CU91,$AH$9:$AI$102,2)/VLOOKUP($CU91-EH$103,Frauen!$G$9:$J$102,4),Rundäx)))</f>
        <v/>
      </c>
      <c r="EI91" s="86"/>
      <c r="EJ91" s="35">
        <f t="shared" si="133"/>
        <v>99</v>
      </c>
      <c r="EK91" s="43" t="str">
        <f>IF($CU91&gt;=RAM,"",IF($CU91-EK$103&lt;BeginnAlter,"",ROUND((SUM(DD$56:DD91)+SUM(FV$9:FV$56))/VLOOKUP($CU91,$AH$9:$AI$102,2)/VLOOKUP($CU91-EK$103,Frauen!$G$9:$J$102,4),Rundäx)))</f>
        <v/>
      </c>
      <c r="EL91" s="43" t="str">
        <f>IF($CU91&gt;=RAM,"",IF($CU91-EL$103&lt;BeginnAlter,"",ROUND((SUM(DE$56:DE91)+SUM(FW$9:FW$56))/VLOOKUP($CU91,$AH$9:$AI$102,2)/VLOOKUP($CU91-EL$103,Frauen!$G$9:$J$102,4),Rundäx)))</f>
        <v/>
      </c>
      <c r="EM91" s="43" t="str">
        <f>IF($CU91&gt;=RAM,"",IF($CU91-EM$103&lt;BeginnAlter,"",ROUND((SUM(DF$56:DF91)+SUM(FX$9:FX$56))/VLOOKUP($CU91,$AH$9:$AI$102,2)/VLOOKUP($CU91-EM$103,Frauen!$G$9:$J$102,4),Rundäx)))</f>
        <v/>
      </c>
      <c r="EN91" s="43" t="str">
        <f>IF($CU91&gt;=RAM,"",IF($CU91-EN$103&lt;BeginnAlter,"",ROUND((SUM(DG$56:DG91)+SUM(FY$9:FY$56))/VLOOKUP($CU91,$AH$9:$AI$102,2)/VLOOKUP($CU91-EN$103,Frauen!$G$9:$J$102,4),Rundäx)))</f>
        <v/>
      </c>
      <c r="EO91" s="43" t="str">
        <f>IF($CU91&gt;=RAM,"",IF($CU91-EO$103&lt;BeginnAlter,"",ROUND((SUM(DH$56:DH91)+SUM(FZ$9:FZ$56))/VLOOKUP($CU91,$AH$9:$AI$102,2)/VLOOKUP($CU91-EO$103,Frauen!$G$9:$J$102,4),Rundäx)))</f>
        <v/>
      </c>
      <c r="EP91" s="43" t="str">
        <f>IF($CU91&gt;=RAM,"",IF($CU91-EP$103&lt;BeginnAlter,"",ROUND((SUM(DI$56:DI91)+SUM(GA$9:GA$56))/VLOOKUP($CU91,$AH$9:$AI$102,2)/VLOOKUP($CU91-EP$103,Frauen!$G$9:$J$102,4),Rundäx)))</f>
        <v/>
      </c>
      <c r="EQ91" s="43" t="str">
        <f>IF($CU91&gt;=RAM,"",IF($CU91-EQ$103&lt;BeginnAlter,"",ROUND((SUM(DJ$56:DJ91)+SUM(GB$9:GB$56))/VLOOKUP($CU91,$AH$9:$AI$102,2)/VLOOKUP($CU91-EQ$103,Frauen!$G$9:$J$102,4),Rundäx)))</f>
        <v/>
      </c>
      <c r="ER91" s="43" t="str">
        <f>IF($CU91&gt;=RAM,"",IF($CU91-ER$103&lt;BeginnAlter,"",ROUND((SUM(DK$56:DK91)+SUM(GC$9:GC$56))/VLOOKUP($CU91,$AH$9:$AI$102,2)/VLOOKUP($CU91-ER$103,Frauen!$G$9:$J$102,4),Rundäx)))</f>
        <v/>
      </c>
      <c r="ES91" s="86"/>
      <c r="ET91" s="35">
        <f t="shared" si="134"/>
        <v>99</v>
      </c>
      <c r="EU91" s="43" t="str">
        <f>IF($CU91&gt;=RAM,"",IF($CU91-EU$103&lt;BeginnAlter,"",ROUND((SUM(DL$56:DL91)+SUM(GD$9:GD$56))/VLOOKUP($CU91,$AH$9:$AI$102,2)/VLOOKUP($CU91-EU$103,Frauen!$G$9:$J$102,4),Rundäx)))</f>
        <v/>
      </c>
      <c r="EV91" s="43" t="str">
        <f>IF($CU91&gt;=RAM,"",IF($CU91-EV$103&lt;BeginnAlter,"",ROUND((SUM(DM$56:DM91)+SUM(GE$9:GE$56))/VLOOKUP($CU91,$AH$9:$AI$102,2)/VLOOKUP($CU91-EV$103,Frauen!$G$9:$J$102,4),Rundäx)))</f>
        <v/>
      </c>
      <c r="EW91" s="43" t="str">
        <f>IF($CU91&gt;=RAM,"",IF($CU91-EW$103&lt;BeginnAlter,"",ROUND((SUM(DN$56:DN91)+SUM(GF$9:GF$56))/VLOOKUP($CU91,$AH$9:$AI$102,2)/VLOOKUP($CU91-EW$103,Frauen!$G$9:$J$102,4),Rundäx)))</f>
        <v/>
      </c>
      <c r="EX91" s="43" t="str">
        <f>IF($CU91&gt;=RAM,"",IF($CU91-EX$103&lt;BeginnAlter,"",ROUND((SUM(DO$56:DO91)+SUM(GG$9:GG$56))/VLOOKUP($CU91,$AH$9:$AI$102,2)/VLOOKUP($CU91-EX$103,Frauen!$G$9:$J$102,4),Rundäx)))</f>
        <v/>
      </c>
      <c r="EY91" s="43" t="str">
        <f>IF($CU91&gt;=RAM,"",IF($CU91-EY$103&lt;BeginnAlter,"",ROUND((SUM(DP$56:DP91)+SUM(GH$9:GH$56))/VLOOKUP($CU91,$AH$9:$AI$102,2)/VLOOKUP($CU91-EY$103,Frauen!$G$9:$J$102,4),Rundäx)))</f>
        <v/>
      </c>
      <c r="EZ91" s="43" t="str">
        <f>IF($CU91&gt;=RAM,"",IF($CU91-EZ$103&lt;BeginnAlter,"",ROUND((SUM(DQ$56:DQ91)+SUM(GI$9:GI$56))/VLOOKUP($CU91,$AH$9:$AI$102,2)/VLOOKUP($CU91-EZ$103,Frauen!$G$9:$J$102,4),Rundäx)))</f>
        <v/>
      </c>
      <c r="FA91" s="43" t="str">
        <f>IF($CU91&gt;=RAM,"",IF($CU91-FA$103&lt;BeginnAlter,"",ROUND((SUM(DR$56:DR91)+SUM(GJ$9:GJ$56))/VLOOKUP($CU91,$AH$9:$AI$102,2)/VLOOKUP($CU91-FA$103,Frauen!$G$9:$J$102,4),Rundäx)))</f>
        <v/>
      </c>
      <c r="FB91" s="43" t="str">
        <f>IF($CU91&gt;=RAM,"",IF($CU91-FB$103&lt;BeginnAlter,"",ROUND((SUM(DS$56:DS91)+SUM(GK$9:GK$56))/VLOOKUP($CU91,$AH$9:$AI$102,2)/VLOOKUP($CU91-FB$103,Frauen!$G$9:$J$102,4),Rundäx)))</f>
        <v/>
      </c>
      <c r="FC91" s="86"/>
      <c r="FD91" s="35">
        <f t="shared" si="135"/>
        <v>99</v>
      </c>
      <c r="FE91" s="43" t="str">
        <f>IF($CU91&gt;=RAM,"",IF($CU91-FE$103&lt;BeginnAlter,"",ROUND((SUM(DT$56:DT91)+SUM(GL$9:GL$56))/VLOOKUP($CU91,$AH$9:$AI$102,2)/VLOOKUP($CU91-FE$103,Frauen!$G$9:$J$102,4),Rundäx)))</f>
        <v/>
      </c>
      <c r="FF91" s="43" t="str">
        <f>IF($CU91&gt;=RAM,"",IF($CU91-FF$103&lt;BeginnAlter,"",ROUND((SUM(DU$56:DU91)+SUM(GM$9:GM$56))/VLOOKUP($CU91,$AH$9:$AI$102,2)/VLOOKUP($CU91-FF$103,Frauen!$G$9:$J$102,4),Rundäx)))</f>
        <v/>
      </c>
      <c r="FG91" s="43" t="str">
        <f>IF($CU91&gt;=RAM,"",IF($CU91-FG$103&lt;BeginnAlter,"",ROUND((SUM(DV$56:DV91)+SUM(GN$9:GN$56))/VLOOKUP($CU91,$AH$9:$AI$102,2)/VLOOKUP($CU91-FG$103,Frauen!$G$9:$J$102,4),Rundäx)))</f>
        <v/>
      </c>
      <c r="FH91" s="43" t="str">
        <f>IF($CU91&gt;=RAM,"",IF($CU91-FH$103&lt;BeginnAlter,"",ROUND((SUM(DW$56:DW91)+SUM(GO$9:GO$56))/VLOOKUP($CU91,$AH$9:$AI$102,2)/VLOOKUP($CU91-FH$103,Frauen!$G$9:$J$102,4),Rundäx)))</f>
        <v/>
      </c>
      <c r="FI91" s="43" t="str">
        <f>IF($CU91&gt;=RAM,"",IF($CU91-FI$103&lt;BeginnAlter,"",ROUND((SUM(DX$56:DX91)+SUM(GP$9:GP$56))/VLOOKUP($CU91,$AH$9:$AI$102,2)/VLOOKUP($CU91-FI$103,Frauen!$G$9:$J$102,4),Rundäx)))</f>
        <v/>
      </c>
      <c r="FJ91" s="43" t="str">
        <f>IF($CU91&gt;=RAM,"",IF($CU91-FJ$103&lt;BeginnAlter,"",ROUND((SUM(DY$56:DY91)+SUM(GQ$9:GQ$56))/VLOOKUP($CU91,$AH$9:$AI$102,2)/VLOOKUP($CU91-FJ$103,Frauen!$G$9:$J$102,4),Rundäx)))</f>
        <v/>
      </c>
      <c r="FK91" s="43" t="str">
        <f>IF($CU91&gt;=RAM,"",IF($CU91-FK$103&lt;BeginnAlter,"",ROUND((SUM(DZ$56:DZ91)+SUM(GR$9:GR$56))/VLOOKUP($CU91,$AH$9:$AI$102,2)/VLOOKUP($CU91-FK$103,Frauen!$G$9:$J$102,4),Rundäx)))</f>
        <v/>
      </c>
      <c r="FL91" s="86"/>
      <c r="FM91" s="35">
        <f t="shared" si="136"/>
        <v>147</v>
      </c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4"/>
      <c r="GT91" s="24"/>
      <c r="GU91" s="24" t="str">
        <f>IF(FM91&gt;=RAM," ",#REF!/$AI91/Frauen!$J79)</f>
        <v xml:space="preserve"> </v>
      </c>
      <c r="GV91" s="24" t="str">
        <f>IF(FM91&gt;=RAM," ",#REF!/$AI91/Frauen!$J82)</f>
        <v xml:space="preserve"> </v>
      </c>
      <c r="GW91" s="24" t="str">
        <f>IF(FM91&gt;=RAM," ",#REF!/$AI91/Frauen!$J85)</f>
        <v xml:space="preserve"> </v>
      </c>
      <c r="GX91" s="24" t="str">
        <f>IF(FM91&gt;=RAM," ",#REF!/$AI91/Frauen!$J88)</f>
        <v xml:space="preserve"> </v>
      </c>
      <c r="GY91" s="24" t="str">
        <f>IF(FM91&gt;=RAM," ",#REF!/$AI91/Frauen!$J91)</f>
        <v xml:space="preserve"> </v>
      </c>
      <c r="GZ91" s="24" t="str">
        <f>IF(FM91&gt;=RAM," ",#REF!/$AI91/Frauen!$J94)</f>
        <v xml:space="preserve"> </v>
      </c>
      <c r="HA91" s="86"/>
      <c r="HB91" s="35">
        <f t="shared" si="137"/>
        <v>147</v>
      </c>
      <c r="HC91" s="24"/>
      <c r="HD91" s="24"/>
      <c r="HE91" s="24"/>
      <c r="HF91" s="24"/>
      <c r="HG91" s="24"/>
      <c r="HH91" s="24"/>
      <c r="HI91" s="24"/>
      <c r="HJ91" s="24"/>
      <c r="HK91" s="86"/>
      <c r="HL91" s="35">
        <f t="shared" si="138"/>
        <v>147</v>
      </c>
      <c r="HM91" s="24"/>
      <c r="HN91" s="24"/>
      <c r="HO91" s="24"/>
      <c r="HP91" s="24"/>
      <c r="HQ91" s="24"/>
      <c r="HR91" s="24"/>
      <c r="HS91" s="24"/>
      <c r="HT91" s="24"/>
      <c r="HU91" s="86"/>
      <c r="HV91" s="35">
        <f t="shared" si="139"/>
        <v>147</v>
      </c>
      <c r="HW91" s="24"/>
      <c r="HX91" s="24"/>
      <c r="HY91" s="24"/>
      <c r="HZ91" s="24"/>
      <c r="IA91" s="24"/>
      <c r="IB91" s="24"/>
      <c r="IC91" s="24"/>
      <c r="ID91" s="89"/>
      <c r="IE91" s="35">
        <f t="shared" si="140"/>
        <v>99</v>
      </c>
      <c r="IF91" s="25" t="str">
        <f t="shared" si="112"/>
        <v/>
      </c>
      <c r="IG91" s="25" t="str">
        <f>IF($IE91&lt;RAM,IF(S92&lt;=RAK,ROUND(SUM(IF91:INDEX(Dakx,RAM-BeginnAlter))+INDEX(Dax,RAM-BeginnAlter+1)*INDEX(äkx,1),RundDx),0),"")</f>
        <v/>
      </c>
      <c r="IH91" s="25" t="str">
        <f>IF($IE91&lt;RAM,IF(S92&lt;=RAK,ROUND(SUM(IG91:INDEX(Nakx,RAM-BeginnAlter))+INDEX(Dax,RAM-BeginnAlter+1)*INDEX(äkx,1),RundDx),0),"")</f>
        <v/>
      </c>
      <c r="II91" s="24" t="str">
        <f t="shared" si="113"/>
        <v/>
      </c>
      <c r="IJ91" s="25" t="str">
        <f t="shared" si="114"/>
        <v/>
      </c>
      <c r="IK91" s="25" t="str">
        <f>IF($IE91&lt;RAM,IF(S92&lt;=RAK,SUM(IJ91:INDEX(Dikx,RAM-BeginnAlter))+INDEX(Dix,RAM-BeginnAlter+1)*INDEX(äkx,1),0),"")</f>
        <v/>
      </c>
      <c r="IL91" s="24" t="str">
        <f t="shared" si="115"/>
        <v/>
      </c>
      <c r="IM91" s="86"/>
      <c r="IN91" s="35">
        <f t="shared" si="141"/>
        <v>147</v>
      </c>
      <c r="IO91" s="25"/>
      <c r="IP91" s="25"/>
      <c r="IQ91" s="24"/>
      <c r="IR91" s="86"/>
    </row>
    <row r="92" spans="1:252" ht="15.75" customHeight="1" x14ac:dyDescent="0.25">
      <c r="A92" s="35">
        <f t="shared" si="120"/>
        <v>100</v>
      </c>
      <c r="B92" s="77"/>
      <c r="C92" s="77"/>
      <c r="D92" s="77"/>
      <c r="E92" s="77">
        <v>0.59425699517483555</v>
      </c>
      <c r="F92" s="86"/>
      <c r="G92" s="35">
        <f t="shared" si="121"/>
        <v>100</v>
      </c>
      <c r="H92" s="25" t="str">
        <f t="shared" si="116"/>
        <v/>
      </c>
      <c r="I92" s="25" t="str">
        <f t="shared" si="117"/>
        <v/>
      </c>
      <c r="J92" s="25">
        <f t="shared" si="118"/>
        <v>275</v>
      </c>
      <c r="K92" s="30">
        <f>IF(J92&gt;0,ROUND(SUM(J92:J$102)/J92-0.5,Rundex),"")</f>
        <v>1.0900000000000001</v>
      </c>
      <c r="L92" s="25">
        <f t="shared" si="82"/>
        <v>275</v>
      </c>
      <c r="M92" s="30">
        <f>IF(L92&gt;0,ROUND(SUM(L92:L$102)/L92-0.5,Rundex),"")</f>
        <v>1.0900000000000001</v>
      </c>
      <c r="N92" s="86"/>
      <c r="O92" s="35">
        <f t="shared" si="122"/>
        <v>100</v>
      </c>
      <c r="P92" s="43">
        <v>0.105</v>
      </c>
      <c r="Q92" s="78">
        <v>92.663543384069342</v>
      </c>
      <c r="R92" s="43"/>
      <c r="S92" s="78"/>
      <c r="T92" s="15">
        <v>0.59425699517483555</v>
      </c>
      <c r="U92" s="11">
        <f t="shared" si="119"/>
        <v>208</v>
      </c>
      <c r="V92" s="30">
        <f>IF(U92&gt;0,ROUND(SUM(U92:U$102)/U92-0.5,Rundex),"")</f>
        <v>1.08</v>
      </c>
      <c r="W92" s="86"/>
      <c r="X92" s="35">
        <f t="shared" si="123"/>
        <v>100</v>
      </c>
      <c r="Y92" s="25" t="str">
        <f t="shared" si="83"/>
        <v xml:space="preserve"> </v>
      </c>
      <c r="Z92" s="25" t="str">
        <f>IF($X92&lt;RAM,SUM(Y92:INDEX(Dax,RAM-BeginnAlter))," ")</f>
        <v xml:space="preserve"> </v>
      </c>
      <c r="AA92" s="25" t="str">
        <f t="shared" si="84"/>
        <v xml:space="preserve"> </v>
      </c>
      <c r="AB92" s="25" t="str">
        <f>IF($X92&lt;RAM,SUM(AA92:INDEX(Cax,RAM-BeginnAlter))," ")</f>
        <v xml:space="preserve"> </v>
      </c>
      <c r="AC92" s="25" t="str">
        <f t="shared" si="85"/>
        <v xml:space="preserve"> </v>
      </c>
      <c r="AD92" s="25" t="str">
        <f>IF($X92&lt;RAM,SUM(AC92:INDEX(Caix,RAM-BeginnAlter))," ")</f>
        <v xml:space="preserve"> </v>
      </c>
      <c r="AE92" s="24" t="str">
        <f t="shared" si="86"/>
        <v xml:space="preserve"> </v>
      </c>
      <c r="AF92" s="24" t="str">
        <f t="shared" si="87"/>
        <v xml:space="preserve"> </v>
      </c>
      <c r="AG92" s="86"/>
      <c r="AH92" s="35">
        <f t="shared" si="124"/>
        <v>100</v>
      </c>
      <c r="AI92" s="25" t="str">
        <f t="shared" si="88"/>
        <v xml:space="preserve"> </v>
      </c>
      <c r="AJ92" s="25" t="str">
        <f>IF($AH92&gt;RAM," ",IF($AH92&lt;RAM,SUM(AI92:INDEX(Dix,RAM-BeginnAlter))+INDEX(Nx,RAM-BeginnAlter+1),INDEX(Nx,RAM-BeginnAlter+1)))</f>
        <v xml:space="preserve"> </v>
      </c>
      <c r="AK92" s="25" t="str">
        <f>IF($AH92&lt;RAM,SUM(AI92:INDEX(Dix,RAM-BeginnAlter))," ")</f>
        <v xml:space="preserve"> </v>
      </c>
      <c r="AL92" s="24" t="str">
        <f t="shared" si="89"/>
        <v xml:space="preserve"> </v>
      </c>
      <c r="AM92" s="24" t="str">
        <f t="shared" si="90"/>
        <v xml:space="preserve"> </v>
      </c>
      <c r="AN92" s="24" t="str">
        <f t="shared" si="91"/>
        <v xml:space="preserve"> </v>
      </c>
      <c r="AO92" s="24" t="str">
        <f t="shared" si="92"/>
        <v xml:space="preserve"> </v>
      </c>
      <c r="AP92" s="86"/>
      <c r="AQ92" s="35">
        <f t="shared" si="125"/>
        <v>100</v>
      </c>
      <c r="AR92" s="25">
        <f t="shared" si="93"/>
        <v>30</v>
      </c>
      <c r="AS92" s="25">
        <f>SUM(AR92:AR$94)</f>
        <v>46</v>
      </c>
      <c r="AT92" s="25" t="str">
        <f>IF($AQ92&lt;RAM,SUM(AR92:INDEX(Dx,RAM-BeginnAlter))," ")</f>
        <v xml:space="preserve"> </v>
      </c>
      <c r="AU92" s="24">
        <f t="shared" si="94"/>
        <v>1.5329999999999999</v>
      </c>
      <c r="AV92" s="24">
        <f t="shared" si="95"/>
        <v>1.075</v>
      </c>
      <c r="AW92" s="24" t="str">
        <f t="shared" si="96"/>
        <v xml:space="preserve"> </v>
      </c>
      <c r="AX92" s="24" t="str">
        <f t="shared" si="97"/>
        <v xml:space="preserve"> </v>
      </c>
      <c r="AY92" s="86"/>
      <c r="AZ92" s="35">
        <f t="shared" si="126"/>
        <v>100</v>
      </c>
      <c r="BA92" s="25">
        <f t="shared" si="98"/>
        <v>22</v>
      </c>
      <c r="BB92" s="25">
        <f>SUM(BA92:BA$94)</f>
        <v>34</v>
      </c>
      <c r="BC92" s="24">
        <f t="shared" si="99"/>
        <v>1.5449999999999999</v>
      </c>
      <c r="BD92" s="24">
        <f t="shared" si="100"/>
        <v>1.087</v>
      </c>
      <c r="BE92" s="86"/>
      <c r="BF92" s="35">
        <f t="shared" si="127"/>
        <v>83</v>
      </c>
      <c r="BG92" s="24" t="str">
        <f t="shared" si="101"/>
        <v/>
      </c>
      <c r="BH92" s="24" t="str">
        <f t="shared" si="102"/>
        <v/>
      </c>
      <c r="BI92" s="86"/>
      <c r="BJ92" s="35">
        <f t="shared" si="128"/>
        <v>100</v>
      </c>
      <c r="BK92" s="25" t="str">
        <f t="shared" si="103"/>
        <v xml:space="preserve"> </v>
      </c>
      <c r="BL92" s="25" t="str">
        <f>IF(BJ92&lt;RAM,SUM(BK92:INDEX(Daix,RAM-BeginnAlter))," ")</f>
        <v xml:space="preserve"> </v>
      </c>
      <c r="BM92" s="25" t="str">
        <f>IF(BJ92&lt;RAM,SUM(BL92:INDEX(Naix,RAM-BeginnAlter))," ")</f>
        <v xml:space="preserve"> </v>
      </c>
      <c r="BN92" s="24" t="str">
        <f t="shared" si="104"/>
        <v xml:space="preserve"> </v>
      </c>
      <c r="BO92" s="24" t="str">
        <f t="shared" si="105"/>
        <v xml:space="preserve"> </v>
      </c>
      <c r="BP92" s="86"/>
      <c r="BQ92" s="35">
        <f t="shared" si="129"/>
        <v>100</v>
      </c>
      <c r="BR92" s="25" t="str">
        <f t="shared" si="142"/>
        <v xml:space="preserve"> </v>
      </c>
      <c r="BS92" s="25" t="str">
        <f>IF(BQ92&lt;RAM,SUM(BR92:INDEX(Daixs,RAM-BeginnAlter))," ")</f>
        <v xml:space="preserve"> </v>
      </c>
      <c r="BT92" s="25" t="str">
        <f>IF(BQ92&lt;RAM,SUM(BS92:INDEX(Naixs,RAM-BeginnAlter))," ")</f>
        <v xml:space="preserve"> </v>
      </c>
      <c r="BU92" s="24" t="str">
        <f t="shared" si="143"/>
        <v xml:space="preserve"> </v>
      </c>
      <c r="BV92" s="24" t="str">
        <f t="shared" si="144"/>
        <v xml:space="preserve"> </v>
      </c>
      <c r="BW92" s="86"/>
      <c r="BX92" s="35">
        <f t="shared" si="130"/>
        <v>100</v>
      </c>
      <c r="BY92" s="10" t="str">
        <f t="shared" si="106"/>
        <v/>
      </c>
      <c r="BZ92" s="11" t="str">
        <f t="shared" si="107"/>
        <v/>
      </c>
      <c r="CA92" s="25" t="str">
        <f>IF(S93&lt;=RAK,IF($BX92&lt;RAM,SUM(BZ92:INDEX(Dazx,RAM-BeginnAlter)),""),"")</f>
        <v/>
      </c>
      <c r="CB92" s="24" t="str">
        <f t="shared" si="108"/>
        <v/>
      </c>
      <c r="CC92" s="25">
        <f t="shared" si="109"/>
        <v>0</v>
      </c>
      <c r="CD92" s="24">
        <f t="shared" si="110"/>
        <v>0</v>
      </c>
      <c r="CE92" s="24" t="str">
        <f t="shared" si="111"/>
        <v/>
      </c>
      <c r="CF92" s="86"/>
      <c r="CG92" s="35">
        <f t="shared" si="131"/>
        <v>100</v>
      </c>
      <c r="CH92" s="25" t="str">
        <f>IF(CG92&lt;RAM,ROUND(v^($CG92+FaktorAlter)*$H92*($B92*0.5*($P92+$P93)*(VLOOKUP(TRUNC(0.5*($Q92+$Q93),0),Frauen!$AZ$9:$BD$95,5)+(0.5*($Q92+$Q93)-TRUNC(0.5*($Q92+$Q93),0))*(VLOOKUP(TRUNC(0.5*($Q92+$Q93)+1,0),Frauen!$AZ$9:$BD$95,5)-VLOOKUP(TRUNC(0.5*($Q92+$Q93),0),Frauen!$AZ$9:$BD$95,5)))+$C92*0.5*($CN92+$CN93)),RundDx),"")</f>
        <v/>
      </c>
      <c r="CI92" s="25" t="str">
        <f>IF(CG92&lt;RAM,ROUND(SUM(CH92:INDEX(Dawx,RAM-BeginnAlter))+INDEX(Dax,RAM-BeginnAlter+1)*INDEX(äwx,1),RundDx),"")</f>
        <v/>
      </c>
      <c r="CJ92" s="25" t="str">
        <f>IF(CG92&lt;RAM,ROUND(SUM(CI92:INDEX(Nawx,RAM-BeginnAlter))+INDEX(Dax,RAM-BeginnAlter+1)*INDEX(äwx,1),RundDx),"")</f>
        <v/>
      </c>
      <c r="CK92" s="24" t="str">
        <f t="shared" si="145"/>
        <v/>
      </c>
      <c r="CL92" s="25" t="str">
        <f>IF(CG92&lt;RAM,ROUND(v^($CG92+FaktorAlter)*$L92*$D92*0.5*($P92+$P93)*(VLOOKUP(TRUNC(0.5*($Q92+$Q93),0),Frauen!$AZ$9:$BD$95,5)+(0.5*($Q92+$Q93)-TRUNC(0.5*($Q92+$Q93),0))*(VLOOKUP(TRUNC(0.5*($Q92+$Q93)+1,0),Frauen!$AZ$9:$BD$95,5)-VLOOKUP(TRUNC(0.5*($Q92+$Q93),0),Frauen!$AZ$9:$BD$95,5))),RundDx),"")</f>
        <v/>
      </c>
      <c r="CM92" s="25" t="str">
        <f>IF(CG92&lt;RAM,SUM(CL92:INDEX(Diwx,RAM-BeginnAlter))+INDEX(Dix,RAM-BeginnAlter+1)*INDEX(äwx,1),"")</f>
        <v/>
      </c>
      <c r="CN92" s="24" t="str">
        <f t="shared" si="146"/>
        <v/>
      </c>
      <c r="CO92" s="86"/>
      <c r="CP92" s="35">
        <f t="shared" si="147"/>
        <v>148</v>
      </c>
      <c r="CQ92" s="25"/>
      <c r="CR92" s="25"/>
      <c r="CS92" s="24"/>
      <c r="CT92" s="86"/>
      <c r="CU92" s="35">
        <f t="shared" si="132"/>
        <v>100</v>
      </c>
      <c r="CV92" s="25" t="str">
        <f>IF($CU92&gt;=RAM,"",IF($CU92-CV$103&lt;BeginnAlter,"",ROUND(v^($CU92+FaktorAlter)*$L92*$D92*0.5*(VLOOKUP($CU92-CV$103,Frauen!$G$9:$J$102,4)+VLOOKUP($CU92-CV$103+1,Frauen!$G$9:$J$102,4))*0.5*(VLOOKUP($CU92-CV$103,Frauen!$AZ$9:$BD$102,5)+VLOOKUP($CU92-CV$103+1,Frauen!$AZ$9:$BD$102,5)),RundDx)))</f>
        <v/>
      </c>
      <c r="CW92" s="25" t="str">
        <f>IF($CU92&gt;=RAM,"",IF($CU92-CW$103&lt;BeginnAlter,"",ROUND(v^($CU92+FaktorAlter)*$L92*$D92*0.5*(VLOOKUP($CU92-CW$103,Frauen!$G$9:$J$102,4)+VLOOKUP($CU92-CW$103+1,Frauen!$G$9:$J$102,4))*0.5*(VLOOKUP($CU92-CW$103,Frauen!$AZ$9:$BD$102,5)+VLOOKUP($CU92-CW$103+1,Frauen!$AZ$9:$BD$102,5)),RundDx)))</f>
        <v/>
      </c>
      <c r="CX92" s="25" t="str">
        <f>IF($CU92&gt;=RAM,"",IF($CU92-CX$103&lt;BeginnAlter,"",ROUND(v^($CU92+FaktorAlter)*$L92*$D92*0.5*(VLOOKUP($CU92-CX$103,Frauen!$G$9:$J$102,4)+VLOOKUP($CU92-CX$103+1,Frauen!$G$9:$J$102,4))*0.5*(VLOOKUP($CU92-CX$103,Frauen!$AZ$9:$BD$102,5)+VLOOKUP($CU92-CX$103+1,Frauen!$AZ$9:$BD$102,5)),RundDx)))</f>
        <v/>
      </c>
      <c r="CY92" s="25" t="str">
        <f>IF($CU92&gt;=RAM,"",IF($CU92-CY$103&lt;BeginnAlter,"",ROUND(v^($CU92+FaktorAlter)*$L92*$D92*0.5*(VLOOKUP($CU92-CY$103,Frauen!$G$9:$J$102,4)+VLOOKUP($CU92-CY$103+1,Frauen!$G$9:$J$102,4))*0.5*(VLOOKUP($CU92-CY$103,Frauen!$AZ$9:$BD$102,5)+VLOOKUP($CU92-CY$103+1,Frauen!$AZ$9:$BD$102,5)),RundDx)))</f>
        <v/>
      </c>
      <c r="CZ92" s="25" t="str">
        <f>IF($CU92&gt;=RAM,"",IF($CU92-CZ$103&lt;BeginnAlter,"",ROUND(v^($CU92+FaktorAlter)*$L92*$D92*0.5*(VLOOKUP($CU92-CZ$103,Frauen!$G$9:$J$102,4)+VLOOKUP($CU92-CZ$103+1,Frauen!$G$9:$J$102,4))*0.5*(VLOOKUP($CU92-CZ$103,Frauen!$AZ$9:$BD$102,5)+VLOOKUP($CU92-CZ$103+1,Frauen!$AZ$9:$BD$102,5)),RundDx)))</f>
        <v/>
      </c>
      <c r="DA92" s="25" t="str">
        <f>IF($CU92&gt;=RAM,"",IF($CU92-DA$103&lt;BeginnAlter,"",ROUND(v^($CU92+FaktorAlter)*$L92*$D92*0.5*(VLOOKUP($CU92-DA$103,Frauen!$G$9:$J$102,4)+VLOOKUP($CU92-DA$103+1,Frauen!$G$9:$J$102,4))*0.5*(VLOOKUP($CU92-DA$103,Frauen!$AZ$9:$BD$102,5)+VLOOKUP($CU92-DA$103+1,Frauen!$AZ$9:$BD$102,5)),RundDx)))</f>
        <v/>
      </c>
      <c r="DB92" s="25" t="str">
        <f>IF($CU92&gt;=RAM,"",IF($CU92-DB$103&lt;BeginnAlter,"",ROUND(v^($CU92+FaktorAlter)*$L92*$D92*0.5*(VLOOKUP($CU92-DB$103,Frauen!$G$9:$J$102,4)+VLOOKUP($CU92-DB$103+1,Frauen!$G$9:$J$102,4))*0.5*(VLOOKUP($CU92-DB$103,Frauen!$AZ$9:$BD$102,5)+VLOOKUP($CU92-DB$103+1,Frauen!$AZ$9:$BD$102,5)),RundDx)))</f>
        <v/>
      </c>
      <c r="DC92" s="25" t="str">
        <f>IF($CU92&gt;=RAM,"",IF($CU92-DC$103&lt;BeginnAlter,"",ROUND(v^($CU92+FaktorAlter)*$L92*$D92*0.5*(VLOOKUP($CU92-DC$103,Frauen!$G$9:$J$102,4)+VLOOKUP($CU92-DC$103+1,Frauen!$G$9:$J$102,4))*0.5*(VLOOKUP($CU92-DC$103,Frauen!$AZ$9:$BD$102,5)+VLOOKUP($CU92-DC$103+1,Frauen!$AZ$9:$BD$102,5)),RundDx)))</f>
        <v/>
      </c>
      <c r="DD92" s="25" t="str">
        <f>IF($CU92&gt;=RAM,"",IF($CU92-DD$103&lt;BeginnAlter,"",ROUND(v^($CU92+FaktorAlter)*$L92*$D92*0.5*(VLOOKUP($CU92-DD$103,Frauen!$G$9:$J$102,4)+VLOOKUP($CU92-DD$103+1,Frauen!$G$9:$J$102,4))*0.5*(VLOOKUP($CU92-DD$103,Frauen!$AZ$9:$BD$102,5)+VLOOKUP($CU92-DD$103+1,Frauen!$AZ$9:$BD$102,5)),RundDx)))</f>
        <v/>
      </c>
      <c r="DE92" s="25" t="str">
        <f>IF($CU92&gt;=RAM,"",IF($CU92-DE$103&lt;BeginnAlter,"",ROUND(v^($CU92+FaktorAlter)*$L92*$D92*0.5*(VLOOKUP($CU92-DE$103,Frauen!$G$9:$J$102,4)+VLOOKUP($CU92-DE$103+1,Frauen!$G$9:$J$102,4))*0.5*(VLOOKUP($CU92-DE$103,Frauen!$AZ$9:$BD$102,5)+VLOOKUP($CU92-DE$103+1,Frauen!$AZ$9:$BD$102,5)),RundDx)))</f>
        <v/>
      </c>
      <c r="DF92" s="25" t="str">
        <f>IF($CU92&gt;=RAM,"",IF($CU92-DF$103&lt;BeginnAlter,"",ROUND(v^($CU92+FaktorAlter)*$L92*$D92*0.5*(VLOOKUP($CU92-DF$103,Frauen!$G$9:$J$102,4)+VLOOKUP($CU92-DF$103+1,Frauen!$G$9:$J$102,4))*0.5*(VLOOKUP($CU92-DF$103,Frauen!$AZ$9:$BD$102,5)+VLOOKUP($CU92-DF$103+1,Frauen!$AZ$9:$BD$102,5)),RundDx)))</f>
        <v/>
      </c>
      <c r="DG92" s="25" t="str">
        <f>IF($CU92&gt;=RAM,"",IF($CU92-DG$103&lt;BeginnAlter,"",ROUND(v^($CU92+FaktorAlter)*$L92*$D92*0.5*(VLOOKUP($CU92-DG$103,Frauen!$G$9:$J$102,4)+VLOOKUP($CU92-DG$103+1,Frauen!$G$9:$J$102,4))*0.5*(VLOOKUP($CU92-DG$103,Frauen!$AZ$9:$BD$102,5)+VLOOKUP($CU92-DG$103+1,Frauen!$AZ$9:$BD$102,5)),RundDx)))</f>
        <v/>
      </c>
      <c r="DH92" s="25" t="str">
        <f>IF($CU92&gt;=RAM,"",IF($CU92-DH$103&lt;BeginnAlter,"",ROUND(v^($CU92+FaktorAlter)*$L92*$D92*0.5*(VLOOKUP($CU92-DH$103,Frauen!$G$9:$J$102,4)+VLOOKUP($CU92-DH$103+1,Frauen!$G$9:$J$102,4))*0.5*(VLOOKUP($CU92-DH$103,Frauen!$AZ$9:$BD$102,5)+VLOOKUP($CU92-DH$103+1,Frauen!$AZ$9:$BD$102,5)),RundDx)))</f>
        <v/>
      </c>
      <c r="DI92" s="25" t="str">
        <f>IF($CU92&gt;=RAM,"",IF($CU92-DI$103&lt;BeginnAlter,"",ROUND(v^($CU92+FaktorAlter)*$L92*$D92*0.5*(VLOOKUP($CU92-DI$103,Frauen!$G$9:$J$102,4)+VLOOKUP($CU92-DI$103+1,Frauen!$G$9:$J$102,4))*0.5*(VLOOKUP($CU92-DI$103,Frauen!$AZ$9:$BD$102,5)+VLOOKUP($CU92-DI$103+1,Frauen!$AZ$9:$BD$102,5)),RundDx)))</f>
        <v/>
      </c>
      <c r="DJ92" s="25" t="str">
        <f>IF($CU92&gt;=RAM,"",IF($CU92-DJ$103&lt;BeginnAlter,"",ROUND(v^($CU92+FaktorAlter)*$L92*$D92*0.5*(VLOOKUP($CU92-DJ$103,Frauen!$G$9:$J$102,4)+VLOOKUP($CU92-DJ$103+1,Frauen!$G$9:$J$102,4))*0.5*(VLOOKUP($CU92-DJ$103,Frauen!$AZ$9:$BD$102,5)+VLOOKUP($CU92-DJ$103+1,Frauen!$AZ$9:$BD$102,5)),RundDx)))</f>
        <v/>
      </c>
      <c r="DK92" s="25" t="str">
        <f>IF($CU92&gt;=RAM,"",IF($CU92-DK$103&lt;BeginnAlter,"",ROUND(v^($CU92+FaktorAlter)*$L92*$D92*0.5*(VLOOKUP($CU92-DK$103,Frauen!$G$9:$J$102,4)+VLOOKUP($CU92-DK$103+1,Frauen!$G$9:$J$102,4))*0.5*(VLOOKUP($CU92-DK$103,Frauen!$AZ$9:$BD$102,5)+VLOOKUP($CU92-DK$103+1,Frauen!$AZ$9:$BD$102,5)),RundDx)))</f>
        <v/>
      </c>
      <c r="DL92" s="25" t="str">
        <f>IF($CU92&gt;=RAM,"",IF($CU92-DL$103&lt;BeginnAlter,"",ROUND(v^($CU92+FaktorAlter)*$L92*$D92*0.5*(VLOOKUP($CU92-DL$103,Frauen!$G$9:$J$102,4)+VLOOKUP($CU92-DL$103+1,Frauen!$G$9:$J$102,4))*0.5*(VLOOKUP($CU92-DL$103,Frauen!$AZ$9:$BD$102,5)+VLOOKUP($CU92-DL$103+1,Frauen!$AZ$9:$BD$102,5)),RundDx)))</f>
        <v/>
      </c>
      <c r="DM92" s="25" t="str">
        <f>IF($CU92&gt;=RAM,"",IF($CU92-DM$103&lt;BeginnAlter,"",ROUND(v^($CU92+FaktorAlter)*$L92*$D92*0.5*(VLOOKUP($CU92-DM$103,Frauen!$G$9:$J$102,4)+VLOOKUP($CU92-DM$103+1,Frauen!$G$9:$J$102,4))*0.5*(VLOOKUP($CU92-DM$103,Frauen!$AZ$9:$BD$102,5)+VLOOKUP($CU92-DM$103+1,Frauen!$AZ$9:$BD$102,5)),RundDx)))</f>
        <v/>
      </c>
      <c r="DN92" s="25" t="str">
        <f>IF($CU92&gt;=RAM,"",IF($CU92-DN$103&lt;BeginnAlter,"",ROUND(v^($CU92+FaktorAlter)*$L92*$D92*0.5*(VLOOKUP($CU92-DN$103,Frauen!$G$9:$J$102,4)+VLOOKUP($CU92-DN$103+1,Frauen!$G$9:$J$102,4))*0.5*(VLOOKUP($CU92-DN$103,Frauen!$AZ$9:$BD$102,5)+VLOOKUP($CU92-DN$103+1,Frauen!$AZ$9:$BD$102,5)),RundDx)))</f>
        <v/>
      </c>
      <c r="DO92" s="25" t="str">
        <f>IF($CU92&gt;=RAM,"",IF($CU92-DO$103&lt;BeginnAlter,"",ROUND(v^($CU92+FaktorAlter)*$L92*$D92*0.5*(VLOOKUP($CU92-DO$103,Frauen!$G$9:$J$102,4)+VLOOKUP($CU92-DO$103+1,Frauen!$G$9:$J$102,4))*0.5*(VLOOKUP($CU92-DO$103,Frauen!$AZ$9:$BD$102,5)+VLOOKUP($CU92-DO$103+1,Frauen!$AZ$9:$BD$102,5)),RundDx)))</f>
        <v/>
      </c>
      <c r="DP92" s="25" t="str">
        <f>IF($CU92&gt;=RAM,"",IF($CU92-DP$103&lt;BeginnAlter,"",ROUND(v^($CU92+FaktorAlter)*$L92*$D92*0.5*(VLOOKUP($CU92-DP$103,Frauen!$G$9:$J$102,4)+VLOOKUP($CU92-DP$103+1,Frauen!$G$9:$J$102,4))*0.5*(VLOOKUP($CU92-DP$103,Frauen!$AZ$9:$BD$102,5)+VLOOKUP($CU92-DP$103+1,Frauen!$AZ$9:$BD$102,5)),RundDx)))</f>
        <v/>
      </c>
      <c r="DQ92" s="25" t="str">
        <f>IF($CU92&gt;=RAM,"",IF($CU92-DQ$103&lt;BeginnAlter,"",ROUND(v^($CU92+FaktorAlter)*$L92*$D92*0.5*(VLOOKUP($CU92-DQ$103,Frauen!$G$9:$J$102,4)+VLOOKUP($CU92-DQ$103+1,Frauen!$G$9:$J$102,4))*0.5*(VLOOKUP($CU92-DQ$103,Frauen!$AZ$9:$BD$102,5)+VLOOKUP($CU92-DQ$103+1,Frauen!$AZ$9:$BD$102,5)),RundDx)))</f>
        <v/>
      </c>
      <c r="DR92" s="25" t="str">
        <f>IF($CU92&gt;=RAM,"",IF($CU92-DR$103&lt;BeginnAlter,"",ROUND(v^($CU92+FaktorAlter)*$L92*$D92*0.5*(VLOOKUP($CU92-DR$103,Frauen!$G$9:$J$102,4)+VLOOKUP($CU92-DR$103+1,Frauen!$G$9:$J$102,4))*0.5*(VLOOKUP($CU92-DR$103,Frauen!$AZ$9:$BD$102,5)+VLOOKUP($CU92-DR$103+1,Frauen!$AZ$9:$BD$102,5)),RundDx)))</f>
        <v/>
      </c>
      <c r="DS92" s="25" t="str">
        <f>IF($CU92&gt;=RAM,"",IF($CU92-DS$103&lt;BeginnAlter,"",ROUND(v^($CU92+FaktorAlter)*$L92*$D92*0.5*(VLOOKUP($CU92-DS$103,Frauen!$G$9:$J$102,4)+VLOOKUP($CU92-DS$103+1,Frauen!$G$9:$J$102,4))*0.5*(VLOOKUP($CU92-DS$103,Frauen!$AZ$9:$BD$102,5)+VLOOKUP($CU92-DS$103+1,Frauen!$AZ$9:$BD$102,5)),RundDx)))</f>
        <v/>
      </c>
      <c r="DT92" s="25" t="str">
        <f>IF($CU92&gt;=RAM,"",IF($CU92-DT$103&lt;BeginnAlter,"",ROUND(v^($CU92+FaktorAlter)*$L92*$D92*0.5*(VLOOKUP($CU92-DT$103,Frauen!$G$9:$J$102,4)+VLOOKUP($CU92-DT$103+1,Frauen!$G$9:$J$102,4))*0.5*(VLOOKUP($CU92-DT$103,Frauen!$AZ$9:$BD$102,5)+VLOOKUP($CU92-DT$103+1,Frauen!$AZ$9:$BD$102,5)),RundDx)))</f>
        <v/>
      </c>
      <c r="DU92" s="25" t="str">
        <f>IF($CU92&gt;=RAM,"",IF($CU92-DU$103&lt;BeginnAlter,"",ROUND(v^($CU92+FaktorAlter)*$L92*$D92*0.5*(VLOOKUP($CU92-DU$103,Frauen!$G$9:$J$102,4)+VLOOKUP($CU92-DU$103+1,Frauen!$G$9:$J$102,4))*0.5*(VLOOKUP($CU92-DU$103,Frauen!$AZ$9:$BD$102,5)+VLOOKUP($CU92-DU$103+1,Frauen!$AZ$9:$BD$102,5)),RundDx)))</f>
        <v/>
      </c>
      <c r="DV92" s="25" t="str">
        <f>IF($CU92&gt;=RAM,"",IF($CU92-DV$103&lt;BeginnAlter,"",ROUND(v^($CU92+FaktorAlter)*$L92*$D92*0.5*(VLOOKUP($CU92-DV$103,Frauen!$G$9:$J$102,4)+VLOOKUP($CU92-DV$103+1,Frauen!$G$9:$J$102,4))*0.5*(VLOOKUP($CU92-DV$103,Frauen!$AZ$9:$BD$102,5)+VLOOKUP($CU92-DV$103+1,Frauen!$AZ$9:$BD$102,5)),RundDx)))</f>
        <v/>
      </c>
      <c r="DW92" s="25" t="str">
        <f>IF($CU92&gt;=RAM,"",IF($CU92-DW$103&lt;BeginnAlter,"",ROUND(v^($CU92+FaktorAlter)*$L92*$D92*0.5*(VLOOKUP($CU92-DW$103,Frauen!$G$9:$J$102,4)+VLOOKUP($CU92-DW$103+1,Frauen!$G$9:$J$102,4))*0.5*(VLOOKUP($CU92-DW$103,Frauen!$AZ$9:$BD$102,5)+VLOOKUP($CU92-DW$103+1,Frauen!$AZ$9:$BD$102,5)),RundDx)))</f>
        <v/>
      </c>
      <c r="DX92" s="25" t="str">
        <f>IF($CU92&gt;=RAM,"",IF($CU92-DX$103&lt;BeginnAlter,"",ROUND(v^($CU92+FaktorAlter)*$L92*$D92*0.5*(VLOOKUP($CU92-DX$103,Frauen!$G$9:$J$102,4)+VLOOKUP($CU92-DX$103+1,Frauen!$G$9:$J$102,4))*0.5*(VLOOKUP($CU92-DX$103,Frauen!$AZ$9:$BD$102,5)+VLOOKUP($CU92-DX$103+1,Frauen!$AZ$9:$BD$102,5)),RundDx)))</f>
        <v/>
      </c>
      <c r="DY92" s="25" t="str">
        <f>IF($CU92&gt;=RAM,"",IF($CU92-DY$103&lt;BeginnAlter,"",ROUND(v^($CU92+FaktorAlter)*$L92*$D92*0.5*(VLOOKUP($CU92-DY$103,Frauen!$G$9:$J$102,4)+VLOOKUP($CU92-DY$103+1,Frauen!$G$9:$J$102,4))*0.5*(VLOOKUP($CU92-DY$103,Frauen!$AZ$9:$BD$102,5)+VLOOKUP($CU92-DY$103+1,Frauen!$AZ$9:$BD$102,5)),RundDx)))</f>
        <v/>
      </c>
      <c r="DZ92" s="25" t="str">
        <f>IF($CU92&gt;=RAM,"",IF($CU92-DZ$103&lt;BeginnAlter,"",ROUND(v^($CU92+FaktorAlter)*$L92*$D92*0.5*(VLOOKUP($CU92-DZ$103,Frauen!$G$9:$J$102,4)+VLOOKUP($CU92-DZ$103+1,Frauen!$G$9:$J$102,4))*0.5*(VLOOKUP($CU92-DZ$103,Frauen!$AZ$9:$BD$102,5)+VLOOKUP($CU92-DZ$103+1,Frauen!$AZ$9:$BD$102,5)),RundDx)))</f>
        <v/>
      </c>
      <c r="EA92" s="43" t="str">
        <f>IF($CU92&gt;=RAM,"",IF($CU92-EA$103&lt;BeginnAlter,"",ROUND((SUM(CV$56:CV92)+SUM(FN$9:FN$56))/VLOOKUP($CU92,$AH$9:$AI$102,2)/VLOOKUP($CU92-EA$103,Frauen!$G$9:$J$102,4),Rundäx)))</f>
        <v/>
      </c>
      <c r="EB92" s="43" t="str">
        <f>IF($CU92&gt;=RAM,"",IF($CU92-EB$103&lt;BeginnAlter,"",ROUND((SUM(CW$56:CW92)+SUM(FO$9:FO$56))/VLOOKUP($CU92,$AH$9:$AI$102,2)/VLOOKUP($CU92-EB$103,Frauen!$G$9:$J$102,4),Rundäx)))</f>
        <v/>
      </c>
      <c r="EC92" s="43" t="str">
        <f>IF($CU92&gt;=RAM,"",IF($CU92-EC$103&lt;BeginnAlter,"",ROUND((SUM(CX$56:CX92)+SUM(FP$9:FP$56))/VLOOKUP($CU92,$AH$9:$AI$102,2)/VLOOKUP($CU92-EC$103,Frauen!$G$9:$J$102,4),Rundäx)))</f>
        <v/>
      </c>
      <c r="ED92" s="43" t="str">
        <f>IF($CU92&gt;=RAM,"",IF($CU92-ED$103&lt;BeginnAlter,"",ROUND((SUM(CY$56:CY92)+SUM(FQ$9:FQ$56))/VLOOKUP($CU92,$AH$9:$AI$102,2)/VLOOKUP($CU92-ED$103,Frauen!$G$9:$J$102,4),Rundäx)))</f>
        <v/>
      </c>
      <c r="EE92" s="43" t="str">
        <f>IF($CU92&gt;=RAM,"",IF($CU92-EE$103&lt;BeginnAlter,"",ROUND((SUM(CZ$56:CZ92)+SUM(FR$9:FR$56))/VLOOKUP($CU92,$AH$9:$AI$102,2)/VLOOKUP($CU92-EE$103,Frauen!$G$9:$J$102,4),Rundäx)))</f>
        <v/>
      </c>
      <c r="EF92" s="43" t="str">
        <f>IF($CU92&gt;=RAM,"",IF($CU92-EF$103&lt;BeginnAlter,"",ROUND((SUM(DA$56:DA92)+SUM(FS$9:FS$56))/VLOOKUP($CU92,$AH$9:$AI$102,2)/VLOOKUP($CU92-EF$103,Frauen!$G$9:$J$102,4),Rundäx)))</f>
        <v/>
      </c>
      <c r="EG92" s="43" t="str">
        <f>IF($CU92&gt;=RAM,"",IF($CU92-EG$103&lt;BeginnAlter,"",ROUND((SUM(DB$56:DB92)+SUM(FT$9:FT$56))/VLOOKUP($CU92,$AH$9:$AI$102,2)/VLOOKUP($CU92-EG$103,Frauen!$G$9:$J$102,4),Rundäx)))</f>
        <v/>
      </c>
      <c r="EH92" s="43" t="str">
        <f>IF($CU92&gt;=RAM,"",IF($CU92-EH$103&lt;BeginnAlter,"",ROUND((SUM(DC$56:DC92)+SUM(FU$9:FU$56))/VLOOKUP($CU92,$AH$9:$AI$102,2)/VLOOKUP($CU92-EH$103,Frauen!$G$9:$J$102,4),Rundäx)))</f>
        <v/>
      </c>
      <c r="EI92" s="86"/>
      <c r="EJ92" s="35">
        <f t="shared" si="133"/>
        <v>100</v>
      </c>
      <c r="EK92" s="43" t="str">
        <f>IF($CU92&gt;=RAM,"",IF($CU92-EK$103&lt;BeginnAlter,"",ROUND((SUM(DD$56:DD92)+SUM(FV$9:FV$56))/VLOOKUP($CU92,$AH$9:$AI$102,2)/VLOOKUP($CU92-EK$103,Frauen!$G$9:$J$102,4),Rundäx)))</f>
        <v/>
      </c>
      <c r="EL92" s="43" t="str">
        <f>IF($CU92&gt;=RAM,"",IF($CU92-EL$103&lt;BeginnAlter,"",ROUND((SUM(DE$56:DE92)+SUM(FW$9:FW$56))/VLOOKUP($CU92,$AH$9:$AI$102,2)/VLOOKUP($CU92-EL$103,Frauen!$G$9:$J$102,4),Rundäx)))</f>
        <v/>
      </c>
      <c r="EM92" s="43" t="str">
        <f>IF($CU92&gt;=RAM,"",IF($CU92-EM$103&lt;BeginnAlter,"",ROUND((SUM(DF$56:DF92)+SUM(FX$9:FX$56))/VLOOKUP($CU92,$AH$9:$AI$102,2)/VLOOKUP($CU92-EM$103,Frauen!$G$9:$J$102,4),Rundäx)))</f>
        <v/>
      </c>
      <c r="EN92" s="43" t="str">
        <f>IF($CU92&gt;=RAM,"",IF($CU92-EN$103&lt;BeginnAlter,"",ROUND((SUM(DG$56:DG92)+SUM(FY$9:FY$56))/VLOOKUP($CU92,$AH$9:$AI$102,2)/VLOOKUP($CU92-EN$103,Frauen!$G$9:$J$102,4),Rundäx)))</f>
        <v/>
      </c>
      <c r="EO92" s="43" t="str">
        <f>IF($CU92&gt;=RAM,"",IF($CU92-EO$103&lt;BeginnAlter,"",ROUND((SUM(DH$56:DH92)+SUM(FZ$9:FZ$56))/VLOOKUP($CU92,$AH$9:$AI$102,2)/VLOOKUP($CU92-EO$103,Frauen!$G$9:$J$102,4),Rundäx)))</f>
        <v/>
      </c>
      <c r="EP92" s="43" t="str">
        <f>IF($CU92&gt;=RAM,"",IF($CU92-EP$103&lt;BeginnAlter,"",ROUND((SUM(DI$56:DI92)+SUM(GA$9:GA$56))/VLOOKUP($CU92,$AH$9:$AI$102,2)/VLOOKUP($CU92-EP$103,Frauen!$G$9:$J$102,4),Rundäx)))</f>
        <v/>
      </c>
      <c r="EQ92" s="43" t="str">
        <f>IF($CU92&gt;=RAM,"",IF($CU92-EQ$103&lt;BeginnAlter,"",ROUND((SUM(DJ$56:DJ92)+SUM(GB$9:GB$56))/VLOOKUP($CU92,$AH$9:$AI$102,2)/VLOOKUP($CU92-EQ$103,Frauen!$G$9:$J$102,4),Rundäx)))</f>
        <v/>
      </c>
      <c r="ER92" s="43" t="str">
        <f>IF($CU92&gt;=RAM,"",IF($CU92-ER$103&lt;BeginnAlter,"",ROUND((SUM(DK$56:DK92)+SUM(GC$9:GC$56))/VLOOKUP($CU92,$AH$9:$AI$102,2)/VLOOKUP($CU92-ER$103,Frauen!$G$9:$J$102,4),Rundäx)))</f>
        <v/>
      </c>
      <c r="ES92" s="86"/>
      <c r="ET92" s="35">
        <f t="shared" si="134"/>
        <v>100</v>
      </c>
      <c r="EU92" s="43" t="str">
        <f>IF($CU92&gt;=RAM,"",IF($CU92-EU$103&lt;BeginnAlter,"",ROUND((SUM(DL$56:DL92)+SUM(GD$9:GD$56))/VLOOKUP($CU92,$AH$9:$AI$102,2)/VLOOKUP($CU92-EU$103,Frauen!$G$9:$J$102,4),Rundäx)))</f>
        <v/>
      </c>
      <c r="EV92" s="43" t="str">
        <f>IF($CU92&gt;=RAM,"",IF($CU92-EV$103&lt;BeginnAlter,"",ROUND((SUM(DM$56:DM92)+SUM(GE$9:GE$56))/VLOOKUP($CU92,$AH$9:$AI$102,2)/VLOOKUP($CU92-EV$103,Frauen!$G$9:$J$102,4),Rundäx)))</f>
        <v/>
      </c>
      <c r="EW92" s="43" t="str">
        <f>IF($CU92&gt;=RAM,"",IF($CU92-EW$103&lt;BeginnAlter,"",ROUND((SUM(DN$56:DN92)+SUM(GF$9:GF$56))/VLOOKUP($CU92,$AH$9:$AI$102,2)/VLOOKUP($CU92-EW$103,Frauen!$G$9:$J$102,4),Rundäx)))</f>
        <v/>
      </c>
      <c r="EX92" s="43" t="str">
        <f>IF($CU92&gt;=RAM,"",IF($CU92-EX$103&lt;BeginnAlter,"",ROUND((SUM(DO$56:DO92)+SUM(GG$9:GG$56))/VLOOKUP($CU92,$AH$9:$AI$102,2)/VLOOKUP($CU92-EX$103,Frauen!$G$9:$J$102,4),Rundäx)))</f>
        <v/>
      </c>
      <c r="EY92" s="43" t="str">
        <f>IF($CU92&gt;=RAM,"",IF($CU92-EY$103&lt;BeginnAlter,"",ROUND((SUM(DP$56:DP92)+SUM(GH$9:GH$56))/VLOOKUP($CU92,$AH$9:$AI$102,2)/VLOOKUP($CU92-EY$103,Frauen!$G$9:$J$102,4),Rundäx)))</f>
        <v/>
      </c>
      <c r="EZ92" s="43" t="str">
        <f>IF($CU92&gt;=RAM,"",IF($CU92-EZ$103&lt;BeginnAlter,"",ROUND((SUM(DQ$56:DQ92)+SUM(GI$9:GI$56))/VLOOKUP($CU92,$AH$9:$AI$102,2)/VLOOKUP($CU92-EZ$103,Frauen!$G$9:$J$102,4),Rundäx)))</f>
        <v/>
      </c>
      <c r="FA92" s="43" t="str">
        <f>IF($CU92&gt;=RAM,"",IF($CU92-FA$103&lt;BeginnAlter,"",ROUND((SUM(DR$56:DR92)+SUM(GJ$9:GJ$56))/VLOOKUP($CU92,$AH$9:$AI$102,2)/VLOOKUP($CU92-FA$103,Frauen!$G$9:$J$102,4),Rundäx)))</f>
        <v/>
      </c>
      <c r="FB92" s="43" t="str">
        <f>IF($CU92&gt;=RAM,"",IF($CU92-FB$103&lt;BeginnAlter,"",ROUND((SUM(DS$56:DS92)+SUM(GK$9:GK$56))/VLOOKUP($CU92,$AH$9:$AI$102,2)/VLOOKUP($CU92-FB$103,Frauen!$G$9:$J$102,4),Rundäx)))</f>
        <v/>
      </c>
      <c r="FC92" s="86"/>
      <c r="FD92" s="35">
        <f t="shared" si="135"/>
        <v>100</v>
      </c>
      <c r="FE92" s="43" t="str">
        <f>IF($CU92&gt;=RAM,"",IF($CU92-FE$103&lt;BeginnAlter,"",ROUND((SUM(DT$56:DT92)+SUM(GL$9:GL$56))/VLOOKUP($CU92,$AH$9:$AI$102,2)/VLOOKUP($CU92-FE$103,Frauen!$G$9:$J$102,4),Rundäx)))</f>
        <v/>
      </c>
      <c r="FF92" s="43" t="str">
        <f>IF($CU92&gt;=RAM,"",IF($CU92-FF$103&lt;BeginnAlter,"",ROUND((SUM(DU$56:DU92)+SUM(GM$9:GM$56))/VLOOKUP($CU92,$AH$9:$AI$102,2)/VLOOKUP($CU92-FF$103,Frauen!$G$9:$J$102,4),Rundäx)))</f>
        <v/>
      </c>
      <c r="FG92" s="43" t="str">
        <f>IF($CU92&gt;=RAM,"",IF($CU92-FG$103&lt;BeginnAlter,"",ROUND((SUM(DV$56:DV92)+SUM(GN$9:GN$56))/VLOOKUP($CU92,$AH$9:$AI$102,2)/VLOOKUP($CU92-FG$103,Frauen!$G$9:$J$102,4),Rundäx)))</f>
        <v/>
      </c>
      <c r="FH92" s="43" t="str">
        <f>IF($CU92&gt;=RAM,"",IF($CU92-FH$103&lt;BeginnAlter,"",ROUND((SUM(DW$56:DW92)+SUM(GO$9:GO$56))/VLOOKUP($CU92,$AH$9:$AI$102,2)/VLOOKUP($CU92-FH$103,Frauen!$G$9:$J$102,4),Rundäx)))</f>
        <v/>
      </c>
      <c r="FI92" s="43" t="str">
        <f>IF($CU92&gt;=RAM,"",IF($CU92-FI$103&lt;BeginnAlter,"",ROUND((SUM(DX$56:DX92)+SUM(GP$9:GP$56))/VLOOKUP($CU92,$AH$9:$AI$102,2)/VLOOKUP($CU92-FI$103,Frauen!$G$9:$J$102,4),Rundäx)))</f>
        <v/>
      </c>
      <c r="FJ92" s="43" t="str">
        <f>IF($CU92&gt;=RAM,"",IF($CU92-FJ$103&lt;BeginnAlter,"",ROUND((SUM(DY$56:DY92)+SUM(GQ$9:GQ$56))/VLOOKUP($CU92,$AH$9:$AI$102,2)/VLOOKUP($CU92-FJ$103,Frauen!$G$9:$J$102,4),Rundäx)))</f>
        <v/>
      </c>
      <c r="FK92" s="43" t="str">
        <f>IF($CU92&gt;=RAM,"",IF($CU92-FK$103&lt;BeginnAlter,"",ROUND((SUM(DZ$56:DZ92)+SUM(GR$9:GR$56))/VLOOKUP($CU92,$AH$9:$AI$102,2)/VLOOKUP($CU92-FK$103,Frauen!$G$9:$J$102,4),Rundäx)))</f>
        <v/>
      </c>
      <c r="FL92" s="86"/>
      <c r="FM92" s="35">
        <f t="shared" si="136"/>
        <v>148</v>
      </c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4"/>
      <c r="GT92" s="24"/>
      <c r="GU92" s="24" t="str">
        <f>IF(FM92&gt;=RAM," ",#REF!/$AI92/Frauen!$J80)</f>
        <v xml:space="preserve"> </v>
      </c>
      <c r="GV92" s="24" t="str">
        <f>IF(FM92&gt;=RAM," ",#REF!/$AI92/Frauen!$J83)</f>
        <v xml:space="preserve"> </v>
      </c>
      <c r="GW92" s="24" t="str">
        <f>IF(FM92&gt;=RAM," ",#REF!/$AI92/Frauen!$J86)</f>
        <v xml:space="preserve"> </v>
      </c>
      <c r="GX92" s="24" t="str">
        <f>IF(FM92&gt;=RAM," ",#REF!/$AI92/Frauen!$J89)</f>
        <v xml:space="preserve"> </v>
      </c>
      <c r="GY92" s="24" t="str">
        <f>IF(FM92&gt;=RAM," ",#REF!/$AI92/Frauen!$J92)</f>
        <v xml:space="preserve"> </v>
      </c>
      <c r="GZ92" s="24" t="str">
        <f>IF(FM92&gt;=RAM," ",#REF!/$AI92/Frauen!$J95)</f>
        <v xml:space="preserve"> </v>
      </c>
      <c r="HA92" s="86"/>
      <c r="HB92" s="35">
        <f t="shared" si="137"/>
        <v>148</v>
      </c>
      <c r="HC92" s="24"/>
      <c r="HD92" s="24"/>
      <c r="HE92" s="24"/>
      <c r="HF92" s="24"/>
      <c r="HG92" s="24"/>
      <c r="HH92" s="24"/>
      <c r="HI92" s="24"/>
      <c r="HJ92" s="24"/>
      <c r="HK92" s="86"/>
      <c r="HL92" s="35">
        <f t="shared" si="138"/>
        <v>148</v>
      </c>
      <c r="HM92" s="24"/>
      <c r="HN92" s="24"/>
      <c r="HO92" s="24"/>
      <c r="HP92" s="24"/>
      <c r="HQ92" s="24"/>
      <c r="HR92" s="24"/>
      <c r="HS92" s="24"/>
      <c r="HT92" s="24"/>
      <c r="HU92" s="86"/>
      <c r="HV92" s="35">
        <f t="shared" si="139"/>
        <v>148</v>
      </c>
      <c r="HW92" s="24"/>
      <c r="HX92" s="24"/>
      <c r="HY92" s="24"/>
      <c r="HZ92" s="24"/>
      <c r="IA92" s="24"/>
      <c r="IB92" s="24"/>
      <c r="IC92" s="24"/>
      <c r="ID92" s="89"/>
      <c r="IE92" s="35">
        <f t="shared" si="140"/>
        <v>100</v>
      </c>
      <c r="IF92" s="25" t="str">
        <f t="shared" si="112"/>
        <v/>
      </c>
      <c r="IG92" s="25" t="str">
        <f>IF($IE92&lt;RAM,IF(S93&lt;=RAK,ROUND(SUM(IF92:INDEX(Dakx,RAM-BeginnAlter))+INDEX(Dax,RAM-BeginnAlter+1)*INDEX(äkx,1),RundDx),0),"")</f>
        <v/>
      </c>
      <c r="IH92" s="25" t="str">
        <f>IF($IE92&lt;RAM,IF(S93&lt;=RAK,ROUND(SUM(IG92:INDEX(Nakx,RAM-BeginnAlter))+INDEX(Dax,RAM-BeginnAlter+1)*INDEX(äkx,1),RundDx),0),"")</f>
        <v/>
      </c>
      <c r="II92" s="24" t="str">
        <f t="shared" si="113"/>
        <v/>
      </c>
      <c r="IJ92" s="25" t="str">
        <f t="shared" si="114"/>
        <v/>
      </c>
      <c r="IK92" s="25" t="str">
        <f>IF($IE92&lt;RAM,IF(S93&lt;=RAK,SUM(IJ92:INDEX(Dikx,RAM-BeginnAlter))+INDEX(Dix,RAM-BeginnAlter+1)*INDEX(äkx,1),0),"")</f>
        <v/>
      </c>
      <c r="IL92" s="24" t="str">
        <f t="shared" si="115"/>
        <v/>
      </c>
      <c r="IM92" s="86"/>
      <c r="IN92" s="35">
        <f t="shared" si="141"/>
        <v>148</v>
      </c>
      <c r="IO92" s="25"/>
      <c r="IP92" s="25"/>
      <c r="IQ92" s="24"/>
      <c r="IR92" s="86"/>
    </row>
    <row r="93" spans="1:252" ht="15.75" customHeight="1" x14ac:dyDescent="0.25">
      <c r="A93" s="35">
        <f t="shared" si="120"/>
        <v>101</v>
      </c>
      <c r="B93" s="77"/>
      <c r="C93" s="77"/>
      <c r="D93" s="77"/>
      <c r="E93" s="77">
        <v>0.66312433104181689</v>
      </c>
      <c r="F93" s="86"/>
      <c r="G93" s="35">
        <f t="shared" si="121"/>
        <v>101</v>
      </c>
      <c r="H93" s="25" t="str">
        <f t="shared" si="116"/>
        <v/>
      </c>
      <c r="I93" s="25" t="str">
        <f t="shared" si="117"/>
        <v/>
      </c>
      <c r="J93" s="25">
        <f t="shared" si="118"/>
        <v>112</v>
      </c>
      <c r="K93" s="30">
        <f>IF(J93&gt;0,ROUND(SUM(J93:J$102)/J93-0.5,Rundex),"")</f>
        <v>0.95</v>
      </c>
      <c r="L93" s="25">
        <f t="shared" si="82"/>
        <v>112</v>
      </c>
      <c r="M93" s="30">
        <f>IF(L93&gt;0,ROUND(SUM(L93:L$102)/L93-0.5,Rundex),"")</f>
        <v>0.95</v>
      </c>
      <c r="N93" s="86"/>
      <c r="O93" s="35">
        <f t="shared" si="122"/>
        <v>101</v>
      </c>
      <c r="P93" s="43">
        <v>7.8E-2</v>
      </c>
      <c r="Q93" s="78">
        <v>93.560262815816145</v>
      </c>
      <c r="R93" s="43"/>
      <c r="S93" s="78"/>
      <c r="T93" s="15">
        <v>0.66312433104181689</v>
      </c>
      <c r="U93" s="11">
        <f t="shared" si="119"/>
        <v>84</v>
      </c>
      <c r="V93" s="30">
        <f>IF(U93&gt;0,ROUND(SUM(U93:U$102)/U93-0.5,Rundex),"")</f>
        <v>0.93</v>
      </c>
      <c r="W93" s="86"/>
      <c r="X93" s="35">
        <f t="shared" ref="X93:X102" si="148">1+X92</f>
        <v>101</v>
      </c>
      <c r="Y93" s="25" t="str">
        <f t="shared" ref="Y93:Y102" si="149">IF($X93&lt;=RAM,ROUND(v^X93*H93,RundDx)," ")</f>
        <v xml:space="preserve"> </v>
      </c>
      <c r="Z93" s="25" t="str">
        <f>IF($X93&lt;RAM,SUM(Y93:INDEX(Dax,RAM-BeginnAlter))," ")</f>
        <v xml:space="preserve"> </v>
      </c>
      <c r="AA93" s="25" t="str">
        <f t="shared" si="84"/>
        <v xml:space="preserve"> </v>
      </c>
      <c r="AB93" s="25" t="str">
        <f>IF($X93&lt;RAM,SUM(AA93:INDEX(Cax,RAM-BeginnAlter))," ")</f>
        <v xml:space="preserve"> </v>
      </c>
      <c r="AC93" s="25" t="str">
        <f t="shared" ref="AC93:AC102" si="150">IF($X93&lt;RAM,ROUND(v^(X93+FaktorAlter)*$H93*$C93,RundCx)," ")</f>
        <v xml:space="preserve"> </v>
      </c>
      <c r="AD93" s="25" t="str">
        <f>IF($X93&lt;RAM,SUM(AC93:INDEX(Caix,RAM-BeginnAlter))," ")</f>
        <v xml:space="preserve"> </v>
      </c>
      <c r="AE93" s="24" t="str">
        <f t="shared" ref="AE93:AE102" si="151">IF($X93&lt;RAM,ROUND(Z93/Y93,Rundäx)," ")</f>
        <v xml:space="preserve"> </v>
      </c>
      <c r="AF93" s="24" t="str">
        <f t="shared" ref="AF93:AF102" si="152">IF($X93&lt;RAM,ROUND(AE93-(m-1)/(2*m)*((Y93-INDEX(Dax,RAM-BeginnAlter+1))/Y93),Rundäx)," ")</f>
        <v xml:space="preserve"> </v>
      </c>
      <c r="AG93" s="86"/>
      <c r="AH93" s="35">
        <f t="shared" ref="AH93:AH102" si="153">1+AH92</f>
        <v>101</v>
      </c>
      <c r="AI93" s="25" t="str">
        <f t="shared" ref="AI93:AI102" si="154">IF($AH93&lt;=RAM,ROUND(v^AH93*L93,RundDx)," ")</f>
        <v xml:space="preserve"> </v>
      </c>
      <c r="AJ93" s="25" t="str">
        <f>IF($AH93&gt;RAM," ",IF($AH93&lt;RAM,SUM(AI93:INDEX(Dix,RAM-BeginnAlter))+INDEX(Nx,RAM-BeginnAlter+1),INDEX(Nx,RAM-BeginnAlter+1)))</f>
        <v xml:space="preserve"> </v>
      </c>
      <c r="AK93" s="25" t="str">
        <f>IF($AH93&lt;RAM,SUM(AI93:INDEX(Dix,RAM-BeginnAlter))," ")</f>
        <v xml:space="preserve"> </v>
      </c>
      <c r="AL93" s="24" t="str">
        <f t="shared" ref="AL93:AL102" si="155">IF($AH93&gt;RAM," ",ROUND(AJ93/AI93,Rundäx))</f>
        <v xml:space="preserve"> </v>
      </c>
      <c r="AM93" s="24" t="str">
        <f t="shared" ref="AM93:AM102" si="156">IF($AH93&gt;RAM," ",ROUND(AJ93/AI93-(m-1)/(2*m),Rundäx))</f>
        <v xml:space="preserve"> </v>
      </c>
      <c r="AN93" s="24" t="str">
        <f t="shared" ref="AN93:AN102" si="157">IF($AH93&lt;RAM,ROUND(AK93/AI93,Rundäx)," ")</f>
        <v xml:space="preserve"> </v>
      </c>
      <c r="AO93" s="24" t="str">
        <f t="shared" ref="AO93:AO102" si="158">IF($AH93&lt;RAM,ROUND(AK93/AI93-(m-1)/(2*m)*(AI93-INDEX(Dix,RAM-BeginnAlter+1))/AI93,Rundäx)," ")</f>
        <v xml:space="preserve"> </v>
      </c>
      <c r="AP93" s="86"/>
      <c r="AQ93" s="35">
        <f t="shared" ref="AQ93:AQ102" si="159">1+AQ92</f>
        <v>101</v>
      </c>
      <c r="AR93" s="25">
        <f>ROUND(v^AQ93*J93,RundDx)</f>
        <v>12</v>
      </c>
      <c r="AS93" s="25">
        <f>SUM(AR93:AR$94)</f>
        <v>16</v>
      </c>
      <c r="AT93" s="25" t="str">
        <f>IF($AQ93&lt;RAM,SUM(AR93:INDEX(Dx,RAM-BeginnAlter))," ")</f>
        <v xml:space="preserve"> </v>
      </c>
      <c r="AU93" s="24">
        <f t="shared" ref="AU93:AU102" si="160">IF(AR93&gt;0,ROUND(AS93/AR93,Rundäx)," ")</f>
        <v>1.333</v>
      </c>
      <c r="AV93" s="24">
        <f t="shared" ref="AV93:AV102" si="161">IF(AR93&gt;0,ROUND(AS93/AR93-(m-1)/(2*m),Rundäx)," ")</f>
        <v>0.875</v>
      </c>
      <c r="AW93" s="24" t="str">
        <f t="shared" ref="AW93:AW102" si="162">IF($AQ93&lt;RAM,ROUND(AT93/AR93,Rundäx)," ")</f>
        <v xml:space="preserve"> </v>
      </c>
      <c r="AX93" s="24" t="str">
        <f t="shared" ref="AX93:AX102" si="163">IF($AQ93&lt;RAM,ROUND(AT93/AR93-(m-1)/(2*m)*(AR93-INDEX(Dx,RAM-BeginnAlter+1))/AR93,Rundäx)," ")</f>
        <v xml:space="preserve"> </v>
      </c>
      <c r="AY93" s="86"/>
      <c r="AZ93" s="35">
        <f t="shared" ref="AZ93:AZ102" si="164">1+AZ92</f>
        <v>101</v>
      </c>
      <c r="BA93" s="25">
        <f>ROUND(v^AZ93*U93,0)</f>
        <v>9</v>
      </c>
      <c r="BB93" s="25">
        <f>SUM(BA93:BA$94)</f>
        <v>12</v>
      </c>
      <c r="BC93" s="24">
        <f t="shared" ref="BC93:BC102" si="165">IF(BA93&gt;0,ROUND(BB93/BA93,Rundäx)," ")</f>
        <v>1.333</v>
      </c>
      <c r="BD93" s="24">
        <f t="shared" si="100"/>
        <v>0.875</v>
      </c>
      <c r="BE93" s="86"/>
      <c r="BF93" s="35">
        <f t="shared" ref="BF93:BF102" si="166">1+BF92</f>
        <v>84</v>
      </c>
      <c r="BG93" s="24" t="str">
        <f t="shared" si="101"/>
        <v/>
      </c>
      <c r="BH93" s="24" t="str">
        <f t="shared" si="102"/>
        <v/>
      </c>
      <c r="BI93" s="86"/>
      <c r="BJ93" s="35">
        <f t="shared" ref="BJ93:BJ102" si="167">1+BJ92</f>
        <v>101</v>
      </c>
      <c r="BK93" s="25" t="str">
        <f t="shared" ref="BK93:BK102" si="168">IF(BJ93&lt;RAM,ROUND(v^(BJ93+FaktorAlter)*$H93*$C93*0.5*(AM93+AM94),RundDx)," ")</f>
        <v xml:space="preserve"> </v>
      </c>
      <c r="BL93" s="25" t="str">
        <f>IF(BJ93&lt;RAM,SUM(BK93:INDEX(Daix,RAM-BeginnAlter))," ")</f>
        <v xml:space="preserve"> </v>
      </c>
      <c r="BM93" s="25" t="str">
        <f>IF(BJ93&lt;RAM,SUM(BL93:INDEX(Naix,RAM-BeginnAlter))," ")</f>
        <v xml:space="preserve"> </v>
      </c>
      <c r="BN93" s="24" t="str">
        <f t="shared" ref="BN93:BN102" si="169">IF(BJ93&lt;RAM,ROUND(INDEX(Dax,RAM-BeginnAlter+1)/Y93*INDEX(ämx,RAM-BeginnAlter+1),Rundäx)," ")</f>
        <v xml:space="preserve"> </v>
      </c>
      <c r="BO93" s="24" t="str">
        <f t="shared" ref="BO93:BO102" si="170">IF(BJ93&lt;RAM,ROUND(BL93/Y93,Rundäx)," ")</f>
        <v xml:space="preserve"> </v>
      </c>
      <c r="BP93" s="86"/>
      <c r="BQ93" s="35">
        <f t="shared" ref="BQ93:BQ102" si="171">1+BQ92</f>
        <v>101</v>
      </c>
      <c r="BR93" s="25" t="str">
        <f t="shared" ref="BR93:BR102" si="172">IF(BQ93&lt;RAM,ROUND(v^(BQ93+FaktorAlter)*C93*H93*(0.5*(AM93+AM94)-v^FaktorAlter*(1-D93)/(1-0.5*D93)*INDEX(Dix,RAM-BeginnAlter+1)/AI94*INDEX(äimx,RAM-BeginnAlter+1)),RundDx)," ")</f>
        <v xml:space="preserve"> </v>
      </c>
      <c r="BS93" s="25" t="str">
        <f>IF(BQ93&lt;RAM,SUM(BR93:INDEX(Daixs,RAM-BeginnAlter))," ")</f>
        <v xml:space="preserve"> </v>
      </c>
      <c r="BT93" s="25" t="str">
        <f>IF(BQ93&lt;RAM,SUM(BS93:INDEX(Naixs,RAM-BeginnAlter))," ")</f>
        <v xml:space="preserve"> </v>
      </c>
      <c r="BU93" s="24" t="str">
        <f t="shared" ref="BU93:BU102" si="173">IF(BQ93&lt;RAM,ROUND((1-I93/L93)*INDEX(ämx,RAM-BeginnAlter+1)/Y93*INDEX(Dx,RAM-BeginnAlter+1),Rundäx)," ")</f>
        <v xml:space="preserve"> </v>
      </c>
      <c r="BV93" s="24" t="str">
        <f t="shared" ref="BV93:BV102" si="174">IF(BQ93&lt;RAM,ROUND(BS93/Y93,Rundäx)," ")</f>
        <v xml:space="preserve"> </v>
      </c>
      <c r="BW93" s="86"/>
      <c r="BX93" s="35">
        <f t="shared" ref="BX93:BX102" si="175">1+BX92</f>
        <v>101</v>
      </c>
      <c r="BY93" s="10" t="str">
        <f t="shared" si="106"/>
        <v/>
      </c>
      <c r="BZ93" s="11" t="str">
        <f t="shared" si="107"/>
        <v/>
      </c>
      <c r="CA93" s="25" t="str">
        <f>IF(S94&lt;=RAK,IF($BX93&lt;RAM,SUM(BZ93:INDEX(Dazx,RAM-BeginnAlter)),""),"")</f>
        <v/>
      </c>
      <c r="CB93" s="24" t="str">
        <f t="shared" si="108"/>
        <v/>
      </c>
      <c r="CC93" s="25">
        <f t="shared" si="109"/>
        <v>0</v>
      </c>
      <c r="CD93" s="24">
        <f t="shared" si="110"/>
        <v>0</v>
      </c>
      <c r="CE93" s="24" t="str">
        <f t="shared" si="111"/>
        <v/>
      </c>
      <c r="CF93" s="86"/>
      <c r="CG93" s="35">
        <f t="shared" ref="CG93:CG102" si="176">1+CG92</f>
        <v>101</v>
      </c>
      <c r="CH93" s="25" t="str">
        <f>IF(CG93&lt;RAM,ROUND(v^($CG93+FaktorAlter)*$H93*($B93*0.5*($P93+$P94)*(VLOOKUP(TRUNC(0.5*($Q93+$Q94),0),Frauen!$AZ$9:$BD$95,5)+(0.5*($Q93+$Q94)-TRUNC(0.5*($Q93+$Q94),0))*(VLOOKUP(TRUNC(0.5*($Q93+$Q94)+1,0),Frauen!$AZ$9:$BD$95,5)-VLOOKUP(TRUNC(0.5*($Q93+$Q94),0),Frauen!$AZ$9:$BD$95,5)))+$C93*0.5*($CN93+$CN94)),RundDx),"")</f>
        <v/>
      </c>
      <c r="CI93" s="25" t="str">
        <f>IF(CG93&lt;RAM,ROUND(SUM(CH93:INDEX(Dawx,RAM-BeginnAlter))+INDEX(Dax,RAM-BeginnAlter+1)*INDEX(äwx,1),RundDx),"")</f>
        <v/>
      </c>
      <c r="CJ93" s="25" t="str">
        <f>IF(CG93&lt;RAM,ROUND(SUM(CI93:INDEX(Nawx,RAM-BeginnAlter))+INDEX(Dax,RAM-BeginnAlter+1)*INDEX(äwx,1),RundDx),"")</f>
        <v/>
      </c>
      <c r="CK93" s="24" t="str">
        <f t="shared" ref="CK93:CK102" si="177">IF(CG93&lt;RAM,ROUND(CI93/$Y93,Rundäx),"")</f>
        <v/>
      </c>
      <c r="CL93" s="25" t="str">
        <f>IF(CG93&lt;RAM,ROUND(v^($CG93+FaktorAlter)*$L93*$D93*0.5*($P93+$P94)*(VLOOKUP(TRUNC(0.5*($Q93+$Q94),0),Frauen!$AZ$9:$BD$95,5)+(0.5*($Q93+$Q94)-TRUNC(0.5*($Q93+$Q94),0))*(VLOOKUP(TRUNC(0.5*($Q93+$Q94)+1,0),Frauen!$AZ$9:$BD$95,5)-VLOOKUP(TRUNC(0.5*($Q93+$Q94),0),Frauen!$AZ$9:$BD$95,5))),RundDx),"")</f>
        <v/>
      </c>
      <c r="CM93" s="25" t="str">
        <f>IF(CG93&lt;RAM,SUM(CL93:INDEX(Diwx,RAM-BeginnAlter))+INDEX(Dix,RAM-BeginnAlter+1)*INDEX(äwx,1),"")</f>
        <v/>
      </c>
      <c r="CN93" s="24" t="str">
        <f t="shared" ref="CN93:CN102" si="178">IF(CG93&lt;RAM,ROUND(CM93/$AI93,Rundäx),IF(CG93&gt;RAM,"",INDEX(äwx,1)))</f>
        <v/>
      </c>
      <c r="CO93" s="86"/>
      <c r="CP93" s="35">
        <f t="shared" si="147"/>
        <v>149</v>
      </c>
      <c r="CQ93" s="25"/>
      <c r="CR93" s="25"/>
      <c r="CS93" s="24"/>
      <c r="CT93" s="86"/>
      <c r="CU93" s="35">
        <f t="shared" ref="CU93:CU102" si="179">1+CU92</f>
        <v>101</v>
      </c>
      <c r="CV93" s="25" t="str">
        <f>IF($CU93&gt;=RAM,"",IF($CU93-CV$103&lt;BeginnAlter,"",ROUND(v^($CU93+FaktorAlter)*$L93*$D93*0.5*(VLOOKUP($CU93-CV$103,Frauen!$G$9:$J$102,4)+VLOOKUP($CU93-CV$103+1,Frauen!$G$9:$J$102,4))*0.5*(VLOOKUP($CU93-CV$103,Frauen!$AZ$9:$BD$102,5)+VLOOKUP($CU93-CV$103+1,Frauen!$AZ$9:$BD$102,5)),RundDx)))</f>
        <v/>
      </c>
      <c r="CW93" s="25" t="str">
        <f>IF($CU93&gt;=RAM,"",IF($CU93-CW$103&lt;BeginnAlter,"",ROUND(v^($CU93+FaktorAlter)*$L93*$D93*0.5*(VLOOKUP($CU93-CW$103,Frauen!$G$9:$J$102,4)+VLOOKUP($CU93-CW$103+1,Frauen!$G$9:$J$102,4))*0.5*(VLOOKUP($CU93-CW$103,Frauen!$AZ$9:$BD$102,5)+VLOOKUP($CU93-CW$103+1,Frauen!$AZ$9:$BD$102,5)),RundDx)))</f>
        <v/>
      </c>
      <c r="CX93" s="25" t="str">
        <f>IF($CU93&gt;=RAM,"",IF($CU93-CX$103&lt;BeginnAlter,"",ROUND(v^($CU93+FaktorAlter)*$L93*$D93*0.5*(VLOOKUP($CU93-CX$103,Frauen!$G$9:$J$102,4)+VLOOKUP($CU93-CX$103+1,Frauen!$G$9:$J$102,4))*0.5*(VLOOKUP($CU93-CX$103,Frauen!$AZ$9:$BD$102,5)+VLOOKUP($CU93-CX$103+1,Frauen!$AZ$9:$BD$102,5)),RundDx)))</f>
        <v/>
      </c>
      <c r="CY93" s="25" t="str">
        <f>IF($CU93&gt;=RAM,"",IF($CU93-CY$103&lt;BeginnAlter,"",ROUND(v^($CU93+FaktorAlter)*$L93*$D93*0.5*(VLOOKUP($CU93-CY$103,Frauen!$G$9:$J$102,4)+VLOOKUP($CU93-CY$103+1,Frauen!$G$9:$J$102,4))*0.5*(VLOOKUP($CU93-CY$103,Frauen!$AZ$9:$BD$102,5)+VLOOKUP($CU93-CY$103+1,Frauen!$AZ$9:$BD$102,5)),RundDx)))</f>
        <v/>
      </c>
      <c r="CZ93" s="25" t="str">
        <f>IF($CU93&gt;=RAM,"",IF($CU93-CZ$103&lt;BeginnAlter,"",ROUND(v^($CU93+FaktorAlter)*$L93*$D93*0.5*(VLOOKUP($CU93-CZ$103,Frauen!$G$9:$J$102,4)+VLOOKUP($CU93-CZ$103+1,Frauen!$G$9:$J$102,4))*0.5*(VLOOKUP($CU93-CZ$103,Frauen!$AZ$9:$BD$102,5)+VLOOKUP($CU93-CZ$103+1,Frauen!$AZ$9:$BD$102,5)),RundDx)))</f>
        <v/>
      </c>
      <c r="DA93" s="25" t="str">
        <f>IF($CU93&gt;=RAM,"",IF($CU93-DA$103&lt;BeginnAlter,"",ROUND(v^($CU93+FaktorAlter)*$L93*$D93*0.5*(VLOOKUP($CU93-DA$103,Frauen!$G$9:$J$102,4)+VLOOKUP($CU93-DA$103+1,Frauen!$G$9:$J$102,4))*0.5*(VLOOKUP($CU93-DA$103,Frauen!$AZ$9:$BD$102,5)+VLOOKUP($CU93-DA$103+1,Frauen!$AZ$9:$BD$102,5)),RundDx)))</f>
        <v/>
      </c>
      <c r="DB93" s="25" t="str">
        <f>IF($CU93&gt;=RAM,"",IF($CU93-DB$103&lt;BeginnAlter,"",ROUND(v^($CU93+FaktorAlter)*$L93*$D93*0.5*(VLOOKUP($CU93-DB$103,Frauen!$G$9:$J$102,4)+VLOOKUP($CU93-DB$103+1,Frauen!$G$9:$J$102,4))*0.5*(VLOOKUP($CU93-DB$103,Frauen!$AZ$9:$BD$102,5)+VLOOKUP($CU93-DB$103+1,Frauen!$AZ$9:$BD$102,5)),RundDx)))</f>
        <v/>
      </c>
      <c r="DC93" s="25" t="str">
        <f>IF($CU93&gt;=RAM,"",IF($CU93-DC$103&lt;BeginnAlter,"",ROUND(v^($CU93+FaktorAlter)*$L93*$D93*0.5*(VLOOKUP($CU93-DC$103,Frauen!$G$9:$J$102,4)+VLOOKUP($CU93-DC$103+1,Frauen!$G$9:$J$102,4))*0.5*(VLOOKUP($CU93-DC$103,Frauen!$AZ$9:$BD$102,5)+VLOOKUP($CU93-DC$103+1,Frauen!$AZ$9:$BD$102,5)),RundDx)))</f>
        <v/>
      </c>
      <c r="DD93" s="25" t="str">
        <f>IF($CU93&gt;=RAM,"",IF($CU93-DD$103&lt;BeginnAlter,"",ROUND(v^($CU93+FaktorAlter)*$L93*$D93*0.5*(VLOOKUP($CU93-DD$103,Frauen!$G$9:$J$102,4)+VLOOKUP($CU93-DD$103+1,Frauen!$G$9:$J$102,4))*0.5*(VLOOKUP($CU93-DD$103,Frauen!$AZ$9:$BD$102,5)+VLOOKUP($CU93-DD$103+1,Frauen!$AZ$9:$BD$102,5)),RundDx)))</f>
        <v/>
      </c>
      <c r="DE93" s="25" t="str">
        <f>IF($CU93&gt;=RAM,"",IF($CU93-DE$103&lt;BeginnAlter,"",ROUND(v^($CU93+FaktorAlter)*$L93*$D93*0.5*(VLOOKUP($CU93-DE$103,Frauen!$G$9:$J$102,4)+VLOOKUP($CU93-DE$103+1,Frauen!$G$9:$J$102,4))*0.5*(VLOOKUP($CU93-DE$103,Frauen!$AZ$9:$BD$102,5)+VLOOKUP($CU93-DE$103+1,Frauen!$AZ$9:$BD$102,5)),RundDx)))</f>
        <v/>
      </c>
      <c r="DF93" s="25" t="str">
        <f>IF($CU93&gt;=RAM,"",IF($CU93-DF$103&lt;BeginnAlter,"",ROUND(v^($CU93+FaktorAlter)*$L93*$D93*0.5*(VLOOKUP($CU93-DF$103,Frauen!$G$9:$J$102,4)+VLOOKUP($CU93-DF$103+1,Frauen!$G$9:$J$102,4))*0.5*(VLOOKUP($CU93-DF$103,Frauen!$AZ$9:$BD$102,5)+VLOOKUP($CU93-DF$103+1,Frauen!$AZ$9:$BD$102,5)),RundDx)))</f>
        <v/>
      </c>
      <c r="DG93" s="25" t="str">
        <f>IF($CU93&gt;=RAM,"",IF($CU93-DG$103&lt;BeginnAlter,"",ROUND(v^($CU93+FaktorAlter)*$L93*$D93*0.5*(VLOOKUP($CU93-DG$103,Frauen!$G$9:$J$102,4)+VLOOKUP($CU93-DG$103+1,Frauen!$G$9:$J$102,4))*0.5*(VLOOKUP($CU93-DG$103,Frauen!$AZ$9:$BD$102,5)+VLOOKUP($CU93-DG$103+1,Frauen!$AZ$9:$BD$102,5)),RundDx)))</f>
        <v/>
      </c>
      <c r="DH93" s="25" t="str">
        <f>IF($CU93&gt;=RAM,"",IF($CU93-DH$103&lt;BeginnAlter,"",ROUND(v^($CU93+FaktorAlter)*$L93*$D93*0.5*(VLOOKUP($CU93-DH$103,Frauen!$G$9:$J$102,4)+VLOOKUP($CU93-DH$103+1,Frauen!$G$9:$J$102,4))*0.5*(VLOOKUP($CU93-DH$103,Frauen!$AZ$9:$BD$102,5)+VLOOKUP($CU93-DH$103+1,Frauen!$AZ$9:$BD$102,5)),RundDx)))</f>
        <v/>
      </c>
      <c r="DI93" s="25" t="str">
        <f>IF($CU93&gt;=RAM,"",IF($CU93-DI$103&lt;BeginnAlter,"",ROUND(v^($CU93+FaktorAlter)*$L93*$D93*0.5*(VLOOKUP($CU93-DI$103,Frauen!$G$9:$J$102,4)+VLOOKUP($CU93-DI$103+1,Frauen!$G$9:$J$102,4))*0.5*(VLOOKUP($CU93-DI$103,Frauen!$AZ$9:$BD$102,5)+VLOOKUP($CU93-DI$103+1,Frauen!$AZ$9:$BD$102,5)),RundDx)))</f>
        <v/>
      </c>
      <c r="DJ93" s="25" t="str">
        <f>IF($CU93&gt;=RAM,"",IF($CU93-DJ$103&lt;BeginnAlter,"",ROUND(v^($CU93+FaktorAlter)*$L93*$D93*0.5*(VLOOKUP($CU93-DJ$103,Frauen!$G$9:$J$102,4)+VLOOKUP($CU93-DJ$103+1,Frauen!$G$9:$J$102,4))*0.5*(VLOOKUP($CU93-DJ$103,Frauen!$AZ$9:$BD$102,5)+VLOOKUP($CU93-DJ$103+1,Frauen!$AZ$9:$BD$102,5)),RundDx)))</f>
        <v/>
      </c>
      <c r="DK93" s="25" t="str">
        <f>IF($CU93&gt;=RAM,"",IF($CU93-DK$103&lt;BeginnAlter,"",ROUND(v^($CU93+FaktorAlter)*$L93*$D93*0.5*(VLOOKUP($CU93-DK$103,Frauen!$G$9:$J$102,4)+VLOOKUP($CU93-DK$103+1,Frauen!$G$9:$J$102,4))*0.5*(VLOOKUP($CU93-DK$103,Frauen!$AZ$9:$BD$102,5)+VLOOKUP($CU93-DK$103+1,Frauen!$AZ$9:$BD$102,5)),RundDx)))</f>
        <v/>
      </c>
      <c r="DL93" s="25" t="str">
        <f>IF($CU93&gt;=RAM,"",IF($CU93-DL$103&lt;BeginnAlter,"",ROUND(v^($CU93+FaktorAlter)*$L93*$D93*0.5*(VLOOKUP($CU93-DL$103,Frauen!$G$9:$J$102,4)+VLOOKUP($CU93-DL$103+1,Frauen!$G$9:$J$102,4))*0.5*(VLOOKUP($CU93-DL$103,Frauen!$AZ$9:$BD$102,5)+VLOOKUP($CU93-DL$103+1,Frauen!$AZ$9:$BD$102,5)),RundDx)))</f>
        <v/>
      </c>
      <c r="DM93" s="25" t="str">
        <f>IF($CU93&gt;=RAM,"",IF($CU93-DM$103&lt;BeginnAlter,"",ROUND(v^($CU93+FaktorAlter)*$L93*$D93*0.5*(VLOOKUP($CU93-DM$103,Frauen!$G$9:$J$102,4)+VLOOKUP($CU93-DM$103+1,Frauen!$G$9:$J$102,4))*0.5*(VLOOKUP($CU93-DM$103,Frauen!$AZ$9:$BD$102,5)+VLOOKUP($CU93-DM$103+1,Frauen!$AZ$9:$BD$102,5)),RundDx)))</f>
        <v/>
      </c>
      <c r="DN93" s="25" t="str">
        <f>IF($CU93&gt;=RAM,"",IF($CU93-DN$103&lt;BeginnAlter,"",ROUND(v^($CU93+FaktorAlter)*$L93*$D93*0.5*(VLOOKUP($CU93-DN$103,Frauen!$G$9:$J$102,4)+VLOOKUP($CU93-DN$103+1,Frauen!$G$9:$J$102,4))*0.5*(VLOOKUP($CU93-DN$103,Frauen!$AZ$9:$BD$102,5)+VLOOKUP($CU93-DN$103+1,Frauen!$AZ$9:$BD$102,5)),RundDx)))</f>
        <v/>
      </c>
      <c r="DO93" s="25" t="str">
        <f>IF($CU93&gt;=RAM,"",IF($CU93-DO$103&lt;BeginnAlter,"",ROUND(v^($CU93+FaktorAlter)*$L93*$D93*0.5*(VLOOKUP($CU93-DO$103,Frauen!$G$9:$J$102,4)+VLOOKUP($CU93-DO$103+1,Frauen!$G$9:$J$102,4))*0.5*(VLOOKUP($CU93-DO$103,Frauen!$AZ$9:$BD$102,5)+VLOOKUP($CU93-DO$103+1,Frauen!$AZ$9:$BD$102,5)),RundDx)))</f>
        <v/>
      </c>
      <c r="DP93" s="25" t="str">
        <f>IF($CU93&gt;=RAM,"",IF($CU93-DP$103&lt;BeginnAlter,"",ROUND(v^($CU93+FaktorAlter)*$L93*$D93*0.5*(VLOOKUP($CU93-DP$103,Frauen!$G$9:$J$102,4)+VLOOKUP($CU93-DP$103+1,Frauen!$G$9:$J$102,4))*0.5*(VLOOKUP($CU93-DP$103,Frauen!$AZ$9:$BD$102,5)+VLOOKUP($CU93-DP$103+1,Frauen!$AZ$9:$BD$102,5)),RundDx)))</f>
        <v/>
      </c>
      <c r="DQ93" s="25" t="str">
        <f>IF($CU93&gt;=RAM,"",IF($CU93-DQ$103&lt;BeginnAlter,"",ROUND(v^($CU93+FaktorAlter)*$L93*$D93*0.5*(VLOOKUP($CU93-DQ$103,Frauen!$G$9:$J$102,4)+VLOOKUP($CU93-DQ$103+1,Frauen!$G$9:$J$102,4))*0.5*(VLOOKUP($CU93-DQ$103,Frauen!$AZ$9:$BD$102,5)+VLOOKUP($CU93-DQ$103+1,Frauen!$AZ$9:$BD$102,5)),RundDx)))</f>
        <v/>
      </c>
      <c r="DR93" s="25" t="str">
        <f>IF($CU93&gt;=RAM,"",IF($CU93-DR$103&lt;BeginnAlter,"",ROUND(v^($CU93+FaktorAlter)*$L93*$D93*0.5*(VLOOKUP($CU93-DR$103,Frauen!$G$9:$J$102,4)+VLOOKUP($CU93-DR$103+1,Frauen!$G$9:$J$102,4))*0.5*(VLOOKUP($CU93-DR$103,Frauen!$AZ$9:$BD$102,5)+VLOOKUP($CU93-DR$103+1,Frauen!$AZ$9:$BD$102,5)),RundDx)))</f>
        <v/>
      </c>
      <c r="DS93" s="25" t="str">
        <f>IF($CU93&gt;=RAM,"",IF($CU93-DS$103&lt;BeginnAlter,"",ROUND(v^($CU93+FaktorAlter)*$L93*$D93*0.5*(VLOOKUP($CU93-DS$103,Frauen!$G$9:$J$102,4)+VLOOKUP($CU93-DS$103+1,Frauen!$G$9:$J$102,4))*0.5*(VLOOKUP($CU93-DS$103,Frauen!$AZ$9:$BD$102,5)+VLOOKUP($CU93-DS$103+1,Frauen!$AZ$9:$BD$102,5)),RundDx)))</f>
        <v/>
      </c>
      <c r="DT93" s="25" t="str">
        <f>IF($CU93&gt;=RAM,"",IF($CU93-DT$103&lt;BeginnAlter,"",ROUND(v^($CU93+FaktorAlter)*$L93*$D93*0.5*(VLOOKUP($CU93-DT$103,Frauen!$G$9:$J$102,4)+VLOOKUP($CU93-DT$103+1,Frauen!$G$9:$J$102,4))*0.5*(VLOOKUP($CU93-DT$103,Frauen!$AZ$9:$BD$102,5)+VLOOKUP($CU93-DT$103+1,Frauen!$AZ$9:$BD$102,5)),RundDx)))</f>
        <v/>
      </c>
      <c r="DU93" s="25" t="str">
        <f>IF($CU93&gt;=RAM,"",IF($CU93-DU$103&lt;BeginnAlter,"",ROUND(v^($CU93+FaktorAlter)*$L93*$D93*0.5*(VLOOKUP($CU93-DU$103,Frauen!$G$9:$J$102,4)+VLOOKUP($CU93-DU$103+1,Frauen!$G$9:$J$102,4))*0.5*(VLOOKUP($CU93-DU$103,Frauen!$AZ$9:$BD$102,5)+VLOOKUP($CU93-DU$103+1,Frauen!$AZ$9:$BD$102,5)),RundDx)))</f>
        <v/>
      </c>
      <c r="DV93" s="25" t="str">
        <f>IF($CU93&gt;=RAM,"",IF($CU93-DV$103&lt;BeginnAlter,"",ROUND(v^($CU93+FaktorAlter)*$L93*$D93*0.5*(VLOOKUP($CU93-DV$103,Frauen!$G$9:$J$102,4)+VLOOKUP($CU93-DV$103+1,Frauen!$G$9:$J$102,4))*0.5*(VLOOKUP($CU93-DV$103,Frauen!$AZ$9:$BD$102,5)+VLOOKUP($CU93-DV$103+1,Frauen!$AZ$9:$BD$102,5)),RundDx)))</f>
        <v/>
      </c>
      <c r="DW93" s="25" t="str">
        <f>IF($CU93&gt;=RAM,"",IF($CU93-DW$103&lt;BeginnAlter,"",ROUND(v^($CU93+FaktorAlter)*$L93*$D93*0.5*(VLOOKUP($CU93-DW$103,Frauen!$G$9:$J$102,4)+VLOOKUP($CU93-DW$103+1,Frauen!$G$9:$J$102,4))*0.5*(VLOOKUP($CU93-DW$103,Frauen!$AZ$9:$BD$102,5)+VLOOKUP($CU93-DW$103+1,Frauen!$AZ$9:$BD$102,5)),RundDx)))</f>
        <v/>
      </c>
      <c r="DX93" s="25" t="str">
        <f>IF($CU93&gt;=RAM,"",IF($CU93-DX$103&lt;BeginnAlter,"",ROUND(v^($CU93+FaktorAlter)*$L93*$D93*0.5*(VLOOKUP($CU93-DX$103,Frauen!$G$9:$J$102,4)+VLOOKUP($CU93-DX$103+1,Frauen!$G$9:$J$102,4))*0.5*(VLOOKUP($CU93-DX$103,Frauen!$AZ$9:$BD$102,5)+VLOOKUP($CU93-DX$103+1,Frauen!$AZ$9:$BD$102,5)),RundDx)))</f>
        <v/>
      </c>
      <c r="DY93" s="25" t="str">
        <f>IF($CU93&gt;=RAM,"",IF($CU93-DY$103&lt;BeginnAlter,"",ROUND(v^($CU93+FaktorAlter)*$L93*$D93*0.5*(VLOOKUP($CU93-DY$103,Frauen!$G$9:$J$102,4)+VLOOKUP($CU93-DY$103+1,Frauen!$G$9:$J$102,4))*0.5*(VLOOKUP($CU93-DY$103,Frauen!$AZ$9:$BD$102,5)+VLOOKUP($CU93-DY$103+1,Frauen!$AZ$9:$BD$102,5)),RundDx)))</f>
        <v/>
      </c>
      <c r="DZ93" s="25" t="str">
        <f>IF($CU93&gt;=RAM,"",IF($CU93-DZ$103&lt;BeginnAlter,"",ROUND(v^($CU93+FaktorAlter)*$L93*$D93*0.5*(VLOOKUP($CU93-DZ$103,Frauen!$G$9:$J$102,4)+VLOOKUP($CU93-DZ$103+1,Frauen!$G$9:$J$102,4))*0.5*(VLOOKUP($CU93-DZ$103,Frauen!$AZ$9:$BD$102,5)+VLOOKUP($CU93-DZ$103+1,Frauen!$AZ$9:$BD$102,5)),RundDx)))</f>
        <v/>
      </c>
      <c r="EA93" s="43" t="str">
        <f>IF($CU93&gt;=RAM,"",IF($CU93-EA$103&lt;BeginnAlter,"",ROUND((SUM(CV$56:CV93)+SUM(FN$9:FN$56))/VLOOKUP($CU93,$AH$9:$AI$102,2)/VLOOKUP($CU93-EA$103,Frauen!$G$9:$J$102,4),Rundäx)))</f>
        <v/>
      </c>
      <c r="EB93" s="43" t="str">
        <f>IF($CU93&gt;=RAM,"",IF($CU93-EB$103&lt;BeginnAlter,"",ROUND((SUM(CW$56:CW93)+SUM(FO$9:FO$56))/VLOOKUP($CU93,$AH$9:$AI$102,2)/VLOOKUP($CU93-EB$103,Frauen!$G$9:$J$102,4),Rundäx)))</f>
        <v/>
      </c>
      <c r="EC93" s="43" t="str">
        <f>IF($CU93&gt;=RAM,"",IF($CU93-EC$103&lt;BeginnAlter,"",ROUND((SUM(CX$56:CX93)+SUM(FP$9:FP$56))/VLOOKUP($CU93,$AH$9:$AI$102,2)/VLOOKUP($CU93-EC$103,Frauen!$G$9:$J$102,4),Rundäx)))</f>
        <v/>
      </c>
      <c r="ED93" s="43" t="str">
        <f>IF($CU93&gt;=RAM,"",IF($CU93-ED$103&lt;BeginnAlter,"",ROUND((SUM(CY$56:CY93)+SUM(FQ$9:FQ$56))/VLOOKUP($CU93,$AH$9:$AI$102,2)/VLOOKUP($CU93-ED$103,Frauen!$G$9:$J$102,4),Rundäx)))</f>
        <v/>
      </c>
      <c r="EE93" s="43" t="str">
        <f>IF($CU93&gt;=RAM,"",IF($CU93-EE$103&lt;BeginnAlter,"",ROUND((SUM(CZ$56:CZ93)+SUM(FR$9:FR$56))/VLOOKUP($CU93,$AH$9:$AI$102,2)/VLOOKUP($CU93-EE$103,Frauen!$G$9:$J$102,4),Rundäx)))</f>
        <v/>
      </c>
      <c r="EF93" s="43" t="str">
        <f>IF($CU93&gt;=RAM,"",IF($CU93-EF$103&lt;BeginnAlter,"",ROUND((SUM(DA$56:DA93)+SUM(FS$9:FS$56))/VLOOKUP($CU93,$AH$9:$AI$102,2)/VLOOKUP($CU93-EF$103,Frauen!$G$9:$J$102,4),Rundäx)))</f>
        <v/>
      </c>
      <c r="EG93" s="43" t="str">
        <f>IF($CU93&gt;=RAM,"",IF($CU93-EG$103&lt;BeginnAlter,"",ROUND((SUM(DB$56:DB93)+SUM(FT$9:FT$56))/VLOOKUP($CU93,$AH$9:$AI$102,2)/VLOOKUP($CU93-EG$103,Frauen!$G$9:$J$102,4),Rundäx)))</f>
        <v/>
      </c>
      <c r="EH93" s="43" t="str">
        <f>IF($CU93&gt;=RAM,"",IF($CU93-EH$103&lt;BeginnAlter,"",ROUND((SUM(DC$56:DC93)+SUM(FU$9:FU$56))/VLOOKUP($CU93,$AH$9:$AI$102,2)/VLOOKUP($CU93-EH$103,Frauen!$G$9:$J$102,4),Rundäx)))</f>
        <v/>
      </c>
      <c r="EI93" s="86"/>
      <c r="EJ93" s="35">
        <f t="shared" ref="EJ93:EJ102" si="180">1+EJ92</f>
        <v>101</v>
      </c>
      <c r="EK93" s="43" t="str">
        <f>IF($CU93&gt;=RAM,"",IF($CU93-EK$103&lt;BeginnAlter,"",ROUND((SUM(DD$56:DD93)+SUM(FV$9:FV$56))/VLOOKUP($CU93,$AH$9:$AI$102,2)/VLOOKUP($CU93-EK$103,Frauen!$G$9:$J$102,4),Rundäx)))</f>
        <v/>
      </c>
      <c r="EL93" s="43" t="str">
        <f>IF($CU93&gt;=RAM,"",IF($CU93-EL$103&lt;BeginnAlter,"",ROUND((SUM(DE$56:DE93)+SUM(FW$9:FW$56))/VLOOKUP($CU93,$AH$9:$AI$102,2)/VLOOKUP($CU93-EL$103,Frauen!$G$9:$J$102,4),Rundäx)))</f>
        <v/>
      </c>
      <c r="EM93" s="43" t="str">
        <f>IF($CU93&gt;=RAM,"",IF($CU93-EM$103&lt;BeginnAlter,"",ROUND((SUM(DF$56:DF93)+SUM(FX$9:FX$56))/VLOOKUP($CU93,$AH$9:$AI$102,2)/VLOOKUP($CU93-EM$103,Frauen!$G$9:$J$102,4),Rundäx)))</f>
        <v/>
      </c>
      <c r="EN93" s="43" t="str">
        <f>IF($CU93&gt;=RAM,"",IF($CU93-EN$103&lt;BeginnAlter,"",ROUND((SUM(DG$56:DG93)+SUM(FY$9:FY$56))/VLOOKUP($CU93,$AH$9:$AI$102,2)/VLOOKUP($CU93-EN$103,Frauen!$G$9:$J$102,4),Rundäx)))</f>
        <v/>
      </c>
      <c r="EO93" s="43" t="str">
        <f>IF($CU93&gt;=RAM,"",IF($CU93-EO$103&lt;BeginnAlter,"",ROUND((SUM(DH$56:DH93)+SUM(FZ$9:FZ$56))/VLOOKUP($CU93,$AH$9:$AI$102,2)/VLOOKUP($CU93-EO$103,Frauen!$G$9:$J$102,4),Rundäx)))</f>
        <v/>
      </c>
      <c r="EP93" s="43" t="str">
        <f>IF($CU93&gt;=RAM,"",IF($CU93-EP$103&lt;BeginnAlter,"",ROUND((SUM(DI$56:DI93)+SUM(GA$9:GA$56))/VLOOKUP($CU93,$AH$9:$AI$102,2)/VLOOKUP($CU93-EP$103,Frauen!$G$9:$J$102,4),Rundäx)))</f>
        <v/>
      </c>
      <c r="EQ93" s="43" t="str">
        <f>IF($CU93&gt;=RAM,"",IF($CU93-EQ$103&lt;BeginnAlter,"",ROUND((SUM(DJ$56:DJ93)+SUM(GB$9:GB$56))/VLOOKUP($CU93,$AH$9:$AI$102,2)/VLOOKUP($CU93-EQ$103,Frauen!$G$9:$J$102,4),Rundäx)))</f>
        <v/>
      </c>
      <c r="ER93" s="43" t="str">
        <f>IF($CU93&gt;=RAM,"",IF($CU93-ER$103&lt;BeginnAlter,"",ROUND((SUM(DK$56:DK93)+SUM(GC$9:GC$56))/VLOOKUP($CU93,$AH$9:$AI$102,2)/VLOOKUP($CU93-ER$103,Frauen!$G$9:$J$102,4),Rundäx)))</f>
        <v/>
      </c>
      <c r="ES93" s="86"/>
      <c r="ET93" s="35">
        <f t="shared" ref="ET93:ET102" si="181">1+ET92</f>
        <v>101</v>
      </c>
      <c r="EU93" s="43" t="str">
        <f>IF($CU93&gt;=RAM,"",IF($CU93-EU$103&lt;BeginnAlter,"",ROUND((SUM(DL$56:DL93)+SUM(GD$9:GD$56))/VLOOKUP($CU93,$AH$9:$AI$102,2)/VLOOKUP($CU93-EU$103,Frauen!$G$9:$J$102,4),Rundäx)))</f>
        <v/>
      </c>
      <c r="EV93" s="43" t="str">
        <f>IF($CU93&gt;=RAM,"",IF($CU93-EV$103&lt;BeginnAlter,"",ROUND((SUM(DM$56:DM93)+SUM(GE$9:GE$56))/VLOOKUP($CU93,$AH$9:$AI$102,2)/VLOOKUP($CU93-EV$103,Frauen!$G$9:$J$102,4),Rundäx)))</f>
        <v/>
      </c>
      <c r="EW93" s="43" t="str">
        <f>IF($CU93&gt;=RAM,"",IF($CU93-EW$103&lt;BeginnAlter,"",ROUND((SUM(DN$56:DN93)+SUM(GF$9:GF$56))/VLOOKUP($CU93,$AH$9:$AI$102,2)/VLOOKUP($CU93-EW$103,Frauen!$G$9:$J$102,4),Rundäx)))</f>
        <v/>
      </c>
      <c r="EX93" s="43" t="str">
        <f>IF($CU93&gt;=RAM,"",IF($CU93-EX$103&lt;BeginnAlter,"",ROUND((SUM(DO$56:DO93)+SUM(GG$9:GG$56))/VLOOKUP($CU93,$AH$9:$AI$102,2)/VLOOKUP($CU93-EX$103,Frauen!$G$9:$J$102,4),Rundäx)))</f>
        <v/>
      </c>
      <c r="EY93" s="43" t="str">
        <f>IF($CU93&gt;=RAM,"",IF($CU93-EY$103&lt;BeginnAlter,"",ROUND((SUM(DP$56:DP93)+SUM(GH$9:GH$56))/VLOOKUP($CU93,$AH$9:$AI$102,2)/VLOOKUP($CU93-EY$103,Frauen!$G$9:$J$102,4),Rundäx)))</f>
        <v/>
      </c>
      <c r="EZ93" s="43" t="str">
        <f>IF($CU93&gt;=RAM,"",IF($CU93-EZ$103&lt;BeginnAlter,"",ROUND((SUM(DQ$56:DQ93)+SUM(GI$9:GI$56))/VLOOKUP($CU93,$AH$9:$AI$102,2)/VLOOKUP($CU93-EZ$103,Frauen!$G$9:$J$102,4),Rundäx)))</f>
        <v/>
      </c>
      <c r="FA93" s="43" t="str">
        <f>IF($CU93&gt;=RAM,"",IF($CU93-FA$103&lt;BeginnAlter,"",ROUND((SUM(DR$56:DR93)+SUM(GJ$9:GJ$56))/VLOOKUP($CU93,$AH$9:$AI$102,2)/VLOOKUP($CU93-FA$103,Frauen!$G$9:$J$102,4),Rundäx)))</f>
        <v/>
      </c>
      <c r="FB93" s="43" t="str">
        <f>IF($CU93&gt;=RAM,"",IF($CU93-FB$103&lt;BeginnAlter,"",ROUND((SUM(DS$56:DS93)+SUM(GK$9:GK$56))/VLOOKUP($CU93,$AH$9:$AI$102,2)/VLOOKUP($CU93-FB$103,Frauen!$G$9:$J$102,4),Rundäx)))</f>
        <v/>
      </c>
      <c r="FC93" s="86"/>
      <c r="FD93" s="35">
        <f t="shared" ref="FD93:FD102" si="182">1+FD92</f>
        <v>101</v>
      </c>
      <c r="FE93" s="43" t="str">
        <f>IF($CU93&gt;=RAM,"",IF($CU93-FE$103&lt;BeginnAlter,"",ROUND((SUM(DT$56:DT93)+SUM(GL$9:GL$56))/VLOOKUP($CU93,$AH$9:$AI$102,2)/VLOOKUP($CU93-FE$103,Frauen!$G$9:$J$102,4),Rundäx)))</f>
        <v/>
      </c>
      <c r="FF93" s="43" t="str">
        <f>IF($CU93&gt;=RAM,"",IF($CU93-FF$103&lt;BeginnAlter,"",ROUND((SUM(DU$56:DU93)+SUM(GM$9:GM$56))/VLOOKUP($CU93,$AH$9:$AI$102,2)/VLOOKUP($CU93-FF$103,Frauen!$G$9:$J$102,4),Rundäx)))</f>
        <v/>
      </c>
      <c r="FG93" s="43" t="str">
        <f>IF($CU93&gt;=RAM,"",IF($CU93-FG$103&lt;BeginnAlter,"",ROUND((SUM(DV$56:DV93)+SUM(GN$9:GN$56))/VLOOKUP($CU93,$AH$9:$AI$102,2)/VLOOKUP($CU93-FG$103,Frauen!$G$9:$J$102,4),Rundäx)))</f>
        <v/>
      </c>
      <c r="FH93" s="43" t="str">
        <f>IF($CU93&gt;=RAM,"",IF($CU93-FH$103&lt;BeginnAlter,"",ROUND((SUM(DW$56:DW93)+SUM(GO$9:GO$56))/VLOOKUP($CU93,$AH$9:$AI$102,2)/VLOOKUP($CU93-FH$103,Frauen!$G$9:$J$102,4),Rundäx)))</f>
        <v/>
      </c>
      <c r="FI93" s="43" t="str">
        <f>IF($CU93&gt;=RAM,"",IF($CU93-FI$103&lt;BeginnAlter,"",ROUND((SUM(DX$56:DX93)+SUM(GP$9:GP$56))/VLOOKUP($CU93,$AH$9:$AI$102,2)/VLOOKUP($CU93-FI$103,Frauen!$G$9:$J$102,4),Rundäx)))</f>
        <v/>
      </c>
      <c r="FJ93" s="43" t="str">
        <f>IF($CU93&gt;=RAM,"",IF($CU93-FJ$103&lt;BeginnAlter,"",ROUND((SUM(DY$56:DY93)+SUM(GQ$9:GQ$56))/VLOOKUP($CU93,$AH$9:$AI$102,2)/VLOOKUP($CU93-FJ$103,Frauen!$G$9:$J$102,4),Rundäx)))</f>
        <v/>
      </c>
      <c r="FK93" s="43" t="str">
        <f>IF($CU93&gt;=RAM,"",IF($CU93-FK$103&lt;BeginnAlter,"",ROUND((SUM(DZ$56:DZ93)+SUM(GR$9:GR$56))/VLOOKUP($CU93,$AH$9:$AI$102,2)/VLOOKUP($CU93-FK$103,Frauen!$G$9:$J$102,4),Rundäx)))</f>
        <v/>
      </c>
      <c r="FL93" s="86"/>
      <c r="FM93" s="35">
        <f t="shared" ref="FM93:FM102" si="183">1+FM92</f>
        <v>149</v>
      </c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  <c r="GM93" s="25"/>
      <c r="GN93" s="25"/>
      <c r="GO93" s="25"/>
      <c r="GP93" s="25"/>
      <c r="GQ93" s="25"/>
      <c r="GR93" s="25"/>
      <c r="GS93" s="24"/>
      <c r="GT93" s="24"/>
      <c r="GU93" s="24" t="str">
        <f>IF(FM93&gt;=RAM," ",#REF!/$AI93/Frauen!$J81)</f>
        <v xml:space="preserve"> </v>
      </c>
      <c r="GV93" s="24" t="str">
        <f>IF(FM93&gt;=RAM," ",#REF!/$AI93/Frauen!$J84)</f>
        <v xml:space="preserve"> </v>
      </c>
      <c r="GW93" s="24" t="str">
        <f>IF(FM93&gt;=RAM," ",#REF!/$AI93/Frauen!$J87)</f>
        <v xml:space="preserve"> </v>
      </c>
      <c r="GX93" s="24" t="str">
        <f>IF(FM93&gt;=RAM," ",#REF!/$AI93/Frauen!$J90)</f>
        <v xml:space="preserve"> </v>
      </c>
      <c r="GY93" s="24" t="str">
        <f>IF(FM93&gt;=RAM," ",#REF!/$AI93/Frauen!$J93)</f>
        <v xml:space="preserve"> </v>
      </c>
      <c r="GZ93" s="24" t="str">
        <f>IF(FM93&gt;=RAM," ",#REF!/$AI93/Frauen!$J96)</f>
        <v xml:space="preserve"> </v>
      </c>
      <c r="HA93" s="86"/>
      <c r="HB93" s="35">
        <f t="shared" ref="HB93:HB102" si="184">1+HB92</f>
        <v>149</v>
      </c>
      <c r="HC93" s="24"/>
      <c r="HD93" s="24"/>
      <c r="HE93" s="24"/>
      <c r="HF93" s="24"/>
      <c r="HG93" s="24"/>
      <c r="HH93" s="24"/>
      <c r="HI93" s="24"/>
      <c r="HJ93" s="24"/>
      <c r="HK93" s="86"/>
      <c r="HL93" s="35">
        <f t="shared" ref="HL93:HL102" si="185">1+HL92</f>
        <v>149</v>
      </c>
      <c r="HM93" s="24"/>
      <c r="HN93" s="24"/>
      <c r="HO93" s="24"/>
      <c r="HP93" s="24"/>
      <c r="HQ93" s="24"/>
      <c r="HR93" s="24"/>
      <c r="HS93" s="24"/>
      <c r="HT93" s="24"/>
      <c r="HU93" s="86"/>
      <c r="HV93" s="35">
        <f t="shared" ref="HV93:HV102" si="186">1+HV92</f>
        <v>149</v>
      </c>
      <c r="HW93" s="24"/>
      <c r="HX93" s="24"/>
      <c r="HY93" s="24"/>
      <c r="HZ93" s="24"/>
      <c r="IA93" s="24"/>
      <c r="IB93" s="24"/>
      <c r="IC93" s="24"/>
      <c r="ID93" s="89"/>
      <c r="IE93" s="35">
        <f t="shared" ref="IE93:IE102" si="187">1+IE92</f>
        <v>101</v>
      </c>
      <c r="IF93" s="25" t="str">
        <f t="shared" si="112"/>
        <v/>
      </c>
      <c r="IG93" s="25" t="str">
        <f>IF($IE93&lt;RAM,IF(S94&lt;=RAK,ROUND(SUM(IF93:INDEX(Dakx,RAM-BeginnAlter))+INDEX(Dax,RAM-BeginnAlter+1)*INDEX(äkx,1),RundDx),0),"")</f>
        <v/>
      </c>
      <c r="IH93" s="25" t="str">
        <f>IF($IE93&lt;RAM,IF(S94&lt;=RAK,ROUND(SUM(IG93:INDEX(Nakx,RAM-BeginnAlter))+INDEX(Dax,RAM-BeginnAlter+1)*INDEX(äkx,1),RundDx),0),"")</f>
        <v/>
      </c>
      <c r="II93" s="24" t="str">
        <f t="shared" si="113"/>
        <v/>
      </c>
      <c r="IJ93" s="25" t="str">
        <f t="shared" si="114"/>
        <v/>
      </c>
      <c r="IK93" s="25" t="str">
        <f>IF($IE93&lt;RAM,IF(S94&lt;=RAK,SUM(IJ93:INDEX(Dikx,RAM-BeginnAlter))+INDEX(Dix,RAM-BeginnAlter+1)*INDEX(äkx,1),0),"")</f>
        <v/>
      </c>
      <c r="IL93" s="24" t="str">
        <f t="shared" si="115"/>
        <v/>
      </c>
      <c r="IM93" s="86"/>
      <c r="IN93" s="35">
        <f t="shared" ref="IN93:IN102" si="188">1+IN92</f>
        <v>149</v>
      </c>
      <c r="IO93" s="25"/>
      <c r="IP93" s="25"/>
      <c r="IQ93" s="24"/>
      <c r="IR93" s="86"/>
    </row>
    <row r="94" spans="1:252" ht="15.75" customHeight="1" x14ac:dyDescent="0.25">
      <c r="A94" s="35">
        <f t="shared" si="120"/>
        <v>102</v>
      </c>
      <c r="B94" s="77"/>
      <c r="C94" s="77"/>
      <c r="D94" s="77"/>
      <c r="E94" s="77">
        <v>0.73861523536048357</v>
      </c>
      <c r="F94" s="86"/>
      <c r="G94" s="35">
        <f t="shared" si="121"/>
        <v>102</v>
      </c>
      <c r="H94" s="25" t="str">
        <f t="shared" si="116"/>
        <v/>
      </c>
      <c r="I94" s="25" t="str">
        <f t="shared" si="117"/>
        <v/>
      </c>
      <c r="J94" s="25">
        <f t="shared" si="118"/>
        <v>38</v>
      </c>
      <c r="K94" s="30">
        <f>IF(J94&gt;0,ROUND(SUM(J94:J$102)/J94-0.5,Rundex),"")</f>
        <v>0.82</v>
      </c>
      <c r="L94" s="25">
        <f t="shared" si="82"/>
        <v>38</v>
      </c>
      <c r="M94" s="30">
        <f>IF(L94&gt;0,ROUND(SUM(L94:L$102)/L94-0.5,Rundex),"")</f>
        <v>0.82</v>
      </c>
      <c r="N94" s="86"/>
      <c r="O94" s="35">
        <f t="shared" si="122"/>
        <v>102</v>
      </c>
      <c r="P94" s="43">
        <v>5.1999999999999998E-2</v>
      </c>
      <c r="Q94" s="78">
        <v>94.456982247562934</v>
      </c>
      <c r="R94" s="43"/>
      <c r="S94" s="78"/>
      <c r="T94" s="15">
        <v>0.73861523536048357</v>
      </c>
      <c r="U94" s="11">
        <f t="shared" si="119"/>
        <v>28</v>
      </c>
      <c r="V94" s="30">
        <f>IF(U94&gt;0,ROUND(SUM(U94:U$102)/U94-0.5,Rundex),"")</f>
        <v>0.79</v>
      </c>
      <c r="W94" s="86"/>
      <c r="X94" s="35">
        <f t="shared" si="148"/>
        <v>102</v>
      </c>
      <c r="Y94" s="25" t="str">
        <f t="shared" si="149"/>
        <v xml:space="preserve"> </v>
      </c>
      <c r="Z94" s="25" t="str">
        <f>IF($X94&lt;RAM,SUM(Y94:INDEX(Dax,RAM-BeginnAlter))," ")</f>
        <v xml:space="preserve"> </v>
      </c>
      <c r="AA94" s="25" t="str">
        <f t="shared" si="84"/>
        <v xml:space="preserve"> </v>
      </c>
      <c r="AB94" s="25" t="str">
        <f>IF($X94&lt;RAM,SUM(AA94:INDEX(Cax,RAM-BeginnAlter))," ")</f>
        <v xml:space="preserve"> </v>
      </c>
      <c r="AC94" s="25" t="str">
        <f t="shared" si="150"/>
        <v xml:space="preserve"> </v>
      </c>
      <c r="AD94" s="25" t="str">
        <f>IF($X94&lt;RAM,SUM(AC94:INDEX(Caix,RAM-BeginnAlter))," ")</f>
        <v xml:space="preserve"> </v>
      </c>
      <c r="AE94" s="24" t="str">
        <f t="shared" si="151"/>
        <v xml:space="preserve"> </v>
      </c>
      <c r="AF94" s="24" t="str">
        <f t="shared" si="152"/>
        <v xml:space="preserve"> </v>
      </c>
      <c r="AG94" s="86"/>
      <c r="AH94" s="35">
        <f t="shared" si="153"/>
        <v>102</v>
      </c>
      <c r="AI94" s="25" t="str">
        <f t="shared" si="154"/>
        <v xml:space="preserve"> </v>
      </c>
      <c r="AJ94" s="25" t="str">
        <f>IF($AH94&gt;RAM," ",IF($AH94&lt;RAM,SUM(AI94:INDEX(Dix,RAM-BeginnAlter))+INDEX(Nx,RAM-BeginnAlter+1),INDEX(Nx,RAM-BeginnAlter+1)))</f>
        <v xml:space="preserve"> </v>
      </c>
      <c r="AK94" s="25" t="str">
        <f>IF($AH94&lt;RAM,SUM(AI94:INDEX(Dix,RAM-BeginnAlter))," ")</f>
        <v xml:space="preserve"> </v>
      </c>
      <c r="AL94" s="24" t="str">
        <f t="shared" si="155"/>
        <v xml:space="preserve"> </v>
      </c>
      <c r="AM94" s="24" t="str">
        <f t="shared" si="156"/>
        <v xml:space="preserve"> </v>
      </c>
      <c r="AN94" s="24" t="str">
        <f t="shared" si="157"/>
        <v xml:space="preserve"> </v>
      </c>
      <c r="AO94" s="24" t="str">
        <f t="shared" si="158"/>
        <v xml:space="preserve"> </v>
      </c>
      <c r="AP94" s="86"/>
      <c r="AQ94" s="35">
        <f t="shared" si="159"/>
        <v>102</v>
      </c>
      <c r="AR94" s="25">
        <f>ROUND(v^AQ94*J94,RundDx)</f>
        <v>4</v>
      </c>
      <c r="AS94" s="25">
        <f>SUM(AR94:AR$94)</f>
        <v>4</v>
      </c>
      <c r="AT94" s="25" t="str">
        <f>IF($AQ94&lt;RAM,SUM(AR94:INDEX(Dx,RAM-BeginnAlter))," ")</f>
        <v xml:space="preserve"> </v>
      </c>
      <c r="AU94" s="24">
        <f t="shared" si="160"/>
        <v>1</v>
      </c>
      <c r="AV94" s="24">
        <f t="shared" si="161"/>
        <v>0.54200000000000004</v>
      </c>
      <c r="AW94" s="24" t="str">
        <f t="shared" si="162"/>
        <v xml:space="preserve"> </v>
      </c>
      <c r="AX94" s="24" t="str">
        <f t="shared" si="163"/>
        <v xml:space="preserve"> </v>
      </c>
      <c r="AY94" s="86"/>
      <c r="AZ94" s="35">
        <f t="shared" si="164"/>
        <v>102</v>
      </c>
      <c r="BA94" s="25">
        <f>ROUND(v^AZ94*U94,0)</f>
        <v>3</v>
      </c>
      <c r="BB94" s="25">
        <f>SUM(BA94:BA$94)</f>
        <v>3</v>
      </c>
      <c r="BC94" s="24">
        <f t="shared" si="165"/>
        <v>1</v>
      </c>
      <c r="BD94" s="24">
        <f t="shared" si="100"/>
        <v>0.54200000000000004</v>
      </c>
      <c r="BE94" s="86"/>
      <c r="BF94" s="35">
        <f t="shared" si="166"/>
        <v>85</v>
      </c>
      <c r="BG94" s="24" t="str">
        <f t="shared" si="101"/>
        <v/>
      </c>
      <c r="BH94" s="24" t="str">
        <f t="shared" si="102"/>
        <v/>
      </c>
      <c r="BI94" s="86"/>
      <c r="BJ94" s="35">
        <f t="shared" si="167"/>
        <v>102</v>
      </c>
      <c r="BK94" s="25" t="str">
        <f t="shared" si="168"/>
        <v xml:space="preserve"> </v>
      </c>
      <c r="BL94" s="25" t="str">
        <f>IF(BJ94&lt;RAM,SUM(BK94:INDEX(Daix,RAM-BeginnAlter))," ")</f>
        <v xml:space="preserve"> </v>
      </c>
      <c r="BM94" s="25" t="str">
        <f>IF(BJ94&lt;RAM,SUM(BL94:INDEX(Naix,RAM-BeginnAlter))," ")</f>
        <v xml:space="preserve"> </v>
      </c>
      <c r="BN94" s="24" t="str">
        <f t="shared" si="169"/>
        <v xml:space="preserve"> </v>
      </c>
      <c r="BO94" s="24" t="str">
        <f t="shared" si="170"/>
        <v xml:space="preserve"> </v>
      </c>
      <c r="BP94" s="86"/>
      <c r="BQ94" s="35">
        <f t="shared" si="171"/>
        <v>102</v>
      </c>
      <c r="BR94" s="25" t="str">
        <f t="shared" si="172"/>
        <v xml:space="preserve"> </v>
      </c>
      <c r="BS94" s="25" t="str">
        <f>IF(BQ94&lt;RAM,SUM(BR94:INDEX(Daixs,RAM-BeginnAlter))," ")</f>
        <v xml:space="preserve"> </v>
      </c>
      <c r="BT94" s="25" t="str">
        <f>IF(BQ94&lt;RAM,SUM(BS94:INDEX(Naixs,RAM-BeginnAlter))," ")</f>
        <v xml:space="preserve"> </v>
      </c>
      <c r="BU94" s="24" t="str">
        <f t="shared" si="173"/>
        <v xml:space="preserve"> </v>
      </c>
      <c r="BV94" s="24" t="str">
        <f t="shared" si="174"/>
        <v xml:space="preserve"> </v>
      </c>
      <c r="BW94" s="86"/>
      <c r="BX94" s="35">
        <f t="shared" si="175"/>
        <v>102</v>
      </c>
      <c r="BY94" s="10" t="str">
        <f t="shared" si="106"/>
        <v/>
      </c>
      <c r="BZ94" s="11" t="str">
        <f t="shared" si="107"/>
        <v/>
      </c>
      <c r="CA94" s="25" t="str">
        <f>IF(S95&lt;=RAK,IF($BX94&lt;RAM,SUM(BZ94:INDEX(Dazx,RAM-BeginnAlter)),""),"")</f>
        <v/>
      </c>
      <c r="CB94" s="24" t="str">
        <f t="shared" si="108"/>
        <v/>
      </c>
      <c r="CC94" s="25">
        <f t="shared" si="109"/>
        <v>0</v>
      </c>
      <c r="CD94" s="24">
        <f t="shared" si="110"/>
        <v>0</v>
      </c>
      <c r="CE94" s="24" t="str">
        <f t="shared" si="111"/>
        <v/>
      </c>
      <c r="CF94" s="86"/>
      <c r="CG94" s="35">
        <f t="shared" si="176"/>
        <v>102</v>
      </c>
      <c r="CH94" s="25" t="str">
        <f>IF(CG94&lt;RAM,ROUND(v^($CG94+FaktorAlter)*$H94*($B94*0.5*($P94+$P95)*(VLOOKUP(TRUNC(0.5*($Q94+$Q95),0),Frauen!$AZ$9:$BD$95,5)+(0.5*($Q94+$Q95)-TRUNC(0.5*($Q94+$Q95),0))*(VLOOKUP(TRUNC(0.5*($Q94+$Q95)+1,0),Frauen!$AZ$9:$BD$95,5)-VLOOKUP(TRUNC(0.5*($Q94+$Q95),0),Frauen!$AZ$9:$BD$95,5)))+$C94*0.5*($CN94+$CN95)),RundDx),"")</f>
        <v/>
      </c>
      <c r="CI94" s="25" t="str">
        <f>IF(CG94&lt;RAM,ROUND(SUM(CH94:INDEX(Dawx,RAM-BeginnAlter))+INDEX(Dax,RAM-BeginnAlter+1)*INDEX(äwx,1),RundDx),"")</f>
        <v/>
      </c>
      <c r="CJ94" s="25" t="str">
        <f>IF(CG94&lt;RAM,ROUND(SUM(CI94:INDEX(Nawx,RAM-BeginnAlter))+INDEX(Dax,RAM-BeginnAlter+1)*INDEX(äwx,1),RundDx),"")</f>
        <v/>
      </c>
      <c r="CK94" s="24" t="str">
        <f t="shared" si="177"/>
        <v/>
      </c>
      <c r="CL94" s="25" t="str">
        <f>IF(CG94&lt;RAM,ROUND(v^($CG94+FaktorAlter)*$L94*$D94*0.5*($P94+$P95)*(VLOOKUP(TRUNC(0.5*($Q94+$Q95),0),Frauen!$AZ$9:$BD$95,5)+(0.5*($Q94+$Q95)-TRUNC(0.5*($Q94+$Q95),0))*(VLOOKUP(TRUNC(0.5*($Q94+$Q95)+1,0),Frauen!$AZ$9:$BD$95,5)-VLOOKUP(TRUNC(0.5*($Q94+$Q95),0),Frauen!$AZ$9:$BD$95,5))),RundDx),"")</f>
        <v/>
      </c>
      <c r="CM94" s="25" t="str">
        <f>IF(CG94&lt;RAM,SUM(CL94:INDEX(Diwx,RAM-BeginnAlter))+INDEX(Dix,RAM-BeginnAlter+1)*INDEX(äwx,1),"")</f>
        <v/>
      </c>
      <c r="CN94" s="24" t="str">
        <f t="shared" si="178"/>
        <v/>
      </c>
      <c r="CO94" s="86"/>
      <c r="CP94" s="35">
        <f t="shared" si="147"/>
        <v>150</v>
      </c>
      <c r="CQ94" s="25"/>
      <c r="CR94" s="25"/>
      <c r="CS94" s="24"/>
      <c r="CT94" s="86"/>
      <c r="CU94" s="35">
        <f t="shared" si="179"/>
        <v>102</v>
      </c>
      <c r="CV94" s="25" t="str">
        <f>IF($CU94&gt;=RAM,"",IF($CU94-CV$103&lt;BeginnAlter,"",ROUND(v^($CU94+FaktorAlter)*$L94*$D94*0.5*(VLOOKUP($CU94-CV$103,Frauen!$G$9:$J$102,4)+VLOOKUP($CU94-CV$103+1,Frauen!$G$9:$J$102,4))*0.5*(VLOOKUP($CU94-CV$103,Frauen!$AZ$9:$BD$102,5)+VLOOKUP($CU94-CV$103+1,Frauen!$AZ$9:$BD$102,5)),RundDx)))</f>
        <v/>
      </c>
      <c r="CW94" s="25" t="str">
        <f>IF($CU94&gt;=RAM,"",IF($CU94-CW$103&lt;BeginnAlter,"",ROUND(v^($CU94+FaktorAlter)*$L94*$D94*0.5*(VLOOKUP($CU94-CW$103,Frauen!$G$9:$J$102,4)+VLOOKUP($CU94-CW$103+1,Frauen!$G$9:$J$102,4))*0.5*(VLOOKUP($CU94-CW$103,Frauen!$AZ$9:$BD$102,5)+VLOOKUP($CU94-CW$103+1,Frauen!$AZ$9:$BD$102,5)),RundDx)))</f>
        <v/>
      </c>
      <c r="CX94" s="25" t="str">
        <f>IF($CU94&gt;=RAM,"",IF($CU94-CX$103&lt;BeginnAlter,"",ROUND(v^($CU94+FaktorAlter)*$L94*$D94*0.5*(VLOOKUP($CU94-CX$103,Frauen!$G$9:$J$102,4)+VLOOKUP($CU94-CX$103+1,Frauen!$G$9:$J$102,4))*0.5*(VLOOKUP($CU94-CX$103,Frauen!$AZ$9:$BD$102,5)+VLOOKUP($CU94-CX$103+1,Frauen!$AZ$9:$BD$102,5)),RundDx)))</f>
        <v/>
      </c>
      <c r="CY94" s="25" t="str">
        <f>IF($CU94&gt;=RAM,"",IF($CU94-CY$103&lt;BeginnAlter,"",ROUND(v^($CU94+FaktorAlter)*$L94*$D94*0.5*(VLOOKUP($CU94-CY$103,Frauen!$G$9:$J$102,4)+VLOOKUP($CU94-CY$103+1,Frauen!$G$9:$J$102,4))*0.5*(VLOOKUP($CU94-CY$103,Frauen!$AZ$9:$BD$102,5)+VLOOKUP($CU94-CY$103+1,Frauen!$AZ$9:$BD$102,5)),RundDx)))</f>
        <v/>
      </c>
      <c r="CZ94" s="25" t="str">
        <f>IF($CU94&gt;=RAM,"",IF($CU94-CZ$103&lt;BeginnAlter,"",ROUND(v^($CU94+FaktorAlter)*$L94*$D94*0.5*(VLOOKUP($CU94-CZ$103,Frauen!$G$9:$J$102,4)+VLOOKUP($CU94-CZ$103+1,Frauen!$G$9:$J$102,4))*0.5*(VLOOKUP($CU94-CZ$103,Frauen!$AZ$9:$BD$102,5)+VLOOKUP($CU94-CZ$103+1,Frauen!$AZ$9:$BD$102,5)),RundDx)))</f>
        <v/>
      </c>
      <c r="DA94" s="25" t="str">
        <f>IF($CU94&gt;=RAM,"",IF($CU94-DA$103&lt;BeginnAlter,"",ROUND(v^($CU94+FaktorAlter)*$L94*$D94*0.5*(VLOOKUP($CU94-DA$103,Frauen!$G$9:$J$102,4)+VLOOKUP($CU94-DA$103+1,Frauen!$G$9:$J$102,4))*0.5*(VLOOKUP($CU94-DA$103,Frauen!$AZ$9:$BD$102,5)+VLOOKUP($CU94-DA$103+1,Frauen!$AZ$9:$BD$102,5)),RundDx)))</f>
        <v/>
      </c>
      <c r="DB94" s="25" t="str">
        <f>IF($CU94&gt;=RAM,"",IF($CU94-DB$103&lt;BeginnAlter,"",ROUND(v^($CU94+FaktorAlter)*$L94*$D94*0.5*(VLOOKUP($CU94-DB$103,Frauen!$G$9:$J$102,4)+VLOOKUP($CU94-DB$103+1,Frauen!$G$9:$J$102,4))*0.5*(VLOOKUP($CU94-DB$103,Frauen!$AZ$9:$BD$102,5)+VLOOKUP($CU94-DB$103+1,Frauen!$AZ$9:$BD$102,5)),RundDx)))</f>
        <v/>
      </c>
      <c r="DC94" s="25" t="str">
        <f>IF($CU94&gt;=RAM,"",IF($CU94-DC$103&lt;BeginnAlter,"",ROUND(v^($CU94+FaktorAlter)*$L94*$D94*0.5*(VLOOKUP($CU94-DC$103,Frauen!$G$9:$J$102,4)+VLOOKUP($CU94-DC$103+1,Frauen!$G$9:$J$102,4))*0.5*(VLOOKUP($CU94-DC$103,Frauen!$AZ$9:$BD$102,5)+VLOOKUP($CU94-DC$103+1,Frauen!$AZ$9:$BD$102,5)),RundDx)))</f>
        <v/>
      </c>
      <c r="DD94" s="25" t="str">
        <f>IF($CU94&gt;=RAM,"",IF($CU94-DD$103&lt;BeginnAlter,"",ROUND(v^($CU94+FaktorAlter)*$L94*$D94*0.5*(VLOOKUP($CU94-DD$103,Frauen!$G$9:$J$102,4)+VLOOKUP($CU94-DD$103+1,Frauen!$G$9:$J$102,4))*0.5*(VLOOKUP($CU94-DD$103,Frauen!$AZ$9:$BD$102,5)+VLOOKUP($CU94-DD$103+1,Frauen!$AZ$9:$BD$102,5)),RundDx)))</f>
        <v/>
      </c>
      <c r="DE94" s="25" t="str">
        <f>IF($CU94&gt;=RAM,"",IF($CU94-DE$103&lt;BeginnAlter,"",ROUND(v^($CU94+FaktorAlter)*$L94*$D94*0.5*(VLOOKUP($CU94-DE$103,Frauen!$G$9:$J$102,4)+VLOOKUP($CU94-DE$103+1,Frauen!$G$9:$J$102,4))*0.5*(VLOOKUP($CU94-DE$103,Frauen!$AZ$9:$BD$102,5)+VLOOKUP($CU94-DE$103+1,Frauen!$AZ$9:$BD$102,5)),RundDx)))</f>
        <v/>
      </c>
      <c r="DF94" s="25" t="str">
        <f>IF($CU94&gt;=RAM,"",IF($CU94-DF$103&lt;BeginnAlter,"",ROUND(v^($CU94+FaktorAlter)*$L94*$D94*0.5*(VLOOKUP($CU94-DF$103,Frauen!$G$9:$J$102,4)+VLOOKUP($CU94-DF$103+1,Frauen!$G$9:$J$102,4))*0.5*(VLOOKUP($CU94-DF$103,Frauen!$AZ$9:$BD$102,5)+VLOOKUP($CU94-DF$103+1,Frauen!$AZ$9:$BD$102,5)),RundDx)))</f>
        <v/>
      </c>
      <c r="DG94" s="25" t="str">
        <f>IF($CU94&gt;=RAM,"",IF($CU94-DG$103&lt;BeginnAlter,"",ROUND(v^($CU94+FaktorAlter)*$L94*$D94*0.5*(VLOOKUP($CU94-DG$103,Frauen!$G$9:$J$102,4)+VLOOKUP($CU94-DG$103+1,Frauen!$G$9:$J$102,4))*0.5*(VLOOKUP($CU94-DG$103,Frauen!$AZ$9:$BD$102,5)+VLOOKUP($CU94-DG$103+1,Frauen!$AZ$9:$BD$102,5)),RundDx)))</f>
        <v/>
      </c>
      <c r="DH94" s="25" t="str">
        <f>IF($CU94&gt;=RAM,"",IF($CU94-DH$103&lt;BeginnAlter,"",ROUND(v^($CU94+FaktorAlter)*$L94*$D94*0.5*(VLOOKUP($CU94-DH$103,Frauen!$G$9:$J$102,4)+VLOOKUP($CU94-DH$103+1,Frauen!$G$9:$J$102,4))*0.5*(VLOOKUP($CU94-DH$103,Frauen!$AZ$9:$BD$102,5)+VLOOKUP($CU94-DH$103+1,Frauen!$AZ$9:$BD$102,5)),RundDx)))</f>
        <v/>
      </c>
      <c r="DI94" s="25" t="str">
        <f>IF($CU94&gt;=RAM,"",IF($CU94-DI$103&lt;BeginnAlter,"",ROUND(v^($CU94+FaktorAlter)*$L94*$D94*0.5*(VLOOKUP($CU94-DI$103,Frauen!$G$9:$J$102,4)+VLOOKUP($CU94-DI$103+1,Frauen!$G$9:$J$102,4))*0.5*(VLOOKUP($CU94-DI$103,Frauen!$AZ$9:$BD$102,5)+VLOOKUP($CU94-DI$103+1,Frauen!$AZ$9:$BD$102,5)),RundDx)))</f>
        <v/>
      </c>
      <c r="DJ94" s="25" t="str">
        <f>IF($CU94&gt;=RAM,"",IF($CU94-DJ$103&lt;BeginnAlter,"",ROUND(v^($CU94+FaktorAlter)*$L94*$D94*0.5*(VLOOKUP($CU94-DJ$103,Frauen!$G$9:$J$102,4)+VLOOKUP($CU94-DJ$103+1,Frauen!$G$9:$J$102,4))*0.5*(VLOOKUP($CU94-DJ$103,Frauen!$AZ$9:$BD$102,5)+VLOOKUP($CU94-DJ$103+1,Frauen!$AZ$9:$BD$102,5)),RundDx)))</f>
        <v/>
      </c>
      <c r="DK94" s="25" t="str">
        <f>IF($CU94&gt;=RAM,"",IF($CU94-DK$103&lt;BeginnAlter,"",ROUND(v^($CU94+FaktorAlter)*$L94*$D94*0.5*(VLOOKUP($CU94-DK$103,Frauen!$G$9:$J$102,4)+VLOOKUP($CU94-DK$103+1,Frauen!$G$9:$J$102,4))*0.5*(VLOOKUP($CU94-DK$103,Frauen!$AZ$9:$BD$102,5)+VLOOKUP($CU94-DK$103+1,Frauen!$AZ$9:$BD$102,5)),RundDx)))</f>
        <v/>
      </c>
      <c r="DL94" s="25" t="str">
        <f>IF($CU94&gt;=RAM,"",IF($CU94-DL$103&lt;BeginnAlter,"",ROUND(v^($CU94+FaktorAlter)*$L94*$D94*0.5*(VLOOKUP($CU94-DL$103,Frauen!$G$9:$J$102,4)+VLOOKUP($CU94-DL$103+1,Frauen!$G$9:$J$102,4))*0.5*(VLOOKUP($CU94-DL$103,Frauen!$AZ$9:$BD$102,5)+VLOOKUP($CU94-DL$103+1,Frauen!$AZ$9:$BD$102,5)),RundDx)))</f>
        <v/>
      </c>
      <c r="DM94" s="25" t="str">
        <f>IF($CU94&gt;=RAM,"",IF($CU94-DM$103&lt;BeginnAlter,"",ROUND(v^($CU94+FaktorAlter)*$L94*$D94*0.5*(VLOOKUP($CU94-DM$103,Frauen!$G$9:$J$102,4)+VLOOKUP($CU94-DM$103+1,Frauen!$G$9:$J$102,4))*0.5*(VLOOKUP($CU94-DM$103,Frauen!$AZ$9:$BD$102,5)+VLOOKUP($CU94-DM$103+1,Frauen!$AZ$9:$BD$102,5)),RundDx)))</f>
        <v/>
      </c>
      <c r="DN94" s="25" t="str">
        <f>IF($CU94&gt;=RAM,"",IF($CU94-DN$103&lt;BeginnAlter,"",ROUND(v^($CU94+FaktorAlter)*$L94*$D94*0.5*(VLOOKUP($CU94-DN$103,Frauen!$G$9:$J$102,4)+VLOOKUP($CU94-DN$103+1,Frauen!$G$9:$J$102,4))*0.5*(VLOOKUP($CU94-DN$103,Frauen!$AZ$9:$BD$102,5)+VLOOKUP($CU94-DN$103+1,Frauen!$AZ$9:$BD$102,5)),RundDx)))</f>
        <v/>
      </c>
      <c r="DO94" s="25" t="str">
        <f>IF($CU94&gt;=RAM,"",IF($CU94-DO$103&lt;BeginnAlter,"",ROUND(v^($CU94+FaktorAlter)*$L94*$D94*0.5*(VLOOKUP($CU94-DO$103,Frauen!$G$9:$J$102,4)+VLOOKUP($CU94-DO$103+1,Frauen!$G$9:$J$102,4))*0.5*(VLOOKUP($CU94-DO$103,Frauen!$AZ$9:$BD$102,5)+VLOOKUP($CU94-DO$103+1,Frauen!$AZ$9:$BD$102,5)),RundDx)))</f>
        <v/>
      </c>
      <c r="DP94" s="25" t="str">
        <f>IF($CU94&gt;=RAM,"",IF($CU94-DP$103&lt;BeginnAlter,"",ROUND(v^($CU94+FaktorAlter)*$L94*$D94*0.5*(VLOOKUP($CU94-DP$103,Frauen!$G$9:$J$102,4)+VLOOKUP($CU94-DP$103+1,Frauen!$G$9:$J$102,4))*0.5*(VLOOKUP($CU94-DP$103,Frauen!$AZ$9:$BD$102,5)+VLOOKUP($CU94-DP$103+1,Frauen!$AZ$9:$BD$102,5)),RundDx)))</f>
        <v/>
      </c>
      <c r="DQ94" s="25" t="str">
        <f>IF($CU94&gt;=RAM,"",IF($CU94-DQ$103&lt;BeginnAlter,"",ROUND(v^($CU94+FaktorAlter)*$L94*$D94*0.5*(VLOOKUP($CU94-DQ$103,Frauen!$G$9:$J$102,4)+VLOOKUP($CU94-DQ$103+1,Frauen!$G$9:$J$102,4))*0.5*(VLOOKUP($CU94-DQ$103,Frauen!$AZ$9:$BD$102,5)+VLOOKUP($CU94-DQ$103+1,Frauen!$AZ$9:$BD$102,5)),RundDx)))</f>
        <v/>
      </c>
      <c r="DR94" s="25" t="str">
        <f>IF($CU94&gt;=RAM,"",IF($CU94-DR$103&lt;BeginnAlter,"",ROUND(v^($CU94+FaktorAlter)*$L94*$D94*0.5*(VLOOKUP($CU94-DR$103,Frauen!$G$9:$J$102,4)+VLOOKUP($CU94-DR$103+1,Frauen!$G$9:$J$102,4))*0.5*(VLOOKUP($CU94-DR$103,Frauen!$AZ$9:$BD$102,5)+VLOOKUP($CU94-DR$103+1,Frauen!$AZ$9:$BD$102,5)),RundDx)))</f>
        <v/>
      </c>
      <c r="DS94" s="25" t="str">
        <f>IF($CU94&gt;=RAM,"",IF($CU94-DS$103&lt;BeginnAlter,"",ROUND(v^($CU94+FaktorAlter)*$L94*$D94*0.5*(VLOOKUP($CU94-DS$103,Frauen!$G$9:$J$102,4)+VLOOKUP($CU94-DS$103+1,Frauen!$G$9:$J$102,4))*0.5*(VLOOKUP($CU94-DS$103,Frauen!$AZ$9:$BD$102,5)+VLOOKUP($CU94-DS$103+1,Frauen!$AZ$9:$BD$102,5)),RundDx)))</f>
        <v/>
      </c>
      <c r="DT94" s="25" t="str">
        <f>IF($CU94&gt;=RAM,"",IF($CU94-DT$103&lt;BeginnAlter,"",ROUND(v^($CU94+FaktorAlter)*$L94*$D94*0.5*(VLOOKUP($CU94-DT$103,Frauen!$G$9:$J$102,4)+VLOOKUP($CU94-DT$103+1,Frauen!$G$9:$J$102,4))*0.5*(VLOOKUP($CU94-DT$103,Frauen!$AZ$9:$BD$102,5)+VLOOKUP($CU94-DT$103+1,Frauen!$AZ$9:$BD$102,5)),RundDx)))</f>
        <v/>
      </c>
      <c r="DU94" s="25" t="str">
        <f>IF($CU94&gt;=RAM,"",IF($CU94-DU$103&lt;BeginnAlter,"",ROUND(v^($CU94+FaktorAlter)*$L94*$D94*0.5*(VLOOKUP($CU94-DU$103,Frauen!$G$9:$J$102,4)+VLOOKUP($CU94-DU$103+1,Frauen!$G$9:$J$102,4))*0.5*(VLOOKUP($CU94-DU$103,Frauen!$AZ$9:$BD$102,5)+VLOOKUP($CU94-DU$103+1,Frauen!$AZ$9:$BD$102,5)),RundDx)))</f>
        <v/>
      </c>
      <c r="DV94" s="25" t="str">
        <f>IF($CU94&gt;=RAM,"",IF($CU94-DV$103&lt;BeginnAlter,"",ROUND(v^($CU94+FaktorAlter)*$L94*$D94*0.5*(VLOOKUP($CU94-DV$103,Frauen!$G$9:$J$102,4)+VLOOKUP($CU94-DV$103+1,Frauen!$G$9:$J$102,4))*0.5*(VLOOKUP($CU94-DV$103,Frauen!$AZ$9:$BD$102,5)+VLOOKUP($CU94-DV$103+1,Frauen!$AZ$9:$BD$102,5)),RundDx)))</f>
        <v/>
      </c>
      <c r="DW94" s="25" t="str">
        <f>IF($CU94&gt;=RAM,"",IF($CU94-DW$103&lt;BeginnAlter,"",ROUND(v^($CU94+FaktorAlter)*$L94*$D94*0.5*(VLOOKUP($CU94-DW$103,Frauen!$G$9:$J$102,4)+VLOOKUP($CU94-DW$103+1,Frauen!$G$9:$J$102,4))*0.5*(VLOOKUP($CU94-DW$103,Frauen!$AZ$9:$BD$102,5)+VLOOKUP($CU94-DW$103+1,Frauen!$AZ$9:$BD$102,5)),RundDx)))</f>
        <v/>
      </c>
      <c r="DX94" s="25" t="str">
        <f>IF($CU94&gt;=RAM,"",IF($CU94-DX$103&lt;BeginnAlter,"",ROUND(v^($CU94+FaktorAlter)*$L94*$D94*0.5*(VLOOKUP($CU94-DX$103,Frauen!$G$9:$J$102,4)+VLOOKUP($CU94-DX$103+1,Frauen!$G$9:$J$102,4))*0.5*(VLOOKUP($CU94-DX$103,Frauen!$AZ$9:$BD$102,5)+VLOOKUP($CU94-DX$103+1,Frauen!$AZ$9:$BD$102,5)),RundDx)))</f>
        <v/>
      </c>
      <c r="DY94" s="25" t="str">
        <f>IF($CU94&gt;=RAM,"",IF($CU94-DY$103&lt;BeginnAlter,"",ROUND(v^($CU94+FaktorAlter)*$L94*$D94*0.5*(VLOOKUP($CU94-DY$103,Frauen!$G$9:$J$102,4)+VLOOKUP($CU94-DY$103+1,Frauen!$G$9:$J$102,4))*0.5*(VLOOKUP($CU94-DY$103,Frauen!$AZ$9:$BD$102,5)+VLOOKUP($CU94-DY$103+1,Frauen!$AZ$9:$BD$102,5)),RundDx)))</f>
        <v/>
      </c>
      <c r="DZ94" s="25" t="str">
        <f>IF($CU94&gt;=RAM,"",IF($CU94-DZ$103&lt;BeginnAlter,"",ROUND(v^($CU94+FaktorAlter)*$L94*$D94*0.5*(VLOOKUP($CU94-DZ$103,Frauen!$G$9:$J$102,4)+VLOOKUP($CU94-DZ$103+1,Frauen!$G$9:$J$102,4))*0.5*(VLOOKUP($CU94-DZ$103,Frauen!$AZ$9:$BD$102,5)+VLOOKUP($CU94-DZ$103+1,Frauen!$AZ$9:$BD$102,5)),RundDx)))</f>
        <v/>
      </c>
      <c r="EA94" s="43" t="str">
        <f>IF($CU94&gt;=RAM,"",IF($CU94-EA$103&lt;BeginnAlter,"",ROUND((SUM(CV$56:CV94)+SUM(FN$9:FN$56))/VLOOKUP($CU94,$AH$9:$AI$102,2)/VLOOKUP($CU94-EA$103,Frauen!$G$9:$J$102,4),Rundäx)))</f>
        <v/>
      </c>
      <c r="EB94" s="43" t="str">
        <f>IF($CU94&gt;=RAM,"",IF($CU94-EB$103&lt;BeginnAlter,"",ROUND((SUM(CW$56:CW94)+SUM(FO$9:FO$56))/VLOOKUP($CU94,$AH$9:$AI$102,2)/VLOOKUP($CU94-EB$103,Frauen!$G$9:$J$102,4),Rundäx)))</f>
        <v/>
      </c>
      <c r="EC94" s="43" t="str">
        <f>IF($CU94&gt;=RAM,"",IF($CU94-EC$103&lt;BeginnAlter,"",ROUND((SUM(CX$56:CX94)+SUM(FP$9:FP$56))/VLOOKUP($CU94,$AH$9:$AI$102,2)/VLOOKUP($CU94-EC$103,Frauen!$G$9:$J$102,4),Rundäx)))</f>
        <v/>
      </c>
      <c r="ED94" s="43" t="str">
        <f>IF($CU94&gt;=RAM,"",IF($CU94-ED$103&lt;BeginnAlter,"",ROUND((SUM(CY$56:CY94)+SUM(FQ$9:FQ$56))/VLOOKUP($CU94,$AH$9:$AI$102,2)/VLOOKUP($CU94-ED$103,Frauen!$G$9:$J$102,4),Rundäx)))</f>
        <v/>
      </c>
      <c r="EE94" s="43" t="str">
        <f>IF($CU94&gt;=RAM,"",IF($CU94-EE$103&lt;BeginnAlter,"",ROUND((SUM(CZ$56:CZ94)+SUM(FR$9:FR$56))/VLOOKUP($CU94,$AH$9:$AI$102,2)/VLOOKUP($CU94-EE$103,Frauen!$G$9:$J$102,4),Rundäx)))</f>
        <v/>
      </c>
      <c r="EF94" s="43" t="str">
        <f>IF($CU94&gt;=RAM,"",IF($CU94-EF$103&lt;BeginnAlter,"",ROUND((SUM(DA$56:DA94)+SUM(FS$9:FS$56))/VLOOKUP($CU94,$AH$9:$AI$102,2)/VLOOKUP($CU94-EF$103,Frauen!$G$9:$J$102,4),Rundäx)))</f>
        <v/>
      </c>
      <c r="EG94" s="43" t="str">
        <f>IF($CU94&gt;=RAM,"",IF($CU94-EG$103&lt;BeginnAlter,"",ROUND((SUM(DB$56:DB94)+SUM(FT$9:FT$56))/VLOOKUP($CU94,$AH$9:$AI$102,2)/VLOOKUP($CU94-EG$103,Frauen!$G$9:$J$102,4),Rundäx)))</f>
        <v/>
      </c>
      <c r="EH94" s="43" t="str">
        <f>IF($CU94&gt;=RAM,"",IF($CU94-EH$103&lt;BeginnAlter,"",ROUND((SUM(DC$56:DC94)+SUM(FU$9:FU$56))/VLOOKUP($CU94,$AH$9:$AI$102,2)/VLOOKUP($CU94-EH$103,Frauen!$G$9:$J$102,4),Rundäx)))</f>
        <v/>
      </c>
      <c r="EI94" s="86"/>
      <c r="EJ94" s="35">
        <f t="shared" si="180"/>
        <v>102</v>
      </c>
      <c r="EK94" s="43" t="str">
        <f>IF($CU94&gt;=RAM,"",IF($CU94-EK$103&lt;BeginnAlter,"",ROUND((SUM(DD$56:DD94)+SUM(FV$9:FV$56))/VLOOKUP($CU94,$AH$9:$AI$102,2)/VLOOKUP($CU94-EK$103,Frauen!$G$9:$J$102,4),Rundäx)))</f>
        <v/>
      </c>
      <c r="EL94" s="43" t="str">
        <f>IF($CU94&gt;=RAM,"",IF($CU94-EL$103&lt;BeginnAlter,"",ROUND((SUM(DE$56:DE94)+SUM(FW$9:FW$56))/VLOOKUP($CU94,$AH$9:$AI$102,2)/VLOOKUP($CU94-EL$103,Frauen!$G$9:$J$102,4),Rundäx)))</f>
        <v/>
      </c>
      <c r="EM94" s="43" t="str">
        <f>IF($CU94&gt;=RAM,"",IF($CU94-EM$103&lt;BeginnAlter,"",ROUND((SUM(DF$56:DF94)+SUM(FX$9:FX$56))/VLOOKUP($CU94,$AH$9:$AI$102,2)/VLOOKUP($CU94-EM$103,Frauen!$G$9:$J$102,4),Rundäx)))</f>
        <v/>
      </c>
      <c r="EN94" s="43" t="str">
        <f>IF($CU94&gt;=RAM,"",IF($CU94-EN$103&lt;BeginnAlter,"",ROUND((SUM(DG$56:DG94)+SUM(FY$9:FY$56))/VLOOKUP($CU94,$AH$9:$AI$102,2)/VLOOKUP($CU94-EN$103,Frauen!$G$9:$J$102,4),Rundäx)))</f>
        <v/>
      </c>
      <c r="EO94" s="43" t="str">
        <f>IF($CU94&gt;=RAM,"",IF($CU94-EO$103&lt;BeginnAlter,"",ROUND((SUM(DH$56:DH94)+SUM(FZ$9:FZ$56))/VLOOKUP($CU94,$AH$9:$AI$102,2)/VLOOKUP($CU94-EO$103,Frauen!$G$9:$J$102,4),Rundäx)))</f>
        <v/>
      </c>
      <c r="EP94" s="43" t="str">
        <f>IF($CU94&gt;=RAM,"",IF($CU94-EP$103&lt;BeginnAlter,"",ROUND((SUM(DI$56:DI94)+SUM(GA$9:GA$56))/VLOOKUP($CU94,$AH$9:$AI$102,2)/VLOOKUP($CU94-EP$103,Frauen!$G$9:$J$102,4),Rundäx)))</f>
        <v/>
      </c>
      <c r="EQ94" s="43" t="str">
        <f>IF($CU94&gt;=RAM,"",IF($CU94-EQ$103&lt;BeginnAlter,"",ROUND((SUM(DJ$56:DJ94)+SUM(GB$9:GB$56))/VLOOKUP($CU94,$AH$9:$AI$102,2)/VLOOKUP($CU94-EQ$103,Frauen!$G$9:$J$102,4),Rundäx)))</f>
        <v/>
      </c>
      <c r="ER94" s="43" t="str">
        <f>IF($CU94&gt;=RAM,"",IF($CU94-ER$103&lt;BeginnAlter,"",ROUND((SUM(DK$56:DK94)+SUM(GC$9:GC$56))/VLOOKUP($CU94,$AH$9:$AI$102,2)/VLOOKUP($CU94-ER$103,Frauen!$G$9:$J$102,4),Rundäx)))</f>
        <v/>
      </c>
      <c r="ES94" s="86"/>
      <c r="ET94" s="35">
        <f t="shared" si="181"/>
        <v>102</v>
      </c>
      <c r="EU94" s="43" t="str">
        <f>IF($CU94&gt;=RAM,"",IF($CU94-EU$103&lt;BeginnAlter,"",ROUND((SUM(DL$56:DL94)+SUM(GD$9:GD$56))/VLOOKUP($CU94,$AH$9:$AI$102,2)/VLOOKUP($CU94-EU$103,Frauen!$G$9:$J$102,4),Rundäx)))</f>
        <v/>
      </c>
      <c r="EV94" s="43" t="str">
        <f>IF($CU94&gt;=RAM,"",IF($CU94-EV$103&lt;BeginnAlter,"",ROUND((SUM(DM$56:DM94)+SUM(GE$9:GE$56))/VLOOKUP($CU94,$AH$9:$AI$102,2)/VLOOKUP($CU94-EV$103,Frauen!$G$9:$J$102,4),Rundäx)))</f>
        <v/>
      </c>
      <c r="EW94" s="43" t="str">
        <f>IF($CU94&gt;=RAM,"",IF($CU94-EW$103&lt;BeginnAlter,"",ROUND((SUM(DN$56:DN94)+SUM(GF$9:GF$56))/VLOOKUP($CU94,$AH$9:$AI$102,2)/VLOOKUP($CU94-EW$103,Frauen!$G$9:$J$102,4),Rundäx)))</f>
        <v/>
      </c>
      <c r="EX94" s="43" t="str">
        <f>IF($CU94&gt;=RAM,"",IF($CU94-EX$103&lt;BeginnAlter,"",ROUND((SUM(DO$56:DO94)+SUM(GG$9:GG$56))/VLOOKUP($CU94,$AH$9:$AI$102,2)/VLOOKUP($CU94-EX$103,Frauen!$G$9:$J$102,4),Rundäx)))</f>
        <v/>
      </c>
      <c r="EY94" s="43" t="str">
        <f>IF($CU94&gt;=RAM,"",IF($CU94-EY$103&lt;BeginnAlter,"",ROUND((SUM(DP$56:DP94)+SUM(GH$9:GH$56))/VLOOKUP($CU94,$AH$9:$AI$102,2)/VLOOKUP($CU94-EY$103,Frauen!$G$9:$J$102,4),Rundäx)))</f>
        <v/>
      </c>
      <c r="EZ94" s="43" t="str">
        <f>IF($CU94&gt;=RAM,"",IF($CU94-EZ$103&lt;BeginnAlter,"",ROUND((SUM(DQ$56:DQ94)+SUM(GI$9:GI$56))/VLOOKUP($CU94,$AH$9:$AI$102,2)/VLOOKUP($CU94-EZ$103,Frauen!$G$9:$J$102,4),Rundäx)))</f>
        <v/>
      </c>
      <c r="FA94" s="43" t="str">
        <f>IF($CU94&gt;=RAM,"",IF($CU94-FA$103&lt;BeginnAlter,"",ROUND((SUM(DR$56:DR94)+SUM(GJ$9:GJ$56))/VLOOKUP($CU94,$AH$9:$AI$102,2)/VLOOKUP($CU94-FA$103,Frauen!$G$9:$J$102,4),Rundäx)))</f>
        <v/>
      </c>
      <c r="FB94" s="43" t="str">
        <f>IF($CU94&gt;=RAM,"",IF($CU94-FB$103&lt;BeginnAlter,"",ROUND((SUM(DS$56:DS94)+SUM(GK$9:GK$56))/VLOOKUP($CU94,$AH$9:$AI$102,2)/VLOOKUP($CU94-FB$103,Frauen!$G$9:$J$102,4),Rundäx)))</f>
        <v/>
      </c>
      <c r="FC94" s="86"/>
      <c r="FD94" s="35">
        <f t="shared" si="182"/>
        <v>102</v>
      </c>
      <c r="FE94" s="43" t="str">
        <f>IF($CU94&gt;=RAM,"",IF($CU94-FE$103&lt;BeginnAlter,"",ROUND((SUM(DT$56:DT94)+SUM(GL$9:GL$56))/VLOOKUP($CU94,$AH$9:$AI$102,2)/VLOOKUP($CU94-FE$103,Frauen!$G$9:$J$102,4),Rundäx)))</f>
        <v/>
      </c>
      <c r="FF94" s="43" t="str">
        <f>IF($CU94&gt;=RAM,"",IF($CU94-FF$103&lt;BeginnAlter,"",ROUND((SUM(DU$56:DU94)+SUM(GM$9:GM$56))/VLOOKUP($CU94,$AH$9:$AI$102,2)/VLOOKUP($CU94-FF$103,Frauen!$G$9:$J$102,4),Rundäx)))</f>
        <v/>
      </c>
      <c r="FG94" s="43" t="str">
        <f>IF($CU94&gt;=RAM,"",IF($CU94-FG$103&lt;BeginnAlter,"",ROUND((SUM(DV$56:DV94)+SUM(GN$9:GN$56))/VLOOKUP($CU94,$AH$9:$AI$102,2)/VLOOKUP($CU94-FG$103,Frauen!$G$9:$J$102,4),Rundäx)))</f>
        <v/>
      </c>
      <c r="FH94" s="43" t="str">
        <f>IF($CU94&gt;=RAM,"",IF($CU94-FH$103&lt;BeginnAlter,"",ROUND((SUM(DW$56:DW94)+SUM(GO$9:GO$56))/VLOOKUP($CU94,$AH$9:$AI$102,2)/VLOOKUP($CU94-FH$103,Frauen!$G$9:$J$102,4),Rundäx)))</f>
        <v/>
      </c>
      <c r="FI94" s="43" t="str">
        <f>IF($CU94&gt;=RAM,"",IF($CU94-FI$103&lt;BeginnAlter,"",ROUND((SUM(DX$56:DX94)+SUM(GP$9:GP$56))/VLOOKUP($CU94,$AH$9:$AI$102,2)/VLOOKUP($CU94-FI$103,Frauen!$G$9:$J$102,4),Rundäx)))</f>
        <v/>
      </c>
      <c r="FJ94" s="43" t="str">
        <f>IF($CU94&gt;=RAM,"",IF($CU94-FJ$103&lt;BeginnAlter,"",ROUND((SUM(DY$56:DY94)+SUM(GQ$9:GQ$56))/VLOOKUP($CU94,$AH$9:$AI$102,2)/VLOOKUP($CU94-FJ$103,Frauen!$G$9:$J$102,4),Rundäx)))</f>
        <v/>
      </c>
      <c r="FK94" s="43" t="str">
        <f>IF($CU94&gt;=RAM,"",IF($CU94-FK$103&lt;BeginnAlter,"",ROUND((SUM(DZ$56:DZ94)+SUM(GR$9:GR$56))/VLOOKUP($CU94,$AH$9:$AI$102,2)/VLOOKUP($CU94-FK$103,Frauen!$G$9:$J$102,4),Rundäx)))</f>
        <v/>
      </c>
      <c r="FL94" s="86"/>
      <c r="FM94" s="35">
        <f t="shared" si="183"/>
        <v>150</v>
      </c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4"/>
      <c r="GT94" s="24"/>
      <c r="GU94" s="24" t="str">
        <f>IF(FM94&gt;=RAM," ",#REF!/$AI94/Frauen!$J82)</f>
        <v xml:space="preserve"> </v>
      </c>
      <c r="GV94" s="24" t="str">
        <f>IF(FM94&gt;=RAM," ",#REF!/$AI94/Frauen!$J85)</f>
        <v xml:space="preserve"> </v>
      </c>
      <c r="GW94" s="24" t="str">
        <f>IF(FM94&gt;=RAM," ",#REF!/$AI94/Frauen!$J88)</f>
        <v xml:space="preserve"> </v>
      </c>
      <c r="GX94" s="24" t="str">
        <f>IF(FM94&gt;=RAM," ",#REF!/$AI94/Frauen!$J91)</f>
        <v xml:space="preserve"> </v>
      </c>
      <c r="GY94" s="24" t="str">
        <f>IF(FM94&gt;=RAM," ",#REF!/$AI94/Frauen!$J94)</f>
        <v xml:space="preserve"> </v>
      </c>
      <c r="GZ94" s="24" t="str">
        <f>IF(FM94&gt;=RAM," ",#REF!/$AI94/Frauen!$J97)</f>
        <v xml:space="preserve"> </v>
      </c>
      <c r="HA94" s="86"/>
      <c r="HB94" s="35">
        <f t="shared" si="184"/>
        <v>150</v>
      </c>
      <c r="HC94" s="24"/>
      <c r="HD94" s="24"/>
      <c r="HE94" s="24"/>
      <c r="HF94" s="24"/>
      <c r="HG94" s="24"/>
      <c r="HH94" s="24"/>
      <c r="HI94" s="24"/>
      <c r="HJ94" s="24"/>
      <c r="HK94" s="86"/>
      <c r="HL94" s="35">
        <f t="shared" si="185"/>
        <v>150</v>
      </c>
      <c r="HM94" s="24"/>
      <c r="HN94" s="24"/>
      <c r="HO94" s="24"/>
      <c r="HP94" s="24"/>
      <c r="HQ94" s="24"/>
      <c r="HR94" s="24"/>
      <c r="HS94" s="24"/>
      <c r="HT94" s="24"/>
      <c r="HU94" s="86"/>
      <c r="HV94" s="35">
        <f t="shared" si="186"/>
        <v>150</v>
      </c>
      <c r="HW94" s="24"/>
      <c r="HX94" s="24"/>
      <c r="HY94" s="24"/>
      <c r="HZ94" s="24"/>
      <c r="IA94" s="24"/>
      <c r="IB94" s="24"/>
      <c r="IC94" s="24"/>
      <c r="ID94" s="89"/>
      <c r="IE94" s="35">
        <f t="shared" si="187"/>
        <v>102</v>
      </c>
      <c r="IF94" s="25" t="str">
        <f t="shared" si="112"/>
        <v/>
      </c>
      <c r="IG94" s="25" t="str">
        <f>IF($IE94&lt;RAM,IF(S95&lt;=RAK,ROUND(SUM(IF94:INDEX(Dakx,RAM-BeginnAlter))+INDEX(Dax,RAM-BeginnAlter+1)*INDEX(äkx,1),RundDx),0),"")</f>
        <v/>
      </c>
      <c r="IH94" s="25" t="str">
        <f>IF($IE94&lt;RAM,IF(S95&lt;=RAK,ROUND(SUM(IG94:INDEX(Nakx,RAM-BeginnAlter))+INDEX(Dax,RAM-BeginnAlter+1)*INDEX(äkx,1),RundDx),0),"")</f>
        <v/>
      </c>
      <c r="II94" s="24" t="str">
        <f t="shared" si="113"/>
        <v/>
      </c>
      <c r="IJ94" s="25" t="str">
        <f t="shared" si="114"/>
        <v/>
      </c>
      <c r="IK94" s="25" t="str">
        <f>IF($IE94&lt;RAM,IF(S95&lt;=RAK,SUM(IJ94:INDEX(Dikx,RAM-BeginnAlter))+INDEX(Dix,RAM-BeginnAlter+1)*INDEX(äkx,1),0),"")</f>
        <v/>
      </c>
      <c r="IL94" s="24" t="str">
        <f t="shared" si="115"/>
        <v/>
      </c>
      <c r="IM94" s="86"/>
      <c r="IN94" s="35">
        <f t="shared" si="188"/>
        <v>150</v>
      </c>
      <c r="IO94" s="25"/>
      <c r="IP94" s="25"/>
      <c r="IQ94" s="24"/>
      <c r="IR94" s="86"/>
    </row>
    <row r="95" spans="1:252" ht="15.75" customHeight="1" x14ac:dyDescent="0.25">
      <c r="A95" s="35">
        <f t="shared" si="120"/>
        <v>103</v>
      </c>
      <c r="B95" s="77"/>
      <c r="C95" s="77"/>
      <c r="D95" s="77"/>
      <c r="E95" s="77">
        <v>0.82116727773631371</v>
      </c>
      <c r="F95" s="86"/>
      <c r="G95" s="35">
        <f t="shared" si="121"/>
        <v>103</v>
      </c>
      <c r="H95" s="25" t="str">
        <f t="shared" si="116"/>
        <v/>
      </c>
      <c r="I95" s="25" t="str">
        <f t="shared" si="117"/>
        <v/>
      </c>
      <c r="J95" s="25">
        <f t="shared" si="118"/>
        <v>10</v>
      </c>
      <c r="K95" s="30">
        <f>IF(J95&gt;0,ROUND(SUM(J95:J$102)/J95-0.5,Rundex),"")</f>
        <v>0.7</v>
      </c>
      <c r="L95" s="25">
        <f t="shared" si="82"/>
        <v>10</v>
      </c>
      <c r="M95" s="30">
        <f>IF(L95&gt;0,ROUND(SUM(L95:L$102)/L95-0.5,Rundex),"")</f>
        <v>0.7</v>
      </c>
      <c r="N95" s="86"/>
      <c r="O95" s="35">
        <f t="shared" si="122"/>
        <v>103</v>
      </c>
      <c r="P95" s="43">
        <v>3.1E-2</v>
      </c>
      <c r="Q95" s="78">
        <v>95.353701679309737</v>
      </c>
      <c r="R95" s="43"/>
      <c r="S95" s="78"/>
      <c r="T95" s="15">
        <v>0.82116727773631371</v>
      </c>
      <c r="U95" s="11">
        <f t="shared" si="119"/>
        <v>7</v>
      </c>
      <c r="V95" s="30">
        <f>IF(U95&gt;0,ROUND(SUM(U95:U$102)/U95-0.5,Rundex),"")</f>
        <v>0.64</v>
      </c>
      <c r="W95" s="86"/>
      <c r="X95" s="35">
        <f t="shared" si="148"/>
        <v>103</v>
      </c>
      <c r="Y95" s="25" t="str">
        <f t="shared" si="149"/>
        <v xml:space="preserve"> </v>
      </c>
      <c r="Z95" s="25" t="str">
        <f>IF($X95&lt;RAM,SUM(Y95:INDEX(Dax,RAM-BeginnAlter))," ")</f>
        <v xml:space="preserve"> </v>
      </c>
      <c r="AA95" s="25" t="str">
        <f t="shared" si="84"/>
        <v xml:space="preserve"> </v>
      </c>
      <c r="AB95" s="25" t="str">
        <f>IF($X95&lt;RAM,SUM(AA95:INDEX(Cax,RAM-BeginnAlter))," ")</f>
        <v xml:space="preserve"> </v>
      </c>
      <c r="AC95" s="25" t="str">
        <f t="shared" si="150"/>
        <v xml:space="preserve"> </v>
      </c>
      <c r="AD95" s="25" t="str">
        <f>IF($X95&lt;RAM,SUM(AC95:INDEX(Caix,RAM-BeginnAlter))," ")</f>
        <v xml:space="preserve"> </v>
      </c>
      <c r="AE95" s="24" t="str">
        <f t="shared" si="151"/>
        <v xml:space="preserve"> </v>
      </c>
      <c r="AF95" s="24" t="str">
        <f t="shared" si="152"/>
        <v xml:space="preserve"> </v>
      </c>
      <c r="AG95" s="86"/>
      <c r="AH95" s="35">
        <f t="shared" si="153"/>
        <v>103</v>
      </c>
      <c r="AI95" s="25" t="str">
        <f t="shared" si="154"/>
        <v xml:space="preserve"> </v>
      </c>
      <c r="AJ95" s="25" t="str">
        <f>IF($AH95&gt;RAM," ",IF($AH95&lt;RAM,SUM(AI95:INDEX(Dix,RAM-BeginnAlter))+INDEX(Nx,RAM-BeginnAlter+1),INDEX(Nx,RAM-BeginnAlter+1)))</f>
        <v xml:space="preserve"> </v>
      </c>
      <c r="AK95" s="25" t="str">
        <f>IF($AH95&lt;RAM,SUM(AI95:INDEX(Dix,RAM-BeginnAlter))," ")</f>
        <v xml:space="preserve"> </v>
      </c>
      <c r="AL95" s="24" t="str">
        <f t="shared" si="155"/>
        <v xml:space="preserve"> </v>
      </c>
      <c r="AM95" s="24" t="str">
        <f t="shared" si="156"/>
        <v xml:space="preserve"> </v>
      </c>
      <c r="AN95" s="24" t="str">
        <f t="shared" si="157"/>
        <v xml:space="preserve"> </v>
      </c>
      <c r="AO95" s="24" t="str">
        <f t="shared" si="158"/>
        <v xml:space="preserve"> </v>
      </c>
      <c r="AP95" s="86"/>
      <c r="AQ95" s="35">
        <f t="shared" si="159"/>
        <v>103</v>
      </c>
      <c r="AR95" s="25"/>
      <c r="AS95" s="25"/>
      <c r="AT95" s="25" t="str">
        <f>IF($AQ95&lt;RAM,SUM(AR95:INDEX(Dx,RAM-BeginnAlter))," ")</f>
        <v xml:space="preserve"> </v>
      </c>
      <c r="AU95" s="24" t="str">
        <f t="shared" si="160"/>
        <v xml:space="preserve"> </v>
      </c>
      <c r="AV95" s="24" t="str">
        <f>IF(AR95&gt;0,ROUND(AS95/AR95-(m-1)/(2*m),Rundäx)," ")</f>
        <v xml:space="preserve"> </v>
      </c>
      <c r="AW95" s="24" t="str">
        <f t="shared" si="162"/>
        <v xml:space="preserve"> </v>
      </c>
      <c r="AX95" s="24" t="str">
        <f t="shared" si="163"/>
        <v xml:space="preserve"> </v>
      </c>
      <c r="AY95" s="86"/>
      <c r="AZ95" s="35">
        <f t="shared" si="164"/>
        <v>103</v>
      </c>
      <c r="BA95" s="25"/>
      <c r="BB95" s="25"/>
      <c r="BC95" s="24" t="str">
        <f t="shared" si="165"/>
        <v xml:space="preserve"> </v>
      </c>
      <c r="BD95" s="24">
        <f t="shared" si="100"/>
        <v>0</v>
      </c>
      <c r="BE95" s="86"/>
      <c r="BF95" s="35">
        <f t="shared" si="166"/>
        <v>86</v>
      </c>
      <c r="BG95" s="24" t="str">
        <f t="shared" si="101"/>
        <v/>
      </c>
      <c r="BH95" s="24" t="str">
        <f t="shared" si="102"/>
        <v/>
      </c>
      <c r="BI95" s="86"/>
      <c r="BJ95" s="35">
        <f t="shared" si="167"/>
        <v>103</v>
      </c>
      <c r="BK95" s="25" t="str">
        <f t="shared" si="168"/>
        <v xml:space="preserve"> </v>
      </c>
      <c r="BL95" s="25" t="str">
        <f>IF(BJ95&lt;RAM,SUM(BK95:INDEX(Daix,RAM-BeginnAlter))," ")</f>
        <v xml:space="preserve"> </v>
      </c>
      <c r="BM95" s="25" t="str">
        <f>IF(BJ95&lt;RAM,SUM(BL95:INDEX(Naix,RAM-BeginnAlter))," ")</f>
        <v xml:space="preserve"> </v>
      </c>
      <c r="BN95" s="24" t="str">
        <f t="shared" si="169"/>
        <v xml:space="preserve"> </v>
      </c>
      <c r="BO95" s="24" t="str">
        <f t="shared" si="170"/>
        <v xml:space="preserve"> </v>
      </c>
      <c r="BP95" s="86"/>
      <c r="BQ95" s="35">
        <f t="shared" si="171"/>
        <v>103</v>
      </c>
      <c r="BR95" s="25" t="str">
        <f t="shared" si="172"/>
        <v xml:space="preserve"> </v>
      </c>
      <c r="BS95" s="25" t="str">
        <f>IF(BQ95&lt;RAM,SUM(BR95:INDEX(Daixs,RAM-BeginnAlter))," ")</f>
        <v xml:space="preserve"> </v>
      </c>
      <c r="BT95" s="25" t="str">
        <f>IF(BQ95&lt;RAM,SUM(BS95:INDEX(Naixs,RAM-BeginnAlter))," ")</f>
        <v xml:space="preserve"> </v>
      </c>
      <c r="BU95" s="24" t="str">
        <f t="shared" si="173"/>
        <v xml:space="preserve"> </v>
      </c>
      <c r="BV95" s="24" t="str">
        <f t="shared" si="174"/>
        <v xml:space="preserve"> </v>
      </c>
      <c r="BW95" s="86"/>
      <c r="BX95" s="35">
        <f t="shared" si="175"/>
        <v>103</v>
      </c>
      <c r="BY95" s="10" t="str">
        <f t="shared" si="106"/>
        <v/>
      </c>
      <c r="BZ95" s="11" t="str">
        <f t="shared" si="107"/>
        <v/>
      </c>
      <c r="CA95" s="25" t="str">
        <f>IF(S96&lt;=RAK,IF($BX95&lt;RAM,SUM(BZ95:INDEX(Dazx,RAM-BeginnAlter)),""),"")</f>
        <v/>
      </c>
      <c r="CB95" s="24" t="str">
        <f t="shared" si="108"/>
        <v/>
      </c>
      <c r="CC95" s="25">
        <f t="shared" si="109"/>
        <v>0</v>
      </c>
      <c r="CD95" s="24">
        <f t="shared" si="110"/>
        <v>0</v>
      </c>
      <c r="CE95" s="24" t="str">
        <f t="shared" si="111"/>
        <v/>
      </c>
      <c r="CF95" s="86"/>
      <c r="CG95" s="35">
        <f t="shared" si="176"/>
        <v>103</v>
      </c>
      <c r="CH95" s="25" t="str">
        <f>IF(CG95&lt;RAM,ROUND(v^($CG95+FaktorAlter)*$H95*($B95*0.5*($P95+$P96)*(VLOOKUP(TRUNC(0.5*($Q95+$Q96),0),Frauen!$AZ$9:$BD$95,5)+(0.5*($Q95+$Q96)-TRUNC(0.5*($Q95+$Q96),0))*(VLOOKUP(TRUNC(0.5*($Q95+$Q96)+1,0),Frauen!$AZ$9:$BD$95,5)-VLOOKUP(TRUNC(0.5*($Q95+$Q96),0),Frauen!$AZ$9:$BD$95,5)))+$C95*0.5*($CN95+$CN96)),RundDx),"")</f>
        <v/>
      </c>
      <c r="CI95" s="25" t="str">
        <f>IF(CG95&lt;RAM,ROUND(SUM(CH95:INDEX(Dawx,RAM-BeginnAlter))+INDEX(Dax,RAM-BeginnAlter+1)*INDEX(äwx,1),RundDx),"")</f>
        <v/>
      </c>
      <c r="CJ95" s="25" t="str">
        <f>IF(CG95&lt;RAM,ROUND(SUM(CI95:INDEX(Nawx,RAM-BeginnAlter))+INDEX(Dax,RAM-BeginnAlter+1)*INDEX(äwx,1),RundDx),"")</f>
        <v/>
      </c>
      <c r="CK95" s="24" t="str">
        <f t="shared" si="177"/>
        <v/>
      </c>
      <c r="CL95" s="25" t="str">
        <f>IF(CG95&lt;RAM,ROUND(v^($CG95+FaktorAlter)*$L95*$D95*0.5*($P95+$P96)*(VLOOKUP(TRUNC(0.5*($Q95+$Q96),0),Frauen!$AZ$9:$BD$95,5)+(0.5*($Q95+$Q96)-TRUNC(0.5*($Q95+$Q96),0))*(VLOOKUP(TRUNC(0.5*($Q95+$Q96)+1,0),Frauen!$AZ$9:$BD$95,5)-VLOOKUP(TRUNC(0.5*($Q95+$Q96),0),Frauen!$AZ$9:$BD$95,5))),RundDx),"")</f>
        <v/>
      </c>
      <c r="CM95" s="25" t="str">
        <f>IF(CG95&lt;RAM,SUM(CL95:INDEX(Diwx,RAM-BeginnAlter))+INDEX(Dix,RAM-BeginnAlter+1)*INDEX(äwx,1),"")</f>
        <v/>
      </c>
      <c r="CN95" s="24" t="str">
        <f t="shared" si="178"/>
        <v/>
      </c>
      <c r="CO95" s="86"/>
      <c r="CP95" s="35">
        <f t="shared" si="147"/>
        <v>151</v>
      </c>
      <c r="CQ95" s="25"/>
      <c r="CR95" s="25"/>
      <c r="CS95" s="24"/>
      <c r="CT95" s="86"/>
      <c r="CU95" s="35">
        <f t="shared" si="179"/>
        <v>103</v>
      </c>
      <c r="CV95" s="25" t="str">
        <f>IF($CU95&gt;=RAM,"",IF($CU95-CV$103&lt;BeginnAlter,"",ROUND(v^($CU95+FaktorAlter)*$L95*$D95*0.5*(VLOOKUP($CU95-CV$103,Frauen!$G$9:$J$102,4)+VLOOKUP($CU95-CV$103+1,Frauen!$G$9:$J$102,4))*0.5*(VLOOKUP($CU95-CV$103,Frauen!$AZ$9:$BD$102,5)+VLOOKUP($CU95-CV$103+1,Frauen!$AZ$9:$BD$102,5)),RundDx)))</f>
        <v/>
      </c>
      <c r="CW95" s="25" t="str">
        <f>IF($CU95&gt;=RAM,"",IF($CU95-CW$103&lt;BeginnAlter,"",ROUND(v^($CU95+FaktorAlter)*$L95*$D95*0.5*(VLOOKUP($CU95-CW$103,Frauen!$G$9:$J$102,4)+VLOOKUP($CU95-CW$103+1,Frauen!$G$9:$J$102,4))*0.5*(VLOOKUP($CU95-CW$103,Frauen!$AZ$9:$BD$102,5)+VLOOKUP($CU95-CW$103+1,Frauen!$AZ$9:$BD$102,5)),RundDx)))</f>
        <v/>
      </c>
      <c r="CX95" s="25" t="str">
        <f>IF($CU95&gt;=RAM,"",IF($CU95-CX$103&lt;BeginnAlter,"",ROUND(v^($CU95+FaktorAlter)*$L95*$D95*0.5*(VLOOKUP($CU95-CX$103,Frauen!$G$9:$J$102,4)+VLOOKUP($CU95-CX$103+1,Frauen!$G$9:$J$102,4))*0.5*(VLOOKUP($CU95-CX$103,Frauen!$AZ$9:$BD$102,5)+VLOOKUP($CU95-CX$103+1,Frauen!$AZ$9:$BD$102,5)),RundDx)))</f>
        <v/>
      </c>
      <c r="CY95" s="25" t="str">
        <f>IF($CU95&gt;=RAM,"",IF($CU95-CY$103&lt;BeginnAlter,"",ROUND(v^($CU95+FaktorAlter)*$L95*$D95*0.5*(VLOOKUP($CU95-CY$103,Frauen!$G$9:$J$102,4)+VLOOKUP($CU95-CY$103+1,Frauen!$G$9:$J$102,4))*0.5*(VLOOKUP($CU95-CY$103,Frauen!$AZ$9:$BD$102,5)+VLOOKUP($CU95-CY$103+1,Frauen!$AZ$9:$BD$102,5)),RundDx)))</f>
        <v/>
      </c>
      <c r="CZ95" s="25" t="str">
        <f>IF($CU95&gt;=RAM,"",IF($CU95-CZ$103&lt;BeginnAlter,"",ROUND(v^($CU95+FaktorAlter)*$L95*$D95*0.5*(VLOOKUP($CU95-CZ$103,Frauen!$G$9:$J$102,4)+VLOOKUP($CU95-CZ$103+1,Frauen!$G$9:$J$102,4))*0.5*(VLOOKUP($CU95-CZ$103,Frauen!$AZ$9:$BD$102,5)+VLOOKUP($CU95-CZ$103+1,Frauen!$AZ$9:$BD$102,5)),RundDx)))</f>
        <v/>
      </c>
      <c r="DA95" s="25" t="str">
        <f>IF($CU95&gt;=RAM,"",IF($CU95-DA$103&lt;BeginnAlter,"",ROUND(v^($CU95+FaktorAlter)*$L95*$D95*0.5*(VLOOKUP($CU95-DA$103,Frauen!$G$9:$J$102,4)+VLOOKUP($CU95-DA$103+1,Frauen!$G$9:$J$102,4))*0.5*(VLOOKUP($CU95-DA$103,Frauen!$AZ$9:$BD$102,5)+VLOOKUP($CU95-DA$103+1,Frauen!$AZ$9:$BD$102,5)),RundDx)))</f>
        <v/>
      </c>
      <c r="DB95" s="25" t="str">
        <f>IF($CU95&gt;=RAM,"",IF($CU95-DB$103&lt;BeginnAlter,"",ROUND(v^($CU95+FaktorAlter)*$L95*$D95*0.5*(VLOOKUP($CU95-DB$103,Frauen!$G$9:$J$102,4)+VLOOKUP($CU95-DB$103+1,Frauen!$G$9:$J$102,4))*0.5*(VLOOKUP($CU95-DB$103,Frauen!$AZ$9:$BD$102,5)+VLOOKUP($CU95-DB$103+1,Frauen!$AZ$9:$BD$102,5)),RundDx)))</f>
        <v/>
      </c>
      <c r="DC95" s="25" t="str">
        <f>IF($CU95&gt;=RAM,"",IF($CU95-DC$103&lt;BeginnAlter,"",ROUND(v^($CU95+FaktorAlter)*$L95*$D95*0.5*(VLOOKUP($CU95-DC$103,Frauen!$G$9:$J$102,4)+VLOOKUP($CU95-DC$103+1,Frauen!$G$9:$J$102,4))*0.5*(VLOOKUP($CU95-DC$103,Frauen!$AZ$9:$BD$102,5)+VLOOKUP($CU95-DC$103+1,Frauen!$AZ$9:$BD$102,5)),RundDx)))</f>
        <v/>
      </c>
      <c r="DD95" s="25" t="str">
        <f>IF($CU95&gt;=RAM,"",IF($CU95-DD$103&lt;BeginnAlter,"",ROUND(v^($CU95+FaktorAlter)*$L95*$D95*0.5*(VLOOKUP($CU95-DD$103,Frauen!$G$9:$J$102,4)+VLOOKUP($CU95-DD$103+1,Frauen!$G$9:$J$102,4))*0.5*(VLOOKUP($CU95-DD$103,Frauen!$AZ$9:$BD$102,5)+VLOOKUP($CU95-DD$103+1,Frauen!$AZ$9:$BD$102,5)),RundDx)))</f>
        <v/>
      </c>
      <c r="DE95" s="25" t="str">
        <f>IF($CU95&gt;=RAM,"",IF($CU95-DE$103&lt;BeginnAlter,"",ROUND(v^($CU95+FaktorAlter)*$L95*$D95*0.5*(VLOOKUP($CU95-DE$103,Frauen!$G$9:$J$102,4)+VLOOKUP($CU95-DE$103+1,Frauen!$G$9:$J$102,4))*0.5*(VLOOKUP($CU95-DE$103,Frauen!$AZ$9:$BD$102,5)+VLOOKUP($CU95-DE$103+1,Frauen!$AZ$9:$BD$102,5)),RundDx)))</f>
        <v/>
      </c>
      <c r="DF95" s="25" t="str">
        <f>IF($CU95&gt;=RAM,"",IF($CU95-DF$103&lt;BeginnAlter,"",ROUND(v^($CU95+FaktorAlter)*$L95*$D95*0.5*(VLOOKUP($CU95-DF$103,Frauen!$G$9:$J$102,4)+VLOOKUP($CU95-DF$103+1,Frauen!$G$9:$J$102,4))*0.5*(VLOOKUP($CU95-DF$103,Frauen!$AZ$9:$BD$102,5)+VLOOKUP($CU95-DF$103+1,Frauen!$AZ$9:$BD$102,5)),RundDx)))</f>
        <v/>
      </c>
      <c r="DG95" s="25" t="str">
        <f>IF($CU95&gt;=RAM,"",IF($CU95-DG$103&lt;BeginnAlter,"",ROUND(v^($CU95+FaktorAlter)*$L95*$D95*0.5*(VLOOKUP($CU95-DG$103,Frauen!$G$9:$J$102,4)+VLOOKUP($CU95-DG$103+1,Frauen!$G$9:$J$102,4))*0.5*(VLOOKUP($CU95-DG$103,Frauen!$AZ$9:$BD$102,5)+VLOOKUP($CU95-DG$103+1,Frauen!$AZ$9:$BD$102,5)),RundDx)))</f>
        <v/>
      </c>
      <c r="DH95" s="25" t="str">
        <f>IF($CU95&gt;=RAM,"",IF($CU95-DH$103&lt;BeginnAlter,"",ROUND(v^($CU95+FaktorAlter)*$L95*$D95*0.5*(VLOOKUP($CU95-DH$103,Frauen!$G$9:$J$102,4)+VLOOKUP($CU95-DH$103+1,Frauen!$G$9:$J$102,4))*0.5*(VLOOKUP($CU95-DH$103,Frauen!$AZ$9:$BD$102,5)+VLOOKUP($CU95-DH$103+1,Frauen!$AZ$9:$BD$102,5)),RundDx)))</f>
        <v/>
      </c>
      <c r="DI95" s="25" t="str">
        <f>IF($CU95&gt;=RAM,"",IF($CU95-DI$103&lt;BeginnAlter,"",ROUND(v^($CU95+FaktorAlter)*$L95*$D95*0.5*(VLOOKUP($CU95-DI$103,Frauen!$G$9:$J$102,4)+VLOOKUP($CU95-DI$103+1,Frauen!$G$9:$J$102,4))*0.5*(VLOOKUP($CU95-DI$103,Frauen!$AZ$9:$BD$102,5)+VLOOKUP($CU95-DI$103+1,Frauen!$AZ$9:$BD$102,5)),RundDx)))</f>
        <v/>
      </c>
      <c r="DJ95" s="25" t="str">
        <f>IF($CU95&gt;=RAM,"",IF($CU95-DJ$103&lt;BeginnAlter,"",ROUND(v^($CU95+FaktorAlter)*$L95*$D95*0.5*(VLOOKUP($CU95-DJ$103,Frauen!$G$9:$J$102,4)+VLOOKUP($CU95-DJ$103+1,Frauen!$G$9:$J$102,4))*0.5*(VLOOKUP($CU95-DJ$103,Frauen!$AZ$9:$BD$102,5)+VLOOKUP($CU95-DJ$103+1,Frauen!$AZ$9:$BD$102,5)),RundDx)))</f>
        <v/>
      </c>
      <c r="DK95" s="25" t="str">
        <f>IF($CU95&gt;=RAM,"",IF($CU95-DK$103&lt;BeginnAlter,"",ROUND(v^($CU95+FaktorAlter)*$L95*$D95*0.5*(VLOOKUP($CU95-DK$103,Frauen!$G$9:$J$102,4)+VLOOKUP($CU95-DK$103+1,Frauen!$G$9:$J$102,4))*0.5*(VLOOKUP($CU95-DK$103,Frauen!$AZ$9:$BD$102,5)+VLOOKUP($CU95-DK$103+1,Frauen!$AZ$9:$BD$102,5)),RundDx)))</f>
        <v/>
      </c>
      <c r="DL95" s="25" t="str">
        <f>IF($CU95&gt;=RAM,"",IF($CU95-DL$103&lt;BeginnAlter,"",ROUND(v^($CU95+FaktorAlter)*$L95*$D95*0.5*(VLOOKUP($CU95-DL$103,Frauen!$G$9:$J$102,4)+VLOOKUP($CU95-DL$103+1,Frauen!$G$9:$J$102,4))*0.5*(VLOOKUP($CU95-DL$103,Frauen!$AZ$9:$BD$102,5)+VLOOKUP($CU95-DL$103+1,Frauen!$AZ$9:$BD$102,5)),RundDx)))</f>
        <v/>
      </c>
      <c r="DM95" s="25" t="str">
        <f>IF($CU95&gt;=RAM,"",IF($CU95-DM$103&lt;BeginnAlter,"",ROUND(v^($CU95+FaktorAlter)*$L95*$D95*0.5*(VLOOKUP($CU95-DM$103,Frauen!$G$9:$J$102,4)+VLOOKUP($CU95-DM$103+1,Frauen!$G$9:$J$102,4))*0.5*(VLOOKUP($CU95-DM$103,Frauen!$AZ$9:$BD$102,5)+VLOOKUP($CU95-DM$103+1,Frauen!$AZ$9:$BD$102,5)),RundDx)))</f>
        <v/>
      </c>
      <c r="DN95" s="25" t="str">
        <f>IF($CU95&gt;=RAM,"",IF($CU95-DN$103&lt;BeginnAlter,"",ROUND(v^($CU95+FaktorAlter)*$L95*$D95*0.5*(VLOOKUP($CU95-DN$103,Frauen!$G$9:$J$102,4)+VLOOKUP($CU95-DN$103+1,Frauen!$G$9:$J$102,4))*0.5*(VLOOKUP($CU95-DN$103,Frauen!$AZ$9:$BD$102,5)+VLOOKUP($CU95-DN$103+1,Frauen!$AZ$9:$BD$102,5)),RundDx)))</f>
        <v/>
      </c>
      <c r="DO95" s="25" t="str">
        <f>IF($CU95&gt;=RAM,"",IF($CU95-DO$103&lt;BeginnAlter,"",ROUND(v^($CU95+FaktorAlter)*$L95*$D95*0.5*(VLOOKUP($CU95-DO$103,Frauen!$G$9:$J$102,4)+VLOOKUP($CU95-DO$103+1,Frauen!$G$9:$J$102,4))*0.5*(VLOOKUP($CU95-DO$103,Frauen!$AZ$9:$BD$102,5)+VLOOKUP($CU95-DO$103+1,Frauen!$AZ$9:$BD$102,5)),RundDx)))</f>
        <v/>
      </c>
      <c r="DP95" s="25" t="str">
        <f>IF($CU95&gt;=RAM,"",IF($CU95-DP$103&lt;BeginnAlter,"",ROUND(v^($CU95+FaktorAlter)*$L95*$D95*0.5*(VLOOKUP($CU95-DP$103,Frauen!$G$9:$J$102,4)+VLOOKUP($CU95-DP$103+1,Frauen!$G$9:$J$102,4))*0.5*(VLOOKUP($CU95-DP$103,Frauen!$AZ$9:$BD$102,5)+VLOOKUP($CU95-DP$103+1,Frauen!$AZ$9:$BD$102,5)),RundDx)))</f>
        <v/>
      </c>
      <c r="DQ95" s="25" t="str">
        <f>IF($CU95&gt;=RAM,"",IF($CU95-DQ$103&lt;BeginnAlter,"",ROUND(v^($CU95+FaktorAlter)*$L95*$D95*0.5*(VLOOKUP($CU95-DQ$103,Frauen!$G$9:$J$102,4)+VLOOKUP($CU95-DQ$103+1,Frauen!$G$9:$J$102,4))*0.5*(VLOOKUP($CU95-DQ$103,Frauen!$AZ$9:$BD$102,5)+VLOOKUP($CU95-DQ$103+1,Frauen!$AZ$9:$BD$102,5)),RundDx)))</f>
        <v/>
      </c>
      <c r="DR95" s="25" t="str">
        <f>IF($CU95&gt;=RAM,"",IF($CU95-DR$103&lt;BeginnAlter,"",ROUND(v^($CU95+FaktorAlter)*$L95*$D95*0.5*(VLOOKUP($CU95-DR$103,Frauen!$G$9:$J$102,4)+VLOOKUP($CU95-DR$103+1,Frauen!$G$9:$J$102,4))*0.5*(VLOOKUP($CU95-DR$103,Frauen!$AZ$9:$BD$102,5)+VLOOKUP($CU95-DR$103+1,Frauen!$AZ$9:$BD$102,5)),RundDx)))</f>
        <v/>
      </c>
      <c r="DS95" s="25" t="str">
        <f>IF($CU95&gt;=RAM,"",IF($CU95-DS$103&lt;BeginnAlter,"",ROUND(v^($CU95+FaktorAlter)*$L95*$D95*0.5*(VLOOKUP($CU95-DS$103,Frauen!$G$9:$J$102,4)+VLOOKUP($CU95-DS$103+1,Frauen!$G$9:$J$102,4))*0.5*(VLOOKUP($CU95-DS$103,Frauen!$AZ$9:$BD$102,5)+VLOOKUP($CU95-DS$103+1,Frauen!$AZ$9:$BD$102,5)),RundDx)))</f>
        <v/>
      </c>
      <c r="DT95" s="25" t="str">
        <f>IF($CU95&gt;=RAM,"",IF($CU95-DT$103&lt;BeginnAlter,"",ROUND(v^($CU95+FaktorAlter)*$L95*$D95*0.5*(VLOOKUP($CU95-DT$103,Frauen!$G$9:$J$102,4)+VLOOKUP($CU95-DT$103+1,Frauen!$G$9:$J$102,4))*0.5*(VLOOKUP($CU95-DT$103,Frauen!$AZ$9:$BD$102,5)+VLOOKUP($CU95-DT$103+1,Frauen!$AZ$9:$BD$102,5)),RundDx)))</f>
        <v/>
      </c>
      <c r="DU95" s="25" t="str">
        <f>IF($CU95&gt;=RAM,"",IF($CU95-DU$103&lt;BeginnAlter,"",ROUND(v^($CU95+FaktorAlter)*$L95*$D95*0.5*(VLOOKUP($CU95-DU$103,Frauen!$G$9:$J$102,4)+VLOOKUP($CU95-DU$103+1,Frauen!$G$9:$J$102,4))*0.5*(VLOOKUP($CU95-DU$103,Frauen!$AZ$9:$BD$102,5)+VLOOKUP($CU95-DU$103+1,Frauen!$AZ$9:$BD$102,5)),RundDx)))</f>
        <v/>
      </c>
      <c r="DV95" s="25" t="str">
        <f>IF($CU95&gt;=RAM,"",IF($CU95-DV$103&lt;BeginnAlter,"",ROUND(v^($CU95+FaktorAlter)*$L95*$D95*0.5*(VLOOKUP($CU95-DV$103,Frauen!$G$9:$J$102,4)+VLOOKUP($CU95-DV$103+1,Frauen!$G$9:$J$102,4))*0.5*(VLOOKUP($CU95-DV$103,Frauen!$AZ$9:$BD$102,5)+VLOOKUP($CU95-DV$103+1,Frauen!$AZ$9:$BD$102,5)),RundDx)))</f>
        <v/>
      </c>
      <c r="DW95" s="25" t="str">
        <f>IF($CU95&gt;=RAM,"",IF($CU95-DW$103&lt;BeginnAlter,"",ROUND(v^($CU95+FaktorAlter)*$L95*$D95*0.5*(VLOOKUP($CU95-DW$103,Frauen!$G$9:$J$102,4)+VLOOKUP($CU95-DW$103+1,Frauen!$G$9:$J$102,4))*0.5*(VLOOKUP($CU95-DW$103,Frauen!$AZ$9:$BD$102,5)+VLOOKUP($CU95-DW$103+1,Frauen!$AZ$9:$BD$102,5)),RundDx)))</f>
        <v/>
      </c>
      <c r="DX95" s="25" t="str">
        <f>IF($CU95&gt;=RAM,"",IF($CU95-DX$103&lt;BeginnAlter,"",ROUND(v^($CU95+FaktorAlter)*$L95*$D95*0.5*(VLOOKUP($CU95-DX$103,Frauen!$G$9:$J$102,4)+VLOOKUP($CU95-DX$103+1,Frauen!$G$9:$J$102,4))*0.5*(VLOOKUP($CU95-DX$103,Frauen!$AZ$9:$BD$102,5)+VLOOKUP($CU95-DX$103+1,Frauen!$AZ$9:$BD$102,5)),RundDx)))</f>
        <v/>
      </c>
      <c r="DY95" s="25" t="str">
        <f>IF($CU95&gt;=RAM,"",IF($CU95-DY$103&lt;BeginnAlter,"",ROUND(v^($CU95+FaktorAlter)*$L95*$D95*0.5*(VLOOKUP($CU95-DY$103,Frauen!$G$9:$J$102,4)+VLOOKUP($CU95-DY$103+1,Frauen!$G$9:$J$102,4))*0.5*(VLOOKUP($CU95-DY$103,Frauen!$AZ$9:$BD$102,5)+VLOOKUP($CU95-DY$103+1,Frauen!$AZ$9:$BD$102,5)),RundDx)))</f>
        <v/>
      </c>
      <c r="DZ95" s="25" t="str">
        <f>IF($CU95&gt;=RAM,"",IF($CU95-DZ$103&lt;BeginnAlter,"",ROUND(v^($CU95+FaktorAlter)*$L95*$D95*0.5*(VLOOKUP($CU95-DZ$103,Frauen!$G$9:$J$102,4)+VLOOKUP($CU95-DZ$103+1,Frauen!$G$9:$J$102,4))*0.5*(VLOOKUP($CU95-DZ$103,Frauen!$AZ$9:$BD$102,5)+VLOOKUP($CU95-DZ$103+1,Frauen!$AZ$9:$BD$102,5)),RundDx)))</f>
        <v/>
      </c>
      <c r="EA95" s="43" t="str">
        <f>IF($CU95&gt;=RAM,"",IF($CU95-EA$103&lt;BeginnAlter,"",ROUND((SUM(CV$56:CV95)+SUM(FN$9:FN$56))/VLOOKUP($CU95,$AH$9:$AI$102,2)/VLOOKUP($CU95-EA$103,Frauen!$G$9:$J$102,4),Rundäx)))</f>
        <v/>
      </c>
      <c r="EB95" s="43" t="str">
        <f>IF($CU95&gt;=RAM,"",IF($CU95-EB$103&lt;BeginnAlter,"",ROUND((SUM(CW$56:CW95)+SUM(FO$9:FO$56))/VLOOKUP($CU95,$AH$9:$AI$102,2)/VLOOKUP($CU95-EB$103,Frauen!$G$9:$J$102,4),Rundäx)))</f>
        <v/>
      </c>
      <c r="EC95" s="43" t="str">
        <f>IF($CU95&gt;=RAM,"",IF($CU95-EC$103&lt;BeginnAlter,"",ROUND((SUM(CX$56:CX95)+SUM(FP$9:FP$56))/VLOOKUP($CU95,$AH$9:$AI$102,2)/VLOOKUP($CU95-EC$103,Frauen!$G$9:$J$102,4),Rundäx)))</f>
        <v/>
      </c>
      <c r="ED95" s="43" t="str">
        <f>IF($CU95&gt;=RAM,"",IF($CU95-ED$103&lt;BeginnAlter,"",ROUND((SUM(CY$56:CY95)+SUM(FQ$9:FQ$56))/VLOOKUP($CU95,$AH$9:$AI$102,2)/VLOOKUP($CU95-ED$103,Frauen!$G$9:$J$102,4),Rundäx)))</f>
        <v/>
      </c>
      <c r="EE95" s="43" t="str">
        <f>IF($CU95&gt;=RAM,"",IF($CU95-EE$103&lt;BeginnAlter,"",ROUND((SUM(CZ$56:CZ95)+SUM(FR$9:FR$56))/VLOOKUP($CU95,$AH$9:$AI$102,2)/VLOOKUP($CU95-EE$103,Frauen!$G$9:$J$102,4),Rundäx)))</f>
        <v/>
      </c>
      <c r="EF95" s="43" t="str">
        <f>IF($CU95&gt;=RAM,"",IF($CU95-EF$103&lt;BeginnAlter,"",ROUND((SUM(DA$56:DA95)+SUM(FS$9:FS$56))/VLOOKUP($CU95,$AH$9:$AI$102,2)/VLOOKUP($CU95-EF$103,Frauen!$G$9:$J$102,4),Rundäx)))</f>
        <v/>
      </c>
      <c r="EG95" s="43" t="str">
        <f>IF($CU95&gt;=RAM,"",IF($CU95-EG$103&lt;BeginnAlter,"",ROUND((SUM(DB$56:DB95)+SUM(FT$9:FT$56))/VLOOKUP($CU95,$AH$9:$AI$102,2)/VLOOKUP($CU95-EG$103,Frauen!$G$9:$J$102,4),Rundäx)))</f>
        <v/>
      </c>
      <c r="EH95" s="43" t="str">
        <f>IF($CU95&gt;=RAM,"",IF($CU95-EH$103&lt;BeginnAlter,"",ROUND((SUM(DC$56:DC95)+SUM(FU$9:FU$56))/VLOOKUP($CU95,$AH$9:$AI$102,2)/VLOOKUP($CU95-EH$103,Frauen!$G$9:$J$102,4),Rundäx)))</f>
        <v/>
      </c>
      <c r="EI95" s="86"/>
      <c r="EJ95" s="35">
        <f t="shared" si="180"/>
        <v>103</v>
      </c>
      <c r="EK95" s="43" t="str">
        <f>IF($CU95&gt;=RAM,"",IF($CU95-EK$103&lt;BeginnAlter,"",ROUND((SUM(DD$56:DD95)+SUM(FV$9:FV$56))/VLOOKUP($CU95,$AH$9:$AI$102,2)/VLOOKUP($CU95-EK$103,Frauen!$G$9:$J$102,4),Rundäx)))</f>
        <v/>
      </c>
      <c r="EL95" s="43" t="str">
        <f>IF($CU95&gt;=RAM,"",IF($CU95-EL$103&lt;BeginnAlter,"",ROUND((SUM(DE$56:DE95)+SUM(FW$9:FW$56))/VLOOKUP($CU95,$AH$9:$AI$102,2)/VLOOKUP($CU95-EL$103,Frauen!$G$9:$J$102,4),Rundäx)))</f>
        <v/>
      </c>
      <c r="EM95" s="43" t="str">
        <f>IF($CU95&gt;=RAM,"",IF($CU95-EM$103&lt;BeginnAlter,"",ROUND((SUM(DF$56:DF95)+SUM(FX$9:FX$56))/VLOOKUP($CU95,$AH$9:$AI$102,2)/VLOOKUP($CU95-EM$103,Frauen!$G$9:$J$102,4),Rundäx)))</f>
        <v/>
      </c>
      <c r="EN95" s="43" t="str">
        <f>IF($CU95&gt;=RAM,"",IF($CU95-EN$103&lt;BeginnAlter,"",ROUND((SUM(DG$56:DG95)+SUM(FY$9:FY$56))/VLOOKUP($CU95,$AH$9:$AI$102,2)/VLOOKUP($CU95-EN$103,Frauen!$G$9:$J$102,4),Rundäx)))</f>
        <v/>
      </c>
      <c r="EO95" s="43" t="str">
        <f>IF($CU95&gt;=RAM,"",IF($CU95-EO$103&lt;BeginnAlter,"",ROUND((SUM(DH$56:DH95)+SUM(FZ$9:FZ$56))/VLOOKUP($CU95,$AH$9:$AI$102,2)/VLOOKUP($CU95-EO$103,Frauen!$G$9:$J$102,4),Rundäx)))</f>
        <v/>
      </c>
      <c r="EP95" s="43" t="str">
        <f>IF($CU95&gt;=RAM,"",IF($CU95-EP$103&lt;BeginnAlter,"",ROUND((SUM(DI$56:DI95)+SUM(GA$9:GA$56))/VLOOKUP($CU95,$AH$9:$AI$102,2)/VLOOKUP($CU95-EP$103,Frauen!$G$9:$J$102,4),Rundäx)))</f>
        <v/>
      </c>
      <c r="EQ95" s="43" t="str">
        <f>IF($CU95&gt;=RAM,"",IF($CU95-EQ$103&lt;BeginnAlter,"",ROUND((SUM(DJ$56:DJ95)+SUM(GB$9:GB$56))/VLOOKUP($CU95,$AH$9:$AI$102,2)/VLOOKUP($CU95-EQ$103,Frauen!$G$9:$J$102,4),Rundäx)))</f>
        <v/>
      </c>
      <c r="ER95" s="43" t="str">
        <f>IF($CU95&gt;=RAM,"",IF($CU95-ER$103&lt;BeginnAlter,"",ROUND((SUM(DK$56:DK95)+SUM(GC$9:GC$56))/VLOOKUP($CU95,$AH$9:$AI$102,2)/VLOOKUP($CU95-ER$103,Frauen!$G$9:$J$102,4),Rundäx)))</f>
        <v/>
      </c>
      <c r="ES95" s="86"/>
      <c r="ET95" s="35">
        <f t="shared" si="181"/>
        <v>103</v>
      </c>
      <c r="EU95" s="43" t="str">
        <f>IF($CU95&gt;=RAM,"",IF($CU95-EU$103&lt;BeginnAlter,"",ROUND((SUM(DL$56:DL95)+SUM(GD$9:GD$56))/VLOOKUP($CU95,$AH$9:$AI$102,2)/VLOOKUP($CU95-EU$103,Frauen!$G$9:$J$102,4),Rundäx)))</f>
        <v/>
      </c>
      <c r="EV95" s="43" t="str">
        <f>IF($CU95&gt;=RAM,"",IF($CU95-EV$103&lt;BeginnAlter,"",ROUND((SUM(DM$56:DM95)+SUM(GE$9:GE$56))/VLOOKUP($CU95,$AH$9:$AI$102,2)/VLOOKUP($CU95-EV$103,Frauen!$G$9:$J$102,4),Rundäx)))</f>
        <v/>
      </c>
      <c r="EW95" s="43" t="str">
        <f>IF($CU95&gt;=RAM,"",IF($CU95-EW$103&lt;BeginnAlter,"",ROUND((SUM(DN$56:DN95)+SUM(GF$9:GF$56))/VLOOKUP($CU95,$AH$9:$AI$102,2)/VLOOKUP($CU95-EW$103,Frauen!$G$9:$J$102,4),Rundäx)))</f>
        <v/>
      </c>
      <c r="EX95" s="43" t="str">
        <f>IF($CU95&gt;=RAM,"",IF($CU95-EX$103&lt;BeginnAlter,"",ROUND((SUM(DO$56:DO95)+SUM(GG$9:GG$56))/VLOOKUP($CU95,$AH$9:$AI$102,2)/VLOOKUP($CU95-EX$103,Frauen!$G$9:$J$102,4),Rundäx)))</f>
        <v/>
      </c>
      <c r="EY95" s="43" t="str">
        <f>IF($CU95&gt;=RAM,"",IF($CU95-EY$103&lt;BeginnAlter,"",ROUND((SUM(DP$56:DP95)+SUM(GH$9:GH$56))/VLOOKUP($CU95,$AH$9:$AI$102,2)/VLOOKUP($CU95-EY$103,Frauen!$G$9:$J$102,4),Rundäx)))</f>
        <v/>
      </c>
      <c r="EZ95" s="43" t="str">
        <f>IF($CU95&gt;=RAM,"",IF($CU95-EZ$103&lt;BeginnAlter,"",ROUND((SUM(DQ$56:DQ95)+SUM(GI$9:GI$56))/VLOOKUP($CU95,$AH$9:$AI$102,2)/VLOOKUP($CU95-EZ$103,Frauen!$G$9:$J$102,4),Rundäx)))</f>
        <v/>
      </c>
      <c r="FA95" s="43" t="str">
        <f>IF($CU95&gt;=RAM,"",IF($CU95-FA$103&lt;BeginnAlter,"",ROUND((SUM(DR$56:DR95)+SUM(GJ$9:GJ$56))/VLOOKUP($CU95,$AH$9:$AI$102,2)/VLOOKUP($CU95-FA$103,Frauen!$G$9:$J$102,4),Rundäx)))</f>
        <v/>
      </c>
      <c r="FB95" s="43" t="str">
        <f>IF($CU95&gt;=RAM,"",IF($CU95-FB$103&lt;BeginnAlter,"",ROUND((SUM(DS$56:DS95)+SUM(GK$9:GK$56))/VLOOKUP($CU95,$AH$9:$AI$102,2)/VLOOKUP($CU95-FB$103,Frauen!$G$9:$J$102,4),Rundäx)))</f>
        <v/>
      </c>
      <c r="FC95" s="86"/>
      <c r="FD95" s="35">
        <f t="shared" si="182"/>
        <v>103</v>
      </c>
      <c r="FE95" s="43" t="str">
        <f>IF($CU95&gt;=RAM,"",IF($CU95-FE$103&lt;BeginnAlter,"",ROUND((SUM(DT$56:DT95)+SUM(GL$9:GL$56))/VLOOKUP($CU95,$AH$9:$AI$102,2)/VLOOKUP($CU95-FE$103,Frauen!$G$9:$J$102,4),Rundäx)))</f>
        <v/>
      </c>
      <c r="FF95" s="43" t="str">
        <f>IF($CU95&gt;=RAM,"",IF($CU95-FF$103&lt;BeginnAlter,"",ROUND((SUM(DU$56:DU95)+SUM(GM$9:GM$56))/VLOOKUP($CU95,$AH$9:$AI$102,2)/VLOOKUP($CU95-FF$103,Frauen!$G$9:$J$102,4),Rundäx)))</f>
        <v/>
      </c>
      <c r="FG95" s="43" t="str">
        <f>IF($CU95&gt;=RAM,"",IF($CU95-FG$103&lt;BeginnAlter,"",ROUND((SUM(DV$56:DV95)+SUM(GN$9:GN$56))/VLOOKUP($CU95,$AH$9:$AI$102,2)/VLOOKUP($CU95-FG$103,Frauen!$G$9:$J$102,4),Rundäx)))</f>
        <v/>
      </c>
      <c r="FH95" s="43" t="str">
        <f>IF($CU95&gt;=RAM,"",IF($CU95-FH$103&lt;BeginnAlter,"",ROUND((SUM(DW$56:DW95)+SUM(GO$9:GO$56))/VLOOKUP($CU95,$AH$9:$AI$102,2)/VLOOKUP($CU95-FH$103,Frauen!$G$9:$J$102,4),Rundäx)))</f>
        <v/>
      </c>
      <c r="FI95" s="43" t="str">
        <f>IF($CU95&gt;=RAM,"",IF($CU95-FI$103&lt;BeginnAlter,"",ROUND((SUM(DX$56:DX95)+SUM(GP$9:GP$56))/VLOOKUP($CU95,$AH$9:$AI$102,2)/VLOOKUP($CU95-FI$103,Frauen!$G$9:$J$102,4),Rundäx)))</f>
        <v/>
      </c>
      <c r="FJ95" s="43" t="str">
        <f>IF($CU95&gt;=RAM,"",IF($CU95-FJ$103&lt;BeginnAlter,"",ROUND((SUM(DY$56:DY95)+SUM(GQ$9:GQ$56))/VLOOKUP($CU95,$AH$9:$AI$102,2)/VLOOKUP($CU95-FJ$103,Frauen!$G$9:$J$102,4),Rundäx)))</f>
        <v/>
      </c>
      <c r="FK95" s="43" t="str">
        <f>IF($CU95&gt;=RAM,"",IF($CU95-FK$103&lt;BeginnAlter,"",ROUND((SUM(DZ$56:DZ95)+SUM(GR$9:GR$56))/VLOOKUP($CU95,$AH$9:$AI$102,2)/VLOOKUP($CU95-FK$103,Frauen!$G$9:$J$102,4),Rundäx)))</f>
        <v/>
      </c>
      <c r="FL95" s="86"/>
      <c r="FM95" s="35">
        <f t="shared" si="183"/>
        <v>151</v>
      </c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4"/>
      <c r="GT95" s="24"/>
      <c r="GU95" s="24" t="str">
        <f>IF(FM95&gt;=RAM," ",#REF!/$AI95/Frauen!$J83)</f>
        <v xml:space="preserve"> </v>
      </c>
      <c r="GV95" s="24" t="str">
        <f>IF(FM95&gt;=RAM," ",#REF!/$AI95/Frauen!$J86)</f>
        <v xml:space="preserve"> </v>
      </c>
      <c r="GW95" s="24" t="str">
        <f>IF(FM95&gt;=RAM," ",#REF!/$AI95/Frauen!$J89)</f>
        <v xml:space="preserve"> </v>
      </c>
      <c r="GX95" s="24" t="str">
        <f>IF(FM95&gt;=RAM," ",#REF!/$AI95/Frauen!$J92)</f>
        <v xml:space="preserve"> </v>
      </c>
      <c r="GY95" s="24" t="str">
        <f>IF(FM95&gt;=RAM," ",#REF!/$AI95/Frauen!$J95)</f>
        <v xml:space="preserve"> </v>
      </c>
      <c r="GZ95" s="24" t="str">
        <f>IF(FM95&gt;=RAM," ",#REF!/$AI95/Frauen!$J98)</f>
        <v xml:space="preserve"> </v>
      </c>
      <c r="HA95" s="86"/>
      <c r="HB95" s="35">
        <f t="shared" si="184"/>
        <v>151</v>
      </c>
      <c r="HC95" s="24"/>
      <c r="HD95" s="24"/>
      <c r="HE95" s="24"/>
      <c r="HF95" s="24"/>
      <c r="HG95" s="24"/>
      <c r="HH95" s="24"/>
      <c r="HI95" s="24"/>
      <c r="HJ95" s="24"/>
      <c r="HK95" s="86"/>
      <c r="HL95" s="35">
        <f t="shared" si="185"/>
        <v>151</v>
      </c>
      <c r="HM95" s="24"/>
      <c r="HN95" s="24"/>
      <c r="HO95" s="24"/>
      <c r="HP95" s="24"/>
      <c r="HQ95" s="24"/>
      <c r="HR95" s="24"/>
      <c r="HS95" s="24"/>
      <c r="HT95" s="24"/>
      <c r="HU95" s="86"/>
      <c r="HV95" s="35">
        <f t="shared" si="186"/>
        <v>151</v>
      </c>
      <c r="HW95" s="24"/>
      <c r="HX95" s="24"/>
      <c r="HY95" s="24"/>
      <c r="HZ95" s="24"/>
      <c r="IA95" s="24"/>
      <c r="IB95" s="24"/>
      <c r="IC95" s="24"/>
      <c r="ID95" s="89"/>
      <c r="IE95" s="35">
        <f t="shared" si="187"/>
        <v>103</v>
      </c>
      <c r="IF95" s="25" t="str">
        <f t="shared" si="112"/>
        <v/>
      </c>
      <c r="IG95" s="25" t="str">
        <f>IF($IE95&lt;RAM,IF(S96&lt;=RAK,ROUND(SUM(IF95:INDEX(Dakx,RAM-BeginnAlter))+INDEX(Dax,RAM-BeginnAlter+1)*INDEX(äkx,1),RundDx),0),"")</f>
        <v/>
      </c>
      <c r="IH95" s="25" t="str">
        <f>IF($IE95&lt;RAM,IF(S96&lt;=RAK,ROUND(SUM(IG95:INDEX(Nakx,RAM-BeginnAlter))+INDEX(Dax,RAM-BeginnAlter+1)*INDEX(äkx,1),RundDx),0),"")</f>
        <v/>
      </c>
      <c r="II95" s="24" t="str">
        <f t="shared" si="113"/>
        <v/>
      </c>
      <c r="IJ95" s="25" t="str">
        <f t="shared" si="114"/>
        <v/>
      </c>
      <c r="IK95" s="25" t="str">
        <f>IF($IE95&lt;RAM,IF(S96&lt;=RAK,SUM(IJ95:INDEX(Dikx,RAM-BeginnAlter))+INDEX(Dix,RAM-BeginnAlter+1)*INDEX(äkx,1),0),"")</f>
        <v/>
      </c>
      <c r="IL95" s="24" t="str">
        <f t="shared" si="115"/>
        <v/>
      </c>
      <c r="IM95" s="86"/>
      <c r="IN95" s="35">
        <f t="shared" si="188"/>
        <v>151</v>
      </c>
      <c r="IO95" s="25"/>
      <c r="IP95" s="25"/>
      <c r="IQ95" s="24"/>
      <c r="IR95" s="86"/>
    </row>
    <row r="96" spans="1:252" ht="15.75" customHeight="1" x14ac:dyDescent="0.25">
      <c r="A96" s="35">
        <f t="shared" si="120"/>
        <v>104</v>
      </c>
      <c r="B96" s="77"/>
      <c r="C96" s="77"/>
      <c r="D96" s="77"/>
      <c r="E96" s="77">
        <v>0.91123230457324822</v>
      </c>
      <c r="F96" s="86"/>
      <c r="G96" s="35">
        <f t="shared" si="121"/>
        <v>104</v>
      </c>
      <c r="H96" s="25" t="str">
        <f t="shared" si="116"/>
        <v/>
      </c>
      <c r="I96" s="25" t="str">
        <f t="shared" si="117"/>
        <v/>
      </c>
      <c r="J96" s="25">
        <f t="shared" si="118"/>
        <v>2</v>
      </c>
      <c r="K96" s="30">
        <f>IF(J96&gt;0,ROUND(SUM(J96:J$102)/J96-0.5,Rundex),"")</f>
        <v>0.5</v>
      </c>
      <c r="L96" s="25">
        <f t="shared" si="82"/>
        <v>2</v>
      </c>
      <c r="M96" s="30">
        <f>IF(L96&gt;0,ROUND(SUM(L96:L$102)/L96-0.5,Rundex),"")</f>
        <v>0.5</v>
      </c>
      <c r="N96" s="86"/>
      <c r="O96" s="35">
        <f t="shared" si="122"/>
        <v>104</v>
      </c>
      <c r="P96" s="43">
        <v>1.7999999999999999E-2</v>
      </c>
      <c r="Q96" s="78">
        <v>96.250421111056525</v>
      </c>
      <c r="R96" s="43"/>
      <c r="S96" s="78"/>
      <c r="T96" s="15">
        <v>0.91123230457324822</v>
      </c>
      <c r="U96" s="11">
        <f t="shared" si="119"/>
        <v>1</v>
      </c>
      <c r="V96" s="30">
        <f>IF(U96&gt;0,ROUND(SUM(U96:U$102)/U96-0.5,Rundex),"")</f>
        <v>0.5</v>
      </c>
      <c r="W96" s="86"/>
      <c r="X96" s="35">
        <f t="shared" si="148"/>
        <v>104</v>
      </c>
      <c r="Y96" s="25" t="str">
        <f t="shared" si="149"/>
        <v xml:space="preserve"> </v>
      </c>
      <c r="Z96" s="25" t="str">
        <f>IF($X96&lt;RAM,SUM(Y96:INDEX(Dax,RAM-BeginnAlter))," ")</f>
        <v xml:space="preserve"> </v>
      </c>
      <c r="AA96" s="25" t="str">
        <f t="shared" si="84"/>
        <v xml:space="preserve"> </v>
      </c>
      <c r="AB96" s="25" t="str">
        <f>IF($X96&lt;RAM,SUM(AA96:INDEX(Cax,RAM-BeginnAlter))," ")</f>
        <v xml:space="preserve"> </v>
      </c>
      <c r="AC96" s="25" t="str">
        <f t="shared" si="150"/>
        <v xml:space="preserve"> </v>
      </c>
      <c r="AD96" s="25" t="str">
        <f>IF($X96&lt;RAM,SUM(AC96:INDEX(Caix,RAM-BeginnAlter))," ")</f>
        <v xml:space="preserve"> </v>
      </c>
      <c r="AE96" s="24" t="str">
        <f t="shared" si="151"/>
        <v xml:space="preserve"> </v>
      </c>
      <c r="AF96" s="24" t="str">
        <f t="shared" si="152"/>
        <v xml:space="preserve"> </v>
      </c>
      <c r="AG96" s="86"/>
      <c r="AH96" s="35">
        <f t="shared" si="153"/>
        <v>104</v>
      </c>
      <c r="AI96" s="25" t="str">
        <f t="shared" si="154"/>
        <v xml:space="preserve"> </v>
      </c>
      <c r="AJ96" s="25" t="str">
        <f>IF($AH96&gt;RAM," ",IF($AH96&lt;RAM,SUM(AI96:INDEX(Dix,RAM-BeginnAlter))+INDEX(Nx,RAM-BeginnAlter+1),INDEX(Nx,RAM-BeginnAlter+1)))</f>
        <v xml:space="preserve"> </v>
      </c>
      <c r="AK96" s="25" t="str">
        <f>IF($AH96&lt;RAM,SUM(AI96:INDEX(Dix,RAM-BeginnAlter))," ")</f>
        <v xml:space="preserve"> </v>
      </c>
      <c r="AL96" s="24" t="str">
        <f t="shared" si="155"/>
        <v xml:space="preserve"> </v>
      </c>
      <c r="AM96" s="24" t="str">
        <f t="shared" si="156"/>
        <v xml:space="preserve"> </v>
      </c>
      <c r="AN96" s="24" t="str">
        <f t="shared" si="157"/>
        <v xml:space="preserve"> </v>
      </c>
      <c r="AO96" s="24" t="str">
        <f t="shared" si="158"/>
        <v xml:space="preserve"> </v>
      </c>
      <c r="AP96" s="86"/>
      <c r="AQ96" s="35">
        <f t="shared" si="159"/>
        <v>104</v>
      </c>
      <c r="AR96" s="25"/>
      <c r="AS96" s="25"/>
      <c r="AT96" s="25" t="str">
        <f>IF($AQ96&lt;RAM,SUM(AR96:INDEX(Dx,RAM-BeginnAlter))," ")</f>
        <v xml:space="preserve"> </v>
      </c>
      <c r="AU96" s="24" t="str">
        <f t="shared" si="160"/>
        <v xml:space="preserve"> </v>
      </c>
      <c r="AV96" s="24" t="str">
        <f>IF(AR96&gt;0,ROUND(AS96/AR96-(m-1)/(2*m),Rundäx)," ")</f>
        <v xml:space="preserve"> </v>
      </c>
      <c r="AW96" s="24" t="str">
        <f t="shared" si="162"/>
        <v xml:space="preserve"> </v>
      </c>
      <c r="AX96" s="24" t="str">
        <f t="shared" si="163"/>
        <v xml:space="preserve"> </v>
      </c>
      <c r="AY96" s="86"/>
      <c r="AZ96" s="35">
        <f t="shared" si="164"/>
        <v>104</v>
      </c>
      <c r="BA96" s="25"/>
      <c r="BB96" s="25"/>
      <c r="BC96" s="24" t="str">
        <f t="shared" si="165"/>
        <v xml:space="preserve"> </v>
      </c>
      <c r="BD96" s="24">
        <f t="shared" si="100"/>
        <v>0</v>
      </c>
      <c r="BE96" s="86"/>
      <c r="BF96" s="35">
        <f t="shared" si="166"/>
        <v>87</v>
      </c>
      <c r="BG96" s="24" t="str">
        <f t="shared" si="101"/>
        <v/>
      </c>
      <c r="BH96" s="24" t="str">
        <f t="shared" si="102"/>
        <v/>
      </c>
      <c r="BI96" s="86"/>
      <c r="BJ96" s="35">
        <f t="shared" si="167"/>
        <v>104</v>
      </c>
      <c r="BK96" s="25" t="str">
        <f t="shared" si="168"/>
        <v xml:space="preserve"> </v>
      </c>
      <c r="BL96" s="25" t="str">
        <f>IF(BJ96&lt;RAM,SUM(BK96:INDEX(Daix,RAM-BeginnAlter))," ")</f>
        <v xml:space="preserve"> </v>
      </c>
      <c r="BM96" s="25" t="str">
        <f>IF(BJ96&lt;RAM,SUM(BL96:INDEX(Naix,RAM-BeginnAlter))," ")</f>
        <v xml:space="preserve"> </v>
      </c>
      <c r="BN96" s="24" t="str">
        <f t="shared" si="169"/>
        <v xml:space="preserve"> </v>
      </c>
      <c r="BO96" s="24" t="str">
        <f t="shared" si="170"/>
        <v xml:space="preserve"> </v>
      </c>
      <c r="BP96" s="86"/>
      <c r="BQ96" s="35">
        <f t="shared" si="171"/>
        <v>104</v>
      </c>
      <c r="BR96" s="25" t="str">
        <f t="shared" si="172"/>
        <v xml:space="preserve"> </v>
      </c>
      <c r="BS96" s="25" t="str">
        <f>IF(BQ96&lt;RAM,SUM(BR96:INDEX(Daixs,RAM-BeginnAlter))," ")</f>
        <v xml:space="preserve"> </v>
      </c>
      <c r="BT96" s="25" t="str">
        <f>IF(BQ96&lt;RAM,SUM(BS96:INDEX(Naixs,RAM-BeginnAlter))," ")</f>
        <v xml:space="preserve"> </v>
      </c>
      <c r="BU96" s="24" t="str">
        <f t="shared" si="173"/>
        <v xml:space="preserve"> </v>
      </c>
      <c r="BV96" s="24" t="str">
        <f t="shared" si="174"/>
        <v xml:space="preserve"> </v>
      </c>
      <c r="BW96" s="86"/>
      <c r="BX96" s="35">
        <f t="shared" si="175"/>
        <v>104</v>
      </c>
      <c r="BY96" s="10" t="str">
        <f t="shared" si="106"/>
        <v/>
      </c>
      <c r="BZ96" s="11" t="str">
        <f t="shared" si="107"/>
        <v/>
      </c>
      <c r="CA96" s="25" t="str">
        <f>IF(S97&lt;=RAK,IF($BX96&lt;RAM,SUM(BZ96:INDEX(Dazx,RAM-BeginnAlter)),""),"")</f>
        <v/>
      </c>
      <c r="CB96" s="24" t="str">
        <f t="shared" si="108"/>
        <v/>
      </c>
      <c r="CC96" s="25">
        <f t="shared" si="109"/>
        <v>0</v>
      </c>
      <c r="CD96" s="24">
        <f t="shared" si="110"/>
        <v>0</v>
      </c>
      <c r="CE96" s="24" t="str">
        <f t="shared" si="111"/>
        <v/>
      </c>
      <c r="CF96" s="86"/>
      <c r="CG96" s="35">
        <f t="shared" si="176"/>
        <v>104</v>
      </c>
      <c r="CH96" s="25" t="str">
        <f>IF(CG96&lt;RAM,ROUND(v^($CG96+FaktorAlter)*$H96*($B96*0.5*($P96+$P97)*(VLOOKUP(TRUNC(0.5*($Q96+$Q97),0),Frauen!$AZ$9:$BD$95,5)+(0.5*($Q96+$Q97)-TRUNC(0.5*($Q96+$Q97),0))*(VLOOKUP(TRUNC(0.5*($Q96+$Q97)+1,0),Frauen!$AZ$9:$BD$95,5)-VLOOKUP(TRUNC(0.5*($Q96+$Q97),0),Frauen!$AZ$9:$BD$95,5)))+$C96*0.5*($CN96+$CN97)),RundDx),"")</f>
        <v/>
      </c>
      <c r="CI96" s="25" t="str">
        <f>IF(CG96&lt;RAM,ROUND(SUM(CH96:INDEX(Dawx,RAM-BeginnAlter))+INDEX(Dax,RAM-BeginnAlter+1)*INDEX(äwx,1),RundDx),"")</f>
        <v/>
      </c>
      <c r="CJ96" s="25" t="str">
        <f>IF(CG96&lt;RAM,ROUND(SUM(CI96:INDEX(Nawx,RAM-BeginnAlter))+INDEX(Dax,RAM-BeginnAlter+1)*INDEX(äwx,1),RundDx),"")</f>
        <v/>
      </c>
      <c r="CK96" s="24" t="str">
        <f t="shared" si="177"/>
        <v/>
      </c>
      <c r="CL96" s="25" t="str">
        <f>IF(CG96&lt;RAM,ROUND(v^($CG96+FaktorAlter)*$L96*$D96*0.5*($P96+$P97)*(VLOOKUP(TRUNC(0.5*($Q96+$Q97),0),Frauen!$AZ$9:$BD$95,5)+(0.5*($Q96+$Q97)-TRUNC(0.5*($Q96+$Q97),0))*(VLOOKUP(TRUNC(0.5*($Q96+$Q97)+1,0),Frauen!$AZ$9:$BD$95,5)-VLOOKUP(TRUNC(0.5*($Q96+$Q97),0),Frauen!$AZ$9:$BD$95,5))),RundDx),"")</f>
        <v/>
      </c>
      <c r="CM96" s="25" t="str">
        <f>IF(CG96&lt;RAM,SUM(CL96:INDEX(Diwx,RAM-BeginnAlter))+INDEX(Dix,RAM-BeginnAlter+1)*INDEX(äwx,1),"")</f>
        <v/>
      </c>
      <c r="CN96" s="24" t="str">
        <f t="shared" si="178"/>
        <v/>
      </c>
      <c r="CO96" s="86"/>
      <c r="CP96" s="35">
        <f t="shared" si="147"/>
        <v>152</v>
      </c>
      <c r="CQ96" s="25"/>
      <c r="CR96" s="25"/>
      <c r="CS96" s="24"/>
      <c r="CT96" s="86"/>
      <c r="CU96" s="35">
        <f t="shared" si="179"/>
        <v>104</v>
      </c>
      <c r="CV96" s="25" t="str">
        <f>IF($CU96&gt;=RAM,"",IF($CU96-CV$103&lt;BeginnAlter,"",ROUND(v^($CU96+FaktorAlter)*$L96*$D96*0.5*(VLOOKUP($CU96-CV$103,Frauen!$G$9:$J$102,4)+VLOOKUP($CU96-CV$103+1,Frauen!$G$9:$J$102,4))*0.5*(VLOOKUP($CU96-CV$103,Frauen!$AZ$9:$BD$102,5)+VLOOKUP($CU96-CV$103+1,Frauen!$AZ$9:$BD$102,5)),RundDx)))</f>
        <v/>
      </c>
      <c r="CW96" s="25" t="str">
        <f>IF($CU96&gt;=RAM,"",IF($CU96-CW$103&lt;BeginnAlter,"",ROUND(v^($CU96+FaktorAlter)*$L96*$D96*0.5*(VLOOKUP($CU96-CW$103,Frauen!$G$9:$J$102,4)+VLOOKUP($CU96-CW$103+1,Frauen!$G$9:$J$102,4))*0.5*(VLOOKUP($CU96-CW$103,Frauen!$AZ$9:$BD$102,5)+VLOOKUP($CU96-CW$103+1,Frauen!$AZ$9:$BD$102,5)),RundDx)))</f>
        <v/>
      </c>
      <c r="CX96" s="25" t="str">
        <f>IF($CU96&gt;=RAM,"",IF($CU96-CX$103&lt;BeginnAlter,"",ROUND(v^($CU96+FaktorAlter)*$L96*$D96*0.5*(VLOOKUP($CU96-CX$103,Frauen!$G$9:$J$102,4)+VLOOKUP($CU96-CX$103+1,Frauen!$G$9:$J$102,4))*0.5*(VLOOKUP($CU96-CX$103,Frauen!$AZ$9:$BD$102,5)+VLOOKUP($CU96-CX$103+1,Frauen!$AZ$9:$BD$102,5)),RundDx)))</f>
        <v/>
      </c>
      <c r="CY96" s="25" t="str">
        <f>IF($CU96&gt;=RAM,"",IF($CU96-CY$103&lt;BeginnAlter,"",ROUND(v^($CU96+FaktorAlter)*$L96*$D96*0.5*(VLOOKUP($CU96-CY$103,Frauen!$G$9:$J$102,4)+VLOOKUP($CU96-CY$103+1,Frauen!$G$9:$J$102,4))*0.5*(VLOOKUP($CU96-CY$103,Frauen!$AZ$9:$BD$102,5)+VLOOKUP($CU96-CY$103+1,Frauen!$AZ$9:$BD$102,5)),RundDx)))</f>
        <v/>
      </c>
      <c r="CZ96" s="25" t="str">
        <f>IF($CU96&gt;=RAM,"",IF($CU96-CZ$103&lt;BeginnAlter,"",ROUND(v^($CU96+FaktorAlter)*$L96*$D96*0.5*(VLOOKUP($CU96-CZ$103,Frauen!$G$9:$J$102,4)+VLOOKUP($CU96-CZ$103+1,Frauen!$G$9:$J$102,4))*0.5*(VLOOKUP($CU96-CZ$103,Frauen!$AZ$9:$BD$102,5)+VLOOKUP($CU96-CZ$103+1,Frauen!$AZ$9:$BD$102,5)),RundDx)))</f>
        <v/>
      </c>
      <c r="DA96" s="25" t="str">
        <f>IF($CU96&gt;=RAM,"",IF($CU96-DA$103&lt;BeginnAlter,"",ROUND(v^($CU96+FaktorAlter)*$L96*$D96*0.5*(VLOOKUP($CU96-DA$103,Frauen!$G$9:$J$102,4)+VLOOKUP($CU96-DA$103+1,Frauen!$G$9:$J$102,4))*0.5*(VLOOKUP($CU96-DA$103,Frauen!$AZ$9:$BD$102,5)+VLOOKUP($CU96-DA$103+1,Frauen!$AZ$9:$BD$102,5)),RundDx)))</f>
        <v/>
      </c>
      <c r="DB96" s="25" t="str">
        <f>IF($CU96&gt;=RAM,"",IF($CU96-DB$103&lt;BeginnAlter,"",ROUND(v^($CU96+FaktorAlter)*$L96*$D96*0.5*(VLOOKUP($CU96-DB$103,Frauen!$G$9:$J$102,4)+VLOOKUP($CU96-DB$103+1,Frauen!$G$9:$J$102,4))*0.5*(VLOOKUP($CU96-DB$103,Frauen!$AZ$9:$BD$102,5)+VLOOKUP($CU96-DB$103+1,Frauen!$AZ$9:$BD$102,5)),RundDx)))</f>
        <v/>
      </c>
      <c r="DC96" s="25" t="str">
        <f>IF($CU96&gt;=RAM,"",IF($CU96-DC$103&lt;BeginnAlter,"",ROUND(v^($CU96+FaktorAlter)*$L96*$D96*0.5*(VLOOKUP($CU96-DC$103,Frauen!$G$9:$J$102,4)+VLOOKUP($CU96-DC$103+1,Frauen!$G$9:$J$102,4))*0.5*(VLOOKUP($CU96-DC$103,Frauen!$AZ$9:$BD$102,5)+VLOOKUP($CU96-DC$103+1,Frauen!$AZ$9:$BD$102,5)),RundDx)))</f>
        <v/>
      </c>
      <c r="DD96" s="25" t="str">
        <f>IF($CU96&gt;=RAM,"",IF($CU96-DD$103&lt;BeginnAlter,"",ROUND(v^($CU96+FaktorAlter)*$L96*$D96*0.5*(VLOOKUP($CU96-DD$103,Frauen!$G$9:$J$102,4)+VLOOKUP($CU96-DD$103+1,Frauen!$G$9:$J$102,4))*0.5*(VLOOKUP($CU96-DD$103,Frauen!$AZ$9:$BD$102,5)+VLOOKUP($CU96-DD$103+1,Frauen!$AZ$9:$BD$102,5)),RundDx)))</f>
        <v/>
      </c>
      <c r="DE96" s="25" t="str">
        <f>IF($CU96&gt;=RAM,"",IF($CU96-DE$103&lt;BeginnAlter,"",ROUND(v^($CU96+FaktorAlter)*$L96*$D96*0.5*(VLOOKUP($CU96-DE$103,Frauen!$G$9:$J$102,4)+VLOOKUP($CU96-DE$103+1,Frauen!$G$9:$J$102,4))*0.5*(VLOOKUP($CU96-DE$103,Frauen!$AZ$9:$BD$102,5)+VLOOKUP($CU96-DE$103+1,Frauen!$AZ$9:$BD$102,5)),RundDx)))</f>
        <v/>
      </c>
      <c r="DF96" s="25" t="str">
        <f>IF($CU96&gt;=RAM,"",IF($CU96-DF$103&lt;BeginnAlter,"",ROUND(v^($CU96+FaktorAlter)*$L96*$D96*0.5*(VLOOKUP($CU96-DF$103,Frauen!$G$9:$J$102,4)+VLOOKUP($CU96-DF$103+1,Frauen!$G$9:$J$102,4))*0.5*(VLOOKUP($CU96-DF$103,Frauen!$AZ$9:$BD$102,5)+VLOOKUP($CU96-DF$103+1,Frauen!$AZ$9:$BD$102,5)),RundDx)))</f>
        <v/>
      </c>
      <c r="DG96" s="25" t="str">
        <f>IF($CU96&gt;=RAM,"",IF($CU96-DG$103&lt;BeginnAlter,"",ROUND(v^($CU96+FaktorAlter)*$L96*$D96*0.5*(VLOOKUP($CU96-DG$103,Frauen!$G$9:$J$102,4)+VLOOKUP($CU96-DG$103+1,Frauen!$G$9:$J$102,4))*0.5*(VLOOKUP($CU96-DG$103,Frauen!$AZ$9:$BD$102,5)+VLOOKUP($CU96-DG$103+1,Frauen!$AZ$9:$BD$102,5)),RundDx)))</f>
        <v/>
      </c>
      <c r="DH96" s="25" t="str">
        <f>IF($CU96&gt;=RAM,"",IF($CU96-DH$103&lt;BeginnAlter,"",ROUND(v^($CU96+FaktorAlter)*$L96*$D96*0.5*(VLOOKUP($CU96-DH$103,Frauen!$G$9:$J$102,4)+VLOOKUP($CU96-DH$103+1,Frauen!$G$9:$J$102,4))*0.5*(VLOOKUP($CU96-DH$103,Frauen!$AZ$9:$BD$102,5)+VLOOKUP($CU96-DH$103+1,Frauen!$AZ$9:$BD$102,5)),RundDx)))</f>
        <v/>
      </c>
      <c r="DI96" s="25" t="str">
        <f>IF($CU96&gt;=RAM,"",IF($CU96-DI$103&lt;BeginnAlter,"",ROUND(v^($CU96+FaktorAlter)*$L96*$D96*0.5*(VLOOKUP($CU96-DI$103,Frauen!$G$9:$J$102,4)+VLOOKUP($CU96-DI$103+1,Frauen!$G$9:$J$102,4))*0.5*(VLOOKUP($CU96-DI$103,Frauen!$AZ$9:$BD$102,5)+VLOOKUP($CU96-DI$103+1,Frauen!$AZ$9:$BD$102,5)),RundDx)))</f>
        <v/>
      </c>
      <c r="DJ96" s="25" t="str">
        <f>IF($CU96&gt;=RAM,"",IF($CU96-DJ$103&lt;BeginnAlter,"",ROUND(v^($CU96+FaktorAlter)*$L96*$D96*0.5*(VLOOKUP($CU96-DJ$103,Frauen!$G$9:$J$102,4)+VLOOKUP($CU96-DJ$103+1,Frauen!$G$9:$J$102,4))*0.5*(VLOOKUP($CU96-DJ$103,Frauen!$AZ$9:$BD$102,5)+VLOOKUP($CU96-DJ$103+1,Frauen!$AZ$9:$BD$102,5)),RundDx)))</f>
        <v/>
      </c>
      <c r="DK96" s="25" t="str">
        <f>IF($CU96&gt;=RAM,"",IF($CU96-DK$103&lt;BeginnAlter,"",ROUND(v^($CU96+FaktorAlter)*$L96*$D96*0.5*(VLOOKUP($CU96-DK$103,Frauen!$G$9:$J$102,4)+VLOOKUP($CU96-DK$103+1,Frauen!$G$9:$J$102,4))*0.5*(VLOOKUP($CU96-DK$103,Frauen!$AZ$9:$BD$102,5)+VLOOKUP($CU96-DK$103+1,Frauen!$AZ$9:$BD$102,5)),RundDx)))</f>
        <v/>
      </c>
      <c r="DL96" s="25" t="str">
        <f>IF($CU96&gt;=RAM,"",IF($CU96-DL$103&lt;BeginnAlter,"",ROUND(v^($CU96+FaktorAlter)*$L96*$D96*0.5*(VLOOKUP($CU96-DL$103,Frauen!$G$9:$J$102,4)+VLOOKUP($CU96-DL$103+1,Frauen!$G$9:$J$102,4))*0.5*(VLOOKUP($CU96-DL$103,Frauen!$AZ$9:$BD$102,5)+VLOOKUP($CU96-DL$103+1,Frauen!$AZ$9:$BD$102,5)),RundDx)))</f>
        <v/>
      </c>
      <c r="DM96" s="25" t="str">
        <f>IF($CU96&gt;=RAM,"",IF($CU96-DM$103&lt;BeginnAlter,"",ROUND(v^($CU96+FaktorAlter)*$L96*$D96*0.5*(VLOOKUP($CU96-DM$103,Frauen!$G$9:$J$102,4)+VLOOKUP($CU96-DM$103+1,Frauen!$G$9:$J$102,4))*0.5*(VLOOKUP($CU96-DM$103,Frauen!$AZ$9:$BD$102,5)+VLOOKUP($CU96-DM$103+1,Frauen!$AZ$9:$BD$102,5)),RundDx)))</f>
        <v/>
      </c>
      <c r="DN96" s="25" t="str">
        <f>IF($CU96&gt;=RAM,"",IF($CU96-DN$103&lt;BeginnAlter,"",ROUND(v^($CU96+FaktorAlter)*$L96*$D96*0.5*(VLOOKUP($CU96-DN$103,Frauen!$G$9:$J$102,4)+VLOOKUP($CU96-DN$103+1,Frauen!$G$9:$J$102,4))*0.5*(VLOOKUP($CU96-DN$103,Frauen!$AZ$9:$BD$102,5)+VLOOKUP($CU96-DN$103+1,Frauen!$AZ$9:$BD$102,5)),RundDx)))</f>
        <v/>
      </c>
      <c r="DO96" s="25" t="str">
        <f>IF($CU96&gt;=RAM,"",IF($CU96-DO$103&lt;BeginnAlter,"",ROUND(v^($CU96+FaktorAlter)*$L96*$D96*0.5*(VLOOKUP($CU96-DO$103,Frauen!$G$9:$J$102,4)+VLOOKUP($CU96-DO$103+1,Frauen!$G$9:$J$102,4))*0.5*(VLOOKUP($CU96-DO$103,Frauen!$AZ$9:$BD$102,5)+VLOOKUP($CU96-DO$103+1,Frauen!$AZ$9:$BD$102,5)),RundDx)))</f>
        <v/>
      </c>
      <c r="DP96" s="25" t="str">
        <f>IF($CU96&gt;=RAM,"",IF($CU96-DP$103&lt;BeginnAlter,"",ROUND(v^($CU96+FaktorAlter)*$L96*$D96*0.5*(VLOOKUP($CU96-DP$103,Frauen!$G$9:$J$102,4)+VLOOKUP($CU96-DP$103+1,Frauen!$G$9:$J$102,4))*0.5*(VLOOKUP($CU96-DP$103,Frauen!$AZ$9:$BD$102,5)+VLOOKUP($CU96-DP$103+1,Frauen!$AZ$9:$BD$102,5)),RundDx)))</f>
        <v/>
      </c>
      <c r="DQ96" s="25" t="str">
        <f>IF($CU96&gt;=RAM,"",IF($CU96-DQ$103&lt;BeginnAlter,"",ROUND(v^($CU96+FaktorAlter)*$L96*$D96*0.5*(VLOOKUP($CU96-DQ$103,Frauen!$G$9:$J$102,4)+VLOOKUP($CU96-DQ$103+1,Frauen!$G$9:$J$102,4))*0.5*(VLOOKUP($CU96-DQ$103,Frauen!$AZ$9:$BD$102,5)+VLOOKUP($CU96-DQ$103+1,Frauen!$AZ$9:$BD$102,5)),RundDx)))</f>
        <v/>
      </c>
      <c r="DR96" s="25" t="str">
        <f>IF($CU96&gt;=RAM,"",IF($CU96-DR$103&lt;BeginnAlter,"",ROUND(v^($CU96+FaktorAlter)*$L96*$D96*0.5*(VLOOKUP($CU96-DR$103,Frauen!$G$9:$J$102,4)+VLOOKUP($CU96-DR$103+1,Frauen!$G$9:$J$102,4))*0.5*(VLOOKUP($CU96-DR$103,Frauen!$AZ$9:$BD$102,5)+VLOOKUP($CU96-DR$103+1,Frauen!$AZ$9:$BD$102,5)),RundDx)))</f>
        <v/>
      </c>
      <c r="DS96" s="25" t="str">
        <f>IF($CU96&gt;=RAM,"",IF($CU96-DS$103&lt;BeginnAlter,"",ROUND(v^($CU96+FaktorAlter)*$L96*$D96*0.5*(VLOOKUP($CU96-DS$103,Frauen!$G$9:$J$102,4)+VLOOKUP($CU96-DS$103+1,Frauen!$G$9:$J$102,4))*0.5*(VLOOKUP($CU96-DS$103,Frauen!$AZ$9:$BD$102,5)+VLOOKUP($CU96-DS$103+1,Frauen!$AZ$9:$BD$102,5)),RundDx)))</f>
        <v/>
      </c>
      <c r="DT96" s="25" t="str">
        <f>IF($CU96&gt;=RAM,"",IF($CU96-DT$103&lt;BeginnAlter,"",ROUND(v^($CU96+FaktorAlter)*$L96*$D96*0.5*(VLOOKUP($CU96-DT$103,Frauen!$G$9:$J$102,4)+VLOOKUP($CU96-DT$103+1,Frauen!$G$9:$J$102,4))*0.5*(VLOOKUP($CU96-DT$103,Frauen!$AZ$9:$BD$102,5)+VLOOKUP($CU96-DT$103+1,Frauen!$AZ$9:$BD$102,5)),RundDx)))</f>
        <v/>
      </c>
      <c r="DU96" s="25" t="str">
        <f>IF($CU96&gt;=RAM,"",IF($CU96-DU$103&lt;BeginnAlter,"",ROUND(v^($CU96+FaktorAlter)*$L96*$D96*0.5*(VLOOKUP($CU96-DU$103,Frauen!$G$9:$J$102,4)+VLOOKUP($CU96-DU$103+1,Frauen!$G$9:$J$102,4))*0.5*(VLOOKUP($CU96-DU$103,Frauen!$AZ$9:$BD$102,5)+VLOOKUP($CU96-DU$103+1,Frauen!$AZ$9:$BD$102,5)),RundDx)))</f>
        <v/>
      </c>
      <c r="DV96" s="25" t="str">
        <f>IF($CU96&gt;=RAM,"",IF($CU96-DV$103&lt;BeginnAlter,"",ROUND(v^($CU96+FaktorAlter)*$L96*$D96*0.5*(VLOOKUP($CU96-DV$103,Frauen!$G$9:$J$102,4)+VLOOKUP($CU96-DV$103+1,Frauen!$G$9:$J$102,4))*0.5*(VLOOKUP($CU96-DV$103,Frauen!$AZ$9:$BD$102,5)+VLOOKUP($CU96-DV$103+1,Frauen!$AZ$9:$BD$102,5)),RundDx)))</f>
        <v/>
      </c>
      <c r="DW96" s="25" t="str">
        <f>IF($CU96&gt;=RAM,"",IF($CU96-DW$103&lt;BeginnAlter,"",ROUND(v^($CU96+FaktorAlter)*$L96*$D96*0.5*(VLOOKUP($CU96-DW$103,Frauen!$G$9:$J$102,4)+VLOOKUP($CU96-DW$103+1,Frauen!$G$9:$J$102,4))*0.5*(VLOOKUP($CU96-DW$103,Frauen!$AZ$9:$BD$102,5)+VLOOKUP($CU96-DW$103+1,Frauen!$AZ$9:$BD$102,5)),RundDx)))</f>
        <v/>
      </c>
      <c r="DX96" s="25" t="str">
        <f>IF($CU96&gt;=RAM,"",IF($CU96-DX$103&lt;BeginnAlter,"",ROUND(v^($CU96+FaktorAlter)*$L96*$D96*0.5*(VLOOKUP($CU96-DX$103,Frauen!$G$9:$J$102,4)+VLOOKUP($CU96-DX$103+1,Frauen!$G$9:$J$102,4))*0.5*(VLOOKUP($CU96-DX$103,Frauen!$AZ$9:$BD$102,5)+VLOOKUP($CU96-DX$103+1,Frauen!$AZ$9:$BD$102,5)),RundDx)))</f>
        <v/>
      </c>
      <c r="DY96" s="25" t="str">
        <f>IF($CU96&gt;=RAM,"",IF($CU96-DY$103&lt;BeginnAlter,"",ROUND(v^($CU96+FaktorAlter)*$L96*$D96*0.5*(VLOOKUP($CU96-DY$103,Frauen!$G$9:$J$102,4)+VLOOKUP($CU96-DY$103+1,Frauen!$G$9:$J$102,4))*0.5*(VLOOKUP($CU96-DY$103,Frauen!$AZ$9:$BD$102,5)+VLOOKUP($CU96-DY$103+1,Frauen!$AZ$9:$BD$102,5)),RundDx)))</f>
        <v/>
      </c>
      <c r="DZ96" s="25" t="str">
        <f>IF($CU96&gt;=RAM,"",IF($CU96-DZ$103&lt;BeginnAlter,"",ROUND(v^($CU96+FaktorAlter)*$L96*$D96*0.5*(VLOOKUP($CU96-DZ$103,Frauen!$G$9:$J$102,4)+VLOOKUP($CU96-DZ$103+1,Frauen!$G$9:$J$102,4))*0.5*(VLOOKUP($CU96-DZ$103,Frauen!$AZ$9:$BD$102,5)+VLOOKUP($CU96-DZ$103+1,Frauen!$AZ$9:$BD$102,5)),RundDx)))</f>
        <v/>
      </c>
      <c r="EA96" s="43" t="str">
        <f>IF($CU96&gt;=RAM,"",IF($CU96-EA$103&lt;BeginnAlter,"",ROUND((SUM(CV$56:CV96)+SUM(FN$9:FN$56))/VLOOKUP($CU96,$AH$9:$AI$102,2)/VLOOKUP($CU96-EA$103,Frauen!$G$9:$J$102,4),Rundäx)))</f>
        <v/>
      </c>
      <c r="EB96" s="43" t="str">
        <f>IF($CU96&gt;=RAM,"",IF($CU96-EB$103&lt;BeginnAlter,"",ROUND((SUM(CW$56:CW96)+SUM(FO$9:FO$56))/VLOOKUP($CU96,$AH$9:$AI$102,2)/VLOOKUP($CU96-EB$103,Frauen!$G$9:$J$102,4),Rundäx)))</f>
        <v/>
      </c>
      <c r="EC96" s="43" t="str">
        <f>IF($CU96&gt;=RAM,"",IF($CU96-EC$103&lt;BeginnAlter,"",ROUND((SUM(CX$56:CX96)+SUM(FP$9:FP$56))/VLOOKUP($CU96,$AH$9:$AI$102,2)/VLOOKUP($CU96-EC$103,Frauen!$G$9:$J$102,4),Rundäx)))</f>
        <v/>
      </c>
      <c r="ED96" s="43" t="str">
        <f>IF($CU96&gt;=RAM,"",IF($CU96-ED$103&lt;BeginnAlter,"",ROUND((SUM(CY$56:CY96)+SUM(FQ$9:FQ$56))/VLOOKUP($CU96,$AH$9:$AI$102,2)/VLOOKUP($CU96-ED$103,Frauen!$G$9:$J$102,4),Rundäx)))</f>
        <v/>
      </c>
      <c r="EE96" s="43" t="str">
        <f>IF($CU96&gt;=RAM,"",IF($CU96-EE$103&lt;BeginnAlter,"",ROUND((SUM(CZ$56:CZ96)+SUM(FR$9:FR$56))/VLOOKUP($CU96,$AH$9:$AI$102,2)/VLOOKUP($CU96-EE$103,Frauen!$G$9:$J$102,4),Rundäx)))</f>
        <v/>
      </c>
      <c r="EF96" s="43" t="str">
        <f>IF($CU96&gt;=RAM,"",IF($CU96-EF$103&lt;BeginnAlter,"",ROUND((SUM(DA$56:DA96)+SUM(FS$9:FS$56))/VLOOKUP($CU96,$AH$9:$AI$102,2)/VLOOKUP($CU96-EF$103,Frauen!$G$9:$J$102,4),Rundäx)))</f>
        <v/>
      </c>
      <c r="EG96" s="43" t="str">
        <f>IF($CU96&gt;=RAM,"",IF($CU96-EG$103&lt;BeginnAlter,"",ROUND((SUM(DB$56:DB96)+SUM(FT$9:FT$56))/VLOOKUP($CU96,$AH$9:$AI$102,2)/VLOOKUP($CU96-EG$103,Frauen!$G$9:$J$102,4),Rundäx)))</f>
        <v/>
      </c>
      <c r="EH96" s="43" t="str">
        <f>IF($CU96&gt;=RAM,"",IF($CU96-EH$103&lt;BeginnAlter,"",ROUND((SUM(DC$56:DC96)+SUM(FU$9:FU$56))/VLOOKUP($CU96,$AH$9:$AI$102,2)/VLOOKUP($CU96-EH$103,Frauen!$G$9:$J$102,4),Rundäx)))</f>
        <v/>
      </c>
      <c r="EI96" s="86"/>
      <c r="EJ96" s="35">
        <f t="shared" si="180"/>
        <v>104</v>
      </c>
      <c r="EK96" s="43" t="str">
        <f>IF($CU96&gt;=RAM,"",IF($CU96-EK$103&lt;BeginnAlter,"",ROUND((SUM(DD$56:DD96)+SUM(FV$9:FV$56))/VLOOKUP($CU96,$AH$9:$AI$102,2)/VLOOKUP($CU96-EK$103,Frauen!$G$9:$J$102,4),Rundäx)))</f>
        <v/>
      </c>
      <c r="EL96" s="43" t="str">
        <f>IF($CU96&gt;=RAM,"",IF($CU96-EL$103&lt;BeginnAlter,"",ROUND((SUM(DE$56:DE96)+SUM(FW$9:FW$56))/VLOOKUP($CU96,$AH$9:$AI$102,2)/VLOOKUP($CU96-EL$103,Frauen!$G$9:$J$102,4),Rundäx)))</f>
        <v/>
      </c>
      <c r="EM96" s="43" t="str">
        <f>IF($CU96&gt;=RAM,"",IF($CU96-EM$103&lt;BeginnAlter,"",ROUND((SUM(DF$56:DF96)+SUM(FX$9:FX$56))/VLOOKUP($CU96,$AH$9:$AI$102,2)/VLOOKUP($CU96-EM$103,Frauen!$G$9:$J$102,4),Rundäx)))</f>
        <v/>
      </c>
      <c r="EN96" s="43" t="str">
        <f>IF($CU96&gt;=RAM,"",IF($CU96-EN$103&lt;BeginnAlter,"",ROUND((SUM(DG$56:DG96)+SUM(FY$9:FY$56))/VLOOKUP($CU96,$AH$9:$AI$102,2)/VLOOKUP($CU96-EN$103,Frauen!$G$9:$J$102,4),Rundäx)))</f>
        <v/>
      </c>
      <c r="EO96" s="43" t="str">
        <f>IF($CU96&gt;=RAM,"",IF($CU96-EO$103&lt;BeginnAlter,"",ROUND((SUM(DH$56:DH96)+SUM(FZ$9:FZ$56))/VLOOKUP($CU96,$AH$9:$AI$102,2)/VLOOKUP($CU96-EO$103,Frauen!$G$9:$J$102,4),Rundäx)))</f>
        <v/>
      </c>
      <c r="EP96" s="43" t="str">
        <f>IF($CU96&gt;=RAM,"",IF($CU96-EP$103&lt;BeginnAlter,"",ROUND((SUM(DI$56:DI96)+SUM(GA$9:GA$56))/VLOOKUP($CU96,$AH$9:$AI$102,2)/VLOOKUP($CU96-EP$103,Frauen!$G$9:$J$102,4),Rundäx)))</f>
        <v/>
      </c>
      <c r="EQ96" s="43" t="str">
        <f>IF($CU96&gt;=RAM,"",IF($CU96-EQ$103&lt;BeginnAlter,"",ROUND((SUM(DJ$56:DJ96)+SUM(GB$9:GB$56))/VLOOKUP($CU96,$AH$9:$AI$102,2)/VLOOKUP($CU96-EQ$103,Frauen!$G$9:$J$102,4),Rundäx)))</f>
        <v/>
      </c>
      <c r="ER96" s="43" t="str">
        <f>IF($CU96&gt;=RAM,"",IF($CU96-ER$103&lt;BeginnAlter,"",ROUND((SUM(DK$56:DK96)+SUM(GC$9:GC$56))/VLOOKUP($CU96,$AH$9:$AI$102,2)/VLOOKUP($CU96-ER$103,Frauen!$G$9:$J$102,4),Rundäx)))</f>
        <v/>
      </c>
      <c r="ES96" s="86"/>
      <c r="ET96" s="35">
        <f t="shared" si="181"/>
        <v>104</v>
      </c>
      <c r="EU96" s="43" t="str">
        <f>IF($CU96&gt;=RAM,"",IF($CU96-EU$103&lt;BeginnAlter,"",ROUND((SUM(DL$56:DL96)+SUM(GD$9:GD$56))/VLOOKUP($CU96,$AH$9:$AI$102,2)/VLOOKUP($CU96-EU$103,Frauen!$G$9:$J$102,4),Rundäx)))</f>
        <v/>
      </c>
      <c r="EV96" s="43" t="str">
        <f>IF($CU96&gt;=RAM,"",IF($CU96-EV$103&lt;BeginnAlter,"",ROUND((SUM(DM$56:DM96)+SUM(GE$9:GE$56))/VLOOKUP($CU96,$AH$9:$AI$102,2)/VLOOKUP($CU96-EV$103,Frauen!$G$9:$J$102,4),Rundäx)))</f>
        <v/>
      </c>
      <c r="EW96" s="43" t="str">
        <f>IF($CU96&gt;=RAM,"",IF($CU96-EW$103&lt;BeginnAlter,"",ROUND((SUM(DN$56:DN96)+SUM(GF$9:GF$56))/VLOOKUP($CU96,$AH$9:$AI$102,2)/VLOOKUP($CU96-EW$103,Frauen!$G$9:$J$102,4),Rundäx)))</f>
        <v/>
      </c>
      <c r="EX96" s="43" t="str">
        <f>IF($CU96&gt;=RAM,"",IF($CU96-EX$103&lt;BeginnAlter,"",ROUND((SUM(DO$56:DO96)+SUM(GG$9:GG$56))/VLOOKUP($CU96,$AH$9:$AI$102,2)/VLOOKUP($CU96-EX$103,Frauen!$G$9:$J$102,4),Rundäx)))</f>
        <v/>
      </c>
      <c r="EY96" s="43" t="str">
        <f>IF($CU96&gt;=RAM,"",IF($CU96-EY$103&lt;BeginnAlter,"",ROUND((SUM(DP$56:DP96)+SUM(GH$9:GH$56))/VLOOKUP($CU96,$AH$9:$AI$102,2)/VLOOKUP($CU96-EY$103,Frauen!$G$9:$J$102,4),Rundäx)))</f>
        <v/>
      </c>
      <c r="EZ96" s="43" t="str">
        <f>IF($CU96&gt;=RAM,"",IF($CU96-EZ$103&lt;BeginnAlter,"",ROUND((SUM(DQ$56:DQ96)+SUM(GI$9:GI$56))/VLOOKUP($CU96,$AH$9:$AI$102,2)/VLOOKUP($CU96-EZ$103,Frauen!$G$9:$J$102,4),Rundäx)))</f>
        <v/>
      </c>
      <c r="FA96" s="43" t="str">
        <f>IF($CU96&gt;=RAM,"",IF($CU96-FA$103&lt;BeginnAlter,"",ROUND((SUM(DR$56:DR96)+SUM(GJ$9:GJ$56))/VLOOKUP($CU96,$AH$9:$AI$102,2)/VLOOKUP($CU96-FA$103,Frauen!$G$9:$J$102,4),Rundäx)))</f>
        <v/>
      </c>
      <c r="FB96" s="43" t="str">
        <f>IF($CU96&gt;=RAM,"",IF($CU96-FB$103&lt;BeginnAlter,"",ROUND((SUM(DS$56:DS96)+SUM(GK$9:GK$56))/VLOOKUP($CU96,$AH$9:$AI$102,2)/VLOOKUP($CU96-FB$103,Frauen!$G$9:$J$102,4),Rundäx)))</f>
        <v/>
      </c>
      <c r="FC96" s="86"/>
      <c r="FD96" s="35">
        <f t="shared" si="182"/>
        <v>104</v>
      </c>
      <c r="FE96" s="43" t="str">
        <f>IF($CU96&gt;=RAM,"",IF($CU96-FE$103&lt;BeginnAlter,"",ROUND((SUM(DT$56:DT96)+SUM(GL$9:GL$56))/VLOOKUP($CU96,$AH$9:$AI$102,2)/VLOOKUP($CU96-FE$103,Frauen!$G$9:$J$102,4),Rundäx)))</f>
        <v/>
      </c>
      <c r="FF96" s="43" t="str">
        <f>IF($CU96&gt;=RAM,"",IF($CU96-FF$103&lt;BeginnAlter,"",ROUND((SUM(DU$56:DU96)+SUM(GM$9:GM$56))/VLOOKUP($CU96,$AH$9:$AI$102,2)/VLOOKUP($CU96-FF$103,Frauen!$G$9:$J$102,4),Rundäx)))</f>
        <v/>
      </c>
      <c r="FG96" s="43" t="str">
        <f>IF($CU96&gt;=RAM,"",IF($CU96-FG$103&lt;BeginnAlter,"",ROUND((SUM(DV$56:DV96)+SUM(GN$9:GN$56))/VLOOKUP($CU96,$AH$9:$AI$102,2)/VLOOKUP($CU96-FG$103,Frauen!$G$9:$J$102,4),Rundäx)))</f>
        <v/>
      </c>
      <c r="FH96" s="43" t="str">
        <f>IF($CU96&gt;=RAM,"",IF($CU96-FH$103&lt;BeginnAlter,"",ROUND((SUM(DW$56:DW96)+SUM(GO$9:GO$56))/VLOOKUP($CU96,$AH$9:$AI$102,2)/VLOOKUP($CU96-FH$103,Frauen!$G$9:$J$102,4),Rundäx)))</f>
        <v/>
      </c>
      <c r="FI96" s="43" t="str">
        <f>IF($CU96&gt;=RAM,"",IF($CU96-FI$103&lt;BeginnAlter,"",ROUND((SUM(DX$56:DX96)+SUM(GP$9:GP$56))/VLOOKUP($CU96,$AH$9:$AI$102,2)/VLOOKUP($CU96-FI$103,Frauen!$G$9:$J$102,4),Rundäx)))</f>
        <v/>
      </c>
      <c r="FJ96" s="43" t="str">
        <f>IF($CU96&gt;=RAM,"",IF($CU96-FJ$103&lt;BeginnAlter,"",ROUND((SUM(DY$56:DY96)+SUM(GQ$9:GQ$56))/VLOOKUP($CU96,$AH$9:$AI$102,2)/VLOOKUP($CU96-FJ$103,Frauen!$G$9:$J$102,4),Rundäx)))</f>
        <v/>
      </c>
      <c r="FK96" s="43" t="str">
        <f>IF($CU96&gt;=RAM,"",IF($CU96-FK$103&lt;BeginnAlter,"",ROUND((SUM(DZ$56:DZ96)+SUM(GR$9:GR$56))/VLOOKUP($CU96,$AH$9:$AI$102,2)/VLOOKUP($CU96-FK$103,Frauen!$G$9:$J$102,4),Rundäx)))</f>
        <v/>
      </c>
      <c r="FL96" s="86"/>
      <c r="FM96" s="35">
        <f t="shared" si="183"/>
        <v>152</v>
      </c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4"/>
      <c r="GT96" s="24"/>
      <c r="GU96" s="24" t="str">
        <f>IF(FM96&gt;=RAM," ",#REF!/$AI96/Frauen!$J84)</f>
        <v xml:space="preserve"> </v>
      </c>
      <c r="GV96" s="24" t="str">
        <f>IF(FM96&gt;=RAM," ",#REF!/$AI96/Frauen!$J87)</f>
        <v xml:space="preserve"> </v>
      </c>
      <c r="GW96" s="24" t="str">
        <f>IF(FM96&gt;=RAM," ",#REF!/$AI96/Frauen!$J90)</f>
        <v xml:space="preserve"> </v>
      </c>
      <c r="GX96" s="24" t="str">
        <f>IF(FM96&gt;=RAM," ",#REF!/$AI96/Frauen!$J93)</f>
        <v xml:space="preserve"> </v>
      </c>
      <c r="GY96" s="24" t="str">
        <f>IF(FM96&gt;=RAM," ",#REF!/$AI96/Frauen!$J96)</f>
        <v xml:space="preserve"> </v>
      </c>
      <c r="GZ96" s="24" t="str">
        <f>IF(FM96&gt;=RAM," ",#REF!/$AI96/Frauen!$J99)</f>
        <v xml:space="preserve"> </v>
      </c>
      <c r="HA96" s="86"/>
      <c r="HB96" s="35">
        <f t="shared" si="184"/>
        <v>152</v>
      </c>
      <c r="HC96" s="24"/>
      <c r="HD96" s="24"/>
      <c r="HE96" s="24"/>
      <c r="HF96" s="24"/>
      <c r="HG96" s="24"/>
      <c r="HH96" s="24"/>
      <c r="HI96" s="24"/>
      <c r="HJ96" s="24"/>
      <c r="HK96" s="86"/>
      <c r="HL96" s="35">
        <f t="shared" si="185"/>
        <v>152</v>
      </c>
      <c r="HM96" s="24"/>
      <c r="HN96" s="24"/>
      <c r="HO96" s="24"/>
      <c r="HP96" s="24"/>
      <c r="HQ96" s="24"/>
      <c r="HR96" s="24"/>
      <c r="HS96" s="24"/>
      <c r="HT96" s="24"/>
      <c r="HU96" s="86"/>
      <c r="HV96" s="35">
        <f t="shared" si="186"/>
        <v>152</v>
      </c>
      <c r="HW96" s="24"/>
      <c r="HX96" s="24"/>
      <c r="HY96" s="24"/>
      <c r="HZ96" s="24"/>
      <c r="IA96" s="24"/>
      <c r="IB96" s="24"/>
      <c r="IC96" s="24"/>
      <c r="ID96" s="89"/>
      <c r="IE96" s="35">
        <f t="shared" si="187"/>
        <v>104</v>
      </c>
      <c r="IF96" s="25" t="str">
        <f t="shared" si="112"/>
        <v/>
      </c>
      <c r="IG96" s="25" t="str">
        <f>IF($IE96&lt;RAM,IF(S97&lt;=RAK,ROUND(SUM(IF96:INDEX(Dakx,RAM-BeginnAlter))+INDEX(Dax,RAM-BeginnAlter+1)*INDEX(äkx,1),RundDx),0),"")</f>
        <v/>
      </c>
      <c r="IH96" s="25" t="str">
        <f>IF($IE96&lt;RAM,IF(S97&lt;=RAK,ROUND(SUM(IG96:INDEX(Nakx,RAM-BeginnAlter))+INDEX(Dax,RAM-BeginnAlter+1)*INDEX(äkx,1),RundDx),0),"")</f>
        <v/>
      </c>
      <c r="II96" s="24" t="str">
        <f t="shared" si="113"/>
        <v/>
      </c>
      <c r="IJ96" s="25" t="str">
        <f t="shared" si="114"/>
        <v/>
      </c>
      <c r="IK96" s="25" t="str">
        <f>IF($IE96&lt;RAM,IF(S97&lt;=RAK,SUM(IJ96:INDEX(Dikx,RAM-BeginnAlter))+INDEX(Dix,RAM-BeginnAlter+1)*INDEX(äkx,1),0),"")</f>
        <v/>
      </c>
      <c r="IL96" s="24" t="str">
        <f t="shared" si="115"/>
        <v/>
      </c>
      <c r="IM96" s="86"/>
      <c r="IN96" s="35">
        <f t="shared" si="188"/>
        <v>152</v>
      </c>
      <c r="IO96" s="25"/>
      <c r="IP96" s="25"/>
      <c r="IQ96" s="24"/>
      <c r="IR96" s="86"/>
    </row>
    <row r="97" spans="1:252" ht="15.75" customHeight="1" x14ac:dyDescent="0.25">
      <c r="A97" s="35">
        <f t="shared" si="120"/>
        <v>105</v>
      </c>
      <c r="B97" s="77"/>
      <c r="C97" s="77"/>
      <c r="D97" s="77"/>
      <c r="E97" s="77">
        <v>1</v>
      </c>
      <c r="F97" s="86"/>
      <c r="G97" s="35">
        <f t="shared" si="121"/>
        <v>105</v>
      </c>
      <c r="H97" s="25" t="str">
        <f t="shared" si="116"/>
        <v/>
      </c>
      <c r="I97" s="25" t="str">
        <f t="shared" si="117"/>
        <v/>
      </c>
      <c r="J97" s="25"/>
      <c r="K97" s="30" t="str">
        <f>IF(J97&gt;0,ROUND(SUM(J97:J$102)/J97-0.5,Rundex),"")</f>
        <v/>
      </c>
      <c r="L97" s="25"/>
      <c r="M97" s="30" t="str">
        <f>IF(L97&gt;0,ROUND(SUM(L97:L$102)/L97-0.5,Rundex),"")</f>
        <v/>
      </c>
      <c r="N97" s="86"/>
      <c r="O97" s="35">
        <f t="shared" si="122"/>
        <v>105</v>
      </c>
      <c r="P97" s="43">
        <v>1.2E-2</v>
      </c>
      <c r="Q97" s="78">
        <v>97.147140542803314</v>
      </c>
      <c r="R97" s="43"/>
      <c r="S97" s="78"/>
      <c r="T97" s="15">
        <v>1</v>
      </c>
      <c r="U97" s="11"/>
      <c r="V97" s="30" t="str">
        <f>IF(U97&gt;0,ROUND(SUM(U97:U$102)/U97-0.5,Rundex),"")</f>
        <v/>
      </c>
      <c r="W97" s="86"/>
      <c r="X97" s="35">
        <f t="shared" si="148"/>
        <v>105</v>
      </c>
      <c r="Y97" s="25" t="str">
        <f t="shared" si="149"/>
        <v xml:space="preserve"> </v>
      </c>
      <c r="Z97" s="25" t="str">
        <f>IF($X97&lt;RAM,SUM(Y97:INDEX(Dax,RAM-BeginnAlter))," ")</f>
        <v xml:space="preserve"> </v>
      </c>
      <c r="AA97" s="25" t="str">
        <f t="shared" si="84"/>
        <v xml:space="preserve"> </v>
      </c>
      <c r="AB97" s="25" t="str">
        <f>IF($X97&lt;RAM,SUM(AA97:INDEX(Cax,RAM-BeginnAlter))," ")</f>
        <v xml:space="preserve"> </v>
      </c>
      <c r="AC97" s="25" t="str">
        <f t="shared" si="150"/>
        <v xml:space="preserve"> </v>
      </c>
      <c r="AD97" s="25" t="str">
        <f>IF($X97&lt;RAM,SUM(AC97:INDEX(Caix,RAM-BeginnAlter))," ")</f>
        <v xml:space="preserve"> </v>
      </c>
      <c r="AE97" s="24" t="str">
        <f t="shared" si="151"/>
        <v xml:space="preserve"> </v>
      </c>
      <c r="AF97" s="24" t="str">
        <f t="shared" si="152"/>
        <v xml:space="preserve"> </v>
      </c>
      <c r="AG97" s="86"/>
      <c r="AH97" s="35">
        <f t="shared" si="153"/>
        <v>105</v>
      </c>
      <c r="AI97" s="25" t="str">
        <f t="shared" si="154"/>
        <v xml:space="preserve"> </v>
      </c>
      <c r="AJ97" s="25" t="str">
        <f>IF($AH97&gt;RAM," ",IF($AH97&lt;RAM,SUM(AI97:INDEX(Dix,RAM-BeginnAlter))+INDEX(Nx,RAM-BeginnAlter+1),INDEX(Nx,RAM-BeginnAlter+1)))</f>
        <v xml:space="preserve"> </v>
      </c>
      <c r="AK97" s="25" t="str">
        <f>IF($AH97&lt;RAM,SUM(AI97:INDEX(Dix,RAM-BeginnAlter))," ")</f>
        <v xml:space="preserve"> </v>
      </c>
      <c r="AL97" s="24" t="str">
        <f t="shared" si="155"/>
        <v xml:space="preserve"> </v>
      </c>
      <c r="AM97" s="24" t="str">
        <f t="shared" si="156"/>
        <v xml:space="preserve"> </v>
      </c>
      <c r="AN97" s="24" t="str">
        <f t="shared" si="157"/>
        <v xml:space="preserve"> </v>
      </c>
      <c r="AO97" s="24" t="str">
        <f t="shared" si="158"/>
        <v xml:space="preserve"> </v>
      </c>
      <c r="AP97" s="86"/>
      <c r="AQ97" s="35">
        <f t="shared" si="159"/>
        <v>105</v>
      </c>
      <c r="AR97" s="25"/>
      <c r="AS97" s="25"/>
      <c r="AT97" s="25" t="str">
        <f>IF($AQ97&lt;RAM,SUM(AR97:INDEX(Dx,RAM-BeginnAlter))," ")</f>
        <v xml:space="preserve"> </v>
      </c>
      <c r="AU97" s="24" t="str">
        <f t="shared" si="160"/>
        <v xml:space="preserve"> </v>
      </c>
      <c r="AV97" s="24" t="str">
        <f t="shared" si="161"/>
        <v xml:space="preserve"> </v>
      </c>
      <c r="AW97" s="24" t="str">
        <f t="shared" si="162"/>
        <v xml:space="preserve"> </v>
      </c>
      <c r="AX97" s="24" t="str">
        <f t="shared" si="163"/>
        <v xml:space="preserve"> </v>
      </c>
      <c r="AY97" s="86"/>
      <c r="AZ97" s="35">
        <f t="shared" si="164"/>
        <v>105</v>
      </c>
      <c r="BA97" s="25"/>
      <c r="BB97" s="25"/>
      <c r="BC97" s="24" t="str">
        <f t="shared" si="165"/>
        <v xml:space="preserve"> </v>
      </c>
      <c r="BD97" s="24">
        <f t="shared" si="100"/>
        <v>0</v>
      </c>
      <c r="BE97" s="86"/>
      <c r="BF97" s="35">
        <f t="shared" si="166"/>
        <v>88</v>
      </c>
      <c r="BG97" s="24" t="str">
        <f t="shared" si="101"/>
        <v/>
      </c>
      <c r="BH97" s="24" t="str">
        <f t="shared" si="102"/>
        <v/>
      </c>
      <c r="BI97" s="86"/>
      <c r="BJ97" s="35">
        <f t="shared" si="167"/>
        <v>105</v>
      </c>
      <c r="BK97" s="25" t="str">
        <f t="shared" si="168"/>
        <v xml:space="preserve"> </v>
      </c>
      <c r="BL97" s="25" t="str">
        <f>IF(BJ97&lt;RAM,SUM(BK97:INDEX(Daix,RAM-BeginnAlter))," ")</f>
        <v xml:space="preserve"> </v>
      </c>
      <c r="BM97" s="25" t="str">
        <f>IF(BJ97&lt;RAM,SUM(BL97:INDEX(Naix,RAM-BeginnAlter))," ")</f>
        <v xml:space="preserve"> </v>
      </c>
      <c r="BN97" s="24" t="str">
        <f t="shared" si="169"/>
        <v xml:space="preserve"> </v>
      </c>
      <c r="BO97" s="24" t="str">
        <f t="shared" si="170"/>
        <v xml:space="preserve"> </v>
      </c>
      <c r="BP97" s="86"/>
      <c r="BQ97" s="35">
        <f t="shared" si="171"/>
        <v>105</v>
      </c>
      <c r="BR97" s="25" t="str">
        <f t="shared" si="172"/>
        <v xml:space="preserve"> </v>
      </c>
      <c r="BS97" s="25" t="str">
        <f>IF(BQ97&lt;RAM,SUM(BR97:INDEX(Daixs,RAM-BeginnAlter))," ")</f>
        <v xml:space="preserve"> </v>
      </c>
      <c r="BT97" s="25" t="str">
        <f>IF(BQ97&lt;RAM,SUM(BS97:INDEX(Naixs,RAM-BeginnAlter))," ")</f>
        <v xml:space="preserve"> </v>
      </c>
      <c r="BU97" s="24" t="str">
        <f t="shared" si="173"/>
        <v xml:space="preserve"> </v>
      </c>
      <c r="BV97" s="24" t="str">
        <f t="shared" si="174"/>
        <v xml:space="preserve"> </v>
      </c>
      <c r="BW97" s="86"/>
      <c r="BX97" s="35">
        <f t="shared" si="175"/>
        <v>105</v>
      </c>
      <c r="BY97" s="10" t="str">
        <f t="shared" si="106"/>
        <v/>
      </c>
      <c r="BZ97" s="11" t="str">
        <f t="shared" si="107"/>
        <v/>
      </c>
      <c r="CA97" s="25" t="str">
        <f>IF(S98&lt;=RAK,IF($BX97&lt;RAM,SUM(BZ97:INDEX(Dazx,RAM-BeginnAlter)),""),"")</f>
        <v/>
      </c>
      <c r="CB97" s="24" t="str">
        <f t="shared" si="108"/>
        <v/>
      </c>
      <c r="CC97" s="25">
        <f t="shared" si="109"/>
        <v>0</v>
      </c>
      <c r="CD97" s="24">
        <f t="shared" si="110"/>
        <v>0</v>
      </c>
      <c r="CE97" s="24" t="str">
        <f t="shared" si="111"/>
        <v/>
      </c>
      <c r="CF97" s="86"/>
      <c r="CG97" s="35">
        <f t="shared" si="176"/>
        <v>105</v>
      </c>
      <c r="CH97" s="25" t="str">
        <f>IF(CG97&lt;RAM,ROUND(v^($CG97+FaktorAlter)*$H97*($B97*0.5*($P97+$P98)*(VLOOKUP(TRUNC(0.5*($Q97+$Q98),0),Frauen!$AZ$9:$BD$95,5)+(0.5*($Q97+$Q98)-TRUNC(0.5*($Q97+$Q98),0))*(VLOOKUP(TRUNC(0.5*($Q97+$Q98)+1,0),Frauen!$AZ$9:$BD$95,5)-VLOOKUP(TRUNC(0.5*($Q97+$Q98),0),Frauen!$AZ$9:$BD$95,5)))+$C97*0.5*($CN97+$CN98)),RundDx),"")</f>
        <v/>
      </c>
      <c r="CI97" s="25" t="str">
        <f>IF(CG97&lt;RAM,ROUND(SUM(CH97:INDEX(Dawx,RAM-BeginnAlter))+INDEX(Dax,RAM-BeginnAlter+1)*INDEX(äwx,1),RundDx),"")</f>
        <v/>
      </c>
      <c r="CJ97" s="25" t="str">
        <f>IF(CG97&lt;RAM,ROUND(SUM(CI97:INDEX(Nawx,RAM-BeginnAlter))+INDEX(Dax,RAM-BeginnAlter+1)*INDEX(äwx,1),RundDx),"")</f>
        <v/>
      </c>
      <c r="CK97" s="24" t="str">
        <f t="shared" si="177"/>
        <v/>
      </c>
      <c r="CL97" s="25" t="str">
        <f>IF(CG97&lt;RAM,ROUND(v^($CG97+FaktorAlter)*$L97*$D97*0.5*($P97+$P98)*(VLOOKUP(TRUNC(0.5*($Q97+$Q98),0),Frauen!$AZ$9:$BD$95,5)+(0.5*($Q97+$Q98)-TRUNC(0.5*($Q97+$Q98),0))*(VLOOKUP(TRUNC(0.5*($Q97+$Q98)+1,0),Frauen!$AZ$9:$BD$95,5)-VLOOKUP(TRUNC(0.5*($Q97+$Q98),0),Frauen!$AZ$9:$BD$95,5))),RundDx),"")</f>
        <v/>
      </c>
      <c r="CM97" s="25" t="str">
        <f>IF(CG97&lt;RAM,SUM(CL97:INDEX(Diwx,RAM-BeginnAlter))+INDEX(Dix,RAM-BeginnAlter+1)*INDEX(äwx,1),"")</f>
        <v/>
      </c>
      <c r="CN97" s="24" t="str">
        <f t="shared" si="178"/>
        <v/>
      </c>
      <c r="CO97" s="86"/>
      <c r="CP97" s="35">
        <f t="shared" si="147"/>
        <v>153</v>
      </c>
      <c r="CQ97" s="25"/>
      <c r="CR97" s="28"/>
      <c r="CS97" s="30"/>
      <c r="CT97" s="86"/>
      <c r="CU97" s="35">
        <f t="shared" si="179"/>
        <v>105</v>
      </c>
      <c r="CV97" s="25" t="str">
        <f>IF($CU97&gt;=RAM,"",IF($CU97-CV$103&lt;BeginnAlter,"",ROUND(v^($CU97+FaktorAlter)*$L97*$D97*0.5*(VLOOKUP($CU97-CV$103,Frauen!$G$9:$J$102,4)+VLOOKUP($CU97-CV$103+1,Frauen!$G$9:$J$102,4))*0.5*(VLOOKUP($CU97-CV$103,Frauen!$AZ$9:$BD$102,5)+VLOOKUP($CU97-CV$103+1,Frauen!$AZ$9:$BD$102,5)),RundDx)))</f>
        <v/>
      </c>
      <c r="CW97" s="25" t="str">
        <f>IF($CU97&gt;=RAM,"",IF($CU97-CW$103&lt;BeginnAlter,"",ROUND(v^($CU97+FaktorAlter)*$L97*$D97*0.5*(VLOOKUP($CU97-CW$103,Frauen!$G$9:$J$102,4)+VLOOKUP($CU97-CW$103+1,Frauen!$G$9:$J$102,4))*0.5*(VLOOKUP($CU97-CW$103,Frauen!$AZ$9:$BD$102,5)+VLOOKUP($CU97-CW$103+1,Frauen!$AZ$9:$BD$102,5)),RundDx)))</f>
        <v/>
      </c>
      <c r="CX97" s="25" t="str">
        <f>IF($CU97&gt;=RAM,"",IF($CU97-CX$103&lt;BeginnAlter,"",ROUND(v^($CU97+FaktorAlter)*$L97*$D97*0.5*(VLOOKUP($CU97-CX$103,Frauen!$G$9:$J$102,4)+VLOOKUP($CU97-CX$103+1,Frauen!$G$9:$J$102,4))*0.5*(VLOOKUP($CU97-CX$103,Frauen!$AZ$9:$BD$102,5)+VLOOKUP($CU97-CX$103+1,Frauen!$AZ$9:$BD$102,5)),RundDx)))</f>
        <v/>
      </c>
      <c r="CY97" s="25" t="str">
        <f>IF($CU97&gt;=RAM,"",IF($CU97-CY$103&lt;BeginnAlter,"",ROUND(v^($CU97+FaktorAlter)*$L97*$D97*0.5*(VLOOKUP($CU97-CY$103,Frauen!$G$9:$J$102,4)+VLOOKUP($CU97-CY$103+1,Frauen!$G$9:$J$102,4))*0.5*(VLOOKUP($CU97-CY$103,Frauen!$AZ$9:$BD$102,5)+VLOOKUP($CU97-CY$103+1,Frauen!$AZ$9:$BD$102,5)),RundDx)))</f>
        <v/>
      </c>
      <c r="CZ97" s="25" t="str">
        <f>IF($CU97&gt;=RAM,"",IF($CU97-CZ$103&lt;BeginnAlter,"",ROUND(v^($CU97+FaktorAlter)*$L97*$D97*0.5*(VLOOKUP($CU97-CZ$103,Frauen!$G$9:$J$102,4)+VLOOKUP($CU97-CZ$103+1,Frauen!$G$9:$J$102,4))*0.5*(VLOOKUP($CU97-CZ$103,Frauen!$AZ$9:$BD$102,5)+VLOOKUP($CU97-CZ$103+1,Frauen!$AZ$9:$BD$102,5)),RundDx)))</f>
        <v/>
      </c>
      <c r="DA97" s="25" t="str">
        <f>IF($CU97&gt;=RAM,"",IF($CU97-DA$103&lt;BeginnAlter,"",ROUND(v^($CU97+FaktorAlter)*$L97*$D97*0.5*(VLOOKUP($CU97-DA$103,Frauen!$G$9:$J$102,4)+VLOOKUP($CU97-DA$103+1,Frauen!$G$9:$J$102,4))*0.5*(VLOOKUP($CU97-DA$103,Frauen!$AZ$9:$BD$102,5)+VLOOKUP($CU97-DA$103+1,Frauen!$AZ$9:$BD$102,5)),RundDx)))</f>
        <v/>
      </c>
      <c r="DB97" s="25" t="str">
        <f>IF($CU97&gt;=RAM,"",IF($CU97-DB$103&lt;BeginnAlter,"",ROUND(v^($CU97+FaktorAlter)*$L97*$D97*0.5*(VLOOKUP($CU97-DB$103,Frauen!$G$9:$J$102,4)+VLOOKUP($CU97-DB$103+1,Frauen!$G$9:$J$102,4))*0.5*(VLOOKUP($CU97-DB$103,Frauen!$AZ$9:$BD$102,5)+VLOOKUP($CU97-DB$103+1,Frauen!$AZ$9:$BD$102,5)),RundDx)))</f>
        <v/>
      </c>
      <c r="DC97" s="25" t="str">
        <f>IF($CU97&gt;=RAM,"",IF($CU97-DC$103&lt;BeginnAlter,"",ROUND(v^($CU97+FaktorAlter)*$L97*$D97*0.5*(VLOOKUP($CU97-DC$103,Frauen!$G$9:$J$102,4)+VLOOKUP($CU97-DC$103+1,Frauen!$G$9:$J$102,4))*0.5*(VLOOKUP($CU97-DC$103,Frauen!$AZ$9:$BD$102,5)+VLOOKUP($CU97-DC$103+1,Frauen!$AZ$9:$BD$102,5)),RundDx)))</f>
        <v/>
      </c>
      <c r="DD97" s="25" t="str">
        <f>IF($CU97&gt;=RAM,"",IF($CU97-DD$103&lt;BeginnAlter,"",ROUND(v^($CU97+FaktorAlter)*$L97*$D97*0.5*(VLOOKUP($CU97-DD$103,Frauen!$G$9:$J$102,4)+VLOOKUP($CU97-DD$103+1,Frauen!$G$9:$J$102,4))*0.5*(VLOOKUP($CU97-DD$103,Frauen!$AZ$9:$BD$102,5)+VLOOKUP($CU97-DD$103+1,Frauen!$AZ$9:$BD$102,5)),RundDx)))</f>
        <v/>
      </c>
      <c r="DE97" s="25" t="str">
        <f>IF($CU97&gt;=RAM,"",IF($CU97-DE$103&lt;BeginnAlter,"",ROUND(v^($CU97+FaktorAlter)*$L97*$D97*0.5*(VLOOKUP($CU97-DE$103,Frauen!$G$9:$J$102,4)+VLOOKUP($CU97-DE$103+1,Frauen!$G$9:$J$102,4))*0.5*(VLOOKUP($CU97-DE$103,Frauen!$AZ$9:$BD$102,5)+VLOOKUP($CU97-DE$103+1,Frauen!$AZ$9:$BD$102,5)),RundDx)))</f>
        <v/>
      </c>
      <c r="DF97" s="25" t="str">
        <f>IF($CU97&gt;=RAM,"",IF($CU97-DF$103&lt;BeginnAlter,"",ROUND(v^($CU97+FaktorAlter)*$L97*$D97*0.5*(VLOOKUP($CU97-DF$103,Frauen!$G$9:$J$102,4)+VLOOKUP($CU97-DF$103+1,Frauen!$G$9:$J$102,4))*0.5*(VLOOKUP($CU97-DF$103,Frauen!$AZ$9:$BD$102,5)+VLOOKUP($CU97-DF$103+1,Frauen!$AZ$9:$BD$102,5)),RundDx)))</f>
        <v/>
      </c>
      <c r="DG97" s="25" t="str">
        <f>IF($CU97&gt;=RAM,"",IF($CU97-DG$103&lt;BeginnAlter,"",ROUND(v^($CU97+FaktorAlter)*$L97*$D97*0.5*(VLOOKUP($CU97-DG$103,Frauen!$G$9:$J$102,4)+VLOOKUP($CU97-DG$103+1,Frauen!$G$9:$J$102,4))*0.5*(VLOOKUP($CU97-DG$103,Frauen!$AZ$9:$BD$102,5)+VLOOKUP($CU97-DG$103+1,Frauen!$AZ$9:$BD$102,5)),RundDx)))</f>
        <v/>
      </c>
      <c r="DH97" s="25" t="str">
        <f>IF($CU97&gt;=RAM,"",IF($CU97-DH$103&lt;BeginnAlter,"",ROUND(v^($CU97+FaktorAlter)*$L97*$D97*0.5*(VLOOKUP($CU97-DH$103,Frauen!$G$9:$J$102,4)+VLOOKUP($CU97-DH$103+1,Frauen!$G$9:$J$102,4))*0.5*(VLOOKUP($CU97-DH$103,Frauen!$AZ$9:$BD$102,5)+VLOOKUP($CU97-DH$103+1,Frauen!$AZ$9:$BD$102,5)),RundDx)))</f>
        <v/>
      </c>
      <c r="DI97" s="25" t="str">
        <f>IF($CU97&gt;=RAM,"",IF($CU97-DI$103&lt;BeginnAlter,"",ROUND(v^($CU97+FaktorAlter)*$L97*$D97*0.5*(VLOOKUP($CU97-DI$103,Frauen!$G$9:$J$102,4)+VLOOKUP($CU97-DI$103+1,Frauen!$G$9:$J$102,4))*0.5*(VLOOKUP($CU97-DI$103,Frauen!$AZ$9:$BD$102,5)+VLOOKUP($CU97-DI$103+1,Frauen!$AZ$9:$BD$102,5)),RundDx)))</f>
        <v/>
      </c>
      <c r="DJ97" s="25" t="str">
        <f>IF($CU97&gt;=RAM,"",IF($CU97-DJ$103&lt;BeginnAlter,"",ROUND(v^($CU97+FaktorAlter)*$L97*$D97*0.5*(VLOOKUP($CU97-DJ$103,Frauen!$G$9:$J$102,4)+VLOOKUP($CU97-DJ$103+1,Frauen!$G$9:$J$102,4))*0.5*(VLOOKUP($CU97-DJ$103,Frauen!$AZ$9:$BD$102,5)+VLOOKUP($CU97-DJ$103+1,Frauen!$AZ$9:$BD$102,5)),RundDx)))</f>
        <v/>
      </c>
      <c r="DK97" s="25" t="str">
        <f>IF($CU97&gt;=RAM,"",IF($CU97-DK$103&lt;BeginnAlter,"",ROUND(v^($CU97+FaktorAlter)*$L97*$D97*0.5*(VLOOKUP($CU97-DK$103,Frauen!$G$9:$J$102,4)+VLOOKUP($CU97-DK$103+1,Frauen!$G$9:$J$102,4))*0.5*(VLOOKUP($CU97-DK$103,Frauen!$AZ$9:$BD$102,5)+VLOOKUP($CU97-DK$103+1,Frauen!$AZ$9:$BD$102,5)),RundDx)))</f>
        <v/>
      </c>
      <c r="DL97" s="25" t="str">
        <f>IF($CU97&gt;=RAM,"",IF($CU97-DL$103&lt;BeginnAlter,"",ROUND(v^($CU97+FaktorAlter)*$L97*$D97*0.5*(VLOOKUP($CU97-DL$103,Frauen!$G$9:$J$102,4)+VLOOKUP($CU97-DL$103+1,Frauen!$G$9:$J$102,4))*0.5*(VLOOKUP($CU97-DL$103,Frauen!$AZ$9:$BD$102,5)+VLOOKUP($CU97-DL$103+1,Frauen!$AZ$9:$BD$102,5)),RundDx)))</f>
        <v/>
      </c>
      <c r="DM97" s="25" t="str">
        <f>IF($CU97&gt;=RAM,"",IF($CU97-DM$103&lt;BeginnAlter,"",ROUND(v^($CU97+FaktorAlter)*$L97*$D97*0.5*(VLOOKUP($CU97-DM$103,Frauen!$G$9:$J$102,4)+VLOOKUP($CU97-DM$103+1,Frauen!$G$9:$J$102,4))*0.5*(VLOOKUP($CU97-DM$103,Frauen!$AZ$9:$BD$102,5)+VLOOKUP($CU97-DM$103+1,Frauen!$AZ$9:$BD$102,5)),RundDx)))</f>
        <v/>
      </c>
      <c r="DN97" s="25" t="str">
        <f>IF($CU97&gt;=RAM,"",IF($CU97-DN$103&lt;BeginnAlter,"",ROUND(v^($CU97+FaktorAlter)*$L97*$D97*0.5*(VLOOKUP($CU97-DN$103,Frauen!$G$9:$J$102,4)+VLOOKUP($CU97-DN$103+1,Frauen!$G$9:$J$102,4))*0.5*(VLOOKUP($CU97-DN$103,Frauen!$AZ$9:$BD$102,5)+VLOOKUP($CU97-DN$103+1,Frauen!$AZ$9:$BD$102,5)),RundDx)))</f>
        <v/>
      </c>
      <c r="DO97" s="25" t="str">
        <f>IF($CU97&gt;=RAM,"",IF($CU97-DO$103&lt;BeginnAlter,"",ROUND(v^($CU97+FaktorAlter)*$L97*$D97*0.5*(VLOOKUP($CU97-DO$103,Frauen!$G$9:$J$102,4)+VLOOKUP($CU97-DO$103+1,Frauen!$G$9:$J$102,4))*0.5*(VLOOKUP($CU97-DO$103,Frauen!$AZ$9:$BD$102,5)+VLOOKUP($CU97-DO$103+1,Frauen!$AZ$9:$BD$102,5)),RundDx)))</f>
        <v/>
      </c>
      <c r="DP97" s="25" t="str">
        <f>IF($CU97&gt;=RAM,"",IF($CU97-DP$103&lt;BeginnAlter,"",ROUND(v^($CU97+FaktorAlter)*$L97*$D97*0.5*(VLOOKUP($CU97-DP$103,Frauen!$G$9:$J$102,4)+VLOOKUP($CU97-DP$103+1,Frauen!$G$9:$J$102,4))*0.5*(VLOOKUP($CU97-DP$103,Frauen!$AZ$9:$BD$102,5)+VLOOKUP($CU97-DP$103+1,Frauen!$AZ$9:$BD$102,5)),RundDx)))</f>
        <v/>
      </c>
      <c r="DQ97" s="25" t="str">
        <f>IF($CU97&gt;=RAM,"",IF($CU97-DQ$103&lt;BeginnAlter,"",ROUND(v^($CU97+FaktorAlter)*$L97*$D97*0.5*(VLOOKUP($CU97-DQ$103,Frauen!$G$9:$J$102,4)+VLOOKUP($CU97-DQ$103+1,Frauen!$G$9:$J$102,4))*0.5*(VLOOKUP($CU97-DQ$103,Frauen!$AZ$9:$BD$102,5)+VLOOKUP($CU97-DQ$103+1,Frauen!$AZ$9:$BD$102,5)),RundDx)))</f>
        <v/>
      </c>
      <c r="DR97" s="25" t="str">
        <f>IF($CU97&gt;=RAM,"",IF($CU97-DR$103&lt;BeginnAlter,"",ROUND(v^($CU97+FaktorAlter)*$L97*$D97*0.5*(VLOOKUP($CU97-DR$103,Frauen!$G$9:$J$102,4)+VLOOKUP($CU97-DR$103+1,Frauen!$G$9:$J$102,4))*0.5*(VLOOKUP($CU97-DR$103,Frauen!$AZ$9:$BD$102,5)+VLOOKUP($CU97-DR$103+1,Frauen!$AZ$9:$BD$102,5)),RundDx)))</f>
        <v/>
      </c>
      <c r="DS97" s="25" t="str">
        <f>IF($CU97&gt;=RAM,"",IF($CU97-DS$103&lt;BeginnAlter,"",ROUND(v^($CU97+FaktorAlter)*$L97*$D97*0.5*(VLOOKUP($CU97-DS$103,Frauen!$G$9:$J$102,4)+VLOOKUP($CU97-DS$103+1,Frauen!$G$9:$J$102,4))*0.5*(VLOOKUP($CU97-DS$103,Frauen!$AZ$9:$BD$102,5)+VLOOKUP($CU97-DS$103+1,Frauen!$AZ$9:$BD$102,5)),RundDx)))</f>
        <v/>
      </c>
      <c r="DT97" s="25" t="str">
        <f>IF($CU97&gt;=RAM,"",IF($CU97-DT$103&lt;BeginnAlter,"",ROUND(v^($CU97+FaktorAlter)*$L97*$D97*0.5*(VLOOKUP($CU97-DT$103,Frauen!$G$9:$J$102,4)+VLOOKUP($CU97-DT$103+1,Frauen!$G$9:$J$102,4))*0.5*(VLOOKUP($CU97-DT$103,Frauen!$AZ$9:$BD$102,5)+VLOOKUP($CU97-DT$103+1,Frauen!$AZ$9:$BD$102,5)),RundDx)))</f>
        <v/>
      </c>
      <c r="DU97" s="25" t="str">
        <f>IF($CU97&gt;=RAM,"",IF($CU97-DU$103&lt;BeginnAlter,"",ROUND(v^($CU97+FaktorAlter)*$L97*$D97*0.5*(VLOOKUP($CU97-DU$103,Frauen!$G$9:$J$102,4)+VLOOKUP($CU97-DU$103+1,Frauen!$G$9:$J$102,4))*0.5*(VLOOKUP($CU97-DU$103,Frauen!$AZ$9:$BD$102,5)+VLOOKUP($CU97-DU$103+1,Frauen!$AZ$9:$BD$102,5)),RundDx)))</f>
        <v/>
      </c>
      <c r="DV97" s="25" t="str">
        <f>IF($CU97&gt;=RAM,"",IF($CU97-DV$103&lt;BeginnAlter,"",ROUND(v^($CU97+FaktorAlter)*$L97*$D97*0.5*(VLOOKUP($CU97-DV$103,Frauen!$G$9:$J$102,4)+VLOOKUP($CU97-DV$103+1,Frauen!$G$9:$J$102,4))*0.5*(VLOOKUP($CU97-DV$103,Frauen!$AZ$9:$BD$102,5)+VLOOKUP($CU97-DV$103+1,Frauen!$AZ$9:$BD$102,5)),RundDx)))</f>
        <v/>
      </c>
      <c r="DW97" s="25" t="str">
        <f>IF($CU97&gt;=RAM,"",IF($CU97-DW$103&lt;BeginnAlter,"",ROUND(v^($CU97+FaktorAlter)*$L97*$D97*0.5*(VLOOKUP($CU97-DW$103,Frauen!$G$9:$J$102,4)+VLOOKUP($CU97-DW$103+1,Frauen!$G$9:$J$102,4))*0.5*(VLOOKUP($CU97-DW$103,Frauen!$AZ$9:$BD$102,5)+VLOOKUP($CU97-DW$103+1,Frauen!$AZ$9:$BD$102,5)),RundDx)))</f>
        <v/>
      </c>
      <c r="DX97" s="25" t="str">
        <f>IF($CU97&gt;=RAM,"",IF($CU97-DX$103&lt;BeginnAlter,"",ROUND(v^($CU97+FaktorAlter)*$L97*$D97*0.5*(VLOOKUP($CU97-DX$103,Frauen!$G$9:$J$102,4)+VLOOKUP($CU97-DX$103+1,Frauen!$G$9:$J$102,4))*0.5*(VLOOKUP($CU97-DX$103,Frauen!$AZ$9:$BD$102,5)+VLOOKUP($CU97-DX$103+1,Frauen!$AZ$9:$BD$102,5)),RundDx)))</f>
        <v/>
      </c>
      <c r="DY97" s="25" t="str">
        <f>IF($CU97&gt;=RAM,"",IF($CU97-DY$103&lt;BeginnAlter,"",ROUND(v^($CU97+FaktorAlter)*$L97*$D97*0.5*(VLOOKUP($CU97-DY$103,Frauen!$G$9:$J$102,4)+VLOOKUP($CU97-DY$103+1,Frauen!$G$9:$J$102,4))*0.5*(VLOOKUP($CU97-DY$103,Frauen!$AZ$9:$BD$102,5)+VLOOKUP($CU97-DY$103+1,Frauen!$AZ$9:$BD$102,5)),RundDx)))</f>
        <v/>
      </c>
      <c r="DZ97" s="25" t="str">
        <f>IF($CU97&gt;=RAM,"",IF($CU97-DZ$103&lt;BeginnAlter,"",ROUND(v^($CU97+FaktorAlter)*$L97*$D97*0.5*(VLOOKUP($CU97-DZ$103,Frauen!$G$9:$J$102,4)+VLOOKUP($CU97-DZ$103+1,Frauen!$G$9:$J$102,4))*0.5*(VLOOKUP($CU97-DZ$103,Frauen!$AZ$9:$BD$102,5)+VLOOKUP($CU97-DZ$103+1,Frauen!$AZ$9:$BD$102,5)),RundDx)))</f>
        <v/>
      </c>
      <c r="EA97" s="43" t="str">
        <f>IF($CU97&gt;=RAM,"",IF($CU97-EA$103&lt;BeginnAlter,"",ROUND((SUM(CV$56:CV97)+SUM(FN$9:FN$56))/VLOOKUP($CU97,$AH$9:$AI$102,2)/VLOOKUP($CU97-EA$103,Frauen!$G$9:$J$102,4),Rundäx)))</f>
        <v/>
      </c>
      <c r="EB97" s="43" t="str">
        <f>IF($CU97&gt;=RAM,"",IF($CU97-EB$103&lt;BeginnAlter,"",ROUND((SUM(CW$56:CW97)+SUM(FO$9:FO$56))/VLOOKUP($CU97,$AH$9:$AI$102,2)/VLOOKUP($CU97-EB$103,Frauen!$G$9:$J$102,4),Rundäx)))</f>
        <v/>
      </c>
      <c r="EC97" s="43" t="str">
        <f>IF($CU97&gt;=RAM,"",IF($CU97-EC$103&lt;BeginnAlter,"",ROUND((SUM(CX$56:CX97)+SUM(FP$9:FP$56))/VLOOKUP($CU97,$AH$9:$AI$102,2)/VLOOKUP($CU97-EC$103,Frauen!$G$9:$J$102,4),Rundäx)))</f>
        <v/>
      </c>
      <c r="ED97" s="43" t="str">
        <f>IF($CU97&gt;=RAM,"",IF($CU97-ED$103&lt;BeginnAlter,"",ROUND((SUM(CY$56:CY97)+SUM(FQ$9:FQ$56))/VLOOKUP($CU97,$AH$9:$AI$102,2)/VLOOKUP($CU97-ED$103,Frauen!$G$9:$J$102,4),Rundäx)))</f>
        <v/>
      </c>
      <c r="EE97" s="43" t="str">
        <f>IF($CU97&gt;=RAM,"",IF($CU97-EE$103&lt;BeginnAlter,"",ROUND((SUM(CZ$56:CZ97)+SUM(FR$9:FR$56))/VLOOKUP($CU97,$AH$9:$AI$102,2)/VLOOKUP($CU97-EE$103,Frauen!$G$9:$J$102,4),Rundäx)))</f>
        <v/>
      </c>
      <c r="EF97" s="43" t="str">
        <f>IF($CU97&gt;=RAM,"",IF($CU97-EF$103&lt;BeginnAlter,"",ROUND((SUM(DA$56:DA97)+SUM(FS$9:FS$56))/VLOOKUP($CU97,$AH$9:$AI$102,2)/VLOOKUP($CU97-EF$103,Frauen!$G$9:$J$102,4),Rundäx)))</f>
        <v/>
      </c>
      <c r="EG97" s="43" t="str">
        <f>IF($CU97&gt;=RAM,"",IF($CU97-EG$103&lt;BeginnAlter,"",ROUND((SUM(DB$56:DB97)+SUM(FT$9:FT$56))/VLOOKUP($CU97,$AH$9:$AI$102,2)/VLOOKUP($CU97-EG$103,Frauen!$G$9:$J$102,4),Rundäx)))</f>
        <v/>
      </c>
      <c r="EH97" s="43" t="str">
        <f>IF($CU97&gt;=RAM,"",IF($CU97-EH$103&lt;BeginnAlter,"",ROUND((SUM(DC$56:DC97)+SUM(FU$9:FU$56))/VLOOKUP($CU97,$AH$9:$AI$102,2)/VLOOKUP($CU97-EH$103,Frauen!$G$9:$J$102,4),Rundäx)))</f>
        <v/>
      </c>
      <c r="EI97" s="86"/>
      <c r="EJ97" s="35">
        <f t="shared" si="180"/>
        <v>105</v>
      </c>
      <c r="EK97" s="43" t="str">
        <f>IF($CU97&gt;=RAM,"",IF($CU97-EK$103&lt;BeginnAlter,"",ROUND((SUM(DD$56:DD97)+SUM(FV$9:FV$56))/VLOOKUP($CU97,$AH$9:$AI$102,2)/VLOOKUP($CU97-EK$103,Frauen!$G$9:$J$102,4),Rundäx)))</f>
        <v/>
      </c>
      <c r="EL97" s="43" t="str">
        <f>IF($CU97&gt;=RAM,"",IF($CU97-EL$103&lt;BeginnAlter,"",ROUND((SUM(DE$56:DE97)+SUM(FW$9:FW$56))/VLOOKUP($CU97,$AH$9:$AI$102,2)/VLOOKUP($CU97-EL$103,Frauen!$G$9:$J$102,4),Rundäx)))</f>
        <v/>
      </c>
      <c r="EM97" s="43" t="str">
        <f>IF($CU97&gt;=RAM,"",IF($CU97-EM$103&lt;BeginnAlter,"",ROUND((SUM(DF$56:DF97)+SUM(FX$9:FX$56))/VLOOKUP($CU97,$AH$9:$AI$102,2)/VLOOKUP($CU97-EM$103,Frauen!$G$9:$J$102,4),Rundäx)))</f>
        <v/>
      </c>
      <c r="EN97" s="43" t="str">
        <f>IF($CU97&gt;=RAM,"",IF($CU97-EN$103&lt;BeginnAlter,"",ROUND((SUM(DG$56:DG97)+SUM(FY$9:FY$56))/VLOOKUP($CU97,$AH$9:$AI$102,2)/VLOOKUP($CU97-EN$103,Frauen!$G$9:$J$102,4),Rundäx)))</f>
        <v/>
      </c>
      <c r="EO97" s="43" t="str">
        <f>IF($CU97&gt;=RAM,"",IF($CU97-EO$103&lt;BeginnAlter,"",ROUND((SUM(DH$56:DH97)+SUM(FZ$9:FZ$56))/VLOOKUP($CU97,$AH$9:$AI$102,2)/VLOOKUP($CU97-EO$103,Frauen!$G$9:$J$102,4),Rundäx)))</f>
        <v/>
      </c>
      <c r="EP97" s="43" t="str">
        <f>IF($CU97&gt;=RAM,"",IF($CU97-EP$103&lt;BeginnAlter,"",ROUND((SUM(DI$56:DI97)+SUM(GA$9:GA$56))/VLOOKUP($CU97,$AH$9:$AI$102,2)/VLOOKUP($CU97-EP$103,Frauen!$G$9:$J$102,4),Rundäx)))</f>
        <v/>
      </c>
      <c r="EQ97" s="43" t="str">
        <f>IF($CU97&gt;=RAM,"",IF($CU97-EQ$103&lt;BeginnAlter,"",ROUND((SUM(DJ$56:DJ97)+SUM(GB$9:GB$56))/VLOOKUP($CU97,$AH$9:$AI$102,2)/VLOOKUP($CU97-EQ$103,Frauen!$G$9:$J$102,4),Rundäx)))</f>
        <v/>
      </c>
      <c r="ER97" s="43" t="str">
        <f>IF($CU97&gt;=RAM,"",IF($CU97-ER$103&lt;BeginnAlter,"",ROUND((SUM(DK$56:DK97)+SUM(GC$9:GC$56))/VLOOKUP($CU97,$AH$9:$AI$102,2)/VLOOKUP($CU97-ER$103,Frauen!$G$9:$J$102,4),Rundäx)))</f>
        <v/>
      </c>
      <c r="ES97" s="86"/>
      <c r="ET97" s="35">
        <f t="shared" si="181"/>
        <v>105</v>
      </c>
      <c r="EU97" s="43" t="str">
        <f>IF($CU97&gt;=RAM,"",IF($CU97-EU$103&lt;BeginnAlter,"",ROUND((SUM(DL$56:DL97)+SUM(GD$9:GD$56))/VLOOKUP($CU97,$AH$9:$AI$102,2)/VLOOKUP($CU97-EU$103,Frauen!$G$9:$J$102,4),Rundäx)))</f>
        <v/>
      </c>
      <c r="EV97" s="43" t="str">
        <f>IF($CU97&gt;=RAM,"",IF($CU97-EV$103&lt;BeginnAlter,"",ROUND((SUM(DM$56:DM97)+SUM(GE$9:GE$56))/VLOOKUP($CU97,$AH$9:$AI$102,2)/VLOOKUP($CU97-EV$103,Frauen!$G$9:$J$102,4),Rundäx)))</f>
        <v/>
      </c>
      <c r="EW97" s="43" t="str">
        <f>IF($CU97&gt;=RAM,"",IF($CU97-EW$103&lt;BeginnAlter,"",ROUND((SUM(DN$56:DN97)+SUM(GF$9:GF$56))/VLOOKUP($CU97,$AH$9:$AI$102,2)/VLOOKUP($CU97-EW$103,Frauen!$G$9:$J$102,4),Rundäx)))</f>
        <v/>
      </c>
      <c r="EX97" s="43" t="str">
        <f>IF($CU97&gt;=RAM,"",IF($CU97-EX$103&lt;BeginnAlter,"",ROUND((SUM(DO$56:DO97)+SUM(GG$9:GG$56))/VLOOKUP($CU97,$AH$9:$AI$102,2)/VLOOKUP($CU97-EX$103,Frauen!$G$9:$J$102,4),Rundäx)))</f>
        <v/>
      </c>
      <c r="EY97" s="43" t="str">
        <f>IF($CU97&gt;=RAM,"",IF($CU97-EY$103&lt;BeginnAlter,"",ROUND((SUM(DP$56:DP97)+SUM(GH$9:GH$56))/VLOOKUP($CU97,$AH$9:$AI$102,2)/VLOOKUP($CU97-EY$103,Frauen!$G$9:$J$102,4),Rundäx)))</f>
        <v/>
      </c>
      <c r="EZ97" s="43" t="str">
        <f>IF($CU97&gt;=RAM,"",IF($CU97-EZ$103&lt;BeginnAlter,"",ROUND((SUM(DQ$56:DQ97)+SUM(GI$9:GI$56))/VLOOKUP($CU97,$AH$9:$AI$102,2)/VLOOKUP($CU97-EZ$103,Frauen!$G$9:$J$102,4),Rundäx)))</f>
        <v/>
      </c>
      <c r="FA97" s="43" t="str">
        <f>IF($CU97&gt;=RAM,"",IF($CU97-FA$103&lt;BeginnAlter,"",ROUND((SUM(DR$56:DR97)+SUM(GJ$9:GJ$56))/VLOOKUP($CU97,$AH$9:$AI$102,2)/VLOOKUP($CU97-FA$103,Frauen!$G$9:$J$102,4),Rundäx)))</f>
        <v/>
      </c>
      <c r="FB97" s="43" t="str">
        <f>IF($CU97&gt;=RAM,"",IF($CU97-FB$103&lt;BeginnAlter,"",ROUND((SUM(DS$56:DS97)+SUM(GK$9:GK$56))/VLOOKUP($CU97,$AH$9:$AI$102,2)/VLOOKUP($CU97-FB$103,Frauen!$G$9:$J$102,4),Rundäx)))</f>
        <v/>
      </c>
      <c r="FC97" s="86"/>
      <c r="FD97" s="35">
        <f t="shared" si="182"/>
        <v>105</v>
      </c>
      <c r="FE97" s="43" t="str">
        <f>IF($CU97&gt;=RAM,"",IF($CU97-FE$103&lt;BeginnAlter,"",ROUND((SUM(DT$56:DT97)+SUM(GL$9:GL$56))/VLOOKUP($CU97,$AH$9:$AI$102,2)/VLOOKUP($CU97-FE$103,Frauen!$G$9:$J$102,4),Rundäx)))</f>
        <v/>
      </c>
      <c r="FF97" s="43" t="str">
        <f>IF($CU97&gt;=RAM,"",IF($CU97-FF$103&lt;BeginnAlter,"",ROUND((SUM(DU$56:DU97)+SUM(GM$9:GM$56))/VLOOKUP($CU97,$AH$9:$AI$102,2)/VLOOKUP($CU97-FF$103,Frauen!$G$9:$J$102,4),Rundäx)))</f>
        <v/>
      </c>
      <c r="FG97" s="43" t="str">
        <f>IF($CU97&gt;=RAM,"",IF($CU97-FG$103&lt;BeginnAlter,"",ROUND((SUM(DV$56:DV97)+SUM(GN$9:GN$56))/VLOOKUP($CU97,$AH$9:$AI$102,2)/VLOOKUP($CU97-FG$103,Frauen!$G$9:$J$102,4),Rundäx)))</f>
        <v/>
      </c>
      <c r="FH97" s="43" t="str">
        <f>IF($CU97&gt;=RAM,"",IF($CU97-FH$103&lt;BeginnAlter,"",ROUND((SUM(DW$56:DW97)+SUM(GO$9:GO$56))/VLOOKUP($CU97,$AH$9:$AI$102,2)/VLOOKUP($CU97-FH$103,Frauen!$G$9:$J$102,4),Rundäx)))</f>
        <v/>
      </c>
      <c r="FI97" s="43" t="str">
        <f>IF($CU97&gt;=RAM,"",IF($CU97-FI$103&lt;BeginnAlter,"",ROUND((SUM(DX$56:DX97)+SUM(GP$9:GP$56))/VLOOKUP($CU97,$AH$9:$AI$102,2)/VLOOKUP($CU97-FI$103,Frauen!$G$9:$J$102,4),Rundäx)))</f>
        <v/>
      </c>
      <c r="FJ97" s="43" t="str">
        <f>IF($CU97&gt;=RAM,"",IF($CU97-FJ$103&lt;BeginnAlter,"",ROUND((SUM(DY$56:DY97)+SUM(GQ$9:GQ$56))/VLOOKUP($CU97,$AH$9:$AI$102,2)/VLOOKUP($CU97-FJ$103,Frauen!$G$9:$J$102,4),Rundäx)))</f>
        <v/>
      </c>
      <c r="FK97" s="43" t="str">
        <f>IF($CU97&gt;=RAM,"",IF($CU97-FK$103&lt;BeginnAlter,"",ROUND((SUM(DZ$56:DZ97)+SUM(GR$9:GR$56))/VLOOKUP($CU97,$AH$9:$AI$102,2)/VLOOKUP($CU97-FK$103,Frauen!$G$9:$J$102,4),Rundäx)))</f>
        <v/>
      </c>
      <c r="FL97" s="86"/>
      <c r="FM97" s="35">
        <f t="shared" si="183"/>
        <v>153</v>
      </c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4"/>
      <c r="GT97" s="24"/>
      <c r="GU97" s="24" t="str">
        <f>IF(FM97&gt;=RAM," ",#REF!/$AI97/Frauen!$J85)</f>
        <v xml:space="preserve"> </v>
      </c>
      <c r="GV97" s="24" t="str">
        <f>IF(FM97&gt;=RAM," ",#REF!/$AI97/Frauen!$J88)</f>
        <v xml:space="preserve"> </v>
      </c>
      <c r="GW97" s="24" t="str">
        <f>IF(FM97&gt;=RAM," ",#REF!/$AI97/Frauen!$J91)</f>
        <v xml:space="preserve"> </v>
      </c>
      <c r="GX97" s="24" t="str">
        <f>IF(FM97&gt;=RAM," ",#REF!/$AI97/Frauen!$J94)</f>
        <v xml:space="preserve"> </v>
      </c>
      <c r="GY97" s="24" t="str">
        <f>IF(FM97&gt;=RAM," ",#REF!/$AI97/Frauen!$J97)</f>
        <v xml:space="preserve"> </v>
      </c>
      <c r="GZ97" s="24" t="str">
        <f>IF(FM97&gt;=RAM," ",#REF!/$AI97/Frauen!$J100)</f>
        <v xml:space="preserve"> </v>
      </c>
      <c r="HA97" s="86"/>
      <c r="HB97" s="35">
        <f t="shared" si="184"/>
        <v>153</v>
      </c>
      <c r="HC97" s="24"/>
      <c r="HD97" s="24"/>
      <c r="HE97" s="24"/>
      <c r="HF97" s="24"/>
      <c r="HG97" s="24"/>
      <c r="HH97" s="24"/>
      <c r="HI97" s="24"/>
      <c r="HJ97" s="24"/>
      <c r="HK97" s="86"/>
      <c r="HL97" s="35">
        <f t="shared" si="185"/>
        <v>153</v>
      </c>
      <c r="HM97" s="24"/>
      <c r="HN97" s="24"/>
      <c r="HO97" s="24"/>
      <c r="HP97" s="24"/>
      <c r="HQ97" s="24"/>
      <c r="HR97" s="24"/>
      <c r="HS97" s="24"/>
      <c r="HT97" s="24"/>
      <c r="HU97" s="86"/>
      <c r="HV97" s="35">
        <f t="shared" si="186"/>
        <v>153</v>
      </c>
      <c r="HW97" s="24"/>
      <c r="HX97" s="24"/>
      <c r="HY97" s="24"/>
      <c r="HZ97" s="24"/>
      <c r="IA97" s="24"/>
      <c r="IB97" s="24"/>
      <c r="IC97" s="24"/>
      <c r="ID97" s="89"/>
      <c r="IE97" s="35">
        <f t="shared" si="187"/>
        <v>105</v>
      </c>
      <c r="IF97" s="25" t="str">
        <f t="shared" si="112"/>
        <v/>
      </c>
      <c r="IG97" s="25" t="str">
        <f>IF($IE97&lt;RAM,IF(S98&lt;=RAK,ROUND(SUM(IF97:INDEX(Dakx,RAM-BeginnAlter))+INDEX(Dax,RAM-BeginnAlter+1)*INDEX(äkx,1),RundDx),0),"")</f>
        <v/>
      </c>
      <c r="IH97" s="25" t="str">
        <f>IF($IE97&lt;RAM,IF(S98&lt;=RAK,ROUND(SUM(IG97:INDEX(Nakx,RAM-BeginnAlter))+INDEX(Dax,RAM-BeginnAlter+1)*INDEX(äkx,1),RundDx),0),"")</f>
        <v/>
      </c>
      <c r="II97" s="24" t="str">
        <f t="shared" si="113"/>
        <v/>
      </c>
      <c r="IJ97" s="25" t="str">
        <f t="shared" si="114"/>
        <v/>
      </c>
      <c r="IK97" s="25" t="str">
        <f>IF($IE97&lt;RAM,IF(S98&lt;=RAK,SUM(IJ97:INDEX(Dikx,RAM-BeginnAlter))+INDEX(Dix,RAM-BeginnAlter+1)*INDEX(äkx,1),0),"")</f>
        <v/>
      </c>
      <c r="IL97" s="24" t="str">
        <f t="shared" si="115"/>
        <v/>
      </c>
      <c r="IM97" s="86"/>
      <c r="IN97" s="35">
        <f t="shared" si="188"/>
        <v>153</v>
      </c>
      <c r="IO97" s="25"/>
      <c r="IP97" s="28"/>
      <c r="IQ97" s="24"/>
      <c r="IR97" s="86"/>
    </row>
    <row r="98" spans="1:252" ht="15.75" customHeight="1" x14ac:dyDescent="0.25">
      <c r="A98" s="35">
        <f t="shared" si="120"/>
        <v>106</v>
      </c>
      <c r="B98" s="77"/>
      <c r="C98" s="77"/>
      <c r="D98" s="77"/>
      <c r="E98" s="77"/>
      <c r="F98" s="86"/>
      <c r="G98" s="35">
        <f t="shared" si="121"/>
        <v>106</v>
      </c>
      <c r="H98" s="25" t="str">
        <f t="shared" si="116"/>
        <v/>
      </c>
      <c r="I98" s="25" t="str">
        <f t="shared" si="117"/>
        <v/>
      </c>
      <c r="J98" s="25"/>
      <c r="K98" s="30" t="str">
        <f>IF(J98&gt;0,ROUND(SUM(J98:J$102)/J98-0.5,Rundex),"")</f>
        <v/>
      </c>
      <c r="L98" s="25"/>
      <c r="M98" s="30" t="str">
        <f>IF(L98&gt;0,ROUND(SUM(L98:L$102)/L98-0.5,Rundex),"")</f>
        <v/>
      </c>
      <c r="N98" s="86"/>
      <c r="O98" s="35">
        <f t="shared" si="122"/>
        <v>106</v>
      </c>
      <c r="P98" s="43">
        <v>8.0000000000000002E-3</v>
      </c>
      <c r="Q98" s="78">
        <v>98.043859974550116</v>
      </c>
      <c r="R98" s="43"/>
      <c r="S98" s="78"/>
      <c r="T98" s="15"/>
      <c r="U98" s="11"/>
      <c r="V98" s="30" t="str">
        <f>IF(U98&gt;0,ROUND(SUM(U98:U$102)/U98-0.5,Rundex),"")</f>
        <v/>
      </c>
      <c r="W98" s="86"/>
      <c r="X98" s="35">
        <f t="shared" si="148"/>
        <v>106</v>
      </c>
      <c r="Y98" s="25" t="str">
        <f t="shared" si="149"/>
        <v xml:space="preserve"> </v>
      </c>
      <c r="Z98" s="25" t="str">
        <f>IF($X98&lt;RAM,SUM(Y98:INDEX(Dax,RAM-BeginnAlter))," ")</f>
        <v xml:space="preserve"> </v>
      </c>
      <c r="AA98" s="25" t="str">
        <f t="shared" si="84"/>
        <v xml:space="preserve"> </v>
      </c>
      <c r="AB98" s="25" t="str">
        <f>IF($X98&lt;RAM,SUM(AA98:INDEX(Cax,RAM-BeginnAlter))," ")</f>
        <v xml:space="preserve"> </v>
      </c>
      <c r="AC98" s="25" t="str">
        <f t="shared" si="150"/>
        <v xml:space="preserve"> </v>
      </c>
      <c r="AD98" s="25" t="str">
        <f>IF($X98&lt;RAM,SUM(AC98:INDEX(Caix,RAM-BeginnAlter))," ")</f>
        <v xml:space="preserve"> </v>
      </c>
      <c r="AE98" s="24" t="str">
        <f t="shared" si="151"/>
        <v xml:space="preserve"> </v>
      </c>
      <c r="AF98" s="24" t="str">
        <f t="shared" si="152"/>
        <v xml:space="preserve"> </v>
      </c>
      <c r="AG98" s="86"/>
      <c r="AH98" s="35">
        <f t="shared" si="153"/>
        <v>106</v>
      </c>
      <c r="AI98" s="25" t="str">
        <f t="shared" si="154"/>
        <v xml:space="preserve"> </v>
      </c>
      <c r="AJ98" s="25" t="str">
        <f>IF($AH98&gt;RAM," ",IF($AH98&lt;RAM,SUM(AI98:INDEX(Dix,RAM-BeginnAlter))+INDEX(Nx,RAM-BeginnAlter+1),INDEX(Nx,RAM-BeginnAlter+1)))</f>
        <v xml:space="preserve"> </v>
      </c>
      <c r="AK98" s="25" t="str">
        <f>IF($AH98&lt;RAM,SUM(AI98:INDEX(Dix,RAM-BeginnAlter))," ")</f>
        <v xml:space="preserve"> </v>
      </c>
      <c r="AL98" s="24" t="str">
        <f t="shared" si="155"/>
        <v xml:space="preserve"> </v>
      </c>
      <c r="AM98" s="24" t="str">
        <f t="shared" si="156"/>
        <v xml:space="preserve"> </v>
      </c>
      <c r="AN98" s="24" t="str">
        <f t="shared" si="157"/>
        <v xml:space="preserve"> </v>
      </c>
      <c r="AO98" s="24" t="str">
        <f t="shared" si="158"/>
        <v xml:space="preserve"> </v>
      </c>
      <c r="AP98" s="86"/>
      <c r="AQ98" s="35">
        <f t="shared" si="159"/>
        <v>106</v>
      </c>
      <c r="AR98" s="25"/>
      <c r="AS98" s="25"/>
      <c r="AT98" s="25" t="str">
        <f>IF($AQ98&lt;RAM,SUM(AR98:INDEX(Dx,RAM-BeginnAlter))," ")</f>
        <v xml:space="preserve"> </v>
      </c>
      <c r="AU98" s="24" t="str">
        <f t="shared" si="160"/>
        <v xml:space="preserve"> </v>
      </c>
      <c r="AV98" s="24" t="str">
        <f t="shared" si="161"/>
        <v xml:space="preserve"> </v>
      </c>
      <c r="AW98" s="24" t="str">
        <f t="shared" si="162"/>
        <v xml:space="preserve"> </v>
      </c>
      <c r="AX98" s="24" t="str">
        <f t="shared" si="163"/>
        <v xml:space="preserve"> </v>
      </c>
      <c r="AY98" s="86"/>
      <c r="AZ98" s="35">
        <f t="shared" si="164"/>
        <v>106</v>
      </c>
      <c r="BA98" s="25"/>
      <c r="BB98" s="25"/>
      <c r="BC98" s="24" t="str">
        <f t="shared" si="165"/>
        <v xml:space="preserve"> </v>
      </c>
      <c r="BD98" s="24">
        <f t="shared" si="100"/>
        <v>0</v>
      </c>
      <c r="BE98" s="86"/>
      <c r="BF98" s="35">
        <f t="shared" si="166"/>
        <v>89</v>
      </c>
      <c r="BG98" s="24" t="str">
        <f t="shared" si="101"/>
        <v/>
      </c>
      <c r="BH98" s="24" t="str">
        <f t="shared" si="102"/>
        <v/>
      </c>
      <c r="BI98" s="86"/>
      <c r="BJ98" s="35">
        <f t="shared" si="167"/>
        <v>106</v>
      </c>
      <c r="BK98" s="25" t="str">
        <f t="shared" si="168"/>
        <v xml:space="preserve"> </v>
      </c>
      <c r="BL98" s="25" t="str">
        <f>IF(BJ98&lt;RAM,SUM(BK98:INDEX(Daix,RAM-BeginnAlter))," ")</f>
        <v xml:space="preserve"> </v>
      </c>
      <c r="BM98" s="25" t="str">
        <f>IF(BJ98&lt;RAM,SUM(BL98:INDEX(Naix,RAM-BeginnAlter))," ")</f>
        <v xml:space="preserve"> </v>
      </c>
      <c r="BN98" s="24" t="str">
        <f t="shared" si="169"/>
        <v xml:space="preserve"> </v>
      </c>
      <c r="BO98" s="24" t="str">
        <f t="shared" si="170"/>
        <v xml:space="preserve"> </v>
      </c>
      <c r="BP98" s="86"/>
      <c r="BQ98" s="35">
        <f t="shared" si="171"/>
        <v>106</v>
      </c>
      <c r="BR98" s="25" t="str">
        <f t="shared" si="172"/>
        <v xml:space="preserve"> </v>
      </c>
      <c r="BS98" s="25" t="str">
        <f>IF(BQ98&lt;RAM,SUM(BR98:INDEX(Daixs,RAM-BeginnAlter))," ")</f>
        <v xml:space="preserve"> </v>
      </c>
      <c r="BT98" s="25" t="str">
        <f>IF(BQ98&lt;RAM,SUM(BS98:INDEX(Naixs,RAM-BeginnAlter))," ")</f>
        <v xml:space="preserve"> </v>
      </c>
      <c r="BU98" s="24" t="str">
        <f t="shared" si="173"/>
        <v xml:space="preserve"> </v>
      </c>
      <c r="BV98" s="24" t="str">
        <f t="shared" si="174"/>
        <v xml:space="preserve"> </v>
      </c>
      <c r="BW98" s="86"/>
      <c r="BX98" s="35">
        <f t="shared" si="175"/>
        <v>106</v>
      </c>
      <c r="BY98" s="10" t="str">
        <f t="shared" si="106"/>
        <v/>
      </c>
      <c r="BZ98" s="11" t="str">
        <f t="shared" si="107"/>
        <v/>
      </c>
      <c r="CA98" s="25" t="str">
        <f>IF(S99&lt;=RAK,IF($BX98&lt;RAM,SUM(BZ98:INDEX(Dazx,RAM-BeginnAlter)),""),"")</f>
        <v/>
      </c>
      <c r="CB98" s="24" t="str">
        <f t="shared" si="108"/>
        <v/>
      </c>
      <c r="CC98" s="25">
        <f t="shared" si="109"/>
        <v>0</v>
      </c>
      <c r="CD98" s="24">
        <f t="shared" si="110"/>
        <v>0</v>
      </c>
      <c r="CE98" s="24" t="str">
        <f t="shared" si="111"/>
        <v/>
      </c>
      <c r="CF98" s="86"/>
      <c r="CG98" s="35">
        <f t="shared" si="176"/>
        <v>106</v>
      </c>
      <c r="CH98" s="25" t="str">
        <f>IF(CG98&lt;RAM,ROUND(v^($CG98+FaktorAlter)*$H98*($B98*0.5*($P98+$P99)*(VLOOKUP(TRUNC(0.5*($Q98+$Q99),0),Frauen!$AZ$9:$BD$95,5)+(0.5*($Q98+$Q99)-TRUNC(0.5*($Q98+$Q99),0))*(VLOOKUP(TRUNC(0.5*($Q98+$Q99)+1,0),Frauen!$AZ$9:$BD$95,5)-VLOOKUP(TRUNC(0.5*($Q98+$Q99),0),Frauen!$AZ$9:$BD$95,5)))+$C98*0.5*($CN98+$CN99)),RundDx),"")</f>
        <v/>
      </c>
      <c r="CI98" s="25" t="str">
        <f>IF(CG98&lt;RAM,ROUND(SUM(CH98:INDEX(Dawx,RAM-BeginnAlter))+INDEX(Dax,RAM-BeginnAlter+1)*INDEX(äwx,1),RundDx),"")</f>
        <v/>
      </c>
      <c r="CJ98" s="25" t="str">
        <f>IF(CG98&lt;RAM,ROUND(SUM(CI98:INDEX(Nawx,RAM-BeginnAlter))+INDEX(Dax,RAM-BeginnAlter+1)*INDEX(äwx,1),RundDx),"")</f>
        <v/>
      </c>
      <c r="CK98" s="24" t="str">
        <f t="shared" si="177"/>
        <v/>
      </c>
      <c r="CL98" s="25" t="str">
        <f>IF(CG98&lt;RAM,ROUND(v^($CG98+FaktorAlter)*$L98*$D98*0.5*($P98+$P99)*(VLOOKUP(TRUNC(0.5*($Q98+$Q99),0),Frauen!$AZ$9:$BD$95,5)+(0.5*($Q98+$Q99)-TRUNC(0.5*($Q98+$Q99),0))*(VLOOKUP(TRUNC(0.5*($Q98+$Q99)+1,0),Frauen!$AZ$9:$BD$95,5)-VLOOKUP(TRUNC(0.5*($Q98+$Q99),0),Frauen!$AZ$9:$BD$95,5))),RundDx),"")</f>
        <v/>
      </c>
      <c r="CM98" s="25" t="str">
        <f>IF(CG98&lt;RAM,SUM(CL98:INDEX(Diwx,RAM-BeginnAlter))+INDEX(Dix,RAM-BeginnAlter+1)*INDEX(äwx,1),"")</f>
        <v/>
      </c>
      <c r="CN98" s="24" t="str">
        <f t="shared" si="178"/>
        <v/>
      </c>
      <c r="CO98" s="86"/>
      <c r="CP98" s="35">
        <f t="shared" si="147"/>
        <v>154</v>
      </c>
      <c r="CQ98" s="25"/>
      <c r="CR98" s="28"/>
      <c r="CS98" s="30"/>
      <c r="CT98" s="86"/>
      <c r="CU98" s="35">
        <f t="shared" si="179"/>
        <v>106</v>
      </c>
      <c r="CV98" s="25" t="str">
        <f>IF($CU98&gt;=RAM,"",IF($CU98-CV$103&lt;BeginnAlter,"",ROUND(v^($CU98+FaktorAlter)*$L98*$D98*0.5*(VLOOKUP($CU98-CV$103,Frauen!$G$9:$J$102,4)+VLOOKUP($CU98-CV$103+1,Frauen!$G$9:$J$102,4))*0.5*(VLOOKUP($CU98-CV$103,Frauen!$AZ$9:$BD$102,5)+VLOOKUP($CU98-CV$103+1,Frauen!$AZ$9:$BD$102,5)),RundDx)))</f>
        <v/>
      </c>
      <c r="CW98" s="25" t="str">
        <f>IF($CU98&gt;=RAM,"",IF($CU98-CW$103&lt;BeginnAlter,"",ROUND(v^($CU98+FaktorAlter)*$L98*$D98*0.5*(VLOOKUP($CU98-CW$103,Frauen!$G$9:$J$102,4)+VLOOKUP($CU98-CW$103+1,Frauen!$G$9:$J$102,4))*0.5*(VLOOKUP($CU98-CW$103,Frauen!$AZ$9:$BD$102,5)+VLOOKUP($CU98-CW$103+1,Frauen!$AZ$9:$BD$102,5)),RundDx)))</f>
        <v/>
      </c>
      <c r="CX98" s="25" t="str">
        <f>IF($CU98&gt;=RAM,"",IF($CU98-CX$103&lt;BeginnAlter,"",ROUND(v^($CU98+FaktorAlter)*$L98*$D98*0.5*(VLOOKUP($CU98-CX$103,Frauen!$G$9:$J$102,4)+VLOOKUP($CU98-CX$103+1,Frauen!$G$9:$J$102,4))*0.5*(VLOOKUP($CU98-CX$103,Frauen!$AZ$9:$BD$102,5)+VLOOKUP($CU98-CX$103+1,Frauen!$AZ$9:$BD$102,5)),RundDx)))</f>
        <v/>
      </c>
      <c r="CY98" s="25" t="str">
        <f>IF($CU98&gt;=RAM,"",IF($CU98-CY$103&lt;BeginnAlter,"",ROUND(v^($CU98+FaktorAlter)*$L98*$D98*0.5*(VLOOKUP($CU98-CY$103,Frauen!$G$9:$J$102,4)+VLOOKUP($CU98-CY$103+1,Frauen!$G$9:$J$102,4))*0.5*(VLOOKUP($CU98-CY$103,Frauen!$AZ$9:$BD$102,5)+VLOOKUP($CU98-CY$103+1,Frauen!$AZ$9:$BD$102,5)),RundDx)))</f>
        <v/>
      </c>
      <c r="CZ98" s="25" t="str">
        <f>IF($CU98&gt;=RAM,"",IF($CU98-CZ$103&lt;BeginnAlter,"",ROUND(v^($CU98+FaktorAlter)*$L98*$D98*0.5*(VLOOKUP($CU98-CZ$103,Frauen!$G$9:$J$102,4)+VLOOKUP($CU98-CZ$103+1,Frauen!$G$9:$J$102,4))*0.5*(VLOOKUP($CU98-CZ$103,Frauen!$AZ$9:$BD$102,5)+VLOOKUP($CU98-CZ$103+1,Frauen!$AZ$9:$BD$102,5)),RundDx)))</f>
        <v/>
      </c>
      <c r="DA98" s="25" t="str">
        <f>IF($CU98&gt;=RAM,"",IF($CU98-DA$103&lt;BeginnAlter,"",ROUND(v^($CU98+FaktorAlter)*$L98*$D98*0.5*(VLOOKUP($CU98-DA$103,Frauen!$G$9:$J$102,4)+VLOOKUP($CU98-DA$103+1,Frauen!$G$9:$J$102,4))*0.5*(VLOOKUP($CU98-DA$103,Frauen!$AZ$9:$BD$102,5)+VLOOKUP($CU98-DA$103+1,Frauen!$AZ$9:$BD$102,5)),RundDx)))</f>
        <v/>
      </c>
      <c r="DB98" s="25" t="str">
        <f>IF($CU98&gt;=RAM,"",IF($CU98-DB$103&lt;BeginnAlter,"",ROUND(v^($CU98+FaktorAlter)*$L98*$D98*0.5*(VLOOKUP($CU98-DB$103,Frauen!$G$9:$J$102,4)+VLOOKUP($CU98-DB$103+1,Frauen!$G$9:$J$102,4))*0.5*(VLOOKUP($CU98-DB$103,Frauen!$AZ$9:$BD$102,5)+VLOOKUP($CU98-DB$103+1,Frauen!$AZ$9:$BD$102,5)),RundDx)))</f>
        <v/>
      </c>
      <c r="DC98" s="25" t="str">
        <f>IF($CU98&gt;=RAM,"",IF($CU98-DC$103&lt;BeginnAlter,"",ROUND(v^($CU98+FaktorAlter)*$L98*$D98*0.5*(VLOOKUP($CU98-DC$103,Frauen!$G$9:$J$102,4)+VLOOKUP($CU98-DC$103+1,Frauen!$G$9:$J$102,4))*0.5*(VLOOKUP($CU98-DC$103,Frauen!$AZ$9:$BD$102,5)+VLOOKUP($CU98-DC$103+1,Frauen!$AZ$9:$BD$102,5)),RundDx)))</f>
        <v/>
      </c>
      <c r="DD98" s="25" t="str">
        <f>IF($CU98&gt;=RAM,"",IF($CU98-DD$103&lt;BeginnAlter,"",ROUND(v^($CU98+FaktorAlter)*$L98*$D98*0.5*(VLOOKUP($CU98-DD$103,Frauen!$G$9:$J$102,4)+VLOOKUP($CU98-DD$103+1,Frauen!$G$9:$J$102,4))*0.5*(VLOOKUP($CU98-DD$103,Frauen!$AZ$9:$BD$102,5)+VLOOKUP($CU98-DD$103+1,Frauen!$AZ$9:$BD$102,5)),RundDx)))</f>
        <v/>
      </c>
      <c r="DE98" s="25" t="str">
        <f>IF($CU98&gt;=RAM,"",IF($CU98-DE$103&lt;BeginnAlter,"",ROUND(v^($CU98+FaktorAlter)*$L98*$D98*0.5*(VLOOKUP($CU98-DE$103,Frauen!$G$9:$J$102,4)+VLOOKUP($CU98-DE$103+1,Frauen!$G$9:$J$102,4))*0.5*(VLOOKUP($CU98-DE$103,Frauen!$AZ$9:$BD$102,5)+VLOOKUP($CU98-DE$103+1,Frauen!$AZ$9:$BD$102,5)),RundDx)))</f>
        <v/>
      </c>
      <c r="DF98" s="25" t="str">
        <f>IF($CU98&gt;=RAM,"",IF($CU98-DF$103&lt;BeginnAlter,"",ROUND(v^($CU98+FaktorAlter)*$L98*$D98*0.5*(VLOOKUP($CU98-DF$103,Frauen!$G$9:$J$102,4)+VLOOKUP($CU98-DF$103+1,Frauen!$G$9:$J$102,4))*0.5*(VLOOKUP($CU98-DF$103,Frauen!$AZ$9:$BD$102,5)+VLOOKUP($CU98-DF$103+1,Frauen!$AZ$9:$BD$102,5)),RundDx)))</f>
        <v/>
      </c>
      <c r="DG98" s="25" t="str">
        <f>IF($CU98&gt;=RAM,"",IF($CU98-DG$103&lt;BeginnAlter,"",ROUND(v^($CU98+FaktorAlter)*$L98*$D98*0.5*(VLOOKUP($CU98-DG$103,Frauen!$G$9:$J$102,4)+VLOOKUP($CU98-DG$103+1,Frauen!$G$9:$J$102,4))*0.5*(VLOOKUP($CU98-DG$103,Frauen!$AZ$9:$BD$102,5)+VLOOKUP($CU98-DG$103+1,Frauen!$AZ$9:$BD$102,5)),RundDx)))</f>
        <v/>
      </c>
      <c r="DH98" s="25" t="str">
        <f>IF($CU98&gt;=RAM,"",IF($CU98-DH$103&lt;BeginnAlter,"",ROUND(v^($CU98+FaktorAlter)*$L98*$D98*0.5*(VLOOKUP($CU98-DH$103,Frauen!$G$9:$J$102,4)+VLOOKUP($CU98-DH$103+1,Frauen!$G$9:$J$102,4))*0.5*(VLOOKUP($CU98-DH$103,Frauen!$AZ$9:$BD$102,5)+VLOOKUP($CU98-DH$103+1,Frauen!$AZ$9:$BD$102,5)),RundDx)))</f>
        <v/>
      </c>
      <c r="DI98" s="25" t="str">
        <f>IF($CU98&gt;=RAM,"",IF($CU98-DI$103&lt;BeginnAlter,"",ROUND(v^($CU98+FaktorAlter)*$L98*$D98*0.5*(VLOOKUP($CU98-DI$103,Frauen!$G$9:$J$102,4)+VLOOKUP($CU98-DI$103+1,Frauen!$G$9:$J$102,4))*0.5*(VLOOKUP($CU98-DI$103,Frauen!$AZ$9:$BD$102,5)+VLOOKUP($CU98-DI$103+1,Frauen!$AZ$9:$BD$102,5)),RundDx)))</f>
        <v/>
      </c>
      <c r="DJ98" s="25" t="str">
        <f>IF($CU98&gt;=RAM,"",IF($CU98-DJ$103&lt;BeginnAlter,"",ROUND(v^($CU98+FaktorAlter)*$L98*$D98*0.5*(VLOOKUP($CU98-DJ$103,Frauen!$G$9:$J$102,4)+VLOOKUP($CU98-DJ$103+1,Frauen!$G$9:$J$102,4))*0.5*(VLOOKUP($CU98-DJ$103,Frauen!$AZ$9:$BD$102,5)+VLOOKUP($CU98-DJ$103+1,Frauen!$AZ$9:$BD$102,5)),RundDx)))</f>
        <v/>
      </c>
      <c r="DK98" s="25" t="str">
        <f>IF($CU98&gt;=RAM,"",IF($CU98-DK$103&lt;BeginnAlter,"",ROUND(v^($CU98+FaktorAlter)*$L98*$D98*0.5*(VLOOKUP($CU98-DK$103,Frauen!$G$9:$J$102,4)+VLOOKUP($CU98-DK$103+1,Frauen!$G$9:$J$102,4))*0.5*(VLOOKUP($CU98-DK$103,Frauen!$AZ$9:$BD$102,5)+VLOOKUP($CU98-DK$103+1,Frauen!$AZ$9:$BD$102,5)),RundDx)))</f>
        <v/>
      </c>
      <c r="DL98" s="25" t="str">
        <f>IF($CU98&gt;=RAM,"",IF($CU98-DL$103&lt;BeginnAlter,"",ROUND(v^($CU98+FaktorAlter)*$L98*$D98*0.5*(VLOOKUP($CU98-DL$103,Frauen!$G$9:$J$102,4)+VLOOKUP($CU98-DL$103+1,Frauen!$G$9:$J$102,4))*0.5*(VLOOKUP($CU98-DL$103,Frauen!$AZ$9:$BD$102,5)+VLOOKUP($CU98-DL$103+1,Frauen!$AZ$9:$BD$102,5)),RundDx)))</f>
        <v/>
      </c>
      <c r="DM98" s="25" t="str">
        <f>IF($CU98&gt;=RAM,"",IF($CU98-DM$103&lt;BeginnAlter,"",ROUND(v^($CU98+FaktorAlter)*$L98*$D98*0.5*(VLOOKUP($CU98-DM$103,Frauen!$G$9:$J$102,4)+VLOOKUP($CU98-DM$103+1,Frauen!$G$9:$J$102,4))*0.5*(VLOOKUP($CU98-DM$103,Frauen!$AZ$9:$BD$102,5)+VLOOKUP($CU98-DM$103+1,Frauen!$AZ$9:$BD$102,5)),RundDx)))</f>
        <v/>
      </c>
      <c r="DN98" s="25" t="str">
        <f>IF($CU98&gt;=RAM,"",IF($CU98-DN$103&lt;BeginnAlter,"",ROUND(v^($CU98+FaktorAlter)*$L98*$D98*0.5*(VLOOKUP($CU98-DN$103,Frauen!$G$9:$J$102,4)+VLOOKUP($CU98-DN$103+1,Frauen!$G$9:$J$102,4))*0.5*(VLOOKUP($CU98-DN$103,Frauen!$AZ$9:$BD$102,5)+VLOOKUP($CU98-DN$103+1,Frauen!$AZ$9:$BD$102,5)),RundDx)))</f>
        <v/>
      </c>
      <c r="DO98" s="25" t="str">
        <f>IF($CU98&gt;=RAM,"",IF($CU98-DO$103&lt;BeginnAlter,"",ROUND(v^($CU98+FaktorAlter)*$L98*$D98*0.5*(VLOOKUP($CU98-DO$103,Frauen!$G$9:$J$102,4)+VLOOKUP($CU98-DO$103+1,Frauen!$G$9:$J$102,4))*0.5*(VLOOKUP($CU98-DO$103,Frauen!$AZ$9:$BD$102,5)+VLOOKUP($CU98-DO$103+1,Frauen!$AZ$9:$BD$102,5)),RundDx)))</f>
        <v/>
      </c>
      <c r="DP98" s="25" t="str">
        <f>IF($CU98&gt;=RAM,"",IF($CU98-DP$103&lt;BeginnAlter,"",ROUND(v^($CU98+FaktorAlter)*$L98*$D98*0.5*(VLOOKUP($CU98-DP$103,Frauen!$G$9:$J$102,4)+VLOOKUP($CU98-DP$103+1,Frauen!$G$9:$J$102,4))*0.5*(VLOOKUP($CU98-DP$103,Frauen!$AZ$9:$BD$102,5)+VLOOKUP($CU98-DP$103+1,Frauen!$AZ$9:$BD$102,5)),RundDx)))</f>
        <v/>
      </c>
      <c r="DQ98" s="25" t="str">
        <f>IF($CU98&gt;=RAM,"",IF($CU98-DQ$103&lt;BeginnAlter,"",ROUND(v^($CU98+FaktorAlter)*$L98*$D98*0.5*(VLOOKUP($CU98-DQ$103,Frauen!$G$9:$J$102,4)+VLOOKUP($CU98-DQ$103+1,Frauen!$G$9:$J$102,4))*0.5*(VLOOKUP($CU98-DQ$103,Frauen!$AZ$9:$BD$102,5)+VLOOKUP($CU98-DQ$103+1,Frauen!$AZ$9:$BD$102,5)),RundDx)))</f>
        <v/>
      </c>
      <c r="DR98" s="25" t="str">
        <f>IF($CU98&gt;=RAM,"",IF($CU98-DR$103&lt;BeginnAlter,"",ROUND(v^($CU98+FaktorAlter)*$L98*$D98*0.5*(VLOOKUP($CU98-DR$103,Frauen!$G$9:$J$102,4)+VLOOKUP($CU98-DR$103+1,Frauen!$G$9:$J$102,4))*0.5*(VLOOKUP($CU98-DR$103,Frauen!$AZ$9:$BD$102,5)+VLOOKUP($CU98-DR$103+1,Frauen!$AZ$9:$BD$102,5)),RundDx)))</f>
        <v/>
      </c>
      <c r="DS98" s="25" t="str">
        <f>IF($CU98&gt;=RAM,"",IF($CU98-DS$103&lt;BeginnAlter,"",ROUND(v^($CU98+FaktorAlter)*$L98*$D98*0.5*(VLOOKUP($CU98-DS$103,Frauen!$G$9:$J$102,4)+VLOOKUP($CU98-DS$103+1,Frauen!$G$9:$J$102,4))*0.5*(VLOOKUP($CU98-DS$103,Frauen!$AZ$9:$BD$102,5)+VLOOKUP($CU98-DS$103+1,Frauen!$AZ$9:$BD$102,5)),RundDx)))</f>
        <v/>
      </c>
      <c r="DT98" s="25" t="str">
        <f>IF($CU98&gt;=RAM,"",IF($CU98-DT$103&lt;BeginnAlter,"",ROUND(v^($CU98+FaktorAlter)*$L98*$D98*0.5*(VLOOKUP($CU98-DT$103,Frauen!$G$9:$J$102,4)+VLOOKUP($CU98-DT$103+1,Frauen!$G$9:$J$102,4))*0.5*(VLOOKUP($CU98-DT$103,Frauen!$AZ$9:$BD$102,5)+VLOOKUP($CU98-DT$103+1,Frauen!$AZ$9:$BD$102,5)),RundDx)))</f>
        <v/>
      </c>
      <c r="DU98" s="25" t="str">
        <f>IF($CU98&gt;=RAM,"",IF($CU98-DU$103&lt;BeginnAlter,"",ROUND(v^($CU98+FaktorAlter)*$L98*$D98*0.5*(VLOOKUP($CU98-DU$103,Frauen!$G$9:$J$102,4)+VLOOKUP($CU98-DU$103+1,Frauen!$G$9:$J$102,4))*0.5*(VLOOKUP($CU98-DU$103,Frauen!$AZ$9:$BD$102,5)+VLOOKUP($CU98-DU$103+1,Frauen!$AZ$9:$BD$102,5)),RundDx)))</f>
        <v/>
      </c>
      <c r="DV98" s="25" t="str">
        <f>IF($CU98&gt;=RAM,"",IF($CU98-DV$103&lt;BeginnAlter,"",ROUND(v^($CU98+FaktorAlter)*$L98*$D98*0.5*(VLOOKUP($CU98-DV$103,Frauen!$G$9:$J$102,4)+VLOOKUP($CU98-DV$103+1,Frauen!$G$9:$J$102,4))*0.5*(VLOOKUP($CU98-DV$103,Frauen!$AZ$9:$BD$102,5)+VLOOKUP($CU98-DV$103+1,Frauen!$AZ$9:$BD$102,5)),RundDx)))</f>
        <v/>
      </c>
      <c r="DW98" s="25" t="str">
        <f>IF($CU98&gt;=RAM,"",IF($CU98-DW$103&lt;BeginnAlter,"",ROUND(v^($CU98+FaktorAlter)*$L98*$D98*0.5*(VLOOKUP($CU98-DW$103,Frauen!$G$9:$J$102,4)+VLOOKUP($CU98-DW$103+1,Frauen!$G$9:$J$102,4))*0.5*(VLOOKUP($CU98-DW$103,Frauen!$AZ$9:$BD$102,5)+VLOOKUP($CU98-DW$103+1,Frauen!$AZ$9:$BD$102,5)),RundDx)))</f>
        <v/>
      </c>
      <c r="DX98" s="25" t="str">
        <f>IF($CU98&gt;=RAM,"",IF($CU98-DX$103&lt;BeginnAlter,"",ROUND(v^($CU98+FaktorAlter)*$L98*$D98*0.5*(VLOOKUP($CU98-DX$103,Frauen!$G$9:$J$102,4)+VLOOKUP($CU98-DX$103+1,Frauen!$G$9:$J$102,4))*0.5*(VLOOKUP($CU98-DX$103,Frauen!$AZ$9:$BD$102,5)+VLOOKUP($CU98-DX$103+1,Frauen!$AZ$9:$BD$102,5)),RundDx)))</f>
        <v/>
      </c>
      <c r="DY98" s="25" t="str">
        <f>IF($CU98&gt;=RAM,"",IF($CU98-DY$103&lt;BeginnAlter,"",ROUND(v^($CU98+FaktorAlter)*$L98*$D98*0.5*(VLOOKUP($CU98-DY$103,Frauen!$G$9:$J$102,4)+VLOOKUP($CU98-DY$103+1,Frauen!$G$9:$J$102,4))*0.5*(VLOOKUP($CU98-DY$103,Frauen!$AZ$9:$BD$102,5)+VLOOKUP($CU98-DY$103+1,Frauen!$AZ$9:$BD$102,5)),RundDx)))</f>
        <v/>
      </c>
      <c r="DZ98" s="25" t="str">
        <f>IF($CU98&gt;=RAM,"",IF($CU98-DZ$103&lt;BeginnAlter,"",ROUND(v^($CU98+FaktorAlter)*$L98*$D98*0.5*(VLOOKUP($CU98-DZ$103,Frauen!$G$9:$J$102,4)+VLOOKUP($CU98-DZ$103+1,Frauen!$G$9:$J$102,4))*0.5*(VLOOKUP($CU98-DZ$103,Frauen!$AZ$9:$BD$102,5)+VLOOKUP($CU98-DZ$103+1,Frauen!$AZ$9:$BD$102,5)),RundDx)))</f>
        <v/>
      </c>
      <c r="EA98" s="43" t="str">
        <f>IF($CU98&gt;=RAM,"",IF($CU98-EA$103&lt;BeginnAlter,"",ROUND((SUM(CV$56:CV98)+SUM(FN$9:FN$56))/VLOOKUP($CU98,$AH$9:$AI$102,2)/VLOOKUP($CU98-EA$103,Frauen!$G$9:$J$102,4),Rundäx)))</f>
        <v/>
      </c>
      <c r="EB98" s="43" t="str">
        <f>IF($CU98&gt;=RAM,"",IF($CU98-EB$103&lt;BeginnAlter,"",ROUND((SUM(CW$56:CW98)+SUM(FO$9:FO$56))/VLOOKUP($CU98,$AH$9:$AI$102,2)/VLOOKUP($CU98-EB$103,Frauen!$G$9:$J$102,4),Rundäx)))</f>
        <v/>
      </c>
      <c r="EC98" s="43" t="str">
        <f>IF($CU98&gt;=RAM,"",IF($CU98-EC$103&lt;BeginnAlter,"",ROUND((SUM(CX$56:CX98)+SUM(FP$9:FP$56))/VLOOKUP($CU98,$AH$9:$AI$102,2)/VLOOKUP($CU98-EC$103,Frauen!$G$9:$J$102,4),Rundäx)))</f>
        <v/>
      </c>
      <c r="ED98" s="43" t="str">
        <f>IF($CU98&gt;=RAM,"",IF($CU98-ED$103&lt;BeginnAlter,"",ROUND((SUM(CY$56:CY98)+SUM(FQ$9:FQ$56))/VLOOKUP($CU98,$AH$9:$AI$102,2)/VLOOKUP($CU98-ED$103,Frauen!$G$9:$J$102,4),Rundäx)))</f>
        <v/>
      </c>
      <c r="EE98" s="43" t="str">
        <f>IF($CU98&gt;=RAM,"",IF($CU98-EE$103&lt;BeginnAlter,"",ROUND((SUM(CZ$56:CZ98)+SUM(FR$9:FR$56))/VLOOKUP($CU98,$AH$9:$AI$102,2)/VLOOKUP($CU98-EE$103,Frauen!$G$9:$J$102,4),Rundäx)))</f>
        <v/>
      </c>
      <c r="EF98" s="43" t="str">
        <f>IF($CU98&gt;=RAM,"",IF($CU98-EF$103&lt;BeginnAlter,"",ROUND((SUM(DA$56:DA98)+SUM(FS$9:FS$56))/VLOOKUP($CU98,$AH$9:$AI$102,2)/VLOOKUP($CU98-EF$103,Frauen!$G$9:$J$102,4),Rundäx)))</f>
        <v/>
      </c>
      <c r="EG98" s="43" t="str">
        <f>IF($CU98&gt;=RAM,"",IF($CU98-EG$103&lt;BeginnAlter,"",ROUND((SUM(DB$56:DB98)+SUM(FT$9:FT$56))/VLOOKUP($CU98,$AH$9:$AI$102,2)/VLOOKUP($CU98-EG$103,Frauen!$G$9:$J$102,4),Rundäx)))</f>
        <v/>
      </c>
      <c r="EH98" s="43" t="str">
        <f>IF($CU98&gt;=RAM,"",IF($CU98-EH$103&lt;BeginnAlter,"",ROUND((SUM(DC$56:DC98)+SUM(FU$9:FU$56))/VLOOKUP($CU98,$AH$9:$AI$102,2)/VLOOKUP($CU98-EH$103,Frauen!$G$9:$J$102,4),Rundäx)))</f>
        <v/>
      </c>
      <c r="EI98" s="86"/>
      <c r="EJ98" s="35">
        <f t="shared" si="180"/>
        <v>106</v>
      </c>
      <c r="EK98" s="43" t="str">
        <f>IF($CU98&gt;=RAM,"",IF($CU98-EK$103&lt;BeginnAlter,"",ROUND((SUM(DD$56:DD98)+SUM(FV$9:FV$56))/VLOOKUP($CU98,$AH$9:$AI$102,2)/VLOOKUP($CU98-EK$103,Frauen!$G$9:$J$102,4),Rundäx)))</f>
        <v/>
      </c>
      <c r="EL98" s="43" t="str">
        <f>IF($CU98&gt;=RAM,"",IF($CU98-EL$103&lt;BeginnAlter,"",ROUND((SUM(DE$56:DE98)+SUM(FW$9:FW$56))/VLOOKUP($CU98,$AH$9:$AI$102,2)/VLOOKUP($CU98-EL$103,Frauen!$G$9:$J$102,4),Rundäx)))</f>
        <v/>
      </c>
      <c r="EM98" s="43" t="str">
        <f>IF($CU98&gt;=RAM,"",IF($CU98-EM$103&lt;BeginnAlter,"",ROUND((SUM(DF$56:DF98)+SUM(FX$9:FX$56))/VLOOKUP($CU98,$AH$9:$AI$102,2)/VLOOKUP($CU98-EM$103,Frauen!$G$9:$J$102,4),Rundäx)))</f>
        <v/>
      </c>
      <c r="EN98" s="43" t="str">
        <f>IF($CU98&gt;=RAM,"",IF($CU98-EN$103&lt;BeginnAlter,"",ROUND((SUM(DG$56:DG98)+SUM(FY$9:FY$56))/VLOOKUP($CU98,$AH$9:$AI$102,2)/VLOOKUP($CU98-EN$103,Frauen!$G$9:$J$102,4),Rundäx)))</f>
        <v/>
      </c>
      <c r="EO98" s="43" t="str">
        <f>IF($CU98&gt;=RAM,"",IF($CU98-EO$103&lt;BeginnAlter,"",ROUND((SUM(DH$56:DH98)+SUM(FZ$9:FZ$56))/VLOOKUP($CU98,$AH$9:$AI$102,2)/VLOOKUP($CU98-EO$103,Frauen!$G$9:$J$102,4),Rundäx)))</f>
        <v/>
      </c>
      <c r="EP98" s="43" t="str">
        <f>IF($CU98&gt;=RAM,"",IF($CU98-EP$103&lt;BeginnAlter,"",ROUND((SUM(DI$56:DI98)+SUM(GA$9:GA$56))/VLOOKUP($CU98,$AH$9:$AI$102,2)/VLOOKUP($CU98-EP$103,Frauen!$G$9:$J$102,4),Rundäx)))</f>
        <v/>
      </c>
      <c r="EQ98" s="43" t="str">
        <f>IF($CU98&gt;=RAM,"",IF($CU98-EQ$103&lt;BeginnAlter,"",ROUND((SUM(DJ$56:DJ98)+SUM(GB$9:GB$56))/VLOOKUP($CU98,$AH$9:$AI$102,2)/VLOOKUP($CU98-EQ$103,Frauen!$G$9:$J$102,4),Rundäx)))</f>
        <v/>
      </c>
      <c r="ER98" s="43" t="str">
        <f>IF($CU98&gt;=RAM,"",IF($CU98-ER$103&lt;BeginnAlter,"",ROUND((SUM(DK$56:DK98)+SUM(GC$9:GC$56))/VLOOKUP($CU98,$AH$9:$AI$102,2)/VLOOKUP($CU98-ER$103,Frauen!$G$9:$J$102,4),Rundäx)))</f>
        <v/>
      </c>
      <c r="ES98" s="86"/>
      <c r="ET98" s="35">
        <f t="shared" si="181"/>
        <v>106</v>
      </c>
      <c r="EU98" s="43" t="str">
        <f>IF($CU98&gt;=RAM,"",IF($CU98-EU$103&lt;BeginnAlter,"",ROUND((SUM(DL$56:DL98)+SUM(GD$9:GD$56))/VLOOKUP($CU98,$AH$9:$AI$102,2)/VLOOKUP($CU98-EU$103,Frauen!$G$9:$J$102,4),Rundäx)))</f>
        <v/>
      </c>
      <c r="EV98" s="43" t="str">
        <f>IF($CU98&gt;=RAM,"",IF($CU98-EV$103&lt;BeginnAlter,"",ROUND((SUM(DM$56:DM98)+SUM(GE$9:GE$56))/VLOOKUP($CU98,$AH$9:$AI$102,2)/VLOOKUP($CU98-EV$103,Frauen!$G$9:$J$102,4),Rundäx)))</f>
        <v/>
      </c>
      <c r="EW98" s="43" t="str">
        <f>IF($CU98&gt;=RAM,"",IF($CU98-EW$103&lt;BeginnAlter,"",ROUND((SUM(DN$56:DN98)+SUM(GF$9:GF$56))/VLOOKUP($CU98,$AH$9:$AI$102,2)/VLOOKUP($CU98-EW$103,Frauen!$G$9:$J$102,4),Rundäx)))</f>
        <v/>
      </c>
      <c r="EX98" s="43" t="str">
        <f>IF($CU98&gt;=RAM,"",IF($CU98-EX$103&lt;BeginnAlter,"",ROUND((SUM(DO$56:DO98)+SUM(GG$9:GG$56))/VLOOKUP($CU98,$AH$9:$AI$102,2)/VLOOKUP($CU98-EX$103,Frauen!$G$9:$J$102,4),Rundäx)))</f>
        <v/>
      </c>
      <c r="EY98" s="43" t="str">
        <f>IF($CU98&gt;=RAM,"",IF($CU98-EY$103&lt;BeginnAlter,"",ROUND((SUM(DP$56:DP98)+SUM(GH$9:GH$56))/VLOOKUP($CU98,$AH$9:$AI$102,2)/VLOOKUP($CU98-EY$103,Frauen!$G$9:$J$102,4),Rundäx)))</f>
        <v/>
      </c>
      <c r="EZ98" s="43" t="str">
        <f>IF($CU98&gt;=RAM,"",IF($CU98-EZ$103&lt;BeginnAlter,"",ROUND((SUM(DQ$56:DQ98)+SUM(GI$9:GI$56))/VLOOKUP($CU98,$AH$9:$AI$102,2)/VLOOKUP($CU98-EZ$103,Frauen!$G$9:$J$102,4),Rundäx)))</f>
        <v/>
      </c>
      <c r="FA98" s="43" t="str">
        <f>IF($CU98&gt;=RAM,"",IF($CU98-FA$103&lt;BeginnAlter,"",ROUND((SUM(DR$56:DR98)+SUM(GJ$9:GJ$56))/VLOOKUP($CU98,$AH$9:$AI$102,2)/VLOOKUP($CU98-FA$103,Frauen!$G$9:$J$102,4),Rundäx)))</f>
        <v/>
      </c>
      <c r="FB98" s="43" t="str">
        <f>IF($CU98&gt;=RAM,"",IF($CU98-FB$103&lt;BeginnAlter,"",ROUND((SUM(DS$56:DS98)+SUM(GK$9:GK$56))/VLOOKUP($CU98,$AH$9:$AI$102,2)/VLOOKUP($CU98-FB$103,Frauen!$G$9:$J$102,4),Rundäx)))</f>
        <v/>
      </c>
      <c r="FC98" s="86"/>
      <c r="FD98" s="35">
        <f t="shared" si="182"/>
        <v>106</v>
      </c>
      <c r="FE98" s="43" t="str">
        <f>IF($CU98&gt;=RAM,"",IF($CU98-FE$103&lt;BeginnAlter,"",ROUND((SUM(DT$56:DT98)+SUM(GL$9:GL$56))/VLOOKUP($CU98,$AH$9:$AI$102,2)/VLOOKUP($CU98-FE$103,Frauen!$G$9:$J$102,4),Rundäx)))</f>
        <v/>
      </c>
      <c r="FF98" s="43" t="str">
        <f>IF($CU98&gt;=RAM,"",IF($CU98-FF$103&lt;BeginnAlter,"",ROUND((SUM(DU$56:DU98)+SUM(GM$9:GM$56))/VLOOKUP($CU98,$AH$9:$AI$102,2)/VLOOKUP($CU98-FF$103,Frauen!$G$9:$J$102,4),Rundäx)))</f>
        <v/>
      </c>
      <c r="FG98" s="43" t="str">
        <f>IF($CU98&gt;=RAM,"",IF($CU98-FG$103&lt;BeginnAlter,"",ROUND((SUM(DV$56:DV98)+SUM(GN$9:GN$56))/VLOOKUP($CU98,$AH$9:$AI$102,2)/VLOOKUP($CU98-FG$103,Frauen!$G$9:$J$102,4),Rundäx)))</f>
        <v/>
      </c>
      <c r="FH98" s="43" t="str">
        <f>IF($CU98&gt;=RAM,"",IF($CU98-FH$103&lt;BeginnAlter,"",ROUND((SUM(DW$56:DW98)+SUM(GO$9:GO$56))/VLOOKUP($CU98,$AH$9:$AI$102,2)/VLOOKUP($CU98-FH$103,Frauen!$G$9:$J$102,4),Rundäx)))</f>
        <v/>
      </c>
      <c r="FI98" s="43" t="str">
        <f>IF($CU98&gt;=RAM,"",IF($CU98-FI$103&lt;BeginnAlter,"",ROUND((SUM(DX$56:DX98)+SUM(GP$9:GP$56))/VLOOKUP($CU98,$AH$9:$AI$102,2)/VLOOKUP($CU98-FI$103,Frauen!$G$9:$J$102,4),Rundäx)))</f>
        <v/>
      </c>
      <c r="FJ98" s="43" t="str">
        <f>IF($CU98&gt;=RAM,"",IF($CU98-FJ$103&lt;BeginnAlter,"",ROUND((SUM(DY$56:DY98)+SUM(GQ$9:GQ$56))/VLOOKUP($CU98,$AH$9:$AI$102,2)/VLOOKUP($CU98-FJ$103,Frauen!$G$9:$J$102,4),Rundäx)))</f>
        <v/>
      </c>
      <c r="FK98" s="43" t="str">
        <f>IF($CU98&gt;=RAM,"",IF($CU98-FK$103&lt;BeginnAlter,"",ROUND((SUM(DZ$56:DZ98)+SUM(GR$9:GR$56))/VLOOKUP($CU98,$AH$9:$AI$102,2)/VLOOKUP($CU98-FK$103,Frauen!$G$9:$J$102,4),Rundäx)))</f>
        <v/>
      </c>
      <c r="FL98" s="86"/>
      <c r="FM98" s="35">
        <f t="shared" si="183"/>
        <v>154</v>
      </c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4"/>
      <c r="GT98" s="24"/>
      <c r="GU98" s="24" t="str">
        <f>IF(FM98&gt;=RAM," ",#REF!/$AI98/Frauen!$J86)</f>
        <v xml:space="preserve"> </v>
      </c>
      <c r="GV98" s="24" t="str">
        <f>IF(FM98&gt;=RAM," ",#REF!/$AI98/Frauen!$J89)</f>
        <v xml:space="preserve"> </v>
      </c>
      <c r="GW98" s="24" t="str">
        <f>IF(FM98&gt;=RAM," ",#REF!/$AI98/Frauen!$J92)</f>
        <v xml:space="preserve"> </v>
      </c>
      <c r="GX98" s="24" t="str">
        <f>IF(FM98&gt;=RAM," ",#REF!/$AI98/Frauen!$J95)</f>
        <v xml:space="preserve"> </v>
      </c>
      <c r="GY98" s="24" t="str">
        <f>IF(FM98&gt;=RAM," ",#REF!/$AI98/Frauen!$J98)</f>
        <v xml:space="preserve"> </v>
      </c>
      <c r="GZ98" s="24" t="str">
        <f>IF(FM98&gt;=RAM," ",#REF!/$AI98/Frauen!$J102)</f>
        <v xml:space="preserve"> </v>
      </c>
      <c r="HA98" s="86"/>
      <c r="HB98" s="35">
        <f t="shared" si="184"/>
        <v>154</v>
      </c>
      <c r="HC98" s="24"/>
      <c r="HD98" s="24"/>
      <c r="HE98" s="24"/>
      <c r="HF98" s="24"/>
      <c r="HG98" s="24"/>
      <c r="HH98" s="24"/>
      <c r="HI98" s="24"/>
      <c r="HJ98" s="24"/>
      <c r="HK98" s="86"/>
      <c r="HL98" s="35">
        <f t="shared" si="185"/>
        <v>154</v>
      </c>
      <c r="HM98" s="24"/>
      <c r="HN98" s="24"/>
      <c r="HO98" s="24"/>
      <c r="HP98" s="24"/>
      <c r="HQ98" s="24"/>
      <c r="HR98" s="24"/>
      <c r="HS98" s="24"/>
      <c r="HT98" s="24"/>
      <c r="HU98" s="86"/>
      <c r="HV98" s="35">
        <f t="shared" si="186"/>
        <v>154</v>
      </c>
      <c r="HW98" s="24"/>
      <c r="HX98" s="24"/>
      <c r="HY98" s="24"/>
      <c r="HZ98" s="24"/>
      <c r="IA98" s="24"/>
      <c r="IB98" s="24"/>
      <c r="IC98" s="24"/>
      <c r="ID98" s="89"/>
      <c r="IE98" s="35">
        <f t="shared" si="187"/>
        <v>106</v>
      </c>
      <c r="IF98" s="25" t="str">
        <f t="shared" si="112"/>
        <v/>
      </c>
      <c r="IG98" s="25" t="str">
        <f>IF($IE98&lt;RAM,IF(S99&lt;=RAK,ROUND(SUM(IF98:INDEX(Dakx,RAM-BeginnAlter))+INDEX(Dax,RAM-BeginnAlter+1)*INDEX(äkx,1),RundDx),0),"")</f>
        <v/>
      </c>
      <c r="IH98" s="25" t="str">
        <f>IF($IE98&lt;RAM,IF(S99&lt;=RAK,ROUND(SUM(IG98:INDEX(Nakx,RAM-BeginnAlter))+INDEX(Dax,RAM-BeginnAlter+1)*INDEX(äkx,1),RundDx),0),"")</f>
        <v/>
      </c>
      <c r="II98" s="24" t="str">
        <f t="shared" si="113"/>
        <v/>
      </c>
      <c r="IJ98" s="25" t="str">
        <f t="shared" si="114"/>
        <v/>
      </c>
      <c r="IK98" s="25" t="str">
        <f>IF($IE98&lt;RAM,IF(S99&lt;=RAK,SUM(IJ98:INDEX(Dikx,RAM-BeginnAlter))+INDEX(Dix,RAM-BeginnAlter+1)*INDEX(äkx,1),0),"")</f>
        <v/>
      </c>
      <c r="IL98" s="24" t="str">
        <f t="shared" si="115"/>
        <v/>
      </c>
      <c r="IM98" s="86"/>
      <c r="IN98" s="35">
        <f t="shared" si="188"/>
        <v>154</v>
      </c>
      <c r="IO98" s="25"/>
      <c r="IP98" s="28"/>
      <c r="IQ98" s="24"/>
      <c r="IR98" s="86"/>
    </row>
    <row r="99" spans="1:252" ht="15.75" customHeight="1" x14ac:dyDescent="0.25">
      <c r="A99" s="35">
        <f t="shared" si="120"/>
        <v>107</v>
      </c>
      <c r="B99" s="77"/>
      <c r="C99" s="77"/>
      <c r="D99" s="77"/>
      <c r="E99" s="77"/>
      <c r="F99" s="86"/>
      <c r="G99" s="35">
        <f t="shared" si="121"/>
        <v>107</v>
      </c>
      <c r="H99" s="25" t="str">
        <f t="shared" si="116"/>
        <v/>
      </c>
      <c r="I99" s="25" t="str">
        <f t="shared" si="117"/>
        <v/>
      </c>
      <c r="J99" s="25"/>
      <c r="K99" s="30" t="str">
        <f>IF(J99&gt;0,ROUND(SUM(J99:J$102)/J99-0.5,Rundex),"")</f>
        <v/>
      </c>
      <c r="L99" s="25"/>
      <c r="M99" s="30" t="str">
        <f>IF(L99&gt;0,ROUND(SUM(L99:L$102)/L99-0.5,Rundex),"")</f>
        <v/>
      </c>
      <c r="N99" s="86"/>
      <c r="O99" s="35">
        <f t="shared" si="122"/>
        <v>107</v>
      </c>
      <c r="P99" s="43">
        <v>4.0000000000000001E-3</v>
      </c>
      <c r="Q99" s="78">
        <v>98.940579406296905</v>
      </c>
      <c r="R99" s="43"/>
      <c r="S99" s="78"/>
      <c r="T99" s="15"/>
      <c r="U99" s="11"/>
      <c r="V99" s="30" t="str">
        <f>IF(U99&gt;0,ROUND(SUM(U99:U$102)/U99-0.5,Rundex),"")</f>
        <v/>
      </c>
      <c r="W99" s="86"/>
      <c r="X99" s="35">
        <f t="shared" si="148"/>
        <v>107</v>
      </c>
      <c r="Y99" s="25" t="str">
        <f t="shared" si="149"/>
        <v xml:space="preserve"> </v>
      </c>
      <c r="Z99" s="25" t="str">
        <f>IF($X99&lt;RAM,SUM(Y99:INDEX(Dax,RAM-BeginnAlter))," ")</f>
        <v xml:space="preserve"> </v>
      </c>
      <c r="AA99" s="25" t="str">
        <f t="shared" si="84"/>
        <v xml:space="preserve"> </v>
      </c>
      <c r="AB99" s="25" t="str">
        <f>IF($X99&lt;RAM,SUM(AA99:INDEX(Cax,RAM-BeginnAlter))," ")</f>
        <v xml:space="preserve"> </v>
      </c>
      <c r="AC99" s="25" t="str">
        <f t="shared" si="150"/>
        <v xml:space="preserve"> </v>
      </c>
      <c r="AD99" s="25" t="str">
        <f>IF($X99&lt;RAM,SUM(AC99:INDEX(Caix,RAM-BeginnAlter))," ")</f>
        <v xml:space="preserve"> </v>
      </c>
      <c r="AE99" s="24" t="str">
        <f t="shared" si="151"/>
        <v xml:space="preserve"> </v>
      </c>
      <c r="AF99" s="24" t="str">
        <f t="shared" si="152"/>
        <v xml:space="preserve"> </v>
      </c>
      <c r="AG99" s="86"/>
      <c r="AH99" s="35">
        <f t="shared" si="153"/>
        <v>107</v>
      </c>
      <c r="AI99" s="25" t="str">
        <f t="shared" si="154"/>
        <v xml:space="preserve"> </v>
      </c>
      <c r="AJ99" s="25" t="str">
        <f>IF($AH99&gt;RAM," ",IF($AH99&lt;RAM,SUM(AI99:INDEX(Dix,RAM-BeginnAlter))+INDEX(Nx,RAM-BeginnAlter+1),INDEX(Nx,RAM-BeginnAlter+1)))</f>
        <v xml:space="preserve"> </v>
      </c>
      <c r="AK99" s="25" t="str">
        <f>IF($AH99&lt;RAM,SUM(AI99:INDEX(Dix,RAM-BeginnAlter))," ")</f>
        <v xml:space="preserve"> </v>
      </c>
      <c r="AL99" s="24" t="str">
        <f t="shared" si="155"/>
        <v xml:space="preserve"> </v>
      </c>
      <c r="AM99" s="24" t="str">
        <f t="shared" si="156"/>
        <v xml:space="preserve"> </v>
      </c>
      <c r="AN99" s="24" t="str">
        <f t="shared" si="157"/>
        <v xml:space="preserve"> </v>
      </c>
      <c r="AO99" s="24" t="str">
        <f t="shared" si="158"/>
        <v xml:space="preserve"> </v>
      </c>
      <c r="AP99" s="86"/>
      <c r="AQ99" s="35">
        <f t="shared" si="159"/>
        <v>107</v>
      </c>
      <c r="AR99" s="25"/>
      <c r="AS99" s="25"/>
      <c r="AT99" s="25" t="str">
        <f>IF($AQ99&lt;RAM,SUM(AR99:INDEX(Dx,RAM-BeginnAlter))," ")</f>
        <v xml:space="preserve"> </v>
      </c>
      <c r="AU99" s="24" t="str">
        <f t="shared" si="160"/>
        <v xml:space="preserve"> </v>
      </c>
      <c r="AV99" s="24" t="str">
        <f t="shared" si="161"/>
        <v xml:space="preserve"> </v>
      </c>
      <c r="AW99" s="24" t="str">
        <f t="shared" si="162"/>
        <v xml:space="preserve"> </v>
      </c>
      <c r="AX99" s="24" t="str">
        <f t="shared" si="163"/>
        <v xml:space="preserve"> </v>
      </c>
      <c r="AY99" s="86"/>
      <c r="AZ99" s="35">
        <f t="shared" si="164"/>
        <v>107</v>
      </c>
      <c r="BA99" s="25"/>
      <c r="BB99" s="25"/>
      <c r="BC99" s="24" t="str">
        <f t="shared" si="165"/>
        <v xml:space="preserve"> </v>
      </c>
      <c r="BD99" s="24">
        <f t="shared" si="100"/>
        <v>0</v>
      </c>
      <c r="BE99" s="86"/>
      <c r="BF99" s="35">
        <f t="shared" si="166"/>
        <v>90</v>
      </c>
      <c r="BG99" s="24" t="str">
        <f t="shared" si="101"/>
        <v/>
      </c>
      <c r="BH99" s="24" t="str">
        <f t="shared" si="102"/>
        <v/>
      </c>
      <c r="BI99" s="86"/>
      <c r="BJ99" s="35">
        <f t="shared" si="167"/>
        <v>107</v>
      </c>
      <c r="BK99" s="25" t="str">
        <f t="shared" si="168"/>
        <v xml:space="preserve"> </v>
      </c>
      <c r="BL99" s="25" t="str">
        <f>IF(BJ99&lt;RAM,SUM(BK99:INDEX(Daix,RAM-BeginnAlter))," ")</f>
        <v xml:space="preserve"> </v>
      </c>
      <c r="BM99" s="25" t="str">
        <f>IF(BJ99&lt;RAM,SUM(BL99:INDEX(Naix,RAM-BeginnAlter))," ")</f>
        <v xml:space="preserve"> </v>
      </c>
      <c r="BN99" s="24" t="str">
        <f t="shared" si="169"/>
        <v xml:space="preserve"> </v>
      </c>
      <c r="BO99" s="24" t="str">
        <f t="shared" si="170"/>
        <v xml:space="preserve"> </v>
      </c>
      <c r="BP99" s="86"/>
      <c r="BQ99" s="35">
        <f t="shared" si="171"/>
        <v>107</v>
      </c>
      <c r="BR99" s="25" t="str">
        <f t="shared" si="172"/>
        <v xml:space="preserve"> </v>
      </c>
      <c r="BS99" s="25" t="str">
        <f>IF(BQ99&lt;RAM,SUM(BR99:INDEX(Daixs,RAM-BeginnAlter))," ")</f>
        <v xml:space="preserve"> </v>
      </c>
      <c r="BT99" s="25" t="str">
        <f>IF(BQ99&lt;RAM,SUM(BS99:INDEX(Naixs,RAM-BeginnAlter))," ")</f>
        <v xml:space="preserve"> </v>
      </c>
      <c r="BU99" s="24" t="str">
        <f t="shared" si="173"/>
        <v xml:space="preserve"> </v>
      </c>
      <c r="BV99" s="24" t="str">
        <f t="shared" si="174"/>
        <v xml:space="preserve"> </v>
      </c>
      <c r="BW99" s="86"/>
      <c r="BX99" s="35">
        <f t="shared" si="175"/>
        <v>107</v>
      </c>
      <c r="BY99" s="10" t="str">
        <f t="shared" si="106"/>
        <v/>
      </c>
      <c r="BZ99" s="11" t="str">
        <f t="shared" si="107"/>
        <v/>
      </c>
      <c r="CA99" s="25" t="str">
        <f>IF(S100&lt;=RAK,IF($BX99&lt;RAM,SUM(BZ99:INDEX(Dazx,RAM-BeginnAlter)),""),"")</f>
        <v/>
      </c>
      <c r="CB99" s="24" t="str">
        <f t="shared" si="108"/>
        <v/>
      </c>
      <c r="CC99" s="25">
        <f t="shared" si="109"/>
        <v>0</v>
      </c>
      <c r="CD99" s="24">
        <f t="shared" si="110"/>
        <v>0</v>
      </c>
      <c r="CE99" s="24" t="str">
        <f t="shared" si="111"/>
        <v/>
      </c>
      <c r="CF99" s="86"/>
      <c r="CG99" s="35">
        <f t="shared" si="176"/>
        <v>107</v>
      </c>
      <c r="CH99" s="25" t="str">
        <f>IF(CG99&lt;RAM,ROUND(v^($CG99+FaktorAlter)*$H99*($B99*0.5*($P99+$P100)*(VLOOKUP(TRUNC(0.5*($Q99+$Q100),0),Frauen!$AZ$9:$BD$95,5)+(0.5*($Q99+$Q100)-TRUNC(0.5*($Q99+$Q100),0))*(VLOOKUP(TRUNC(0.5*($Q99+$Q100)+1,0),Frauen!$AZ$9:$BD$95,5)-VLOOKUP(TRUNC(0.5*($Q99+$Q100),0),Frauen!$AZ$9:$BD$95,5)))+$C99*0.5*($CN99+$CN100)),RundDx),"")</f>
        <v/>
      </c>
      <c r="CI99" s="25" t="str">
        <f>IF(CG99&lt;RAM,ROUND(SUM(CH99:INDEX(Dawx,RAM-BeginnAlter))+INDEX(Dax,RAM-BeginnAlter+1)*INDEX(äwx,1),RundDx),"")</f>
        <v/>
      </c>
      <c r="CJ99" s="25" t="str">
        <f>IF(CG99&lt;RAM,ROUND(SUM(CI99:INDEX(Nawx,RAM-BeginnAlter))+INDEX(Dax,RAM-BeginnAlter+1)*INDEX(äwx,1),RundDx),"")</f>
        <v/>
      </c>
      <c r="CK99" s="24" t="str">
        <f t="shared" si="177"/>
        <v/>
      </c>
      <c r="CL99" s="25" t="str">
        <f>IF(CG99&lt;RAM,ROUND(v^($CG99+FaktorAlter)*$L99*$D99*0.5*($P99+$P100)*(VLOOKUP(TRUNC(0.5*($Q99+$Q100),0),Frauen!$AZ$9:$BD$95,5)+(0.5*($Q99+$Q100)-TRUNC(0.5*($Q99+$Q100),0))*(VLOOKUP(TRUNC(0.5*($Q99+$Q100)+1,0),Frauen!$AZ$9:$BD$95,5)-VLOOKUP(TRUNC(0.5*($Q99+$Q100),0),Frauen!$AZ$9:$BD$95,5))),RundDx),"")</f>
        <v/>
      </c>
      <c r="CM99" s="25" t="str">
        <f>IF(CG99&lt;RAM,SUM(CL99:INDEX(Diwx,RAM-BeginnAlter))+INDEX(Dix,RAM-BeginnAlter+1)*INDEX(äwx,1),"")</f>
        <v/>
      </c>
      <c r="CN99" s="24" t="str">
        <f t="shared" si="178"/>
        <v/>
      </c>
      <c r="CO99" s="86"/>
      <c r="CP99" s="35">
        <f t="shared" si="147"/>
        <v>155</v>
      </c>
      <c r="CQ99" s="25"/>
      <c r="CR99" s="28"/>
      <c r="CS99" s="30"/>
      <c r="CT99" s="86"/>
      <c r="CU99" s="35">
        <f t="shared" si="179"/>
        <v>107</v>
      </c>
      <c r="CV99" s="25" t="str">
        <f>IF($CU99&gt;=RAM,"",IF($CU99-CV$103&lt;BeginnAlter,"",ROUND(v^($CU99+FaktorAlter)*$L99*$D99*0.5*(VLOOKUP($CU99-CV$103,Frauen!$G$9:$J$102,4)+VLOOKUP($CU99-CV$103+1,Frauen!$G$9:$J$102,4))*0.5*(VLOOKUP($CU99-CV$103,Frauen!$AZ$9:$BD$102,5)+VLOOKUP($CU99-CV$103+1,Frauen!$AZ$9:$BD$102,5)),RundDx)))</f>
        <v/>
      </c>
      <c r="CW99" s="25" t="str">
        <f>IF($CU99&gt;=RAM,"",IF($CU99-CW$103&lt;BeginnAlter,"",ROUND(v^($CU99+FaktorAlter)*$L99*$D99*0.5*(VLOOKUP($CU99-CW$103,Frauen!$G$9:$J$102,4)+VLOOKUP($CU99-CW$103+1,Frauen!$G$9:$J$102,4))*0.5*(VLOOKUP($CU99-CW$103,Frauen!$AZ$9:$BD$102,5)+VLOOKUP($CU99-CW$103+1,Frauen!$AZ$9:$BD$102,5)),RundDx)))</f>
        <v/>
      </c>
      <c r="CX99" s="25" t="str">
        <f>IF($CU99&gt;=RAM,"",IF($CU99-CX$103&lt;BeginnAlter,"",ROUND(v^($CU99+FaktorAlter)*$L99*$D99*0.5*(VLOOKUP($CU99-CX$103,Frauen!$G$9:$J$102,4)+VLOOKUP($CU99-CX$103+1,Frauen!$G$9:$J$102,4))*0.5*(VLOOKUP($CU99-CX$103,Frauen!$AZ$9:$BD$102,5)+VLOOKUP($CU99-CX$103+1,Frauen!$AZ$9:$BD$102,5)),RundDx)))</f>
        <v/>
      </c>
      <c r="CY99" s="25" t="str">
        <f>IF($CU99&gt;=RAM,"",IF($CU99-CY$103&lt;BeginnAlter,"",ROUND(v^($CU99+FaktorAlter)*$L99*$D99*0.5*(VLOOKUP($CU99-CY$103,Frauen!$G$9:$J$102,4)+VLOOKUP($CU99-CY$103+1,Frauen!$G$9:$J$102,4))*0.5*(VLOOKUP($CU99-CY$103,Frauen!$AZ$9:$BD$102,5)+VLOOKUP($CU99-CY$103+1,Frauen!$AZ$9:$BD$102,5)),RundDx)))</f>
        <v/>
      </c>
      <c r="CZ99" s="25" t="str">
        <f>IF($CU99&gt;=RAM,"",IF($CU99-CZ$103&lt;BeginnAlter,"",ROUND(v^($CU99+FaktorAlter)*$L99*$D99*0.5*(VLOOKUP($CU99-CZ$103,Frauen!$G$9:$J$102,4)+VLOOKUP($CU99-CZ$103+1,Frauen!$G$9:$J$102,4))*0.5*(VLOOKUP($CU99-CZ$103,Frauen!$AZ$9:$BD$102,5)+VLOOKUP($CU99-CZ$103+1,Frauen!$AZ$9:$BD$102,5)),RundDx)))</f>
        <v/>
      </c>
      <c r="DA99" s="25" t="str">
        <f>IF($CU99&gt;=RAM,"",IF($CU99-DA$103&lt;BeginnAlter,"",ROUND(v^($CU99+FaktorAlter)*$L99*$D99*0.5*(VLOOKUP($CU99-DA$103,Frauen!$G$9:$J$102,4)+VLOOKUP($CU99-DA$103+1,Frauen!$G$9:$J$102,4))*0.5*(VLOOKUP($CU99-DA$103,Frauen!$AZ$9:$BD$102,5)+VLOOKUP($CU99-DA$103+1,Frauen!$AZ$9:$BD$102,5)),RundDx)))</f>
        <v/>
      </c>
      <c r="DB99" s="25" t="str">
        <f>IF($CU99&gt;=RAM,"",IF($CU99-DB$103&lt;BeginnAlter,"",ROUND(v^($CU99+FaktorAlter)*$L99*$D99*0.5*(VLOOKUP($CU99-DB$103,Frauen!$G$9:$J$102,4)+VLOOKUP($CU99-DB$103+1,Frauen!$G$9:$J$102,4))*0.5*(VLOOKUP($CU99-DB$103,Frauen!$AZ$9:$BD$102,5)+VLOOKUP($CU99-DB$103+1,Frauen!$AZ$9:$BD$102,5)),RundDx)))</f>
        <v/>
      </c>
      <c r="DC99" s="25" t="str">
        <f>IF($CU99&gt;=RAM,"",IF($CU99-DC$103&lt;BeginnAlter,"",ROUND(v^($CU99+FaktorAlter)*$L99*$D99*0.5*(VLOOKUP($CU99-DC$103,Frauen!$G$9:$J$102,4)+VLOOKUP($CU99-DC$103+1,Frauen!$G$9:$J$102,4))*0.5*(VLOOKUP($CU99-DC$103,Frauen!$AZ$9:$BD$102,5)+VLOOKUP($CU99-DC$103+1,Frauen!$AZ$9:$BD$102,5)),RundDx)))</f>
        <v/>
      </c>
      <c r="DD99" s="25" t="str">
        <f>IF($CU99&gt;=RAM,"",IF($CU99-DD$103&lt;BeginnAlter,"",ROUND(v^($CU99+FaktorAlter)*$L99*$D99*0.5*(VLOOKUP($CU99-DD$103,Frauen!$G$9:$J$102,4)+VLOOKUP($CU99-DD$103+1,Frauen!$G$9:$J$102,4))*0.5*(VLOOKUP($CU99-DD$103,Frauen!$AZ$9:$BD$102,5)+VLOOKUP($CU99-DD$103+1,Frauen!$AZ$9:$BD$102,5)),RundDx)))</f>
        <v/>
      </c>
      <c r="DE99" s="25" t="str">
        <f>IF($CU99&gt;=RAM,"",IF($CU99-DE$103&lt;BeginnAlter,"",ROUND(v^($CU99+FaktorAlter)*$L99*$D99*0.5*(VLOOKUP($CU99-DE$103,Frauen!$G$9:$J$102,4)+VLOOKUP($CU99-DE$103+1,Frauen!$G$9:$J$102,4))*0.5*(VLOOKUP($CU99-DE$103,Frauen!$AZ$9:$BD$102,5)+VLOOKUP($CU99-DE$103+1,Frauen!$AZ$9:$BD$102,5)),RundDx)))</f>
        <v/>
      </c>
      <c r="DF99" s="25" t="str">
        <f>IF($CU99&gt;=RAM,"",IF($CU99-DF$103&lt;BeginnAlter,"",ROUND(v^($CU99+FaktorAlter)*$L99*$D99*0.5*(VLOOKUP($CU99-DF$103,Frauen!$G$9:$J$102,4)+VLOOKUP($CU99-DF$103+1,Frauen!$G$9:$J$102,4))*0.5*(VLOOKUP($CU99-DF$103,Frauen!$AZ$9:$BD$102,5)+VLOOKUP($CU99-DF$103+1,Frauen!$AZ$9:$BD$102,5)),RundDx)))</f>
        <v/>
      </c>
      <c r="DG99" s="25" t="str">
        <f>IF($CU99&gt;=RAM,"",IF($CU99-DG$103&lt;BeginnAlter,"",ROUND(v^($CU99+FaktorAlter)*$L99*$D99*0.5*(VLOOKUP($CU99-DG$103,Frauen!$G$9:$J$102,4)+VLOOKUP($CU99-DG$103+1,Frauen!$G$9:$J$102,4))*0.5*(VLOOKUP($CU99-DG$103,Frauen!$AZ$9:$BD$102,5)+VLOOKUP($CU99-DG$103+1,Frauen!$AZ$9:$BD$102,5)),RundDx)))</f>
        <v/>
      </c>
      <c r="DH99" s="25" t="str">
        <f>IF($CU99&gt;=RAM,"",IF($CU99-DH$103&lt;BeginnAlter,"",ROUND(v^($CU99+FaktorAlter)*$L99*$D99*0.5*(VLOOKUP($CU99-DH$103,Frauen!$G$9:$J$102,4)+VLOOKUP($CU99-DH$103+1,Frauen!$G$9:$J$102,4))*0.5*(VLOOKUP($CU99-DH$103,Frauen!$AZ$9:$BD$102,5)+VLOOKUP($CU99-DH$103+1,Frauen!$AZ$9:$BD$102,5)),RundDx)))</f>
        <v/>
      </c>
      <c r="DI99" s="25" t="str">
        <f>IF($CU99&gt;=RAM,"",IF($CU99-DI$103&lt;BeginnAlter,"",ROUND(v^($CU99+FaktorAlter)*$L99*$D99*0.5*(VLOOKUP($CU99-DI$103,Frauen!$G$9:$J$102,4)+VLOOKUP($CU99-DI$103+1,Frauen!$G$9:$J$102,4))*0.5*(VLOOKUP($CU99-DI$103,Frauen!$AZ$9:$BD$102,5)+VLOOKUP($CU99-DI$103+1,Frauen!$AZ$9:$BD$102,5)),RundDx)))</f>
        <v/>
      </c>
      <c r="DJ99" s="25" t="str">
        <f>IF($CU99&gt;=RAM,"",IF($CU99-DJ$103&lt;BeginnAlter,"",ROUND(v^($CU99+FaktorAlter)*$L99*$D99*0.5*(VLOOKUP($CU99-DJ$103,Frauen!$G$9:$J$102,4)+VLOOKUP($CU99-DJ$103+1,Frauen!$G$9:$J$102,4))*0.5*(VLOOKUP($CU99-DJ$103,Frauen!$AZ$9:$BD$102,5)+VLOOKUP($CU99-DJ$103+1,Frauen!$AZ$9:$BD$102,5)),RundDx)))</f>
        <v/>
      </c>
      <c r="DK99" s="25" t="str">
        <f>IF($CU99&gt;=RAM,"",IF($CU99-DK$103&lt;BeginnAlter,"",ROUND(v^($CU99+FaktorAlter)*$L99*$D99*0.5*(VLOOKUP($CU99-DK$103,Frauen!$G$9:$J$102,4)+VLOOKUP($CU99-DK$103+1,Frauen!$G$9:$J$102,4))*0.5*(VLOOKUP($CU99-DK$103,Frauen!$AZ$9:$BD$102,5)+VLOOKUP($CU99-DK$103+1,Frauen!$AZ$9:$BD$102,5)),RundDx)))</f>
        <v/>
      </c>
      <c r="DL99" s="25" t="str">
        <f>IF($CU99&gt;=RAM,"",IF($CU99-DL$103&lt;BeginnAlter,"",ROUND(v^($CU99+FaktorAlter)*$L99*$D99*0.5*(VLOOKUP($CU99-DL$103,Frauen!$G$9:$J$102,4)+VLOOKUP($CU99-DL$103+1,Frauen!$G$9:$J$102,4))*0.5*(VLOOKUP($CU99-DL$103,Frauen!$AZ$9:$BD$102,5)+VLOOKUP($CU99-DL$103+1,Frauen!$AZ$9:$BD$102,5)),RundDx)))</f>
        <v/>
      </c>
      <c r="DM99" s="25" t="str">
        <f>IF($CU99&gt;=RAM,"",IF($CU99-DM$103&lt;BeginnAlter,"",ROUND(v^($CU99+FaktorAlter)*$L99*$D99*0.5*(VLOOKUP($CU99-DM$103,Frauen!$G$9:$J$102,4)+VLOOKUP($CU99-DM$103+1,Frauen!$G$9:$J$102,4))*0.5*(VLOOKUP($CU99-DM$103,Frauen!$AZ$9:$BD$102,5)+VLOOKUP($CU99-DM$103+1,Frauen!$AZ$9:$BD$102,5)),RundDx)))</f>
        <v/>
      </c>
      <c r="DN99" s="25" t="str">
        <f>IF($CU99&gt;=RAM,"",IF($CU99-DN$103&lt;BeginnAlter,"",ROUND(v^($CU99+FaktorAlter)*$L99*$D99*0.5*(VLOOKUP($CU99-DN$103,Frauen!$G$9:$J$102,4)+VLOOKUP($CU99-DN$103+1,Frauen!$G$9:$J$102,4))*0.5*(VLOOKUP($CU99-DN$103,Frauen!$AZ$9:$BD$102,5)+VLOOKUP($CU99-DN$103+1,Frauen!$AZ$9:$BD$102,5)),RundDx)))</f>
        <v/>
      </c>
      <c r="DO99" s="25" t="str">
        <f>IF($CU99&gt;=RAM,"",IF($CU99-DO$103&lt;BeginnAlter,"",ROUND(v^($CU99+FaktorAlter)*$L99*$D99*0.5*(VLOOKUP($CU99-DO$103,Frauen!$G$9:$J$102,4)+VLOOKUP($CU99-DO$103+1,Frauen!$G$9:$J$102,4))*0.5*(VLOOKUP($CU99-DO$103,Frauen!$AZ$9:$BD$102,5)+VLOOKUP($CU99-DO$103+1,Frauen!$AZ$9:$BD$102,5)),RundDx)))</f>
        <v/>
      </c>
      <c r="DP99" s="25" t="str">
        <f>IF($CU99&gt;=RAM,"",IF($CU99-DP$103&lt;BeginnAlter,"",ROUND(v^($CU99+FaktorAlter)*$L99*$D99*0.5*(VLOOKUP($CU99-DP$103,Frauen!$G$9:$J$102,4)+VLOOKUP($CU99-DP$103+1,Frauen!$G$9:$J$102,4))*0.5*(VLOOKUP($CU99-DP$103,Frauen!$AZ$9:$BD$102,5)+VLOOKUP($CU99-DP$103+1,Frauen!$AZ$9:$BD$102,5)),RundDx)))</f>
        <v/>
      </c>
      <c r="DQ99" s="25" t="str">
        <f>IF($CU99&gt;=RAM,"",IF($CU99-DQ$103&lt;BeginnAlter,"",ROUND(v^($CU99+FaktorAlter)*$L99*$D99*0.5*(VLOOKUP($CU99-DQ$103,Frauen!$G$9:$J$102,4)+VLOOKUP($CU99-DQ$103+1,Frauen!$G$9:$J$102,4))*0.5*(VLOOKUP($CU99-DQ$103,Frauen!$AZ$9:$BD$102,5)+VLOOKUP($CU99-DQ$103+1,Frauen!$AZ$9:$BD$102,5)),RundDx)))</f>
        <v/>
      </c>
      <c r="DR99" s="25" t="str">
        <f>IF($CU99&gt;=RAM,"",IF($CU99-DR$103&lt;BeginnAlter,"",ROUND(v^($CU99+FaktorAlter)*$L99*$D99*0.5*(VLOOKUP($CU99-DR$103,Frauen!$G$9:$J$102,4)+VLOOKUP($CU99-DR$103+1,Frauen!$G$9:$J$102,4))*0.5*(VLOOKUP($CU99-DR$103,Frauen!$AZ$9:$BD$102,5)+VLOOKUP($CU99-DR$103+1,Frauen!$AZ$9:$BD$102,5)),RundDx)))</f>
        <v/>
      </c>
      <c r="DS99" s="25" t="str">
        <f>IF($CU99&gt;=RAM,"",IF($CU99-DS$103&lt;BeginnAlter,"",ROUND(v^($CU99+FaktorAlter)*$L99*$D99*0.5*(VLOOKUP($CU99-DS$103,Frauen!$G$9:$J$102,4)+VLOOKUP($CU99-DS$103+1,Frauen!$G$9:$J$102,4))*0.5*(VLOOKUP($CU99-DS$103,Frauen!$AZ$9:$BD$102,5)+VLOOKUP($CU99-DS$103+1,Frauen!$AZ$9:$BD$102,5)),RundDx)))</f>
        <v/>
      </c>
      <c r="DT99" s="25" t="str">
        <f>IF($CU99&gt;=RAM,"",IF($CU99-DT$103&lt;BeginnAlter,"",ROUND(v^($CU99+FaktorAlter)*$L99*$D99*0.5*(VLOOKUP($CU99-DT$103,Frauen!$G$9:$J$102,4)+VLOOKUP($CU99-DT$103+1,Frauen!$G$9:$J$102,4))*0.5*(VLOOKUP($CU99-DT$103,Frauen!$AZ$9:$BD$102,5)+VLOOKUP($CU99-DT$103+1,Frauen!$AZ$9:$BD$102,5)),RundDx)))</f>
        <v/>
      </c>
      <c r="DU99" s="25" t="str">
        <f>IF($CU99&gt;=RAM,"",IF($CU99-DU$103&lt;BeginnAlter,"",ROUND(v^($CU99+FaktorAlter)*$L99*$D99*0.5*(VLOOKUP($CU99-DU$103,Frauen!$G$9:$J$102,4)+VLOOKUP($CU99-DU$103+1,Frauen!$G$9:$J$102,4))*0.5*(VLOOKUP($CU99-DU$103,Frauen!$AZ$9:$BD$102,5)+VLOOKUP($CU99-DU$103+1,Frauen!$AZ$9:$BD$102,5)),RundDx)))</f>
        <v/>
      </c>
      <c r="DV99" s="25" t="str">
        <f>IF($CU99&gt;=RAM,"",IF($CU99-DV$103&lt;BeginnAlter,"",ROUND(v^($CU99+FaktorAlter)*$L99*$D99*0.5*(VLOOKUP($CU99-DV$103,Frauen!$G$9:$J$102,4)+VLOOKUP($CU99-DV$103+1,Frauen!$G$9:$J$102,4))*0.5*(VLOOKUP($CU99-DV$103,Frauen!$AZ$9:$BD$102,5)+VLOOKUP($CU99-DV$103+1,Frauen!$AZ$9:$BD$102,5)),RundDx)))</f>
        <v/>
      </c>
      <c r="DW99" s="25" t="str">
        <f>IF($CU99&gt;=RAM,"",IF($CU99-DW$103&lt;BeginnAlter,"",ROUND(v^($CU99+FaktorAlter)*$L99*$D99*0.5*(VLOOKUP($CU99-DW$103,Frauen!$G$9:$J$102,4)+VLOOKUP($CU99-DW$103+1,Frauen!$G$9:$J$102,4))*0.5*(VLOOKUP($CU99-DW$103,Frauen!$AZ$9:$BD$102,5)+VLOOKUP($CU99-DW$103+1,Frauen!$AZ$9:$BD$102,5)),RundDx)))</f>
        <v/>
      </c>
      <c r="DX99" s="25" t="str">
        <f>IF($CU99&gt;=RAM,"",IF($CU99-DX$103&lt;BeginnAlter,"",ROUND(v^($CU99+FaktorAlter)*$L99*$D99*0.5*(VLOOKUP($CU99-DX$103,Frauen!$G$9:$J$102,4)+VLOOKUP($CU99-DX$103+1,Frauen!$G$9:$J$102,4))*0.5*(VLOOKUP($CU99-DX$103,Frauen!$AZ$9:$BD$102,5)+VLOOKUP($CU99-DX$103+1,Frauen!$AZ$9:$BD$102,5)),RundDx)))</f>
        <v/>
      </c>
      <c r="DY99" s="25" t="str">
        <f>IF($CU99&gt;=RAM,"",IF($CU99-DY$103&lt;BeginnAlter,"",ROUND(v^($CU99+FaktorAlter)*$L99*$D99*0.5*(VLOOKUP($CU99-DY$103,Frauen!$G$9:$J$102,4)+VLOOKUP($CU99-DY$103+1,Frauen!$G$9:$J$102,4))*0.5*(VLOOKUP($CU99-DY$103,Frauen!$AZ$9:$BD$102,5)+VLOOKUP($CU99-DY$103+1,Frauen!$AZ$9:$BD$102,5)),RundDx)))</f>
        <v/>
      </c>
      <c r="DZ99" s="25" t="str">
        <f>IF($CU99&gt;=RAM,"",IF($CU99-DZ$103&lt;BeginnAlter,"",ROUND(v^($CU99+FaktorAlter)*$L99*$D99*0.5*(VLOOKUP($CU99-DZ$103,Frauen!$G$9:$J$102,4)+VLOOKUP($CU99-DZ$103+1,Frauen!$G$9:$J$102,4))*0.5*(VLOOKUP($CU99-DZ$103,Frauen!$AZ$9:$BD$102,5)+VLOOKUP($CU99-DZ$103+1,Frauen!$AZ$9:$BD$102,5)),RundDx)))</f>
        <v/>
      </c>
      <c r="EA99" s="43" t="str">
        <f>IF($CU99&gt;=RAM,"",IF($CU99-EA$103&lt;BeginnAlter,"",ROUND((SUM(CV$56:CV99)+SUM(FN$9:FN$56))/VLOOKUP($CU99,$AH$9:$AI$102,2)/VLOOKUP($CU99-EA$103,Frauen!$G$9:$J$102,4),Rundäx)))</f>
        <v/>
      </c>
      <c r="EB99" s="43" t="str">
        <f>IF($CU99&gt;=RAM,"",IF($CU99-EB$103&lt;BeginnAlter,"",ROUND((SUM(CW$56:CW99)+SUM(FO$9:FO$56))/VLOOKUP($CU99,$AH$9:$AI$102,2)/VLOOKUP($CU99-EB$103,Frauen!$G$9:$J$102,4),Rundäx)))</f>
        <v/>
      </c>
      <c r="EC99" s="43" t="str">
        <f>IF($CU99&gt;=RAM,"",IF($CU99-EC$103&lt;BeginnAlter,"",ROUND((SUM(CX$56:CX99)+SUM(FP$9:FP$56))/VLOOKUP($CU99,$AH$9:$AI$102,2)/VLOOKUP($CU99-EC$103,Frauen!$G$9:$J$102,4),Rundäx)))</f>
        <v/>
      </c>
      <c r="ED99" s="43" t="str">
        <f>IF($CU99&gt;=RAM,"",IF($CU99-ED$103&lt;BeginnAlter,"",ROUND((SUM(CY$56:CY99)+SUM(FQ$9:FQ$56))/VLOOKUP($CU99,$AH$9:$AI$102,2)/VLOOKUP($CU99-ED$103,Frauen!$G$9:$J$102,4),Rundäx)))</f>
        <v/>
      </c>
      <c r="EE99" s="43" t="str">
        <f>IF($CU99&gt;=RAM,"",IF($CU99-EE$103&lt;BeginnAlter,"",ROUND((SUM(CZ$56:CZ99)+SUM(FR$9:FR$56))/VLOOKUP($CU99,$AH$9:$AI$102,2)/VLOOKUP($CU99-EE$103,Frauen!$G$9:$J$102,4),Rundäx)))</f>
        <v/>
      </c>
      <c r="EF99" s="43" t="str">
        <f>IF($CU99&gt;=RAM,"",IF($CU99-EF$103&lt;BeginnAlter,"",ROUND((SUM(DA$56:DA99)+SUM(FS$9:FS$56))/VLOOKUP($CU99,$AH$9:$AI$102,2)/VLOOKUP($CU99-EF$103,Frauen!$G$9:$J$102,4),Rundäx)))</f>
        <v/>
      </c>
      <c r="EG99" s="43" t="str">
        <f>IF($CU99&gt;=RAM,"",IF($CU99-EG$103&lt;BeginnAlter,"",ROUND((SUM(DB$56:DB99)+SUM(FT$9:FT$56))/VLOOKUP($CU99,$AH$9:$AI$102,2)/VLOOKUP($CU99-EG$103,Frauen!$G$9:$J$102,4),Rundäx)))</f>
        <v/>
      </c>
      <c r="EH99" s="43" t="str">
        <f>IF($CU99&gt;=RAM,"",IF($CU99-EH$103&lt;BeginnAlter,"",ROUND((SUM(DC$56:DC99)+SUM(FU$9:FU$56))/VLOOKUP($CU99,$AH$9:$AI$102,2)/VLOOKUP($CU99-EH$103,Frauen!$G$9:$J$102,4),Rundäx)))</f>
        <v/>
      </c>
      <c r="EI99" s="86"/>
      <c r="EJ99" s="35">
        <f t="shared" si="180"/>
        <v>107</v>
      </c>
      <c r="EK99" s="43" t="str">
        <f>IF($CU99&gt;=RAM,"",IF($CU99-EK$103&lt;BeginnAlter,"",ROUND((SUM(DD$56:DD99)+SUM(FV$9:FV$56))/VLOOKUP($CU99,$AH$9:$AI$102,2)/VLOOKUP($CU99-EK$103,Frauen!$G$9:$J$102,4),Rundäx)))</f>
        <v/>
      </c>
      <c r="EL99" s="43" t="str">
        <f>IF($CU99&gt;=RAM,"",IF($CU99-EL$103&lt;BeginnAlter,"",ROUND((SUM(DE$56:DE99)+SUM(FW$9:FW$56))/VLOOKUP($CU99,$AH$9:$AI$102,2)/VLOOKUP($CU99-EL$103,Frauen!$G$9:$J$102,4),Rundäx)))</f>
        <v/>
      </c>
      <c r="EM99" s="43" t="str">
        <f>IF($CU99&gt;=RAM,"",IF($CU99-EM$103&lt;BeginnAlter,"",ROUND((SUM(DF$56:DF99)+SUM(FX$9:FX$56))/VLOOKUP($CU99,$AH$9:$AI$102,2)/VLOOKUP($CU99-EM$103,Frauen!$G$9:$J$102,4),Rundäx)))</f>
        <v/>
      </c>
      <c r="EN99" s="43" t="str">
        <f>IF($CU99&gt;=RAM,"",IF($CU99-EN$103&lt;BeginnAlter,"",ROUND((SUM(DG$56:DG99)+SUM(FY$9:FY$56))/VLOOKUP($CU99,$AH$9:$AI$102,2)/VLOOKUP($CU99-EN$103,Frauen!$G$9:$J$102,4),Rundäx)))</f>
        <v/>
      </c>
      <c r="EO99" s="43" t="str">
        <f>IF($CU99&gt;=RAM,"",IF($CU99-EO$103&lt;BeginnAlter,"",ROUND((SUM(DH$56:DH99)+SUM(FZ$9:FZ$56))/VLOOKUP($CU99,$AH$9:$AI$102,2)/VLOOKUP($CU99-EO$103,Frauen!$G$9:$J$102,4),Rundäx)))</f>
        <v/>
      </c>
      <c r="EP99" s="43" t="str">
        <f>IF($CU99&gt;=RAM,"",IF($CU99-EP$103&lt;BeginnAlter,"",ROUND((SUM(DI$56:DI99)+SUM(GA$9:GA$56))/VLOOKUP($CU99,$AH$9:$AI$102,2)/VLOOKUP($CU99-EP$103,Frauen!$G$9:$J$102,4),Rundäx)))</f>
        <v/>
      </c>
      <c r="EQ99" s="43" t="str">
        <f>IF($CU99&gt;=RAM,"",IF($CU99-EQ$103&lt;BeginnAlter,"",ROUND((SUM(DJ$56:DJ99)+SUM(GB$9:GB$56))/VLOOKUP($CU99,$AH$9:$AI$102,2)/VLOOKUP($CU99-EQ$103,Frauen!$G$9:$J$102,4),Rundäx)))</f>
        <v/>
      </c>
      <c r="ER99" s="43" t="str">
        <f>IF($CU99&gt;=RAM,"",IF($CU99-ER$103&lt;BeginnAlter,"",ROUND((SUM(DK$56:DK99)+SUM(GC$9:GC$56))/VLOOKUP($CU99,$AH$9:$AI$102,2)/VLOOKUP($CU99-ER$103,Frauen!$G$9:$J$102,4),Rundäx)))</f>
        <v/>
      </c>
      <c r="ES99" s="86"/>
      <c r="ET99" s="35">
        <f t="shared" si="181"/>
        <v>107</v>
      </c>
      <c r="EU99" s="43" t="str">
        <f>IF($CU99&gt;=RAM,"",IF($CU99-EU$103&lt;BeginnAlter,"",ROUND((SUM(DL$56:DL99)+SUM(GD$9:GD$56))/VLOOKUP($CU99,$AH$9:$AI$102,2)/VLOOKUP($CU99-EU$103,Frauen!$G$9:$J$102,4),Rundäx)))</f>
        <v/>
      </c>
      <c r="EV99" s="43" t="str">
        <f>IF($CU99&gt;=RAM,"",IF($CU99-EV$103&lt;BeginnAlter,"",ROUND((SUM(DM$56:DM99)+SUM(GE$9:GE$56))/VLOOKUP($CU99,$AH$9:$AI$102,2)/VLOOKUP($CU99-EV$103,Frauen!$G$9:$J$102,4),Rundäx)))</f>
        <v/>
      </c>
      <c r="EW99" s="43" t="str">
        <f>IF($CU99&gt;=RAM,"",IF($CU99-EW$103&lt;BeginnAlter,"",ROUND((SUM(DN$56:DN99)+SUM(GF$9:GF$56))/VLOOKUP($CU99,$AH$9:$AI$102,2)/VLOOKUP($CU99-EW$103,Frauen!$G$9:$J$102,4),Rundäx)))</f>
        <v/>
      </c>
      <c r="EX99" s="43" t="str">
        <f>IF($CU99&gt;=RAM,"",IF($CU99-EX$103&lt;BeginnAlter,"",ROUND((SUM(DO$56:DO99)+SUM(GG$9:GG$56))/VLOOKUP($CU99,$AH$9:$AI$102,2)/VLOOKUP($CU99-EX$103,Frauen!$G$9:$J$102,4),Rundäx)))</f>
        <v/>
      </c>
      <c r="EY99" s="43" t="str">
        <f>IF($CU99&gt;=RAM,"",IF($CU99-EY$103&lt;BeginnAlter,"",ROUND((SUM(DP$56:DP99)+SUM(GH$9:GH$56))/VLOOKUP($CU99,$AH$9:$AI$102,2)/VLOOKUP($CU99-EY$103,Frauen!$G$9:$J$102,4),Rundäx)))</f>
        <v/>
      </c>
      <c r="EZ99" s="43" t="str">
        <f>IF($CU99&gt;=RAM,"",IF($CU99-EZ$103&lt;BeginnAlter,"",ROUND((SUM(DQ$56:DQ99)+SUM(GI$9:GI$56))/VLOOKUP($CU99,$AH$9:$AI$102,2)/VLOOKUP($CU99-EZ$103,Frauen!$G$9:$J$102,4),Rundäx)))</f>
        <v/>
      </c>
      <c r="FA99" s="43" t="str">
        <f>IF($CU99&gt;=RAM,"",IF($CU99-FA$103&lt;BeginnAlter,"",ROUND((SUM(DR$56:DR99)+SUM(GJ$9:GJ$56))/VLOOKUP($CU99,$AH$9:$AI$102,2)/VLOOKUP($CU99-FA$103,Frauen!$G$9:$J$102,4),Rundäx)))</f>
        <v/>
      </c>
      <c r="FB99" s="43" t="str">
        <f>IF($CU99&gt;=RAM,"",IF($CU99-FB$103&lt;BeginnAlter,"",ROUND((SUM(DS$56:DS99)+SUM(GK$9:GK$56))/VLOOKUP($CU99,$AH$9:$AI$102,2)/VLOOKUP($CU99-FB$103,Frauen!$G$9:$J$102,4),Rundäx)))</f>
        <v/>
      </c>
      <c r="FC99" s="86"/>
      <c r="FD99" s="35">
        <f t="shared" si="182"/>
        <v>107</v>
      </c>
      <c r="FE99" s="43" t="str">
        <f>IF($CU99&gt;=RAM,"",IF($CU99-FE$103&lt;BeginnAlter,"",ROUND((SUM(DT$56:DT99)+SUM(GL$9:GL$56))/VLOOKUP($CU99,$AH$9:$AI$102,2)/VLOOKUP($CU99-FE$103,Frauen!$G$9:$J$102,4),Rundäx)))</f>
        <v/>
      </c>
      <c r="FF99" s="43" t="str">
        <f>IF($CU99&gt;=RAM,"",IF($CU99-FF$103&lt;BeginnAlter,"",ROUND((SUM(DU$56:DU99)+SUM(GM$9:GM$56))/VLOOKUP($CU99,$AH$9:$AI$102,2)/VLOOKUP($CU99-FF$103,Frauen!$G$9:$J$102,4),Rundäx)))</f>
        <v/>
      </c>
      <c r="FG99" s="43" t="str">
        <f>IF($CU99&gt;=RAM,"",IF($CU99-FG$103&lt;BeginnAlter,"",ROUND((SUM(DV$56:DV99)+SUM(GN$9:GN$56))/VLOOKUP($CU99,$AH$9:$AI$102,2)/VLOOKUP($CU99-FG$103,Frauen!$G$9:$J$102,4),Rundäx)))</f>
        <v/>
      </c>
      <c r="FH99" s="43" t="str">
        <f>IF($CU99&gt;=RAM,"",IF($CU99-FH$103&lt;BeginnAlter,"",ROUND((SUM(DW$56:DW99)+SUM(GO$9:GO$56))/VLOOKUP($CU99,$AH$9:$AI$102,2)/VLOOKUP($CU99-FH$103,Frauen!$G$9:$J$102,4),Rundäx)))</f>
        <v/>
      </c>
      <c r="FI99" s="43" t="str">
        <f>IF($CU99&gt;=RAM,"",IF($CU99-FI$103&lt;BeginnAlter,"",ROUND((SUM(DX$56:DX99)+SUM(GP$9:GP$56))/VLOOKUP($CU99,$AH$9:$AI$102,2)/VLOOKUP($CU99-FI$103,Frauen!$G$9:$J$102,4),Rundäx)))</f>
        <v/>
      </c>
      <c r="FJ99" s="43" t="str">
        <f>IF($CU99&gt;=RAM,"",IF($CU99-FJ$103&lt;BeginnAlter,"",ROUND((SUM(DY$56:DY99)+SUM(GQ$9:GQ$56))/VLOOKUP($CU99,$AH$9:$AI$102,2)/VLOOKUP($CU99-FJ$103,Frauen!$G$9:$J$102,4),Rundäx)))</f>
        <v/>
      </c>
      <c r="FK99" s="43" t="str">
        <f>IF($CU99&gt;=RAM,"",IF($CU99-FK$103&lt;BeginnAlter,"",ROUND((SUM(DZ$56:DZ99)+SUM(GR$9:GR$56))/VLOOKUP($CU99,$AH$9:$AI$102,2)/VLOOKUP($CU99-FK$103,Frauen!$G$9:$J$102,4),Rundäx)))</f>
        <v/>
      </c>
      <c r="FL99" s="86"/>
      <c r="FM99" s="35">
        <f t="shared" si="183"/>
        <v>155</v>
      </c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4"/>
      <c r="GT99" s="24"/>
      <c r="GU99" s="24" t="str">
        <f>IF(FM99&gt;=RAM," ",#REF!/$AI99/Frauen!$J87)</f>
        <v xml:space="preserve"> </v>
      </c>
      <c r="GV99" s="24" t="str">
        <f>IF(FM99&gt;=RAM," ",#REF!/$AI99/Frauen!$J90)</f>
        <v xml:space="preserve"> </v>
      </c>
      <c r="GW99" s="24" t="str">
        <f>IF(FM99&gt;=RAM," ",#REF!/$AI99/Frauen!$J93)</f>
        <v xml:space="preserve"> </v>
      </c>
      <c r="GX99" s="24" t="str">
        <f>IF(FM99&gt;=RAM," ",#REF!/$AI99/Frauen!$J96)</f>
        <v xml:space="preserve"> </v>
      </c>
      <c r="GY99" s="24" t="str">
        <f>IF(FM99&gt;=RAM," ",#REF!/$AI99/Frauen!$J99)</f>
        <v xml:space="preserve"> </v>
      </c>
      <c r="GZ99" s="24" t="str">
        <f>IF(FM99&gt;=RAM," ",#REF!/$AI99/Frauen!$J103)</f>
        <v xml:space="preserve"> </v>
      </c>
      <c r="HA99" s="86"/>
      <c r="HB99" s="35">
        <f t="shared" si="184"/>
        <v>155</v>
      </c>
      <c r="HC99" s="24"/>
      <c r="HD99" s="24"/>
      <c r="HE99" s="24"/>
      <c r="HF99" s="24"/>
      <c r="HG99" s="24"/>
      <c r="HH99" s="24"/>
      <c r="HI99" s="24"/>
      <c r="HJ99" s="24"/>
      <c r="HK99" s="86"/>
      <c r="HL99" s="35">
        <f t="shared" si="185"/>
        <v>155</v>
      </c>
      <c r="HM99" s="24"/>
      <c r="HN99" s="24"/>
      <c r="HO99" s="24"/>
      <c r="HP99" s="24"/>
      <c r="HQ99" s="24"/>
      <c r="HR99" s="24"/>
      <c r="HS99" s="24"/>
      <c r="HT99" s="24"/>
      <c r="HU99" s="86"/>
      <c r="HV99" s="35">
        <f t="shared" si="186"/>
        <v>155</v>
      </c>
      <c r="HW99" s="24"/>
      <c r="HX99" s="24"/>
      <c r="HY99" s="24"/>
      <c r="HZ99" s="24"/>
      <c r="IA99" s="24"/>
      <c r="IB99" s="24"/>
      <c r="IC99" s="24"/>
      <c r="ID99" s="89"/>
      <c r="IE99" s="35">
        <f t="shared" si="187"/>
        <v>107</v>
      </c>
      <c r="IF99" s="25" t="str">
        <f t="shared" si="112"/>
        <v/>
      </c>
      <c r="IG99" s="25" t="str">
        <f>IF($IE99&lt;RAM,IF(S100&lt;=RAK,ROUND(SUM(IF99:INDEX(Dakx,RAM-BeginnAlter))+INDEX(Dax,RAM-BeginnAlter+1)*INDEX(äkx,1),RundDx),0),"")</f>
        <v/>
      </c>
      <c r="IH99" s="25" t="str">
        <f>IF($IE99&lt;RAM,IF(S100&lt;=RAK,ROUND(SUM(IG99:INDEX(Nakx,RAM-BeginnAlter))+INDEX(Dax,RAM-BeginnAlter+1)*INDEX(äkx,1),RundDx),0),"")</f>
        <v/>
      </c>
      <c r="II99" s="24" t="str">
        <f t="shared" si="113"/>
        <v/>
      </c>
      <c r="IJ99" s="25" t="str">
        <f t="shared" si="114"/>
        <v/>
      </c>
      <c r="IK99" s="25" t="str">
        <f>IF($IE99&lt;RAM,IF(S100&lt;=RAK,SUM(IJ99:INDEX(Dikx,RAM-BeginnAlter))+INDEX(Dix,RAM-BeginnAlter+1)*INDEX(äkx,1),0),"")</f>
        <v/>
      </c>
      <c r="IL99" s="24" t="str">
        <f t="shared" si="115"/>
        <v/>
      </c>
      <c r="IM99" s="86"/>
      <c r="IN99" s="35">
        <f t="shared" si="188"/>
        <v>155</v>
      </c>
      <c r="IO99" s="25"/>
      <c r="IP99" s="28"/>
      <c r="IQ99" s="24"/>
      <c r="IR99" s="86"/>
    </row>
    <row r="100" spans="1:252" ht="15.75" customHeight="1" x14ac:dyDescent="0.25">
      <c r="A100" s="35">
        <f t="shared" si="120"/>
        <v>108</v>
      </c>
      <c r="B100" s="77"/>
      <c r="C100" s="77"/>
      <c r="D100" s="77"/>
      <c r="E100" s="77"/>
      <c r="F100" s="86"/>
      <c r="G100" s="35">
        <f t="shared" si="121"/>
        <v>108</v>
      </c>
      <c r="H100" s="25" t="str">
        <f t="shared" si="116"/>
        <v/>
      </c>
      <c r="I100" s="25" t="str">
        <f t="shared" si="117"/>
        <v/>
      </c>
      <c r="J100" s="25"/>
      <c r="K100" s="30" t="str">
        <f>IF(J100&gt;0,ROUND(SUM(J100:J$102)/J100-0.5,Rundex),"")</f>
        <v/>
      </c>
      <c r="L100" s="25"/>
      <c r="M100" s="30" t="str">
        <f>IF(L100&gt;0,ROUND(SUM(L100:L$102)/L100-0.5,Rundex),"")</f>
        <v/>
      </c>
      <c r="N100" s="86"/>
      <c r="O100" s="35">
        <f t="shared" si="122"/>
        <v>108</v>
      </c>
      <c r="P100" s="43">
        <v>1E-3</v>
      </c>
      <c r="Q100" s="78">
        <v>99.837298838043708</v>
      </c>
      <c r="R100" s="43"/>
      <c r="S100" s="78"/>
      <c r="T100" s="15"/>
      <c r="U100" s="11"/>
      <c r="V100" s="30" t="str">
        <f>IF(U100&gt;0,ROUND(SUM(U100:U$102)/U100-0.5,Rundex),"")</f>
        <v/>
      </c>
      <c r="W100" s="86"/>
      <c r="X100" s="35">
        <f t="shared" si="148"/>
        <v>108</v>
      </c>
      <c r="Y100" s="25" t="str">
        <f t="shared" si="149"/>
        <v xml:space="preserve"> </v>
      </c>
      <c r="Z100" s="25" t="str">
        <f>IF($X100&lt;RAM,SUM(Y100:INDEX(Dax,RAM-BeginnAlter))," ")</f>
        <v xml:space="preserve"> </v>
      </c>
      <c r="AA100" s="25" t="str">
        <f t="shared" si="84"/>
        <v xml:space="preserve"> </v>
      </c>
      <c r="AB100" s="25" t="str">
        <f>IF($X100&lt;RAM,SUM(AA100:INDEX(Cax,RAM-BeginnAlter))," ")</f>
        <v xml:space="preserve"> </v>
      </c>
      <c r="AC100" s="25" t="str">
        <f t="shared" si="150"/>
        <v xml:space="preserve"> </v>
      </c>
      <c r="AD100" s="25" t="str">
        <f>IF($X100&lt;RAM,SUM(AC100:INDEX(Caix,RAM-BeginnAlter))," ")</f>
        <v xml:space="preserve"> </v>
      </c>
      <c r="AE100" s="24" t="str">
        <f t="shared" si="151"/>
        <v xml:space="preserve"> </v>
      </c>
      <c r="AF100" s="24" t="str">
        <f t="shared" si="152"/>
        <v xml:space="preserve"> </v>
      </c>
      <c r="AG100" s="86"/>
      <c r="AH100" s="35">
        <f t="shared" si="153"/>
        <v>108</v>
      </c>
      <c r="AI100" s="25" t="str">
        <f t="shared" si="154"/>
        <v xml:space="preserve"> </v>
      </c>
      <c r="AJ100" s="25" t="str">
        <f>IF($AH100&gt;RAM," ",IF($AH100&lt;RAM,SUM(AI100:INDEX(Dix,RAM-BeginnAlter))+INDEX(Nx,RAM-BeginnAlter+1),INDEX(Nx,RAM-BeginnAlter+1)))</f>
        <v xml:space="preserve"> </v>
      </c>
      <c r="AK100" s="25" t="str">
        <f>IF($AH100&lt;RAM,SUM(AI100:INDEX(Dix,RAM-BeginnAlter))," ")</f>
        <v xml:space="preserve"> </v>
      </c>
      <c r="AL100" s="24" t="str">
        <f t="shared" si="155"/>
        <v xml:space="preserve"> </v>
      </c>
      <c r="AM100" s="24" t="str">
        <f t="shared" si="156"/>
        <v xml:space="preserve"> </v>
      </c>
      <c r="AN100" s="24" t="str">
        <f t="shared" si="157"/>
        <v xml:space="preserve"> </v>
      </c>
      <c r="AO100" s="24" t="str">
        <f t="shared" si="158"/>
        <v xml:space="preserve"> </v>
      </c>
      <c r="AP100" s="86"/>
      <c r="AQ100" s="35">
        <f t="shared" si="159"/>
        <v>108</v>
      </c>
      <c r="AR100" s="25"/>
      <c r="AS100" s="25"/>
      <c r="AT100" s="25" t="str">
        <f>IF($AQ100&lt;RAM,SUM(AR100:INDEX(Dx,RAM-BeginnAlter))," ")</f>
        <v xml:space="preserve"> </v>
      </c>
      <c r="AU100" s="24" t="str">
        <f t="shared" si="160"/>
        <v xml:space="preserve"> </v>
      </c>
      <c r="AV100" s="24" t="str">
        <f t="shared" si="161"/>
        <v xml:space="preserve"> </v>
      </c>
      <c r="AW100" s="24" t="str">
        <f t="shared" si="162"/>
        <v xml:space="preserve"> </v>
      </c>
      <c r="AX100" s="24" t="str">
        <f t="shared" si="163"/>
        <v xml:space="preserve"> </v>
      </c>
      <c r="AY100" s="86"/>
      <c r="AZ100" s="35">
        <f t="shared" si="164"/>
        <v>108</v>
      </c>
      <c r="BA100" s="25"/>
      <c r="BB100" s="25"/>
      <c r="BC100" s="24" t="str">
        <f t="shared" si="165"/>
        <v xml:space="preserve"> </v>
      </c>
      <c r="BD100" s="24">
        <f t="shared" si="100"/>
        <v>0</v>
      </c>
      <c r="BE100" s="86"/>
      <c r="BF100" s="35">
        <f t="shared" si="166"/>
        <v>91</v>
      </c>
      <c r="BG100" s="24" t="str">
        <f t="shared" si="101"/>
        <v/>
      </c>
      <c r="BH100" s="24" t="str">
        <f t="shared" si="102"/>
        <v/>
      </c>
      <c r="BI100" s="86"/>
      <c r="BJ100" s="35">
        <f t="shared" si="167"/>
        <v>108</v>
      </c>
      <c r="BK100" s="25" t="str">
        <f t="shared" si="168"/>
        <v xml:space="preserve"> </v>
      </c>
      <c r="BL100" s="25" t="str">
        <f>IF(BJ100&lt;RAM,SUM(BK100:INDEX(Daix,RAM-BeginnAlter))," ")</f>
        <v xml:space="preserve"> </v>
      </c>
      <c r="BM100" s="25" t="str">
        <f>IF(BJ100&lt;RAM,SUM(BL100:INDEX(Naix,RAM-BeginnAlter))," ")</f>
        <v xml:space="preserve"> </v>
      </c>
      <c r="BN100" s="24" t="str">
        <f t="shared" si="169"/>
        <v xml:space="preserve"> </v>
      </c>
      <c r="BO100" s="24" t="str">
        <f t="shared" si="170"/>
        <v xml:space="preserve"> </v>
      </c>
      <c r="BP100" s="86"/>
      <c r="BQ100" s="35">
        <f t="shared" si="171"/>
        <v>108</v>
      </c>
      <c r="BR100" s="25" t="str">
        <f t="shared" si="172"/>
        <v xml:space="preserve"> </v>
      </c>
      <c r="BS100" s="25" t="str">
        <f>IF(BQ100&lt;RAM,SUM(BR100:INDEX(Daixs,RAM-BeginnAlter))," ")</f>
        <v xml:space="preserve"> </v>
      </c>
      <c r="BT100" s="25" t="str">
        <f>IF(BQ100&lt;RAM,SUM(BS100:INDEX(Naixs,RAM-BeginnAlter))," ")</f>
        <v xml:space="preserve"> </v>
      </c>
      <c r="BU100" s="24" t="str">
        <f t="shared" si="173"/>
        <v xml:space="preserve"> </v>
      </c>
      <c r="BV100" s="24" t="str">
        <f t="shared" si="174"/>
        <v xml:space="preserve"> </v>
      </c>
      <c r="BW100" s="86"/>
      <c r="BX100" s="35">
        <f t="shared" si="175"/>
        <v>108</v>
      </c>
      <c r="BY100" s="10" t="str">
        <f t="shared" si="106"/>
        <v/>
      </c>
      <c r="BZ100" s="11" t="str">
        <f t="shared" si="107"/>
        <v/>
      </c>
      <c r="CA100" s="25" t="str">
        <f>IF(S101&lt;=RAK,IF($BX100&lt;RAM,SUM(BZ100:INDEX(Dazx,RAM-BeginnAlter)),""),"")</f>
        <v/>
      </c>
      <c r="CB100" s="24" t="str">
        <f t="shared" si="108"/>
        <v/>
      </c>
      <c r="CC100" s="25">
        <f t="shared" si="109"/>
        <v>0</v>
      </c>
      <c r="CD100" s="24">
        <f t="shared" si="110"/>
        <v>0</v>
      </c>
      <c r="CE100" s="24" t="str">
        <f t="shared" si="111"/>
        <v/>
      </c>
      <c r="CF100" s="86"/>
      <c r="CG100" s="35">
        <f t="shared" si="176"/>
        <v>108</v>
      </c>
      <c r="CH100" s="25" t="str">
        <f>IF(CG100&lt;RAM,ROUND(v^($CG100+FaktorAlter)*$H100*($B100*0.5*($P100+$P101)*(VLOOKUP(TRUNC(0.5*($Q100+$Q101),0),Frauen!$AZ$9:$BD$95,5)+(0.5*($Q100+$Q101)-TRUNC(0.5*($Q100+$Q101),0))*(VLOOKUP(TRUNC(0.5*($Q100+$Q101)+1,0),Frauen!$AZ$9:$BD$95,5)-VLOOKUP(TRUNC(0.5*($Q100+$Q101),0),Frauen!$AZ$9:$BD$95,5)))+$C100*0.5*($CN100+$CN101)),RundDx),"")</f>
        <v/>
      </c>
      <c r="CI100" s="25" t="str">
        <f>IF(CG100&lt;RAM,ROUND(SUM(CH100:INDEX(Dawx,RAM-BeginnAlter))+INDEX(Dax,RAM-BeginnAlter+1)*INDEX(äwx,1),RundDx),"")</f>
        <v/>
      </c>
      <c r="CJ100" s="25" t="str">
        <f>IF(CG100&lt;RAM,ROUND(SUM(CI100:INDEX(Nawx,RAM-BeginnAlter))+INDEX(Dax,RAM-BeginnAlter+1)*INDEX(äwx,1),RundDx),"")</f>
        <v/>
      </c>
      <c r="CK100" s="24" t="str">
        <f t="shared" si="177"/>
        <v/>
      </c>
      <c r="CL100" s="25" t="str">
        <f>IF(CG100&lt;RAM,ROUND(v^($CG100+FaktorAlter)*$L100*$D100*0.5*($P100+$P101)*(VLOOKUP(TRUNC(0.5*($Q100+$Q101),0),Frauen!$AZ$9:$BD$95,5)+(0.5*($Q100+$Q101)-TRUNC(0.5*($Q100+$Q101),0))*(VLOOKUP(TRUNC(0.5*($Q100+$Q101)+1,0),Frauen!$AZ$9:$BD$95,5)-VLOOKUP(TRUNC(0.5*($Q100+$Q101),0),Frauen!$AZ$9:$BD$95,5))),RundDx),"")</f>
        <v/>
      </c>
      <c r="CM100" s="25" t="str">
        <f>IF(CG100&lt;RAM,SUM(CL100:INDEX(Diwx,RAM-BeginnAlter))+INDEX(Dix,RAM-BeginnAlter+1)*INDEX(äwx,1),"")</f>
        <v/>
      </c>
      <c r="CN100" s="24" t="str">
        <f t="shared" si="178"/>
        <v/>
      </c>
      <c r="CO100" s="86"/>
      <c r="CP100" s="35">
        <f t="shared" si="147"/>
        <v>156</v>
      </c>
      <c r="CQ100" s="25"/>
      <c r="CR100" s="28"/>
      <c r="CS100" s="30"/>
      <c r="CT100" s="86"/>
      <c r="CU100" s="35">
        <f t="shared" si="179"/>
        <v>108</v>
      </c>
      <c r="CV100" s="25" t="str">
        <f>IF($CU100&gt;=RAM,"",IF($CU100-CV$103&lt;BeginnAlter,"",ROUND(v^($CU100+FaktorAlter)*$L100*$D100*0.5*(VLOOKUP($CU100-CV$103,Frauen!$G$9:$J$102,4)+VLOOKUP($CU100-CV$103+1,Frauen!$G$9:$J$102,4))*0.5*(VLOOKUP($CU100-CV$103,Frauen!$AZ$9:$BD$102,5)+VLOOKUP($CU100-CV$103+1,Frauen!$AZ$9:$BD$102,5)),RundDx)))</f>
        <v/>
      </c>
      <c r="CW100" s="25" t="str">
        <f>IF($CU100&gt;=RAM,"",IF($CU100-CW$103&lt;BeginnAlter,"",ROUND(v^($CU100+FaktorAlter)*$L100*$D100*0.5*(VLOOKUP($CU100-CW$103,Frauen!$G$9:$J$102,4)+VLOOKUP($CU100-CW$103+1,Frauen!$G$9:$J$102,4))*0.5*(VLOOKUP($CU100-CW$103,Frauen!$AZ$9:$BD$102,5)+VLOOKUP($CU100-CW$103+1,Frauen!$AZ$9:$BD$102,5)),RundDx)))</f>
        <v/>
      </c>
      <c r="CX100" s="25" t="str">
        <f>IF($CU100&gt;=RAM,"",IF($CU100-CX$103&lt;BeginnAlter,"",ROUND(v^($CU100+FaktorAlter)*$L100*$D100*0.5*(VLOOKUP($CU100-CX$103,Frauen!$G$9:$J$102,4)+VLOOKUP($CU100-CX$103+1,Frauen!$G$9:$J$102,4))*0.5*(VLOOKUP($CU100-CX$103,Frauen!$AZ$9:$BD$102,5)+VLOOKUP($CU100-CX$103+1,Frauen!$AZ$9:$BD$102,5)),RundDx)))</f>
        <v/>
      </c>
      <c r="CY100" s="25" t="str">
        <f>IF($CU100&gt;=RAM,"",IF($CU100-CY$103&lt;BeginnAlter,"",ROUND(v^($CU100+FaktorAlter)*$L100*$D100*0.5*(VLOOKUP($CU100-CY$103,Frauen!$G$9:$J$102,4)+VLOOKUP($CU100-CY$103+1,Frauen!$G$9:$J$102,4))*0.5*(VLOOKUP($CU100-CY$103,Frauen!$AZ$9:$BD$102,5)+VLOOKUP($CU100-CY$103+1,Frauen!$AZ$9:$BD$102,5)),RundDx)))</f>
        <v/>
      </c>
      <c r="CZ100" s="25" t="str">
        <f>IF($CU100&gt;=RAM,"",IF($CU100-CZ$103&lt;BeginnAlter,"",ROUND(v^($CU100+FaktorAlter)*$L100*$D100*0.5*(VLOOKUP($CU100-CZ$103,Frauen!$G$9:$J$102,4)+VLOOKUP($CU100-CZ$103+1,Frauen!$G$9:$J$102,4))*0.5*(VLOOKUP($CU100-CZ$103,Frauen!$AZ$9:$BD$102,5)+VLOOKUP($CU100-CZ$103+1,Frauen!$AZ$9:$BD$102,5)),RundDx)))</f>
        <v/>
      </c>
      <c r="DA100" s="25" t="str">
        <f>IF($CU100&gt;=RAM,"",IF($CU100-DA$103&lt;BeginnAlter,"",ROUND(v^($CU100+FaktorAlter)*$L100*$D100*0.5*(VLOOKUP($CU100-DA$103,Frauen!$G$9:$J$102,4)+VLOOKUP($CU100-DA$103+1,Frauen!$G$9:$J$102,4))*0.5*(VLOOKUP($CU100-DA$103,Frauen!$AZ$9:$BD$102,5)+VLOOKUP($CU100-DA$103+1,Frauen!$AZ$9:$BD$102,5)),RundDx)))</f>
        <v/>
      </c>
      <c r="DB100" s="25" t="str">
        <f>IF($CU100&gt;=RAM,"",IF($CU100-DB$103&lt;BeginnAlter,"",ROUND(v^($CU100+FaktorAlter)*$L100*$D100*0.5*(VLOOKUP($CU100-DB$103,Frauen!$G$9:$J$102,4)+VLOOKUP($CU100-DB$103+1,Frauen!$G$9:$J$102,4))*0.5*(VLOOKUP($CU100-DB$103,Frauen!$AZ$9:$BD$102,5)+VLOOKUP($CU100-DB$103+1,Frauen!$AZ$9:$BD$102,5)),RundDx)))</f>
        <v/>
      </c>
      <c r="DC100" s="25" t="str">
        <f>IF($CU100&gt;=RAM,"",IF($CU100-DC$103&lt;BeginnAlter,"",ROUND(v^($CU100+FaktorAlter)*$L100*$D100*0.5*(VLOOKUP($CU100-DC$103,Frauen!$G$9:$J$102,4)+VLOOKUP($CU100-DC$103+1,Frauen!$G$9:$J$102,4))*0.5*(VLOOKUP($CU100-DC$103,Frauen!$AZ$9:$BD$102,5)+VLOOKUP($CU100-DC$103+1,Frauen!$AZ$9:$BD$102,5)),RundDx)))</f>
        <v/>
      </c>
      <c r="DD100" s="25" t="str">
        <f>IF($CU100&gt;=RAM,"",IF($CU100-DD$103&lt;BeginnAlter,"",ROUND(v^($CU100+FaktorAlter)*$L100*$D100*0.5*(VLOOKUP($CU100-DD$103,Frauen!$G$9:$J$102,4)+VLOOKUP($CU100-DD$103+1,Frauen!$G$9:$J$102,4))*0.5*(VLOOKUP($CU100-DD$103,Frauen!$AZ$9:$BD$102,5)+VLOOKUP($CU100-DD$103+1,Frauen!$AZ$9:$BD$102,5)),RundDx)))</f>
        <v/>
      </c>
      <c r="DE100" s="25" t="str">
        <f>IF($CU100&gt;=RAM,"",IF($CU100-DE$103&lt;BeginnAlter,"",ROUND(v^($CU100+FaktorAlter)*$L100*$D100*0.5*(VLOOKUP($CU100-DE$103,Frauen!$G$9:$J$102,4)+VLOOKUP($CU100-DE$103+1,Frauen!$G$9:$J$102,4))*0.5*(VLOOKUP($CU100-DE$103,Frauen!$AZ$9:$BD$102,5)+VLOOKUP($CU100-DE$103+1,Frauen!$AZ$9:$BD$102,5)),RundDx)))</f>
        <v/>
      </c>
      <c r="DF100" s="25" t="str">
        <f>IF($CU100&gt;=RAM,"",IF($CU100-DF$103&lt;BeginnAlter,"",ROUND(v^($CU100+FaktorAlter)*$L100*$D100*0.5*(VLOOKUP($CU100-DF$103,Frauen!$G$9:$J$102,4)+VLOOKUP($CU100-DF$103+1,Frauen!$G$9:$J$102,4))*0.5*(VLOOKUP($CU100-DF$103,Frauen!$AZ$9:$BD$102,5)+VLOOKUP($CU100-DF$103+1,Frauen!$AZ$9:$BD$102,5)),RundDx)))</f>
        <v/>
      </c>
      <c r="DG100" s="25" t="str">
        <f>IF($CU100&gt;=RAM,"",IF($CU100-DG$103&lt;BeginnAlter,"",ROUND(v^($CU100+FaktorAlter)*$L100*$D100*0.5*(VLOOKUP($CU100-DG$103,Frauen!$G$9:$J$102,4)+VLOOKUP($CU100-DG$103+1,Frauen!$G$9:$J$102,4))*0.5*(VLOOKUP($CU100-DG$103,Frauen!$AZ$9:$BD$102,5)+VLOOKUP($CU100-DG$103+1,Frauen!$AZ$9:$BD$102,5)),RundDx)))</f>
        <v/>
      </c>
      <c r="DH100" s="25" t="str">
        <f>IF($CU100&gt;=RAM,"",IF($CU100-DH$103&lt;BeginnAlter,"",ROUND(v^($CU100+FaktorAlter)*$L100*$D100*0.5*(VLOOKUP($CU100-DH$103,Frauen!$G$9:$J$102,4)+VLOOKUP($CU100-DH$103+1,Frauen!$G$9:$J$102,4))*0.5*(VLOOKUP($CU100-DH$103,Frauen!$AZ$9:$BD$102,5)+VLOOKUP($CU100-DH$103+1,Frauen!$AZ$9:$BD$102,5)),RundDx)))</f>
        <v/>
      </c>
      <c r="DI100" s="25" t="str">
        <f>IF($CU100&gt;=RAM,"",IF($CU100-DI$103&lt;BeginnAlter,"",ROUND(v^($CU100+FaktorAlter)*$L100*$D100*0.5*(VLOOKUP($CU100-DI$103,Frauen!$G$9:$J$102,4)+VLOOKUP($CU100-DI$103+1,Frauen!$G$9:$J$102,4))*0.5*(VLOOKUP($CU100-DI$103,Frauen!$AZ$9:$BD$102,5)+VLOOKUP($CU100-DI$103+1,Frauen!$AZ$9:$BD$102,5)),RundDx)))</f>
        <v/>
      </c>
      <c r="DJ100" s="25" t="str">
        <f>IF($CU100&gt;=RAM,"",IF($CU100-DJ$103&lt;BeginnAlter,"",ROUND(v^($CU100+FaktorAlter)*$L100*$D100*0.5*(VLOOKUP($CU100-DJ$103,Frauen!$G$9:$J$102,4)+VLOOKUP($CU100-DJ$103+1,Frauen!$G$9:$J$102,4))*0.5*(VLOOKUP($CU100-DJ$103,Frauen!$AZ$9:$BD$102,5)+VLOOKUP($CU100-DJ$103+1,Frauen!$AZ$9:$BD$102,5)),RundDx)))</f>
        <v/>
      </c>
      <c r="DK100" s="25" t="str">
        <f>IF($CU100&gt;=RAM,"",IF($CU100-DK$103&lt;BeginnAlter,"",ROUND(v^($CU100+FaktorAlter)*$L100*$D100*0.5*(VLOOKUP($CU100-DK$103,Frauen!$G$9:$J$102,4)+VLOOKUP($CU100-DK$103+1,Frauen!$G$9:$J$102,4))*0.5*(VLOOKUP($CU100-DK$103,Frauen!$AZ$9:$BD$102,5)+VLOOKUP($CU100-DK$103+1,Frauen!$AZ$9:$BD$102,5)),RundDx)))</f>
        <v/>
      </c>
      <c r="DL100" s="25" t="str">
        <f>IF($CU100&gt;=RAM,"",IF($CU100-DL$103&lt;BeginnAlter,"",ROUND(v^($CU100+FaktorAlter)*$L100*$D100*0.5*(VLOOKUP($CU100-DL$103,Frauen!$G$9:$J$102,4)+VLOOKUP($CU100-DL$103+1,Frauen!$G$9:$J$102,4))*0.5*(VLOOKUP($CU100-DL$103,Frauen!$AZ$9:$BD$102,5)+VLOOKUP($CU100-DL$103+1,Frauen!$AZ$9:$BD$102,5)),RundDx)))</f>
        <v/>
      </c>
      <c r="DM100" s="25" t="str">
        <f>IF($CU100&gt;=RAM,"",IF($CU100-DM$103&lt;BeginnAlter,"",ROUND(v^($CU100+FaktorAlter)*$L100*$D100*0.5*(VLOOKUP($CU100-DM$103,Frauen!$G$9:$J$102,4)+VLOOKUP($CU100-DM$103+1,Frauen!$G$9:$J$102,4))*0.5*(VLOOKUP($CU100-DM$103,Frauen!$AZ$9:$BD$102,5)+VLOOKUP($CU100-DM$103+1,Frauen!$AZ$9:$BD$102,5)),RundDx)))</f>
        <v/>
      </c>
      <c r="DN100" s="25" t="str">
        <f>IF($CU100&gt;=RAM,"",IF($CU100-DN$103&lt;BeginnAlter,"",ROUND(v^($CU100+FaktorAlter)*$L100*$D100*0.5*(VLOOKUP($CU100-DN$103,Frauen!$G$9:$J$102,4)+VLOOKUP($CU100-DN$103+1,Frauen!$G$9:$J$102,4))*0.5*(VLOOKUP($CU100-DN$103,Frauen!$AZ$9:$BD$102,5)+VLOOKUP($CU100-DN$103+1,Frauen!$AZ$9:$BD$102,5)),RundDx)))</f>
        <v/>
      </c>
      <c r="DO100" s="25" t="str">
        <f>IF($CU100&gt;=RAM,"",IF($CU100-DO$103&lt;BeginnAlter,"",ROUND(v^($CU100+FaktorAlter)*$L100*$D100*0.5*(VLOOKUP($CU100-DO$103,Frauen!$G$9:$J$102,4)+VLOOKUP($CU100-DO$103+1,Frauen!$G$9:$J$102,4))*0.5*(VLOOKUP($CU100-DO$103,Frauen!$AZ$9:$BD$102,5)+VLOOKUP($CU100-DO$103+1,Frauen!$AZ$9:$BD$102,5)),RundDx)))</f>
        <v/>
      </c>
      <c r="DP100" s="25" t="str">
        <f>IF($CU100&gt;=RAM,"",IF($CU100-DP$103&lt;BeginnAlter,"",ROUND(v^($CU100+FaktorAlter)*$L100*$D100*0.5*(VLOOKUP($CU100-DP$103,Frauen!$G$9:$J$102,4)+VLOOKUP($CU100-DP$103+1,Frauen!$G$9:$J$102,4))*0.5*(VLOOKUP($CU100-DP$103,Frauen!$AZ$9:$BD$102,5)+VLOOKUP($CU100-DP$103+1,Frauen!$AZ$9:$BD$102,5)),RundDx)))</f>
        <v/>
      </c>
      <c r="DQ100" s="25" t="str">
        <f>IF($CU100&gt;=RAM,"",IF($CU100-DQ$103&lt;BeginnAlter,"",ROUND(v^($CU100+FaktorAlter)*$L100*$D100*0.5*(VLOOKUP($CU100-DQ$103,Frauen!$G$9:$J$102,4)+VLOOKUP($CU100-DQ$103+1,Frauen!$G$9:$J$102,4))*0.5*(VLOOKUP($CU100-DQ$103,Frauen!$AZ$9:$BD$102,5)+VLOOKUP($CU100-DQ$103+1,Frauen!$AZ$9:$BD$102,5)),RundDx)))</f>
        <v/>
      </c>
      <c r="DR100" s="25" t="str">
        <f>IF($CU100&gt;=RAM,"",IF($CU100-DR$103&lt;BeginnAlter,"",ROUND(v^($CU100+FaktorAlter)*$L100*$D100*0.5*(VLOOKUP($CU100-DR$103,Frauen!$G$9:$J$102,4)+VLOOKUP($CU100-DR$103+1,Frauen!$G$9:$J$102,4))*0.5*(VLOOKUP($CU100-DR$103,Frauen!$AZ$9:$BD$102,5)+VLOOKUP($CU100-DR$103+1,Frauen!$AZ$9:$BD$102,5)),RundDx)))</f>
        <v/>
      </c>
      <c r="DS100" s="25" t="str">
        <f>IF($CU100&gt;=RAM,"",IF($CU100-DS$103&lt;BeginnAlter,"",ROUND(v^($CU100+FaktorAlter)*$L100*$D100*0.5*(VLOOKUP($CU100-DS$103,Frauen!$G$9:$J$102,4)+VLOOKUP($CU100-DS$103+1,Frauen!$G$9:$J$102,4))*0.5*(VLOOKUP($CU100-DS$103,Frauen!$AZ$9:$BD$102,5)+VLOOKUP($CU100-DS$103+1,Frauen!$AZ$9:$BD$102,5)),RundDx)))</f>
        <v/>
      </c>
      <c r="DT100" s="25" t="str">
        <f>IF($CU100&gt;=RAM,"",IF($CU100-DT$103&lt;BeginnAlter,"",ROUND(v^($CU100+FaktorAlter)*$L100*$D100*0.5*(VLOOKUP($CU100-DT$103,Frauen!$G$9:$J$102,4)+VLOOKUP($CU100-DT$103+1,Frauen!$G$9:$J$102,4))*0.5*(VLOOKUP($CU100-DT$103,Frauen!$AZ$9:$BD$102,5)+VLOOKUP($CU100-DT$103+1,Frauen!$AZ$9:$BD$102,5)),RundDx)))</f>
        <v/>
      </c>
      <c r="DU100" s="25" t="str">
        <f>IF($CU100&gt;=RAM,"",IF($CU100-DU$103&lt;BeginnAlter,"",ROUND(v^($CU100+FaktorAlter)*$L100*$D100*0.5*(VLOOKUP($CU100-DU$103,Frauen!$G$9:$J$102,4)+VLOOKUP($CU100-DU$103+1,Frauen!$G$9:$J$102,4))*0.5*(VLOOKUP($CU100-DU$103,Frauen!$AZ$9:$BD$102,5)+VLOOKUP($CU100-DU$103+1,Frauen!$AZ$9:$BD$102,5)),RundDx)))</f>
        <v/>
      </c>
      <c r="DV100" s="25" t="str">
        <f>IF($CU100&gt;=RAM,"",IF($CU100-DV$103&lt;BeginnAlter,"",ROUND(v^($CU100+FaktorAlter)*$L100*$D100*0.5*(VLOOKUP($CU100-DV$103,Frauen!$G$9:$J$102,4)+VLOOKUP($CU100-DV$103+1,Frauen!$G$9:$J$102,4))*0.5*(VLOOKUP($CU100-DV$103,Frauen!$AZ$9:$BD$102,5)+VLOOKUP($CU100-DV$103+1,Frauen!$AZ$9:$BD$102,5)),RundDx)))</f>
        <v/>
      </c>
      <c r="DW100" s="25" t="str">
        <f>IF($CU100&gt;=RAM,"",IF($CU100-DW$103&lt;BeginnAlter,"",ROUND(v^($CU100+FaktorAlter)*$L100*$D100*0.5*(VLOOKUP($CU100-DW$103,Frauen!$G$9:$J$102,4)+VLOOKUP($CU100-DW$103+1,Frauen!$G$9:$J$102,4))*0.5*(VLOOKUP($CU100-DW$103,Frauen!$AZ$9:$BD$102,5)+VLOOKUP($CU100-DW$103+1,Frauen!$AZ$9:$BD$102,5)),RundDx)))</f>
        <v/>
      </c>
      <c r="DX100" s="25" t="str">
        <f>IF($CU100&gt;=RAM,"",IF($CU100-DX$103&lt;BeginnAlter,"",ROUND(v^($CU100+FaktorAlter)*$L100*$D100*0.5*(VLOOKUP($CU100-DX$103,Frauen!$G$9:$J$102,4)+VLOOKUP($CU100-DX$103+1,Frauen!$G$9:$J$102,4))*0.5*(VLOOKUP($CU100-DX$103,Frauen!$AZ$9:$BD$102,5)+VLOOKUP($CU100-DX$103+1,Frauen!$AZ$9:$BD$102,5)),RundDx)))</f>
        <v/>
      </c>
      <c r="DY100" s="25" t="str">
        <f>IF($CU100&gt;=RAM,"",IF($CU100-DY$103&lt;BeginnAlter,"",ROUND(v^($CU100+FaktorAlter)*$L100*$D100*0.5*(VLOOKUP($CU100-DY$103,Frauen!$G$9:$J$102,4)+VLOOKUP($CU100-DY$103+1,Frauen!$G$9:$J$102,4))*0.5*(VLOOKUP($CU100-DY$103,Frauen!$AZ$9:$BD$102,5)+VLOOKUP($CU100-DY$103+1,Frauen!$AZ$9:$BD$102,5)),RundDx)))</f>
        <v/>
      </c>
      <c r="DZ100" s="25" t="str">
        <f>IF($CU100&gt;=RAM,"",IF($CU100-DZ$103&lt;BeginnAlter,"",ROUND(v^($CU100+FaktorAlter)*$L100*$D100*0.5*(VLOOKUP($CU100-DZ$103,Frauen!$G$9:$J$102,4)+VLOOKUP($CU100-DZ$103+1,Frauen!$G$9:$J$102,4))*0.5*(VLOOKUP($CU100-DZ$103,Frauen!$AZ$9:$BD$102,5)+VLOOKUP($CU100-DZ$103+1,Frauen!$AZ$9:$BD$102,5)),RundDx)))</f>
        <v/>
      </c>
      <c r="EA100" s="43" t="str">
        <f>IF($CU100&gt;=RAM,"",IF($CU100-EA$103&lt;BeginnAlter,"",ROUND((SUM(CV$56:CV100)+SUM(FN$9:FN$56))/VLOOKUP($CU100,$AH$9:$AI$102,2)/VLOOKUP($CU100-EA$103,Frauen!$G$9:$J$102,4),Rundäx)))</f>
        <v/>
      </c>
      <c r="EB100" s="43" t="str">
        <f>IF($CU100&gt;=RAM,"",IF($CU100-EB$103&lt;BeginnAlter,"",ROUND((SUM(CW$56:CW100)+SUM(FO$9:FO$56))/VLOOKUP($CU100,$AH$9:$AI$102,2)/VLOOKUP($CU100-EB$103,Frauen!$G$9:$J$102,4),Rundäx)))</f>
        <v/>
      </c>
      <c r="EC100" s="43" t="str">
        <f>IF($CU100&gt;=RAM,"",IF($CU100-EC$103&lt;BeginnAlter,"",ROUND((SUM(CX$56:CX100)+SUM(FP$9:FP$56))/VLOOKUP($CU100,$AH$9:$AI$102,2)/VLOOKUP($CU100-EC$103,Frauen!$G$9:$J$102,4),Rundäx)))</f>
        <v/>
      </c>
      <c r="ED100" s="43" t="str">
        <f>IF($CU100&gt;=RAM,"",IF($CU100-ED$103&lt;BeginnAlter,"",ROUND((SUM(CY$56:CY100)+SUM(FQ$9:FQ$56))/VLOOKUP($CU100,$AH$9:$AI$102,2)/VLOOKUP($CU100-ED$103,Frauen!$G$9:$J$102,4),Rundäx)))</f>
        <v/>
      </c>
      <c r="EE100" s="43" t="str">
        <f>IF($CU100&gt;=RAM,"",IF($CU100-EE$103&lt;BeginnAlter,"",ROUND((SUM(CZ$56:CZ100)+SUM(FR$9:FR$56))/VLOOKUP($CU100,$AH$9:$AI$102,2)/VLOOKUP($CU100-EE$103,Frauen!$G$9:$J$102,4),Rundäx)))</f>
        <v/>
      </c>
      <c r="EF100" s="43" t="str">
        <f>IF($CU100&gt;=RAM,"",IF($CU100-EF$103&lt;BeginnAlter,"",ROUND((SUM(DA$56:DA100)+SUM(FS$9:FS$56))/VLOOKUP($CU100,$AH$9:$AI$102,2)/VLOOKUP($CU100-EF$103,Frauen!$G$9:$J$102,4),Rundäx)))</f>
        <v/>
      </c>
      <c r="EG100" s="43" t="str">
        <f>IF($CU100&gt;=RAM,"",IF($CU100-EG$103&lt;BeginnAlter,"",ROUND((SUM(DB$56:DB100)+SUM(FT$9:FT$56))/VLOOKUP($CU100,$AH$9:$AI$102,2)/VLOOKUP($CU100-EG$103,Frauen!$G$9:$J$102,4),Rundäx)))</f>
        <v/>
      </c>
      <c r="EH100" s="43" t="str">
        <f>IF($CU100&gt;=RAM,"",IF($CU100-EH$103&lt;BeginnAlter,"",ROUND((SUM(DC$56:DC100)+SUM(FU$9:FU$56))/VLOOKUP($CU100,$AH$9:$AI$102,2)/VLOOKUP($CU100-EH$103,Frauen!$G$9:$J$102,4),Rundäx)))</f>
        <v/>
      </c>
      <c r="EI100" s="86"/>
      <c r="EJ100" s="35">
        <f t="shared" si="180"/>
        <v>108</v>
      </c>
      <c r="EK100" s="43" t="str">
        <f>IF($CU100&gt;=RAM,"",IF($CU100-EK$103&lt;BeginnAlter,"",ROUND((SUM(DD$56:DD100)+SUM(FV$9:FV$56))/VLOOKUP($CU100,$AH$9:$AI$102,2)/VLOOKUP($CU100-EK$103,Frauen!$G$9:$J$102,4),Rundäx)))</f>
        <v/>
      </c>
      <c r="EL100" s="43" t="str">
        <f>IF($CU100&gt;=RAM,"",IF($CU100-EL$103&lt;BeginnAlter,"",ROUND((SUM(DE$56:DE100)+SUM(FW$9:FW$56))/VLOOKUP($CU100,$AH$9:$AI$102,2)/VLOOKUP($CU100-EL$103,Frauen!$G$9:$J$102,4),Rundäx)))</f>
        <v/>
      </c>
      <c r="EM100" s="43" t="str">
        <f>IF($CU100&gt;=RAM,"",IF($CU100-EM$103&lt;BeginnAlter,"",ROUND((SUM(DF$56:DF100)+SUM(FX$9:FX$56))/VLOOKUP($CU100,$AH$9:$AI$102,2)/VLOOKUP($CU100-EM$103,Frauen!$G$9:$J$102,4),Rundäx)))</f>
        <v/>
      </c>
      <c r="EN100" s="43" t="str">
        <f>IF($CU100&gt;=RAM,"",IF($CU100-EN$103&lt;BeginnAlter,"",ROUND((SUM(DG$56:DG100)+SUM(FY$9:FY$56))/VLOOKUP($CU100,$AH$9:$AI$102,2)/VLOOKUP($CU100-EN$103,Frauen!$G$9:$J$102,4),Rundäx)))</f>
        <v/>
      </c>
      <c r="EO100" s="43" t="str">
        <f>IF($CU100&gt;=RAM,"",IF($CU100-EO$103&lt;BeginnAlter,"",ROUND((SUM(DH$56:DH100)+SUM(FZ$9:FZ$56))/VLOOKUP($CU100,$AH$9:$AI$102,2)/VLOOKUP($CU100-EO$103,Frauen!$G$9:$J$102,4),Rundäx)))</f>
        <v/>
      </c>
      <c r="EP100" s="43" t="str">
        <f>IF($CU100&gt;=RAM,"",IF($CU100-EP$103&lt;BeginnAlter,"",ROUND((SUM(DI$56:DI100)+SUM(GA$9:GA$56))/VLOOKUP($CU100,$AH$9:$AI$102,2)/VLOOKUP($CU100-EP$103,Frauen!$G$9:$J$102,4),Rundäx)))</f>
        <v/>
      </c>
      <c r="EQ100" s="43" t="str">
        <f>IF($CU100&gt;=RAM,"",IF($CU100-EQ$103&lt;BeginnAlter,"",ROUND((SUM(DJ$56:DJ100)+SUM(GB$9:GB$56))/VLOOKUP($CU100,$AH$9:$AI$102,2)/VLOOKUP($CU100-EQ$103,Frauen!$G$9:$J$102,4),Rundäx)))</f>
        <v/>
      </c>
      <c r="ER100" s="43" t="str">
        <f>IF($CU100&gt;=RAM,"",IF($CU100-ER$103&lt;BeginnAlter,"",ROUND((SUM(DK$56:DK100)+SUM(GC$9:GC$56))/VLOOKUP($CU100,$AH$9:$AI$102,2)/VLOOKUP($CU100-ER$103,Frauen!$G$9:$J$102,4),Rundäx)))</f>
        <v/>
      </c>
      <c r="ES100" s="86"/>
      <c r="ET100" s="35">
        <f t="shared" si="181"/>
        <v>108</v>
      </c>
      <c r="EU100" s="43" t="str">
        <f>IF($CU100&gt;=RAM,"",IF($CU100-EU$103&lt;BeginnAlter,"",ROUND((SUM(DL$56:DL100)+SUM(GD$9:GD$56))/VLOOKUP($CU100,$AH$9:$AI$102,2)/VLOOKUP($CU100-EU$103,Frauen!$G$9:$J$102,4),Rundäx)))</f>
        <v/>
      </c>
      <c r="EV100" s="43" t="str">
        <f>IF($CU100&gt;=RAM,"",IF($CU100-EV$103&lt;BeginnAlter,"",ROUND((SUM(DM$56:DM100)+SUM(GE$9:GE$56))/VLOOKUP($CU100,$AH$9:$AI$102,2)/VLOOKUP($CU100-EV$103,Frauen!$G$9:$J$102,4),Rundäx)))</f>
        <v/>
      </c>
      <c r="EW100" s="43" t="str">
        <f>IF($CU100&gt;=RAM,"",IF($CU100-EW$103&lt;BeginnAlter,"",ROUND((SUM(DN$56:DN100)+SUM(GF$9:GF$56))/VLOOKUP($CU100,$AH$9:$AI$102,2)/VLOOKUP($CU100-EW$103,Frauen!$G$9:$J$102,4),Rundäx)))</f>
        <v/>
      </c>
      <c r="EX100" s="43" t="str">
        <f>IF($CU100&gt;=RAM,"",IF($CU100-EX$103&lt;BeginnAlter,"",ROUND((SUM(DO$56:DO100)+SUM(GG$9:GG$56))/VLOOKUP($CU100,$AH$9:$AI$102,2)/VLOOKUP($CU100-EX$103,Frauen!$G$9:$J$102,4),Rundäx)))</f>
        <v/>
      </c>
      <c r="EY100" s="43" t="str">
        <f>IF($CU100&gt;=RAM,"",IF($CU100-EY$103&lt;BeginnAlter,"",ROUND((SUM(DP$56:DP100)+SUM(GH$9:GH$56))/VLOOKUP($CU100,$AH$9:$AI$102,2)/VLOOKUP($CU100-EY$103,Frauen!$G$9:$J$102,4),Rundäx)))</f>
        <v/>
      </c>
      <c r="EZ100" s="43" t="str">
        <f>IF($CU100&gt;=RAM,"",IF($CU100-EZ$103&lt;BeginnAlter,"",ROUND((SUM(DQ$56:DQ100)+SUM(GI$9:GI$56))/VLOOKUP($CU100,$AH$9:$AI$102,2)/VLOOKUP($CU100-EZ$103,Frauen!$G$9:$J$102,4),Rundäx)))</f>
        <v/>
      </c>
      <c r="FA100" s="43" t="str">
        <f>IF($CU100&gt;=RAM,"",IF($CU100-FA$103&lt;BeginnAlter,"",ROUND((SUM(DR$56:DR100)+SUM(GJ$9:GJ$56))/VLOOKUP($CU100,$AH$9:$AI$102,2)/VLOOKUP($CU100-FA$103,Frauen!$G$9:$J$102,4),Rundäx)))</f>
        <v/>
      </c>
      <c r="FB100" s="43" t="str">
        <f>IF($CU100&gt;=RAM,"",IF($CU100-FB$103&lt;BeginnAlter,"",ROUND((SUM(DS$56:DS100)+SUM(GK$9:GK$56))/VLOOKUP($CU100,$AH$9:$AI$102,2)/VLOOKUP($CU100-FB$103,Frauen!$G$9:$J$102,4),Rundäx)))</f>
        <v/>
      </c>
      <c r="FC100" s="86"/>
      <c r="FD100" s="35">
        <f t="shared" si="182"/>
        <v>108</v>
      </c>
      <c r="FE100" s="43" t="str">
        <f>IF($CU100&gt;=RAM,"",IF($CU100-FE$103&lt;BeginnAlter,"",ROUND((SUM(DT$56:DT100)+SUM(GL$9:GL$56))/VLOOKUP($CU100,$AH$9:$AI$102,2)/VLOOKUP($CU100-FE$103,Frauen!$G$9:$J$102,4),Rundäx)))</f>
        <v/>
      </c>
      <c r="FF100" s="43" t="str">
        <f>IF($CU100&gt;=RAM,"",IF($CU100-FF$103&lt;BeginnAlter,"",ROUND((SUM(DU$56:DU100)+SUM(GM$9:GM$56))/VLOOKUP($CU100,$AH$9:$AI$102,2)/VLOOKUP($CU100-FF$103,Frauen!$G$9:$J$102,4),Rundäx)))</f>
        <v/>
      </c>
      <c r="FG100" s="43" t="str">
        <f>IF($CU100&gt;=RAM,"",IF($CU100-FG$103&lt;BeginnAlter,"",ROUND((SUM(DV$56:DV100)+SUM(GN$9:GN$56))/VLOOKUP($CU100,$AH$9:$AI$102,2)/VLOOKUP($CU100-FG$103,Frauen!$G$9:$J$102,4),Rundäx)))</f>
        <v/>
      </c>
      <c r="FH100" s="43" t="str">
        <f>IF($CU100&gt;=RAM,"",IF($CU100-FH$103&lt;BeginnAlter,"",ROUND((SUM(DW$56:DW100)+SUM(GO$9:GO$56))/VLOOKUP($CU100,$AH$9:$AI$102,2)/VLOOKUP($CU100-FH$103,Frauen!$G$9:$J$102,4),Rundäx)))</f>
        <v/>
      </c>
      <c r="FI100" s="43" t="str">
        <f>IF($CU100&gt;=RAM,"",IF($CU100-FI$103&lt;BeginnAlter,"",ROUND((SUM(DX$56:DX100)+SUM(GP$9:GP$56))/VLOOKUP($CU100,$AH$9:$AI$102,2)/VLOOKUP($CU100-FI$103,Frauen!$G$9:$J$102,4),Rundäx)))</f>
        <v/>
      </c>
      <c r="FJ100" s="43" t="str">
        <f>IF($CU100&gt;=RAM,"",IF($CU100-FJ$103&lt;BeginnAlter,"",ROUND((SUM(DY$56:DY100)+SUM(GQ$9:GQ$56))/VLOOKUP($CU100,$AH$9:$AI$102,2)/VLOOKUP($CU100-FJ$103,Frauen!$G$9:$J$102,4),Rundäx)))</f>
        <v/>
      </c>
      <c r="FK100" s="43" t="str">
        <f>IF($CU100&gt;=RAM,"",IF($CU100-FK$103&lt;BeginnAlter,"",ROUND((SUM(DZ$56:DZ100)+SUM(GR$9:GR$56))/VLOOKUP($CU100,$AH$9:$AI$102,2)/VLOOKUP($CU100-FK$103,Frauen!$G$9:$J$102,4),Rundäx)))</f>
        <v/>
      </c>
      <c r="FL100" s="86"/>
      <c r="FM100" s="35">
        <f t="shared" si="183"/>
        <v>156</v>
      </c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4"/>
      <c r="GT100" s="24"/>
      <c r="GU100" s="24" t="str">
        <f>IF(FM100&gt;=RAM," ",#REF!/$AI100/Frauen!$J88)</f>
        <v xml:space="preserve"> </v>
      </c>
      <c r="GV100" s="24" t="str">
        <f>IF(FM100&gt;=RAM," ",#REF!/$AI100/Frauen!$J91)</f>
        <v xml:space="preserve"> </v>
      </c>
      <c r="GW100" s="24" t="str">
        <f>IF(FM100&gt;=RAM," ",#REF!/$AI100/Frauen!$J94)</f>
        <v xml:space="preserve"> </v>
      </c>
      <c r="GX100" s="24" t="str">
        <f>IF(FM100&gt;=RAM," ",#REF!/$AI100/Frauen!$J97)</f>
        <v xml:space="preserve"> </v>
      </c>
      <c r="GY100" s="24" t="str">
        <f>IF(FM100&gt;=RAM," ",#REF!/$AI100/Frauen!$J100)</f>
        <v xml:space="preserve"> </v>
      </c>
      <c r="GZ100" s="24" t="str">
        <f>IF(FM100&gt;=RAM," ",#REF!/$AI100/Frauen!$J104)</f>
        <v xml:space="preserve"> </v>
      </c>
      <c r="HA100" s="86"/>
      <c r="HB100" s="35">
        <f t="shared" si="184"/>
        <v>156</v>
      </c>
      <c r="HC100" s="24"/>
      <c r="HD100" s="24"/>
      <c r="HE100" s="24"/>
      <c r="HF100" s="24"/>
      <c r="HG100" s="24"/>
      <c r="HH100" s="24"/>
      <c r="HI100" s="24"/>
      <c r="HJ100" s="24"/>
      <c r="HK100" s="86"/>
      <c r="HL100" s="35">
        <f t="shared" si="185"/>
        <v>156</v>
      </c>
      <c r="HM100" s="24"/>
      <c r="HN100" s="24"/>
      <c r="HO100" s="24"/>
      <c r="HP100" s="24"/>
      <c r="HQ100" s="24"/>
      <c r="HR100" s="24"/>
      <c r="HS100" s="24"/>
      <c r="HT100" s="24"/>
      <c r="HU100" s="86"/>
      <c r="HV100" s="35">
        <f t="shared" si="186"/>
        <v>156</v>
      </c>
      <c r="HW100" s="24"/>
      <c r="HX100" s="24"/>
      <c r="HY100" s="24"/>
      <c r="HZ100" s="24"/>
      <c r="IA100" s="24"/>
      <c r="IB100" s="24"/>
      <c r="IC100" s="24"/>
      <c r="ID100" s="89"/>
      <c r="IE100" s="35">
        <f t="shared" si="187"/>
        <v>108</v>
      </c>
      <c r="IF100" s="25" t="str">
        <f t="shared" si="112"/>
        <v/>
      </c>
      <c r="IG100" s="25" t="str">
        <f>IF($IE100&lt;RAM,IF(S101&lt;=RAK,ROUND(SUM(IF100:INDEX(Dakx,RAM-BeginnAlter))+INDEX(Dax,RAM-BeginnAlter+1)*INDEX(äkx,1),RundDx),0),"")</f>
        <v/>
      </c>
      <c r="IH100" s="25" t="str">
        <f>IF($IE100&lt;RAM,IF(S101&lt;=RAK,ROUND(SUM(IG100:INDEX(Nakx,RAM-BeginnAlter))+INDEX(Dax,RAM-BeginnAlter+1)*INDEX(äkx,1),RundDx),0),"")</f>
        <v/>
      </c>
      <c r="II100" s="24" t="str">
        <f t="shared" si="113"/>
        <v/>
      </c>
      <c r="IJ100" s="25" t="str">
        <f t="shared" si="114"/>
        <v/>
      </c>
      <c r="IK100" s="25" t="str">
        <f>IF($IE100&lt;RAM,IF(S101&lt;=RAK,SUM(IJ100:INDEX(Dikx,RAM-BeginnAlter))+INDEX(Dix,RAM-BeginnAlter+1)*INDEX(äkx,1),0),"")</f>
        <v/>
      </c>
      <c r="IL100" s="24" t="str">
        <f t="shared" si="115"/>
        <v/>
      </c>
      <c r="IM100" s="86"/>
      <c r="IN100" s="35">
        <f t="shared" si="188"/>
        <v>156</v>
      </c>
      <c r="IO100" s="25"/>
      <c r="IP100" s="28"/>
      <c r="IQ100" s="24"/>
      <c r="IR100" s="86"/>
    </row>
    <row r="101" spans="1:252" ht="15.75" customHeight="1" x14ac:dyDescent="0.25">
      <c r="A101" s="35">
        <f t="shared" si="120"/>
        <v>109</v>
      </c>
      <c r="B101" s="77"/>
      <c r="C101" s="77"/>
      <c r="D101" s="77"/>
      <c r="E101" s="77"/>
      <c r="F101" s="86"/>
      <c r="G101" s="35">
        <f t="shared" si="121"/>
        <v>109</v>
      </c>
      <c r="H101" s="25" t="str">
        <f>IF(G101&lt;=RAM,ROUND(H100*(1-B100-C100),Rundlx),"")</f>
        <v/>
      </c>
      <c r="I101" s="25" t="str">
        <f>IF(G101&lt;=RAM,ROUND(H100*C100*(1-D100)/(1-0.5*D100)+I100*(1-D100),RundIx),"")</f>
        <v/>
      </c>
      <c r="J101" s="25"/>
      <c r="K101" s="30" t="str">
        <f>IF(J101&gt;0,ROUND(SUM(J101:J$102)/J101-0.5,Rundex),"")</f>
        <v/>
      </c>
      <c r="L101" s="25"/>
      <c r="M101" s="30" t="str">
        <f>IF(L101&gt;0,ROUND(SUM(L101:L$102)/L101-0.5,Rundex),"")</f>
        <v/>
      </c>
      <c r="N101" s="86"/>
      <c r="O101" s="35">
        <f t="shared" si="122"/>
        <v>109</v>
      </c>
      <c r="P101" s="43">
        <v>6.9999999999999999E-4</v>
      </c>
      <c r="Q101" s="78">
        <v>100.7340182697905</v>
      </c>
      <c r="R101" s="43"/>
      <c r="S101" s="78"/>
      <c r="T101" s="15"/>
      <c r="U101" s="11"/>
      <c r="V101" s="30" t="str">
        <f>IF(U101&gt;0,ROUND(SUM(U101:U$102)/U101-0.5,Rundex),"")</f>
        <v/>
      </c>
      <c r="W101" s="86"/>
      <c r="X101" s="35">
        <f t="shared" si="148"/>
        <v>109</v>
      </c>
      <c r="Y101" s="25" t="str">
        <f t="shared" si="149"/>
        <v xml:space="preserve"> </v>
      </c>
      <c r="Z101" s="25" t="str">
        <f>IF($X101&lt;RAM,SUM(Y101:INDEX(Dax,RAM-BeginnAlter))," ")</f>
        <v xml:space="preserve"> </v>
      </c>
      <c r="AA101" s="25" t="str">
        <f t="shared" si="84"/>
        <v xml:space="preserve"> </v>
      </c>
      <c r="AB101" s="25" t="str">
        <f>IF($X101&lt;RAM,SUM(AA101:INDEX(Cax,RAM-BeginnAlter))," ")</f>
        <v xml:space="preserve"> </v>
      </c>
      <c r="AC101" s="25" t="str">
        <f t="shared" si="150"/>
        <v xml:space="preserve"> </v>
      </c>
      <c r="AD101" s="25" t="str">
        <f>IF($X101&lt;RAM,SUM(AC101:INDEX(Caix,RAM-BeginnAlter))," ")</f>
        <v xml:space="preserve"> </v>
      </c>
      <c r="AE101" s="24" t="str">
        <f t="shared" si="151"/>
        <v xml:space="preserve"> </v>
      </c>
      <c r="AF101" s="24" t="str">
        <f t="shared" si="152"/>
        <v xml:space="preserve"> </v>
      </c>
      <c r="AG101" s="86"/>
      <c r="AH101" s="35">
        <f t="shared" si="153"/>
        <v>109</v>
      </c>
      <c r="AI101" s="25" t="str">
        <f t="shared" si="154"/>
        <v xml:space="preserve"> </v>
      </c>
      <c r="AJ101" s="25" t="str">
        <f>IF($AH101&gt;RAM," ",IF($AH101&lt;RAM,SUM(AI101:INDEX(Dix,RAM-BeginnAlter))+INDEX(Nx,RAM-BeginnAlter+1),INDEX(Nx,RAM-BeginnAlter+1)))</f>
        <v xml:space="preserve"> </v>
      </c>
      <c r="AK101" s="25" t="str">
        <f>IF($AH101&lt;RAM,SUM(AI101:INDEX(Dix,RAM-BeginnAlter))," ")</f>
        <v xml:space="preserve"> </v>
      </c>
      <c r="AL101" s="24" t="str">
        <f t="shared" si="155"/>
        <v xml:space="preserve"> </v>
      </c>
      <c r="AM101" s="24" t="str">
        <f t="shared" si="156"/>
        <v xml:space="preserve"> </v>
      </c>
      <c r="AN101" s="24" t="str">
        <f t="shared" si="157"/>
        <v xml:space="preserve"> </v>
      </c>
      <c r="AO101" s="24" t="str">
        <f t="shared" si="158"/>
        <v xml:space="preserve"> </v>
      </c>
      <c r="AP101" s="86"/>
      <c r="AQ101" s="35">
        <f t="shared" si="159"/>
        <v>109</v>
      </c>
      <c r="AR101" s="25"/>
      <c r="AS101" s="25"/>
      <c r="AT101" s="25" t="str">
        <f>IF($AQ101&lt;RAM,SUM(AR101:INDEX(Dx,RAM-BeginnAlter))," ")</f>
        <v xml:space="preserve"> </v>
      </c>
      <c r="AU101" s="24" t="str">
        <f t="shared" si="160"/>
        <v xml:space="preserve"> </v>
      </c>
      <c r="AV101" s="24" t="str">
        <f t="shared" si="161"/>
        <v xml:space="preserve"> </v>
      </c>
      <c r="AW101" s="24" t="str">
        <f t="shared" si="162"/>
        <v xml:space="preserve"> </v>
      </c>
      <c r="AX101" s="24" t="str">
        <f t="shared" si="163"/>
        <v xml:space="preserve"> </v>
      </c>
      <c r="AY101" s="86"/>
      <c r="AZ101" s="35">
        <f t="shared" si="164"/>
        <v>109</v>
      </c>
      <c r="BA101" s="25"/>
      <c r="BB101" s="25"/>
      <c r="BC101" s="24" t="str">
        <f t="shared" si="165"/>
        <v xml:space="preserve"> </v>
      </c>
      <c r="BD101" s="24">
        <f t="shared" si="100"/>
        <v>0</v>
      </c>
      <c r="BE101" s="86"/>
      <c r="BF101" s="35">
        <f t="shared" si="166"/>
        <v>92</v>
      </c>
      <c r="BG101" s="24" t="str">
        <f t="shared" si="101"/>
        <v/>
      </c>
      <c r="BH101" s="24" t="str">
        <f t="shared" si="102"/>
        <v/>
      </c>
      <c r="BI101" s="86"/>
      <c r="BJ101" s="35">
        <f t="shared" si="167"/>
        <v>109</v>
      </c>
      <c r="BK101" s="25" t="str">
        <f t="shared" si="168"/>
        <v xml:space="preserve"> </v>
      </c>
      <c r="BL101" s="25" t="str">
        <f>IF(BJ101&lt;RAM,SUM(BK101:INDEX(Daix,RAM-BeginnAlter))," ")</f>
        <v xml:space="preserve"> </v>
      </c>
      <c r="BM101" s="25" t="str">
        <f>IF(BJ101&lt;RAM,SUM(BL101:INDEX(Naix,RAM-BeginnAlter))," ")</f>
        <v xml:space="preserve"> </v>
      </c>
      <c r="BN101" s="24" t="str">
        <f t="shared" si="169"/>
        <v xml:space="preserve"> </v>
      </c>
      <c r="BO101" s="24" t="str">
        <f t="shared" si="170"/>
        <v xml:space="preserve"> </v>
      </c>
      <c r="BP101" s="86"/>
      <c r="BQ101" s="35">
        <f t="shared" si="171"/>
        <v>109</v>
      </c>
      <c r="BR101" s="25" t="str">
        <f t="shared" si="172"/>
        <v xml:space="preserve"> </v>
      </c>
      <c r="BS101" s="25" t="str">
        <f>IF(BQ101&lt;RAM,SUM(BR101:INDEX(Daixs,RAM-BeginnAlter))," ")</f>
        <v xml:space="preserve"> </v>
      </c>
      <c r="BT101" s="25" t="str">
        <f>IF(BQ101&lt;RAM,SUM(BS101:INDEX(Naixs,RAM-BeginnAlter))," ")</f>
        <v xml:space="preserve"> </v>
      </c>
      <c r="BU101" s="24" t="str">
        <f t="shared" si="173"/>
        <v xml:space="preserve"> </v>
      </c>
      <c r="BV101" s="24" t="str">
        <f t="shared" si="174"/>
        <v xml:space="preserve"> </v>
      </c>
      <c r="BW101" s="86"/>
      <c r="BX101" s="35">
        <f t="shared" si="175"/>
        <v>109</v>
      </c>
      <c r="BY101" s="10" t="str">
        <f t="shared" si="106"/>
        <v/>
      </c>
      <c r="BZ101" s="11" t="str">
        <f t="shared" si="107"/>
        <v/>
      </c>
      <c r="CA101" s="25" t="str">
        <f>IF(S102&lt;=RAK,IF($BX101&lt;RAM,SUM(BZ101:INDEX(Dazx,RAM-BeginnAlter)),""),"")</f>
        <v/>
      </c>
      <c r="CB101" s="24" t="str">
        <f t="shared" si="108"/>
        <v/>
      </c>
      <c r="CC101" s="25">
        <f t="shared" si="109"/>
        <v>0</v>
      </c>
      <c r="CD101" s="24">
        <f t="shared" si="110"/>
        <v>0</v>
      </c>
      <c r="CE101" s="24" t="str">
        <f t="shared" si="111"/>
        <v/>
      </c>
      <c r="CF101" s="86"/>
      <c r="CG101" s="35">
        <f t="shared" si="176"/>
        <v>109</v>
      </c>
      <c r="CH101" s="25" t="str">
        <f>IF(CG101&lt;RAM,ROUND(v^($CG101+FaktorAlter)*$H101*($B101*0.5*($P101+$P102)*(VLOOKUP(TRUNC(0.5*($Q101+$Q102),0),Frauen!$AZ$9:$BD$95,5)+(0.5*($Q101+$Q102)-TRUNC(0.5*($Q101+$Q102),0))*(VLOOKUP(TRUNC(0.5*($Q101+$Q102)+1,0),Frauen!$AZ$9:$BD$95,5)-VLOOKUP(TRUNC(0.5*($Q101+$Q102),0),Frauen!$AZ$9:$BD$95,5)))+$C101*0.5*($CN101+$CN102)),RundDx),"")</f>
        <v/>
      </c>
      <c r="CI101" s="25" t="str">
        <f>IF(CG101&lt;RAM,ROUND(SUM(CH101:INDEX(Dawx,RAM-BeginnAlter))+INDEX(Dax,RAM-BeginnAlter+1)*INDEX(äwx,1),RundDx),"")</f>
        <v/>
      </c>
      <c r="CJ101" s="25" t="str">
        <f>IF(CG101&lt;RAM,ROUND(SUM(CI101:INDEX(Nawx,RAM-BeginnAlter))+INDEX(Dax,RAM-BeginnAlter+1)*INDEX(äwx,1),RundDx),"")</f>
        <v/>
      </c>
      <c r="CK101" s="24" t="str">
        <f t="shared" si="177"/>
        <v/>
      </c>
      <c r="CL101" s="25" t="str">
        <f>IF(CG101&lt;RAM,ROUND(v^($CG101+FaktorAlter)*$L101*$D101*0.5*($P101+$P102)*(VLOOKUP(TRUNC(0.5*($Q101+$Q102),0),Frauen!$AZ$9:$BD$95,5)+(0.5*($Q101+$Q102)-TRUNC(0.5*($Q101+$Q102),0))*(VLOOKUP(TRUNC(0.5*($Q101+$Q102)+1,0),Frauen!$AZ$9:$BD$95,5)-VLOOKUP(TRUNC(0.5*($Q101+$Q102),0),Frauen!$AZ$9:$BD$95,5))),RundDx),"")</f>
        <v/>
      </c>
      <c r="CM101" s="25" t="str">
        <f>IF(CG101&lt;RAM,SUM(CL101:INDEX(Diwx,RAM-BeginnAlter))+INDEX(Dix,RAM-BeginnAlter+1)*INDEX(äwx,1),"")</f>
        <v/>
      </c>
      <c r="CN101" s="24" t="str">
        <f t="shared" si="178"/>
        <v/>
      </c>
      <c r="CO101" s="86"/>
      <c r="CP101" s="35">
        <f t="shared" si="147"/>
        <v>157</v>
      </c>
      <c r="CQ101" s="25"/>
      <c r="CR101" s="28"/>
      <c r="CS101" s="30"/>
      <c r="CT101" s="86"/>
      <c r="CU101" s="35">
        <f t="shared" si="179"/>
        <v>109</v>
      </c>
      <c r="CV101" s="25" t="str">
        <f>IF($CU101&gt;=RAM,"",IF($CU101-CV$103&lt;BeginnAlter,"",ROUND(v^($CU101+FaktorAlter)*$L101*$D101*0.5*(VLOOKUP($CU101-CV$103,Frauen!$G$9:$J$102,4)+VLOOKUP($CU101-CV$103+1,Frauen!$G$9:$J$102,4))*0.5*(VLOOKUP($CU101-CV$103,Frauen!$AZ$9:$BD$102,5)+VLOOKUP($CU101-CV$103+1,Frauen!$AZ$9:$BD$102,5)),RundDx)))</f>
        <v/>
      </c>
      <c r="CW101" s="25" t="str">
        <f>IF($CU101&gt;=RAM,"",IF($CU101-CW$103&lt;BeginnAlter,"",ROUND(v^($CU101+FaktorAlter)*$L101*$D101*0.5*(VLOOKUP($CU101-CW$103,Frauen!$G$9:$J$102,4)+VLOOKUP($CU101-CW$103+1,Frauen!$G$9:$J$102,4))*0.5*(VLOOKUP($CU101-CW$103,Frauen!$AZ$9:$BD$102,5)+VLOOKUP($CU101-CW$103+1,Frauen!$AZ$9:$BD$102,5)),RundDx)))</f>
        <v/>
      </c>
      <c r="CX101" s="25" t="str">
        <f>IF($CU101&gt;=RAM,"",IF($CU101-CX$103&lt;BeginnAlter,"",ROUND(v^($CU101+FaktorAlter)*$L101*$D101*0.5*(VLOOKUP($CU101-CX$103,Frauen!$G$9:$J$102,4)+VLOOKUP($CU101-CX$103+1,Frauen!$G$9:$J$102,4))*0.5*(VLOOKUP($CU101-CX$103,Frauen!$AZ$9:$BD$102,5)+VLOOKUP($CU101-CX$103+1,Frauen!$AZ$9:$BD$102,5)),RundDx)))</f>
        <v/>
      </c>
      <c r="CY101" s="25" t="str">
        <f>IF($CU101&gt;=RAM,"",IF($CU101-CY$103&lt;BeginnAlter,"",ROUND(v^($CU101+FaktorAlter)*$L101*$D101*0.5*(VLOOKUP($CU101-CY$103,Frauen!$G$9:$J$102,4)+VLOOKUP($CU101-CY$103+1,Frauen!$G$9:$J$102,4))*0.5*(VLOOKUP($CU101-CY$103,Frauen!$AZ$9:$BD$102,5)+VLOOKUP($CU101-CY$103+1,Frauen!$AZ$9:$BD$102,5)),RundDx)))</f>
        <v/>
      </c>
      <c r="CZ101" s="25" t="str">
        <f>IF($CU101&gt;=RAM,"",IF($CU101-CZ$103&lt;BeginnAlter,"",ROUND(v^($CU101+FaktorAlter)*$L101*$D101*0.5*(VLOOKUP($CU101-CZ$103,Frauen!$G$9:$J$102,4)+VLOOKUP($CU101-CZ$103+1,Frauen!$G$9:$J$102,4))*0.5*(VLOOKUP($CU101-CZ$103,Frauen!$AZ$9:$BD$102,5)+VLOOKUP($CU101-CZ$103+1,Frauen!$AZ$9:$BD$102,5)),RundDx)))</f>
        <v/>
      </c>
      <c r="DA101" s="25" t="str">
        <f>IF($CU101&gt;=RAM,"",IF($CU101-DA$103&lt;BeginnAlter,"",ROUND(v^($CU101+FaktorAlter)*$L101*$D101*0.5*(VLOOKUP($CU101-DA$103,Frauen!$G$9:$J$102,4)+VLOOKUP($CU101-DA$103+1,Frauen!$G$9:$J$102,4))*0.5*(VLOOKUP($CU101-DA$103,Frauen!$AZ$9:$BD$102,5)+VLOOKUP($CU101-DA$103+1,Frauen!$AZ$9:$BD$102,5)),RundDx)))</f>
        <v/>
      </c>
      <c r="DB101" s="25" t="str">
        <f>IF($CU101&gt;=RAM,"",IF($CU101-DB$103&lt;BeginnAlter,"",ROUND(v^($CU101+FaktorAlter)*$L101*$D101*0.5*(VLOOKUP($CU101-DB$103,Frauen!$G$9:$J$102,4)+VLOOKUP($CU101-DB$103+1,Frauen!$G$9:$J$102,4))*0.5*(VLOOKUP($CU101-DB$103,Frauen!$AZ$9:$BD$102,5)+VLOOKUP($CU101-DB$103+1,Frauen!$AZ$9:$BD$102,5)),RundDx)))</f>
        <v/>
      </c>
      <c r="DC101" s="25" t="str">
        <f>IF($CU101&gt;=RAM,"",IF($CU101-DC$103&lt;BeginnAlter,"",ROUND(v^($CU101+FaktorAlter)*$L101*$D101*0.5*(VLOOKUP($CU101-DC$103,Frauen!$G$9:$J$102,4)+VLOOKUP($CU101-DC$103+1,Frauen!$G$9:$J$102,4))*0.5*(VLOOKUP($CU101-DC$103,Frauen!$AZ$9:$BD$102,5)+VLOOKUP($CU101-DC$103+1,Frauen!$AZ$9:$BD$102,5)),RundDx)))</f>
        <v/>
      </c>
      <c r="DD101" s="25" t="str">
        <f>IF($CU101&gt;=RAM,"",IF($CU101-DD$103&lt;BeginnAlter,"",ROUND(v^($CU101+FaktorAlter)*$L101*$D101*0.5*(VLOOKUP($CU101-DD$103,Frauen!$G$9:$J$102,4)+VLOOKUP($CU101-DD$103+1,Frauen!$G$9:$J$102,4))*0.5*(VLOOKUP($CU101-DD$103,Frauen!$AZ$9:$BD$102,5)+VLOOKUP($CU101-DD$103+1,Frauen!$AZ$9:$BD$102,5)),RundDx)))</f>
        <v/>
      </c>
      <c r="DE101" s="25" t="str">
        <f>IF($CU101&gt;=RAM,"",IF($CU101-DE$103&lt;BeginnAlter,"",ROUND(v^($CU101+FaktorAlter)*$L101*$D101*0.5*(VLOOKUP($CU101-DE$103,Frauen!$G$9:$J$102,4)+VLOOKUP($CU101-DE$103+1,Frauen!$G$9:$J$102,4))*0.5*(VLOOKUP($CU101-DE$103,Frauen!$AZ$9:$BD$102,5)+VLOOKUP($CU101-DE$103+1,Frauen!$AZ$9:$BD$102,5)),RundDx)))</f>
        <v/>
      </c>
      <c r="DF101" s="25" t="str">
        <f>IF($CU101&gt;=RAM,"",IF($CU101-DF$103&lt;BeginnAlter,"",ROUND(v^($CU101+FaktorAlter)*$L101*$D101*0.5*(VLOOKUP($CU101-DF$103,Frauen!$G$9:$J$102,4)+VLOOKUP($CU101-DF$103+1,Frauen!$G$9:$J$102,4))*0.5*(VLOOKUP($CU101-DF$103,Frauen!$AZ$9:$BD$102,5)+VLOOKUP($CU101-DF$103+1,Frauen!$AZ$9:$BD$102,5)),RundDx)))</f>
        <v/>
      </c>
      <c r="DG101" s="25" t="str">
        <f>IF($CU101&gt;=RAM,"",IF($CU101-DG$103&lt;BeginnAlter,"",ROUND(v^($CU101+FaktorAlter)*$L101*$D101*0.5*(VLOOKUP($CU101-DG$103,Frauen!$G$9:$J$102,4)+VLOOKUP($CU101-DG$103+1,Frauen!$G$9:$J$102,4))*0.5*(VLOOKUP($CU101-DG$103,Frauen!$AZ$9:$BD$102,5)+VLOOKUP($CU101-DG$103+1,Frauen!$AZ$9:$BD$102,5)),RundDx)))</f>
        <v/>
      </c>
      <c r="DH101" s="25" t="str">
        <f>IF($CU101&gt;=RAM,"",IF($CU101-DH$103&lt;BeginnAlter,"",ROUND(v^($CU101+FaktorAlter)*$L101*$D101*0.5*(VLOOKUP($CU101-DH$103,Frauen!$G$9:$J$102,4)+VLOOKUP($CU101-DH$103+1,Frauen!$G$9:$J$102,4))*0.5*(VLOOKUP($CU101-DH$103,Frauen!$AZ$9:$BD$102,5)+VLOOKUP($CU101-DH$103+1,Frauen!$AZ$9:$BD$102,5)),RundDx)))</f>
        <v/>
      </c>
      <c r="DI101" s="25" t="str">
        <f>IF($CU101&gt;=RAM,"",IF($CU101-DI$103&lt;BeginnAlter,"",ROUND(v^($CU101+FaktorAlter)*$L101*$D101*0.5*(VLOOKUP($CU101-DI$103,Frauen!$G$9:$J$102,4)+VLOOKUP($CU101-DI$103+1,Frauen!$G$9:$J$102,4))*0.5*(VLOOKUP($CU101-DI$103,Frauen!$AZ$9:$BD$102,5)+VLOOKUP($CU101-DI$103+1,Frauen!$AZ$9:$BD$102,5)),RundDx)))</f>
        <v/>
      </c>
      <c r="DJ101" s="25" t="str">
        <f>IF($CU101&gt;=RAM,"",IF($CU101-DJ$103&lt;BeginnAlter,"",ROUND(v^($CU101+FaktorAlter)*$L101*$D101*0.5*(VLOOKUP($CU101-DJ$103,Frauen!$G$9:$J$102,4)+VLOOKUP($CU101-DJ$103+1,Frauen!$G$9:$J$102,4))*0.5*(VLOOKUP($CU101-DJ$103,Frauen!$AZ$9:$BD$102,5)+VLOOKUP($CU101-DJ$103+1,Frauen!$AZ$9:$BD$102,5)),RundDx)))</f>
        <v/>
      </c>
      <c r="DK101" s="25" t="str">
        <f>IF($CU101&gt;=RAM,"",IF($CU101-DK$103&lt;BeginnAlter,"",ROUND(v^($CU101+FaktorAlter)*$L101*$D101*0.5*(VLOOKUP($CU101-DK$103,Frauen!$G$9:$J$102,4)+VLOOKUP($CU101-DK$103+1,Frauen!$G$9:$J$102,4))*0.5*(VLOOKUP($CU101-DK$103,Frauen!$AZ$9:$BD$102,5)+VLOOKUP($CU101-DK$103+1,Frauen!$AZ$9:$BD$102,5)),RundDx)))</f>
        <v/>
      </c>
      <c r="DL101" s="25" t="str">
        <f>IF($CU101&gt;=RAM,"",IF($CU101-DL$103&lt;BeginnAlter,"",ROUND(v^($CU101+FaktorAlter)*$L101*$D101*0.5*(VLOOKUP($CU101-DL$103,Frauen!$G$9:$J$102,4)+VLOOKUP($CU101-DL$103+1,Frauen!$G$9:$J$102,4))*0.5*(VLOOKUP($CU101-DL$103,Frauen!$AZ$9:$BD$102,5)+VLOOKUP($CU101-DL$103+1,Frauen!$AZ$9:$BD$102,5)),RundDx)))</f>
        <v/>
      </c>
      <c r="DM101" s="25" t="str">
        <f>IF($CU101&gt;=RAM,"",IF($CU101-DM$103&lt;BeginnAlter,"",ROUND(v^($CU101+FaktorAlter)*$L101*$D101*0.5*(VLOOKUP($CU101-DM$103,Frauen!$G$9:$J$102,4)+VLOOKUP($CU101-DM$103+1,Frauen!$G$9:$J$102,4))*0.5*(VLOOKUP($CU101-DM$103,Frauen!$AZ$9:$BD$102,5)+VLOOKUP($CU101-DM$103+1,Frauen!$AZ$9:$BD$102,5)),RundDx)))</f>
        <v/>
      </c>
      <c r="DN101" s="25" t="str">
        <f>IF($CU101&gt;=RAM,"",IF($CU101-DN$103&lt;BeginnAlter,"",ROUND(v^($CU101+FaktorAlter)*$L101*$D101*0.5*(VLOOKUP($CU101-DN$103,Frauen!$G$9:$J$102,4)+VLOOKUP($CU101-DN$103+1,Frauen!$G$9:$J$102,4))*0.5*(VLOOKUP($CU101-DN$103,Frauen!$AZ$9:$BD$102,5)+VLOOKUP($CU101-DN$103+1,Frauen!$AZ$9:$BD$102,5)),RundDx)))</f>
        <v/>
      </c>
      <c r="DO101" s="25" t="str">
        <f>IF($CU101&gt;=RAM,"",IF($CU101-DO$103&lt;BeginnAlter,"",ROUND(v^($CU101+FaktorAlter)*$L101*$D101*0.5*(VLOOKUP($CU101-DO$103,Frauen!$G$9:$J$102,4)+VLOOKUP($CU101-DO$103+1,Frauen!$G$9:$J$102,4))*0.5*(VLOOKUP($CU101-DO$103,Frauen!$AZ$9:$BD$102,5)+VLOOKUP($CU101-DO$103+1,Frauen!$AZ$9:$BD$102,5)),RundDx)))</f>
        <v/>
      </c>
      <c r="DP101" s="25" t="str">
        <f>IF($CU101&gt;=RAM,"",IF($CU101-DP$103&lt;BeginnAlter,"",ROUND(v^($CU101+FaktorAlter)*$L101*$D101*0.5*(VLOOKUP($CU101-DP$103,Frauen!$G$9:$J$102,4)+VLOOKUP($CU101-DP$103+1,Frauen!$G$9:$J$102,4))*0.5*(VLOOKUP($CU101-DP$103,Frauen!$AZ$9:$BD$102,5)+VLOOKUP($CU101-DP$103+1,Frauen!$AZ$9:$BD$102,5)),RundDx)))</f>
        <v/>
      </c>
      <c r="DQ101" s="25" t="str">
        <f>IF($CU101&gt;=RAM,"",IF($CU101-DQ$103&lt;BeginnAlter,"",ROUND(v^($CU101+FaktorAlter)*$L101*$D101*0.5*(VLOOKUP($CU101-DQ$103,Frauen!$G$9:$J$102,4)+VLOOKUP($CU101-DQ$103+1,Frauen!$G$9:$J$102,4))*0.5*(VLOOKUP($CU101-DQ$103,Frauen!$AZ$9:$BD$102,5)+VLOOKUP($CU101-DQ$103+1,Frauen!$AZ$9:$BD$102,5)),RundDx)))</f>
        <v/>
      </c>
      <c r="DR101" s="25" t="str">
        <f>IF($CU101&gt;=RAM,"",IF($CU101-DR$103&lt;BeginnAlter,"",ROUND(v^($CU101+FaktorAlter)*$L101*$D101*0.5*(VLOOKUP($CU101-DR$103,Frauen!$G$9:$J$102,4)+VLOOKUP($CU101-DR$103+1,Frauen!$G$9:$J$102,4))*0.5*(VLOOKUP($CU101-DR$103,Frauen!$AZ$9:$BD$102,5)+VLOOKUP($CU101-DR$103+1,Frauen!$AZ$9:$BD$102,5)),RundDx)))</f>
        <v/>
      </c>
      <c r="DS101" s="25" t="str">
        <f>IF($CU101&gt;=RAM,"",IF($CU101-DS$103&lt;BeginnAlter,"",ROUND(v^($CU101+FaktorAlter)*$L101*$D101*0.5*(VLOOKUP($CU101-DS$103,Frauen!$G$9:$J$102,4)+VLOOKUP($CU101-DS$103+1,Frauen!$G$9:$J$102,4))*0.5*(VLOOKUP($CU101-DS$103,Frauen!$AZ$9:$BD$102,5)+VLOOKUP($CU101-DS$103+1,Frauen!$AZ$9:$BD$102,5)),RundDx)))</f>
        <v/>
      </c>
      <c r="DT101" s="25" t="str">
        <f>IF($CU101&gt;=RAM,"",IF($CU101-DT$103&lt;BeginnAlter,"",ROUND(v^($CU101+FaktorAlter)*$L101*$D101*0.5*(VLOOKUP($CU101-DT$103,Frauen!$G$9:$J$102,4)+VLOOKUP($CU101-DT$103+1,Frauen!$G$9:$J$102,4))*0.5*(VLOOKUP($CU101-DT$103,Frauen!$AZ$9:$BD$102,5)+VLOOKUP($CU101-DT$103+1,Frauen!$AZ$9:$BD$102,5)),RundDx)))</f>
        <v/>
      </c>
      <c r="DU101" s="25" t="str">
        <f>IF($CU101&gt;=RAM,"",IF($CU101-DU$103&lt;BeginnAlter,"",ROUND(v^($CU101+FaktorAlter)*$L101*$D101*0.5*(VLOOKUP($CU101-DU$103,Frauen!$G$9:$J$102,4)+VLOOKUP($CU101-DU$103+1,Frauen!$G$9:$J$102,4))*0.5*(VLOOKUP($CU101-DU$103,Frauen!$AZ$9:$BD$102,5)+VLOOKUP($CU101-DU$103+1,Frauen!$AZ$9:$BD$102,5)),RundDx)))</f>
        <v/>
      </c>
      <c r="DV101" s="25" t="str">
        <f>IF($CU101&gt;=RAM,"",IF($CU101-DV$103&lt;BeginnAlter,"",ROUND(v^($CU101+FaktorAlter)*$L101*$D101*0.5*(VLOOKUP($CU101-DV$103,Frauen!$G$9:$J$102,4)+VLOOKUP($CU101-DV$103+1,Frauen!$G$9:$J$102,4))*0.5*(VLOOKUP($CU101-DV$103,Frauen!$AZ$9:$BD$102,5)+VLOOKUP($CU101-DV$103+1,Frauen!$AZ$9:$BD$102,5)),RundDx)))</f>
        <v/>
      </c>
      <c r="DW101" s="25" t="str">
        <f>IF($CU101&gt;=RAM,"",IF($CU101-DW$103&lt;BeginnAlter,"",ROUND(v^($CU101+FaktorAlter)*$L101*$D101*0.5*(VLOOKUP($CU101-DW$103,Frauen!$G$9:$J$102,4)+VLOOKUP($CU101-DW$103+1,Frauen!$G$9:$J$102,4))*0.5*(VLOOKUP($CU101-DW$103,Frauen!$AZ$9:$BD$102,5)+VLOOKUP($CU101-DW$103+1,Frauen!$AZ$9:$BD$102,5)),RundDx)))</f>
        <v/>
      </c>
      <c r="DX101" s="25" t="str">
        <f>IF($CU101&gt;=RAM,"",IF($CU101-DX$103&lt;BeginnAlter,"",ROUND(v^($CU101+FaktorAlter)*$L101*$D101*0.5*(VLOOKUP($CU101-DX$103,Frauen!$G$9:$J$102,4)+VLOOKUP($CU101-DX$103+1,Frauen!$G$9:$J$102,4))*0.5*(VLOOKUP($CU101-DX$103,Frauen!$AZ$9:$BD$102,5)+VLOOKUP($CU101-DX$103+1,Frauen!$AZ$9:$BD$102,5)),RundDx)))</f>
        <v/>
      </c>
      <c r="DY101" s="25" t="str">
        <f>IF($CU101&gt;=RAM,"",IF($CU101-DY$103&lt;BeginnAlter,"",ROUND(v^($CU101+FaktorAlter)*$L101*$D101*0.5*(VLOOKUP($CU101-DY$103,Frauen!$G$9:$J$102,4)+VLOOKUP($CU101-DY$103+1,Frauen!$G$9:$J$102,4))*0.5*(VLOOKUP($CU101-DY$103,Frauen!$AZ$9:$BD$102,5)+VLOOKUP($CU101-DY$103+1,Frauen!$AZ$9:$BD$102,5)),RundDx)))</f>
        <v/>
      </c>
      <c r="DZ101" s="25" t="str">
        <f>IF($CU101&gt;=RAM,"",IF($CU101-DZ$103&lt;BeginnAlter,"",ROUND(v^($CU101+FaktorAlter)*$L101*$D101*0.5*(VLOOKUP($CU101-DZ$103,Frauen!$G$9:$J$102,4)+VLOOKUP($CU101-DZ$103+1,Frauen!$G$9:$J$102,4))*0.5*(VLOOKUP($CU101-DZ$103,Frauen!$AZ$9:$BD$102,5)+VLOOKUP($CU101-DZ$103+1,Frauen!$AZ$9:$BD$102,5)),RundDx)))</f>
        <v/>
      </c>
      <c r="EA101" s="43" t="str">
        <f>IF($CU101&gt;=RAM,"",IF($CU101-EA$103&lt;BeginnAlter,"",ROUND((SUM(CV$56:CV101)+SUM(FN$9:FN$56))/VLOOKUP($CU101,$AH$9:$AI$102,2)/VLOOKUP($CU101-EA$103,Frauen!$G$9:$J$102,4),Rundäx)))</f>
        <v/>
      </c>
      <c r="EB101" s="43" t="str">
        <f>IF($CU101&gt;=RAM,"",IF($CU101-EB$103&lt;BeginnAlter,"",ROUND((SUM(CW$56:CW101)+SUM(FO$9:FO$56))/VLOOKUP($CU101,$AH$9:$AI$102,2)/VLOOKUP($CU101-EB$103,Frauen!$G$9:$J$102,4),Rundäx)))</f>
        <v/>
      </c>
      <c r="EC101" s="43" t="str">
        <f>IF($CU101&gt;=RAM,"",IF($CU101-EC$103&lt;BeginnAlter,"",ROUND((SUM(CX$56:CX101)+SUM(FP$9:FP$56))/VLOOKUP($CU101,$AH$9:$AI$102,2)/VLOOKUP($CU101-EC$103,Frauen!$G$9:$J$102,4),Rundäx)))</f>
        <v/>
      </c>
      <c r="ED101" s="43" t="str">
        <f>IF($CU101&gt;=RAM,"",IF($CU101-ED$103&lt;BeginnAlter,"",ROUND((SUM(CY$56:CY101)+SUM(FQ$9:FQ$56))/VLOOKUP($CU101,$AH$9:$AI$102,2)/VLOOKUP($CU101-ED$103,Frauen!$G$9:$J$102,4),Rundäx)))</f>
        <v/>
      </c>
      <c r="EE101" s="43" t="str">
        <f>IF($CU101&gt;=RAM,"",IF($CU101-EE$103&lt;BeginnAlter,"",ROUND((SUM(CZ$56:CZ101)+SUM(FR$9:FR$56))/VLOOKUP($CU101,$AH$9:$AI$102,2)/VLOOKUP($CU101-EE$103,Frauen!$G$9:$J$102,4),Rundäx)))</f>
        <v/>
      </c>
      <c r="EF101" s="43" t="str">
        <f>IF($CU101&gt;=RAM,"",IF($CU101-EF$103&lt;BeginnAlter,"",ROUND((SUM(DA$56:DA101)+SUM(FS$9:FS$56))/VLOOKUP($CU101,$AH$9:$AI$102,2)/VLOOKUP($CU101-EF$103,Frauen!$G$9:$J$102,4),Rundäx)))</f>
        <v/>
      </c>
      <c r="EG101" s="43" t="str">
        <f>IF($CU101&gt;=RAM,"",IF($CU101-EG$103&lt;BeginnAlter,"",ROUND((SUM(DB$56:DB101)+SUM(FT$9:FT$56))/VLOOKUP($CU101,$AH$9:$AI$102,2)/VLOOKUP($CU101-EG$103,Frauen!$G$9:$J$102,4),Rundäx)))</f>
        <v/>
      </c>
      <c r="EH101" s="43" t="str">
        <f>IF($CU101&gt;=RAM,"",IF($CU101-EH$103&lt;BeginnAlter,"",ROUND((SUM(DC$56:DC101)+SUM(FU$9:FU$56))/VLOOKUP($CU101,$AH$9:$AI$102,2)/VLOOKUP($CU101-EH$103,Frauen!$G$9:$J$102,4),Rundäx)))</f>
        <v/>
      </c>
      <c r="EI101" s="86"/>
      <c r="EJ101" s="35">
        <f t="shared" si="180"/>
        <v>109</v>
      </c>
      <c r="EK101" s="43" t="str">
        <f>IF($CU101&gt;=RAM,"",IF($CU101-EK$103&lt;BeginnAlter,"",ROUND((SUM(DD$56:DD101)+SUM(FV$9:FV$56))/VLOOKUP($CU101,$AH$9:$AI$102,2)/VLOOKUP($CU101-EK$103,Frauen!$G$9:$J$102,4),Rundäx)))</f>
        <v/>
      </c>
      <c r="EL101" s="43" t="str">
        <f>IF($CU101&gt;=RAM,"",IF($CU101-EL$103&lt;BeginnAlter,"",ROUND((SUM(DE$56:DE101)+SUM(FW$9:FW$56))/VLOOKUP($CU101,$AH$9:$AI$102,2)/VLOOKUP($CU101-EL$103,Frauen!$G$9:$J$102,4),Rundäx)))</f>
        <v/>
      </c>
      <c r="EM101" s="43" t="str">
        <f>IF($CU101&gt;=RAM,"",IF($CU101-EM$103&lt;BeginnAlter,"",ROUND((SUM(DF$56:DF101)+SUM(FX$9:FX$56))/VLOOKUP($CU101,$AH$9:$AI$102,2)/VLOOKUP($CU101-EM$103,Frauen!$G$9:$J$102,4),Rundäx)))</f>
        <v/>
      </c>
      <c r="EN101" s="43" t="str">
        <f>IF($CU101&gt;=RAM,"",IF($CU101-EN$103&lt;BeginnAlter,"",ROUND((SUM(DG$56:DG101)+SUM(FY$9:FY$56))/VLOOKUP($CU101,$AH$9:$AI$102,2)/VLOOKUP($CU101-EN$103,Frauen!$G$9:$J$102,4),Rundäx)))</f>
        <v/>
      </c>
      <c r="EO101" s="43" t="str">
        <f>IF($CU101&gt;=RAM,"",IF($CU101-EO$103&lt;BeginnAlter,"",ROUND((SUM(DH$56:DH101)+SUM(FZ$9:FZ$56))/VLOOKUP($CU101,$AH$9:$AI$102,2)/VLOOKUP($CU101-EO$103,Frauen!$G$9:$J$102,4),Rundäx)))</f>
        <v/>
      </c>
      <c r="EP101" s="43" t="str">
        <f>IF($CU101&gt;=RAM,"",IF($CU101-EP$103&lt;BeginnAlter,"",ROUND((SUM(DI$56:DI101)+SUM(GA$9:GA$56))/VLOOKUP($CU101,$AH$9:$AI$102,2)/VLOOKUP($CU101-EP$103,Frauen!$G$9:$J$102,4),Rundäx)))</f>
        <v/>
      </c>
      <c r="EQ101" s="43" t="str">
        <f>IF($CU101&gt;=RAM,"",IF($CU101-EQ$103&lt;BeginnAlter,"",ROUND((SUM(DJ$56:DJ101)+SUM(GB$9:GB$56))/VLOOKUP($CU101,$AH$9:$AI$102,2)/VLOOKUP($CU101-EQ$103,Frauen!$G$9:$J$102,4),Rundäx)))</f>
        <v/>
      </c>
      <c r="ER101" s="43" t="str">
        <f>IF($CU101&gt;=RAM,"",IF($CU101-ER$103&lt;BeginnAlter,"",ROUND((SUM(DK$56:DK101)+SUM(GC$9:GC$56))/VLOOKUP($CU101,$AH$9:$AI$102,2)/VLOOKUP($CU101-ER$103,Frauen!$G$9:$J$102,4),Rundäx)))</f>
        <v/>
      </c>
      <c r="ES101" s="86"/>
      <c r="ET101" s="35">
        <f t="shared" si="181"/>
        <v>109</v>
      </c>
      <c r="EU101" s="43" t="str">
        <f>IF($CU101&gt;=RAM,"",IF($CU101-EU$103&lt;BeginnAlter,"",ROUND((SUM(DL$56:DL101)+SUM(GD$9:GD$56))/VLOOKUP($CU101,$AH$9:$AI$102,2)/VLOOKUP($CU101-EU$103,Frauen!$G$9:$J$102,4),Rundäx)))</f>
        <v/>
      </c>
      <c r="EV101" s="43" t="str">
        <f>IF($CU101&gt;=RAM,"",IF($CU101-EV$103&lt;BeginnAlter,"",ROUND((SUM(DM$56:DM101)+SUM(GE$9:GE$56))/VLOOKUP($CU101,$AH$9:$AI$102,2)/VLOOKUP($CU101-EV$103,Frauen!$G$9:$J$102,4),Rundäx)))</f>
        <v/>
      </c>
      <c r="EW101" s="43" t="str">
        <f>IF($CU101&gt;=RAM,"",IF($CU101-EW$103&lt;BeginnAlter,"",ROUND((SUM(DN$56:DN101)+SUM(GF$9:GF$56))/VLOOKUP($CU101,$AH$9:$AI$102,2)/VLOOKUP($CU101-EW$103,Frauen!$G$9:$J$102,4),Rundäx)))</f>
        <v/>
      </c>
      <c r="EX101" s="43" t="str">
        <f>IF($CU101&gt;=RAM,"",IF($CU101-EX$103&lt;BeginnAlter,"",ROUND((SUM(DO$56:DO101)+SUM(GG$9:GG$56))/VLOOKUP($CU101,$AH$9:$AI$102,2)/VLOOKUP($CU101-EX$103,Frauen!$G$9:$J$102,4),Rundäx)))</f>
        <v/>
      </c>
      <c r="EY101" s="43" t="str">
        <f>IF($CU101&gt;=RAM,"",IF($CU101-EY$103&lt;BeginnAlter,"",ROUND((SUM(DP$56:DP101)+SUM(GH$9:GH$56))/VLOOKUP($CU101,$AH$9:$AI$102,2)/VLOOKUP($CU101-EY$103,Frauen!$G$9:$J$102,4),Rundäx)))</f>
        <v/>
      </c>
      <c r="EZ101" s="43" t="str">
        <f>IF($CU101&gt;=RAM,"",IF($CU101-EZ$103&lt;BeginnAlter,"",ROUND((SUM(DQ$56:DQ101)+SUM(GI$9:GI$56))/VLOOKUP($CU101,$AH$9:$AI$102,2)/VLOOKUP($CU101-EZ$103,Frauen!$G$9:$J$102,4),Rundäx)))</f>
        <v/>
      </c>
      <c r="FA101" s="43" t="str">
        <f>IF($CU101&gt;=RAM,"",IF($CU101-FA$103&lt;BeginnAlter,"",ROUND((SUM(DR$56:DR101)+SUM(GJ$9:GJ$56))/VLOOKUP($CU101,$AH$9:$AI$102,2)/VLOOKUP($CU101-FA$103,Frauen!$G$9:$J$102,4),Rundäx)))</f>
        <v/>
      </c>
      <c r="FB101" s="43" t="str">
        <f>IF($CU101&gt;=RAM,"",IF($CU101-FB$103&lt;BeginnAlter,"",ROUND((SUM(DS$56:DS101)+SUM(GK$9:GK$56))/VLOOKUP($CU101,$AH$9:$AI$102,2)/VLOOKUP($CU101-FB$103,Frauen!$G$9:$J$102,4),Rundäx)))</f>
        <v/>
      </c>
      <c r="FC101" s="86"/>
      <c r="FD101" s="35">
        <f t="shared" si="182"/>
        <v>109</v>
      </c>
      <c r="FE101" s="43" t="str">
        <f>IF($CU101&gt;=RAM,"",IF($CU101-FE$103&lt;BeginnAlter,"",ROUND((SUM(DT$56:DT101)+SUM(GL$9:GL$56))/VLOOKUP($CU101,$AH$9:$AI$102,2)/VLOOKUP($CU101-FE$103,Frauen!$G$9:$J$102,4),Rundäx)))</f>
        <v/>
      </c>
      <c r="FF101" s="43" t="str">
        <f>IF($CU101&gt;=RAM,"",IF($CU101-FF$103&lt;BeginnAlter,"",ROUND((SUM(DU$56:DU101)+SUM(GM$9:GM$56))/VLOOKUP($CU101,$AH$9:$AI$102,2)/VLOOKUP($CU101-FF$103,Frauen!$G$9:$J$102,4),Rundäx)))</f>
        <v/>
      </c>
      <c r="FG101" s="43" t="str">
        <f>IF($CU101&gt;=RAM,"",IF($CU101-FG$103&lt;BeginnAlter,"",ROUND((SUM(DV$56:DV101)+SUM(GN$9:GN$56))/VLOOKUP($CU101,$AH$9:$AI$102,2)/VLOOKUP($CU101-FG$103,Frauen!$G$9:$J$102,4),Rundäx)))</f>
        <v/>
      </c>
      <c r="FH101" s="43" t="str">
        <f>IF($CU101&gt;=RAM,"",IF($CU101-FH$103&lt;BeginnAlter,"",ROUND((SUM(DW$56:DW101)+SUM(GO$9:GO$56))/VLOOKUP($CU101,$AH$9:$AI$102,2)/VLOOKUP($CU101-FH$103,Frauen!$G$9:$J$102,4),Rundäx)))</f>
        <v/>
      </c>
      <c r="FI101" s="43" t="str">
        <f>IF($CU101&gt;=RAM,"",IF($CU101-FI$103&lt;BeginnAlter,"",ROUND((SUM(DX$56:DX101)+SUM(GP$9:GP$56))/VLOOKUP($CU101,$AH$9:$AI$102,2)/VLOOKUP($CU101-FI$103,Frauen!$G$9:$J$102,4),Rundäx)))</f>
        <v/>
      </c>
      <c r="FJ101" s="43" t="str">
        <f>IF($CU101&gt;=RAM,"",IF($CU101-FJ$103&lt;BeginnAlter,"",ROUND((SUM(DY$56:DY101)+SUM(GQ$9:GQ$56))/VLOOKUP($CU101,$AH$9:$AI$102,2)/VLOOKUP($CU101-FJ$103,Frauen!$G$9:$J$102,4),Rundäx)))</f>
        <v/>
      </c>
      <c r="FK101" s="43" t="str">
        <f>IF($CU101&gt;=RAM,"",IF($CU101-FK$103&lt;BeginnAlter,"",ROUND((SUM(DZ$56:DZ101)+SUM(GR$9:GR$56))/VLOOKUP($CU101,$AH$9:$AI$102,2)/VLOOKUP($CU101-FK$103,Frauen!$G$9:$J$102,4),Rundäx)))</f>
        <v/>
      </c>
      <c r="FL101" s="86"/>
      <c r="FM101" s="35">
        <f t="shared" si="183"/>
        <v>157</v>
      </c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4"/>
      <c r="GT101" s="24"/>
      <c r="GU101" s="24" t="str">
        <f>IF(FM101&gt;=RAM," ",#REF!/$AI101/Frauen!$J89)</f>
        <v xml:space="preserve"> </v>
      </c>
      <c r="GV101" s="24" t="str">
        <f>IF(FM101&gt;=RAM," ",#REF!/$AI101/Frauen!$J92)</f>
        <v xml:space="preserve"> </v>
      </c>
      <c r="GW101" s="24" t="str">
        <f>IF(FM101&gt;=RAM," ",#REF!/$AI101/Frauen!$J95)</f>
        <v xml:space="preserve"> </v>
      </c>
      <c r="GX101" s="24" t="str">
        <f>IF(FM101&gt;=RAM," ",#REF!/$AI101/Frauen!$J98)</f>
        <v xml:space="preserve"> </v>
      </c>
      <c r="GY101" s="24" t="str">
        <f>IF(FM101&gt;=RAM," ",#REF!/$AI101/Frauen!$J102)</f>
        <v xml:space="preserve"> </v>
      </c>
      <c r="GZ101" s="24" t="str">
        <f>IF(FM101&gt;=RAM," ",#REF!/$AI101/Frauen!$J105)</f>
        <v xml:space="preserve"> </v>
      </c>
      <c r="HA101" s="86"/>
      <c r="HB101" s="35">
        <f t="shared" si="184"/>
        <v>157</v>
      </c>
      <c r="HC101" s="24"/>
      <c r="HD101" s="24"/>
      <c r="HE101" s="24"/>
      <c r="HF101" s="24"/>
      <c r="HG101" s="24"/>
      <c r="HH101" s="24"/>
      <c r="HI101" s="24"/>
      <c r="HJ101" s="24"/>
      <c r="HK101" s="86"/>
      <c r="HL101" s="35">
        <f t="shared" si="185"/>
        <v>157</v>
      </c>
      <c r="HM101" s="24"/>
      <c r="HN101" s="24"/>
      <c r="HO101" s="24"/>
      <c r="HP101" s="24"/>
      <c r="HQ101" s="24"/>
      <c r="HR101" s="24"/>
      <c r="HS101" s="24"/>
      <c r="HT101" s="24"/>
      <c r="HU101" s="86"/>
      <c r="HV101" s="35">
        <f t="shared" si="186"/>
        <v>157</v>
      </c>
      <c r="HW101" s="24"/>
      <c r="HX101" s="24"/>
      <c r="HY101" s="24"/>
      <c r="HZ101" s="24"/>
      <c r="IA101" s="24"/>
      <c r="IB101" s="24"/>
      <c r="IC101" s="24"/>
      <c r="ID101" s="89"/>
      <c r="IE101" s="35">
        <f t="shared" si="187"/>
        <v>109</v>
      </c>
      <c r="IF101" s="25" t="str">
        <f t="shared" si="112"/>
        <v/>
      </c>
      <c r="IG101" s="25" t="str">
        <f>IF($IE101&lt;RAM,IF(S102&lt;=RAK,ROUND(SUM(IF101:INDEX(Dakx,RAM-BeginnAlter))+INDEX(Dax,RAM-BeginnAlter+1)*INDEX(äkx,1),RundDx),0),"")</f>
        <v/>
      </c>
      <c r="IH101" s="25" t="str">
        <f>IF($IE101&lt;RAM,IF(S102&lt;=RAK,ROUND(SUM(IG101:INDEX(Nakx,RAM-BeginnAlter))+INDEX(Dax,RAM-BeginnAlter+1)*INDEX(äkx,1),RundDx),0),"")</f>
        <v/>
      </c>
      <c r="II101" s="24" t="str">
        <f t="shared" si="113"/>
        <v/>
      </c>
      <c r="IJ101" s="25" t="str">
        <f t="shared" si="114"/>
        <v/>
      </c>
      <c r="IK101" s="25" t="str">
        <f>IF($IE101&lt;RAM,IF(S102&lt;=RAK,SUM(IJ101:INDEX(Dikx,RAM-BeginnAlter))+INDEX(Dix,RAM-BeginnAlter+1)*INDEX(äkx,1),0),"")</f>
        <v/>
      </c>
      <c r="IL101" s="24" t="str">
        <f t="shared" si="115"/>
        <v/>
      </c>
      <c r="IM101" s="86"/>
      <c r="IN101" s="35">
        <f t="shared" si="188"/>
        <v>157</v>
      </c>
      <c r="IO101" s="25"/>
      <c r="IP101" s="28"/>
      <c r="IQ101" s="24"/>
      <c r="IR101" s="86"/>
    </row>
    <row r="102" spans="1:252" ht="15.75" customHeight="1" thickBot="1" x14ac:dyDescent="0.3">
      <c r="A102" s="36">
        <f t="shared" si="120"/>
        <v>110</v>
      </c>
      <c r="B102" s="79"/>
      <c r="C102" s="79"/>
      <c r="D102" s="79"/>
      <c r="E102" s="79"/>
      <c r="F102" s="87"/>
      <c r="G102" s="36">
        <f t="shared" si="121"/>
        <v>110</v>
      </c>
      <c r="H102" s="27" t="str">
        <f>IF(G102&lt;=RAM,ROUND(H100*(1-B100-C100),Rundlx),"")</f>
        <v/>
      </c>
      <c r="I102" s="27" t="str">
        <f>IF(G102&lt;=RAM,ROUND(H100*C100*(1-D100)/(1-0.5*D100)+I100*(1-D100),RundIx),"")</f>
        <v/>
      </c>
      <c r="J102" s="27"/>
      <c r="K102" s="31" t="str">
        <f>IF(J102&gt;0,ROUND(SUM(J102:J$102)/J102-0.5,Rundex),"")</f>
        <v/>
      </c>
      <c r="L102" s="27"/>
      <c r="M102" s="31" t="str">
        <f>IF(L102&gt;0,ROUND(SUM(L102:L$102)/L102-0.5,Rundex),"")</f>
        <v/>
      </c>
      <c r="N102" s="87"/>
      <c r="O102" s="36">
        <f t="shared" si="122"/>
        <v>110</v>
      </c>
      <c r="P102" s="37">
        <v>5.0000000000000001E-4</v>
      </c>
      <c r="Q102" s="80">
        <v>101.6307377015373</v>
      </c>
      <c r="R102" s="37"/>
      <c r="S102" s="80"/>
      <c r="T102" s="16"/>
      <c r="U102" s="81"/>
      <c r="V102" s="31" t="str">
        <f>IF(U102&gt;0,ROUND(SUM(U102:U$102)/U102-0.5,Rundex),"")</f>
        <v/>
      </c>
      <c r="W102" s="87"/>
      <c r="X102" s="36">
        <f t="shared" si="148"/>
        <v>110</v>
      </c>
      <c r="Y102" s="27" t="str">
        <f t="shared" si="149"/>
        <v xml:space="preserve"> </v>
      </c>
      <c r="Z102" s="27" t="str">
        <f>IF($X102&lt;RAM,SUM(Y102:INDEX(Dax,RAM-BeginnAlter))," ")</f>
        <v xml:space="preserve"> </v>
      </c>
      <c r="AA102" s="27" t="str">
        <f t="shared" si="84"/>
        <v xml:space="preserve"> </v>
      </c>
      <c r="AB102" s="27" t="str">
        <f>IF($X102&lt;RAM,SUM(AA102:INDEX(Cax,RAM-BeginnAlter))," ")</f>
        <v xml:space="preserve"> </v>
      </c>
      <c r="AC102" s="27" t="str">
        <f t="shared" si="150"/>
        <v xml:space="preserve"> </v>
      </c>
      <c r="AD102" s="27" t="str">
        <f>IF($X102&lt;RAM,SUM(AC102:INDEX(Caix,RAM-BeginnAlter))," ")</f>
        <v xml:space="preserve"> </v>
      </c>
      <c r="AE102" s="26" t="str">
        <f t="shared" si="151"/>
        <v xml:space="preserve"> </v>
      </c>
      <c r="AF102" s="26" t="str">
        <f t="shared" si="152"/>
        <v xml:space="preserve"> </v>
      </c>
      <c r="AG102" s="87"/>
      <c r="AH102" s="36">
        <f t="shared" si="153"/>
        <v>110</v>
      </c>
      <c r="AI102" s="27" t="str">
        <f t="shared" si="154"/>
        <v xml:space="preserve"> </v>
      </c>
      <c r="AJ102" s="27" t="str">
        <f>IF($AH102&gt;RAM," ",IF($AH102&lt;RAM,SUM(AI102:INDEX(Dix,RAM-BeginnAlter))+INDEX(Nx,RAM-BeginnAlter+1),INDEX(Nx,RAM-BeginnAlter+1)))</f>
        <v xml:space="preserve"> </v>
      </c>
      <c r="AK102" s="27" t="str">
        <f>IF($AH102&lt;RAM,SUM(AI102:INDEX(Dix,RAM-BeginnAlter))," ")</f>
        <v xml:space="preserve"> </v>
      </c>
      <c r="AL102" s="26" t="str">
        <f t="shared" si="155"/>
        <v xml:space="preserve"> </v>
      </c>
      <c r="AM102" s="26" t="str">
        <f t="shared" si="156"/>
        <v xml:space="preserve"> </v>
      </c>
      <c r="AN102" s="26" t="str">
        <f t="shared" si="157"/>
        <v xml:space="preserve"> </v>
      </c>
      <c r="AO102" s="26" t="str">
        <f t="shared" si="158"/>
        <v xml:space="preserve"> </v>
      </c>
      <c r="AP102" s="87"/>
      <c r="AQ102" s="36">
        <f t="shared" si="159"/>
        <v>110</v>
      </c>
      <c r="AR102" s="27"/>
      <c r="AS102" s="27"/>
      <c r="AT102" s="27" t="str">
        <f>IF($AQ102&lt;RAM,SUM(AR102:INDEX(Dx,RAM-BeginnAlter))," ")</f>
        <v xml:space="preserve"> </v>
      </c>
      <c r="AU102" s="26" t="str">
        <f t="shared" si="160"/>
        <v xml:space="preserve"> </v>
      </c>
      <c r="AV102" s="26" t="str">
        <f t="shared" si="161"/>
        <v xml:space="preserve"> </v>
      </c>
      <c r="AW102" s="26" t="str">
        <f t="shared" si="162"/>
        <v xml:space="preserve"> </v>
      </c>
      <c r="AX102" s="26" t="str">
        <f t="shared" si="163"/>
        <v xml:space="preserve"> </v>
      </c>
      <c r="AY102" s="87"/>
      <c r="AZ102" s="36">
        <f t="shared" si="164"/>
        <v>110</v>
      </c>
      <c r="BA102" s="27"/>
      <c r="BB102" s="27"/>
      <c r="BC102" s="26" t="str">
        <f t="shared" si="165"/>
        <v xml:space="preserve"> </v>
      </c>
      <c r="BD102" s="26">
        <f t="shared" si="100"/>
        <v>0</v>
      </c>
      <c r="BE102" s="87"/>
      <c r="BF102" s="36">
        <f t="shared" si="166"/>
        <v>93</v>
      </c>
      <c r="BG102" s="26" t="str">
        <f t="shared" si="101"/>
        <v/>
      </c>
      <c r="BH102" s="26" t="str">
        <f t="shared" si="102"/>
        <v/>
      </c>
      <c r="BI102" s="87"/>
      <c r="BJ102" s="36">
        <f t="shared" si="167"/>
        <v>110</v>
      </c>
      <c r="BK102" s="27" t="str">
        <f t="shared" si="168"/>
        <v xml:space="preserve"> </v>
      </c>
      <c r="BL102" s="27" t="str">
        <f>IF(BJ102&lt;RAM,SUM(BK102:INDEX(Daix,RAM-BeginnAlter))," ")</f>
        <v xml:space="preserve"> </v>
      </c>
      <c r="BM102" s="27" t="str">
        <f>IF(BJ102&lt;RAM,SUM(BL102:INDEX(Naix,RAM-BeginnAlter))," ")</f>
        <v xml:space="preserve"> </v>
      </c>
      <c r="BN102" s="26" t="str">
        <f t="shared" si="169"/>
        <v xml:space="preserve"> </v>
      </c>
      <c r="BO102" s="26" t="str">
        <f t="shared" si="170"/>
        <v xml:space="preserve"> </v>
      </c>
      <c r="BP102" s="87"/>
      <c r="BQ102" s="36">
        <f t="shared" si="171"/>
        <v>110</v>
      </c>
      <c r="BR102" s="27" t="str">
        <f t="shared" si="172"/>
        <v xml:space="preserve"> </v>
      </c>
      <c r="BS102" s="27" t="str">
        <f>IF(BQ102&lt;RAM,SUM(BR102:INDEX(Daixs,RAM-BeginnAlter))," ")</f>
        <v xml:space="preserve"> </v>
      </c>
      <c r="BT102" s="27" t="str">
        <f>IF(BQ102&lt;RAM,SUM(BS102:INDEX(Naixs,RAM-BeginnAlter))," ")</f>
        <v xml:space="preserve"> </v>
      </c>
      <c r="BU102" s="26" t="str">
        <f t="shared" si="173"/>
        <v xml:space="preserve"> </v>
      </c>
      <c r="BV102" s="26" t="str">
        <f t="shared" si="174"/>
        <v xml:space="preserve"> </v>
      </c>
      <c r="BW102" s="87"/>
      <c r="BX102" s="36">
        <f t="shared" si="175"/>
        <v>110</v>
      </c>
      <c r="BY102" s="13" t="str">
        <f t="shared" si="106"/>
        <v/>
      </c>
      <c r="BZ102" s="14" t="str">
        <f t="shared" si="107"/>
        <v/>
      </c>
      <c r="CA102" s="27" t="str">
        <f>IF(S103&lt;=RAK,IF($BX102&lt;RAM,SUM(BZ102:INDEX(Dazx,RAM-BeginnAlter)),""),"")</f>
        <v/>
      </c>
      <c r="CB102" s="26" t="str">
        <f t="shared" si="108"/>
        <v/>
      </c>
      <c r="CC102" s="27">
        <f t="shared" si="109"/>
        <v>0</v>
      </c>
      <c r="CD102" s="26">
        <f t="shared" si="110"/>
        <v>0</v>
      </c>
      <c r="CE102" s="26" t="str">
        <f t="shared" si="111"/>
        <v/>
      </c>
      <c r="CF102" s="87"/>
      <c r="CG102" s="36">
        <f t="shared" si="176"/>
        <v>110</v>
      </c>
      <c r="CH102" s="27" t="str">
        <f>IF(CG102&lt;RAM,ROUND(v^($CG102+FaktorAlter)*$H102*($B102*0.5*($P102+$P103)*(VLOOKUP(TRUNC(0.5*($Q102+$Q103),0),Frauen!$AZ$9:$BD$95,5)+(0.5*($Q102+$Q103)-TRUNC(0.5*($Q102+$Q103),0))*(VLOOKUP(TRUNC(0.5*($Q102+$Q103)+1,0),Frauen!$AZ$9:$BD$95,5)-VLOOKUP(TRUNC(0.5*($Q102+$Q103),0),Frauen!$AZ$9:$BD$95,5)))+$C102*0.5*($CN102+$CN103)),RundDx),"")</f>
        <v/>
      </c>
      <c r="CI102" s="27" t="str">
        <f>IF(CG102&lt;RAM,ROUND(SUM(CH102:INDEX(Dawx,RAM-BeginnAlter))+INDEX(Dax,RAM-BeginnAlter+1)*INDEX(äwx,1),RundDx),"")</f>
        <v/>
      </c>
      <c r="CJ102" s="27" t="str">
        <f>IF(CG102&lt;RAM,ROUND(SUM(CI102:INDEX(Nawx,RAM-BeginnAlter))+INDEX(Dax,RAM-BeginnAlter+1)*INDEX(äwx,1),RundDx),"")</f>
        <v/>
      </c>
      <c r="CK102" s="26" t="str">
        <f t="shared" si="177"/>
        <v/>
      </c>
      <c r="CL102" s="27" t="str">
        <f>IF(CG102&lt;RAM,ROUND(v^($CG102+FaktorAlter)*$L102*$D102*0.5*($P102+$P103)*(VLOOKUP(TRUNC(0.5*($Q102+$Q103),0),Frauen!$AZ$9:$BD$95,5)+(0.5*($Q102+$Q103)-TRUNC(0.5*($Q102+$Q103),0))*(VLOOKUP(TRUNC(0.5*($Q102+$Q103)+1,0),Frauen!$AZ$9:$BD$95,5)-VLOOKUP(TRUNC(0.5*($Q102+$Q103),0),Frauen!$AZ$9:$BD$95,5))),RundDx),"")</f>
        <v/>
      </c>
      <c r="CM102" s="27" t="str">
        <f>IF(CG102&lt;RAM,SUM(CL102:INDEX(Diwx,RAM-BeginnAlter))+INDEX(Dix,RAM-BeginnAlter+1)*INDEX(äwx,1),"")</f>
        <v/>
      </c>
      <c r="CN102" s="26" t="str">
        <f t="shared" si="178"/>
        <v/>
      </c>
      <c r="CO102" s="87"/>
      <c r="CP102" s="36">
        <f t="shared" si="147"/>
        <v>158</v>
      </c>
      <c r="CQ102" s="27"/>
      <c r="CR102" s="29"/>
      <c r="CS102" s="37"/>
      <c r="CT102" s="87"/>
      <c r="CU102" s="36">
        <f t="shared" si="179"/>
        <v>110</v>
      </c>
      <c r="CV102" s="27" t="str">
        <f>IF($CU102&gt;=RAM,"",IF($CU102-CV$103&lt;BeginnAlter,"",ROUND(v^($CU102+FaktorAlter)*$L102*$D102*0.5*(VLOOKUP($CU102-CV$103,Frauen!$G$9:$J$102,4)+VLOOKUP($CU102-CV$103+1,Frauen!$G$9:$J$102,4))*0.5*(VLOOKUP($CU102-CV$103,Frauen!$AZ$9:$BD$102,5)+VLOOKUP($CU102-CV$103+1,Frauen!$AZ$9:$BD$102,5)),RundDx)))</f>
        <v/>
      </c>
      <c r="CW102" s="27" t="str">
        <f>IF($CU102&gt;=RAM,"",IF($CU102-CW$103&lt;BeginnAlter,"",ROUND(v^($CU102+FaktorAlter)*$L102*$D102*0.5*(VLOOKUP($CU102-CW$103,Frauen!$G$9:$J$102,4)+VLOOKUP($CU102-CW$103+1,Frauen!$G$9:$J$102,4))*0.5*(VLOOKUP($CU102-CW$103,Frauen!$AZ$9:$BD$102,5)+VLOOKUP($CU102-CW$103+1,Frauen!$AZ$9:$BD$102,5)),RundDx)))</f>
        <v/>
      </c>
      <c r="CX102" s="27" t="str">
        <f>IF($CU102&gt;=RAM,"",IF($CU102-CX$103&lt;BeginnAlter,"",ROUND(v^($CU102+FaktorAlter)*$L102*$D102*0.5*(VLOOKUP($CU102-CX$103,Frauen!$G$9:$J$102,4)+VLOOKUP($CU102-CX$103+1,Frauen!$G$9:$J$102,4))*0.5*(VLOOKUP($CU102-CX$103,Frauen!$AZ$9:$BD$102,5)+VLOOKUP($CU102-CX$103+1,Frauen!$AZ$9:$BD$102,5)),RundDx)))</f>
        <v/>
      </c>
      <c r="CY102" s="27" t="str">
        <f>IF($CU102&gt;=RAM,"",IF($CU102-CY$103&lt;BeginnAlter,"",ROUND(v^($CU102+FaktorAlter)*$L102*$D102*0.5*(VLOOKUP($CU102-CY$103,Frauen!$G$9:$J$102,4)+VLOOKUP($CU102-CY$103+1,Frauen!$G$9:$J$102,4))*0.5*(VLOOKUP($CU102-CY$103,Frauen!$AZ$9:$BD$102,5)+VLOOKUP($CU102-CY$103+1,Frauen!$AZ$9:$BD$102,5)),RundDx)))</f>
        <v/>
      </c>
      <c r="CZ102" s="27" t="str">
        <f>IF($CU102&gt;=RAM,"",IF($CU102-CZ$103&lt;BeginnAlter,"",ROUND(v^($CU102+FaktorAlter)*$L102*$D102*0.5*(VLOOKUP($CU102-CZ$103,Frauen!$G$9:$J$102,4)+VLOOKUP($CU102-CZ$103+1,Frauen!$G$9:$J$102,4))*0.5*(VLOOKUP($CU102-CZ$103,Frauen!$AZ$9:$BD$102,5)+VLOOKUP($CU102-CZ$103+1,Frauen!$AZ$9:$BD$102,5)),RundDx)))</f>
        <v/>
      </c>
      <c r="DA102" s="27" t="str">
        <f>IF($CU102&gt;=RAM,"",IF($CU102-DA$103&lt;BeginnAlter,"",ROUND(v^($CU102+FaktorAlter)*$L102*$D102*0.5*(VLOOKUP($CU102-DA$103,Frauen!$G$9:$J$102,4)+VLOOKUP($CU102-DA$103+1,Frauen!$G$9:$J$102,4))*0.5*(VLOOKUP($CU102-DA$103,Frauen!$AZ$9:$BD$102,5)+VLOOKUP($CU102-DA$103+1,Frauen!$AZ$9:$BD$102,5)),RundDx)))</f>
        <v/>
      </c>
      <c r="DB102" s="27" t="str">
        <f>IF($CU102&gt;=RAM,"",IF($CU102-DB$103&lt;BeginnAlter,"",ROUND(v^($CU102+FaktorAlter)*$L102*$D102*0.5*(VLOOKUP($CU102-DB$103,Frauen!$G$9:$J$102,4)+VLOOKUP($CU102-DB$103+1,Frauen!$G$9:$J$102,4))*0.5*(VLOOKUP($CU102-DB$103,Frauen!$AZ$9:$BD$102,5)+VLOOKUP($CU102-DB$103+1,Frauen!$AZ$9:$BD$102,5)),RundDx)))</f>
        <v/>
      </c>
      <c r="DC102" s="27" t="str">
        <f>IF($CU102&gt;=RAM,"",IF($CU102-DC$103&lt;BeginnAlter,"",ROUND(v^($CU102+FaktorAlter)*$L102*$D102*0.5*(VLOOKUP($CU102-DC$103,Frauen!$G$9:$J$102,4)+VLOOKUP($CU102-DC$103+1,Frauen!$G$9:$J$102,4))*0.5*(VLOOKUP($CU102-DC$103,Frauen!$AZ$9:$BD$102,5)+VLOOKUP($CU102-DC$103+1,Frauen!$AZ$9:$BD$102,5)),RundDx)))</f>
        <v/>
      </c>
      <c r="DD102" s="27" t="str">
        <f>IF($CU102&gt;=RAM,"",IF($CU102-DD$103&lt;BeginnAlter,"",ROUND(v^($CU102+FaktorAlter)*$L102*$D102*0.5*(VLOOKUP($CU102-DD$103,Frauen!$G$9:$J$102,4)+VLOOKUP($CU102-DD$103+1,Frauen!$G$9:$J$102,4))*0.5*(VLOOKUP($CU102-DD$103,Frauen!$AZ$9:$BD$102,5)+VLOOKUP($CU102-DD$103+1,Frauen!$AZ$9:$BD$102,5)),RundDx)))</f>
        <v/>
      </c>
      <c r="DE102" s="27" t="str">
        <f>IF($CU102&gt;=RAM,"",IF($CU102-DE$103&lt;BeginnAlter,"",ROUND(v^($CU102+FaktorAlter)*$L102*$D102*0.5*(VLOOKUP($CU102-DE$103,Frauen!$G$9:$J$102,4)+VLOOKUP($CU102-DE$103+1,Frauen!$G$9:$J$102,4))*0.5*(VLOOKUP($CU102-DE$103,Frauen!$AZ$9:$BD$102,5)+VLOOKUP($CU102-DE$103+1,Frauen!$AZ$9:$BD$102,5)),RundDx)))</f>
        <v/>
      </c>
      <c r="DF102" s="27" t="str">
        <f>IF($CU102&gt;=RAM,"",IF($CU102-DF$103&lt;BeginnAlter,"",ROUND(v^($CU102+FaktorAlter)*$L102*$D102*0.5*(VLOOKUP($CU102-DF$103,Frauen!$G$9:$J$102,4)+VLOOKUP($CU102-DF$103+1,Frauen!$G$9:$J$102,4))*0.5*(VLOOKUP($CU102-DF$103,Frauen!$AZ$9:$BD$102,5)+VLOOKUP($CU102-DF$103+1,Frauen!$AZ$9:$BD$102,5)),RundDx)))</f>
        <v/>
      </c>
      <c r="DG102" s="27" t="str">
        <f>IF($CU102&gt;=RAM,"",IF($CU102-DG$103&lt;BeginnAlter,"",ROUND(v^($CU102+FaktorAlter)*$L102*$D102*0.5*(VLOOKUP($CU102-DG$103,Frauen!$G$9:$J$102,4)+VLOOKUP($CU102-DG$103+1,Frauen!$G$9:$J$102,4))*0.5*(VLOOKUP($CU102-DG$103,Frauen!$AZ$9:$BD$102,5)+VLOOKUP($CU102-DG$103+1,Frauen!$AZ$9:$BD$102,5)),RundDx)))</f>
        <v/>
      </c>
      <c r="DH102" s="27" t="str">
        <f>IF($CU102&gt;=RAM,"",IF($CU102-DH$103&lt;BeginnAlter,"",ROUND(v^($CU102+FaktorAlter)*$L102*$D102*0.5*(VLOOKUP($CU102-DH$103,Frauen!$G$9:$J$102,4)+VLOOKUP($CU102-DH$103+1,Frauen!$G$9:$J$102,4))*0.5*(VLOOKUP($CU102-DH$103,Frauen!$AZ$9:$BD$102,5)+VLOOKUP($CU102-DH$103+1,Frauen!$AZ$9:$BD$102,5)),RundDx)))</f>
        <v/>
      </c>
      <c r="DI102" s="27" t="str">
        <f>IF($CU102&gt;=RAM,"",IF($CU102-DI$103&lt;BeginnAlter,"",ROUND(v^($CU102+FaktorAlter)*$L102*$D102*0.5*(VLOOKUP($CU102-DI$103,Frauen!$G$9:$J$102,4)+VLOOKUP($CU102-DI$103+1,Frauen!$G$9:$J$102,4))*0.5*(VLOOKUP($CU102-DI$103,Frauen!$AZ$9:$BD$102,5)+VLOOKUP($CU102-DI$103+1,Frauen!$AZ$9:$BD$102,5)),RundDx)))</f>
        <v/>
      </c>
      <c r="DJ102" s="27" t="str">
        <f>IF($CU102&gt;=RAM,"",IF($CU102-DJ$103&lt;BeginnAlter,"",ROUND(v^($CU102+FaktorAlter)*$L102*$D102*0.5*(VLOOKUP($CU102-DJ$103,Frauen!$G$9:$J$102,4)+VLOOKUP($CU102-DJ$103+1,Frauen!$G$9:$J$102,4))*0.5*(VLOOKUP($CU102-DJ$103,Frauen!$AZ$9:$BD$102,5)+VLOOKUP($CU102-DJ$103+1,Frauen!$AZ$9:$BD$102,5)),RundDx)))</f>
        <v/>
      </c>
      <c r="DK102" s="27" t="str">
        <f>IF($CU102&gt;=RAM,"",IF($CU102-DK$103&lt;BeginnAlter,"",ROUND(v^($CU102+FaktorAlter)*$L102*$D102*0.5*(VLOOKUP($CU102-DK$103,Frauen!$G$9:$J$102,4)+VLOOKUP($CU102-DK$103+1,Frauen!$G$9:$J$102,4))*0.5*(VLOOKUP($CU102-DK$103,Frauen!$AZ$9:$BD$102,5)+VLOOKUP($CU102-DK$103+1,Frauen!$AZ$9:$BD$102,5)),RundDx)))</f>
        <v/>
      </c>
      <c r="DL102" s="27" t="str">
        <f>IF($CU102&gt;=RAM,"",IF($CU102-DL$103&lt;BeginnAlter,"",ROUND(v^($CU102+FaktorAlter)*$L102*$D102*0.5*(VLOOKUP($CU102-DL$103,Frauen!$G$9:$J$102,4)+VLOOKUP($CU102-DL$103+1,Frauen!$G$9:$J$102,4))*0.5*(VLOOKUP($CU102-DL$103,Frauen!$AZ$9:$BD$102,5)+VLOOKUP($CU102-DL$103+1,Frauen!$AZ$9:$BD$102,5)),RundDx)))</f>
        <v/>
      </c>
      <c r="DM102" s="27" t="str">
        <f>IF($CU102&gt;=RAM,"",IF($CU102-DM$103&lt;BeginnAlter,"",ROUND(v^($CU102+FaktorAlter)*$L102*$D102*0.5*(VLOOKUP($CU102-DM$103,Frauen!$G$9:$J$102,4)+VLOOKUP($CU102-DM$103+1,Frauen!$G$9:$J$102,4))*0.5*(VLOOKUP($CU102-DM$103,Frauen!$AZ$9:$BD$102,5)+VLOOKUP($CU102-DM$103+1,Frauen!$AZ$9:$BD$102,5)),RundDx)))</f>
        <v/>
      </c>
      <c r="DN102" s="27" t="str">
        <f>IF($CU102&gt;=RAM,"",IF($CU102-DN$103&lt;BeginnAlter,"",ROUND(v^($CU102+FaktorAlter)*$L102*$D102*0.5*(VLOOKUP($CU102-DN$103,Frauen!$G$9:$J$102,4)+VLOOKUP($CU102-DN$103+1,Frauen!$G$9:$J$102,4))*0.5*(VLOOKUP($CU102-DN$103,Frauen!$AZ$9:$BD$102,5)+VLOOKUP($CU102-DN$103+1,Frauen!$AZ$9:$BD$102,5)),RundDx)))</f>
        <v/>
      </c>
      <c r="DO102" s="27" t="str">
        <f>IF($CU102&gt;=RAM,"",IF($CU102-DO$103&lt;BeginnAlter,"",ROUND(v^($CU102+FaktorAlter)*$L102*$D102*0.5*(VLOOKUP($CU102-DO$103,Frauen!$G$9:$J$102,4)+VLOOKUP($CU102-DO$103+1,Frauen!$G$9:$J$102,4))*0.5*(VLOOKUP($CU102-DO$103,Frauen!$AZ$9:$BD$102,5)+VLOOKUP($CU102-DO$103+1,Frauen!$AZ$9:$BD$102,5)),RundDx)))</f>
        <v/>
      </c>
      <c r="DP102" s="27" t="str">
        <f>IF($CU102&gt;=RAM,"",IF($CU102-DP$103&lt;BeginnAlter,"",ROUND(v^($CU102+FaktorAlter)*$L102*$D102*0.5*(VLOOKUP($CU102-DP$103,Frauen!$G$9:$J$102,4)+VLOOKUP($CU102-DP$103+1,Frauen!$G$9:$J$102,4))*0.5*(VLOOKUP($CU102-DP$103,Frauen!$AZ$9:$BD$102,5)+VLOOKUP($CU102-DP$103+1,Frauen!$AZ$9:$BD$102,5)),RundDx)))</f>
        <v/>
      </c>
      <c r="DQ102" s="27" t="str">
        <f>IF($CU102&gt;=RAM,"",IF($CU102-DQ$103&lt;BeginnAlter,"",ROUND(v^($CU102+FaktorAlter)*$L102*$D102*0.5*(VLOOKUP($CU102-DQ$103,Frauen!$G$9:$J$102,4)+VLOOKUP($CU102-DQ$103+1,Frauen!$G$9:$J$102,4))*0.5*(VLOOKUP($CU102-DQ$103,Frauen!$AZ$9:$BD$102,5)+VLOOKUP($CU102-DQ$103+1,Frauen!$AZ$9:$BD$102,5)),RundDx)))</f>
        <v/>
      </c>
      <c r="DR102" s="27" t="str">
        <f>IF($CU102&gt;=RAM,"",IF($CU102-DR$103&lt;BeginnAlter,"",ROUND(v^($CU102+FaktorAlter)*$L102*$D102*0.5*(VLOOKUP($CU102-DR$103,Frauen!$G$9:$J$102,4)+VLOOKUP($CU102-DR$103+1,Frauen!$G$9:$J$102,4))*0.5*(VLOOKUP($CU102-DR$103,Frauen!$AZ$9:$BD$102,5)+VLOOKUP($CU102-DR$103+1,Frauen!$AZ$9:$BD$102,5)),RundDx)))</f>
        <v/>
      </c>
      <c r="DS102" s="27" t="str">
        <f>IF($CU102&gt;=RAM,"",IF($CU102-DS$103&lt;BeginnAlter,"",ROUND(v^($CU102+FaktorAlter)*$L102*$D102*0.5*(VLOOKUP($CU102-DS$103,Frauen!$G$9:$J$102,4)+VLOOKUP($CU102-DS$103+1,Frauen!$G$9:$J$102,4))*0.5*(VLOOKUP($CU102-DS$103,Frauen!$AZ$9:$BD$102,5)+VLOOKUP($CU102-DS$103+1,Frauen!$AZ$9:$BD$102,5)),RundDx)))</f>
        <v/>
      </c>
      <c r="DT102" s="27" t="str">
        <f>IF($CU102&gt;=RAM,"",IF($CU102-DT$103&lt;BeginnAlter,"",ROUND(v^($CU102+FaktorAlter)*$L102*$D102*0.5*(VLOOKUP($CU102-DT$103,Frauen!$G$9:$J$102,4)+VLOOKUP($CU102-DT$103+1,Frauen!$G$9:$J$102,4))*0.5*(VLOOKUP($CU102-DT$103,Frauen!$AZ$9:$BD$102,5)+VLOOKUP($CU102-DT$103+1,Frauen!$AZ$9:$BD$102,5)),RundDx)))</f>
        <v/>
      </c>
      <c r="DU102" s="27" t="str">
        <f>IF($CU102&gt;=RAM,"",IF($CU102-DU$103&lt;BeginnAlter,"",ROUND(v^($CU102+FaktorAlter)*$L102*$D102*0.5*(VLOOKUP($CU102-DU$103,Frauen!$G$9:$J$102,4)+VLOOKUP($CU102-DU$103+1,Frauen!$G$9:$J$102,4))*0.5*(VLOOKUP($CU102-DU$103,Frauen!$AZ$9:$BD$102,5)+VLOOKUP($CU102-DU$103+1,Frauen!$AZ$9:$BD$102,5)),RundDx)))</f>
        <v/>
      </c>
      <c r="DV102" s="27" t="str">
        <f>IF($CU102&gt;=RAM,"",IF($CU102-DV$103&lt;BeginnAlter,"",ROUND(v^($CU102+FaktorAlter)*$L102*$D102*0.5*(VLOOKUP($CU102-DV$103,Frauen!$G$9:$J$102,4)+VLOOKUP($CU102-DV$103+1,Frauen!$G$9:$J$102,4))*0.5*(VLOOKUP($CU102-DV$103,Frauen!$AZ$9:$BD$102,5)+VLOOKUP($CU102-DV$103+1,Frauen!$AZ$9:$BD$102,5)),RundDx)))</f>
        <v/>
      </c>
      <c r="DW102" s="27" t="str">
        <f>IF($CU102&gt;=RAM,"",IF($CU102-DW$103&lt;BeginnAlter,"",ROUND(v^($CU102+FaktorAlter)*$L102*$D102*0.5*(VLOOKUP($CU102-DW$103,Frauen!$G$9:$J$102,4)+VLOOKUP($CU102-DW$103+1,Frauen!$G$9:$J$102,4))*0.5*(VLOOKUP($CU102-DW$103,Frauen!$AZ$9:$BD$102,5)+VLOOKUP($CU102-DW$103+1,Frauen!$AZ$9:$BD$102,5)),RundDx)))</f>
        <v/>
      </c>
      <c r="DX102" s="27" t="str">
        <f>IF($CU102&gt;=RAM,"",IF($CU102-DX$103&lt;BeginnAlter,"",ROUND(v^($CU102+FaktorAlter)*$L102*$D102*0.5*(VLOOKUP($CU102-DX$103,Frauen!$G$9:$J$102,4)+VLOOKUP($CU102-DX$103+1,Frauen!$G$9:$J$102,4))*0.5*(VLOOKUP($CU102-DX$103,Frauen!$AZ$9:$BD$102,5)+VLOOKUP($CU102-DX$103+1,Frauen!$AZ$9:$BD$102,5)),RundDx)))</f>
        <v/>
      </c>
      <c r="DY102" s="27" t="str">
        <f>IF($CU102&gt;=RAM,"",IF($CU102-DY$103&lt;BeginnAlter,"",ROUND(v^($CU102+FaktorAlter)*$L102*$D102*0.5*(VLOOKUP($CU102-DY$103,Frauen!$G$9:$J$102,4)+VLOOKUP($CU102-DY$103+1,Frauen!$G$9:$J$102,4))*0.5*(VLOOKUP($CU102-DY$103,Frauen!$AZ$9:$BD$102,5)+VLOOKUP($CU102-DY$103+1,Frauen!$AZ$9:$BD$102,5)),RundDx)))</f>
        <v/>
      </c>
      <c r="DZ102" s="27" t="str">
        <f>IF($CU102&gt;=RAM,"",IF($CU102-DZ$103&lt;BeginnAlter,"",ROUND(v^($CU102+FaktorAlter)*$L102*$D102*0.5*(VLOOKUP($CU102-DZ$103,Frauen!$G$9:$J$102,4)+VLOOKUP($CU102-DZ$103+1,Frauen!$G$9:$J$102,4))*0.5*(VLOOKUP($CU102-DZ$103,Frauen!$AZ$9:$BD$102,5)+VLOOKUP($CU102-DZ$103+1,Frauen!$AZ$9:$BD$102,5)),RundDx)))</f>
        <v/>
      </c>
      <c r="EA102" s="37" t="str">
        <f>IF($CU102&gt;=RAM,"",IF($CU102-EA$103&lt;BeginnAlter,"",ROUND((SUM(CV$56:CV102)+SUM(FN$9:FN$56))/VLOOKUP($CU102,$AH$9:$AI$102,2)/VLOOKUP($CU102-EA$103,Frauen!$G$9:$J$102,4),Rundäx)))</f>
        <v/>
      </c>
      <c r="EB102" s="37" t="str">
        <f>IF($CU102&gt;=RAM,"",IF($CU102-EB$103&lt;BeginnAlter,"",ROUND((SUM(CW$56:CW102)+SUM(FO$9:FO$56))/VLOOKUP($CU102,$AH$9:$AI$102,2)/VLOOKUP($CU102-EB$103,Frauen!$G$9:$J$102,4),Rundäx)))</f>
        <v/>
      </c>
      <c r="EC102" s="37" t="str">
        <f>IF($CU102&gt;=RAM,"",IF($CU102-EC$103&lt;BeginnAlter,"",ROUND((SUM(CX$56:CX102)+SUM(FP$9:FP$56))/VLOOKUP($CU102,$AH$9:$AI$102,2)/VLOOKUP($CU102-EC$103,Frauen!$G$9:$J$102,4),Rundäx)))</f>
        <v/>
      </c>
      <c r="ED102" s="37" t="str">
        <f>IF($CU102&gt;=RAM,"",IF($CU102-ED$103&lt;BeginnAlter,"",ROUND((SUM(CY$56:CY102)+SUM(FQ$9:FQ$56))/VLOOKUP($CU102,$AH$9:$AI$102,2)/VLOOKUP($CU102-ED$103,Frauen!$G$9:$J$102,4),Rundäx)))</f>
        <v/>
      </c>
      <c r="EE102" s="37" t="str">
        <f>IF($CU102&gt;=RAM,"",IF($CU102-EE$103&lt;BeginnAlter,"",ROUND((SUM(CZ$56:CZ102)+SUM(FR$9:FR$56))/VLOOKUP($CU102,$AH$9:$AI$102,2)/VLOOKUP($CU102-EE$103,Frauen!$G$9:$J$102,4),Rundäx)))</f>
        <v/>
      </c>
      <c r="EF102" s="37" t="str">
        <f>IF($CU102&gt;=RAM,"",IF($CU102-EF$103&lt;BeginnAlter,"",ROUND((SUM(DA$56:DA102)+SUM(FS$9:FS$56))/VLOOKUP($CU102,$AH$9:$AI$102,2)/VLOOKUP($CU102-EF$103,Frauen!$G$9:$J$102,4),Rundäx)))</f>
        <v/>
      </c>
      <c r="EG102" s="37" t="str">
        <f>IF($CU102&gt;=RAM,"",IF($CU102-EG$103&lt;BeginnAlter,"",ROUND((SUM(DB$56:DB102)+SUM(FT$9:FT$56))/VLOOKUP($CU102,$AH$9:$AI$102,2)/VLOOKUP($CU102-EG$103,Frauen!$G$9:$J$102,4),Rundäx)))</f>
        <v/>
      </c>
      <c r="EH102" s="37" t="str">
        <f>IF($CU102&gt;=RAM,"",IF($CU102-EH$103&lt;BeginnAlter,"",ROUND((SUM(DC$56:DC102)+SUM(FU$9:FU$56))/VLOOKUP($CU102,$AH$9:$AI$102,2)/VLOOKUP($CU102-EH$103,Frauen!$G$9:$J$102,4),Rundäx)))</f>
        <v/>
      </c>
      <c r="EI102" s="87"/>
      <c r="EJ102" s="36">
        <f t="shared" si="180"/>
        <v>110</v>
      </c>
      <c r="EK102" s="37" t="str">
        <f>IF($CU102&gt;=RAM,"",IF($CU102-EK$103&lt;BeginnAlter,"",ROUND((SUM(DD$56:DD102)+SUM(FV$9:FV$56))/VLOOKUP($CU102,$AH$9:$AI$102,2)/VLOOKUP($CU102-EK$103,Frauen!$G$9:$J$102,4),Rundäx)))</f>
        <v/>
      </c>
      <c r="EL102" s="37" t="str">
        <f>IF($CU102&gt;=RAM,"",IF($CU102-EL$103&lt;BeginnAlter,"",ROUND((SUM(DE$56:DE102)+SUM(FW$9:FW$56))/VLOOKUP($CU102,$AH$9:$AI$102,2)/VLOOKUP($CU102-EL$103,Frauen!$G$9:$J$102,4),Rundäx)))</f>
        <v/>
      </c>
      <c r="EM102" s="37" t="str">
        <f>IF($CU102&gt;=RAM,"",IF($CU102-EM$103&lt;BeginnAlter,"",ROUND((SUM(DF$56:DF102)+SUM(FX$9:FX$56))/VLOOKUP($CU102,$AH$9:$AI$102,2)/VLOOKUP($CU102-EM$103,Frauen!$G$9:$J$102,4),Rundäx)))</f>
        <v/>
      </c>
      <c r="EN102" s="37" t="str">
        <f>IF($CU102&gt;=RAM,"",IF($CU102-EN$103&lt;BeginnAlter,"",ROUND((SUM(DG$56:DG102)+SUM(FY$9:FY$56))/VLOOKUP($CU102,$AH$9:$AI$102,2)/VLOOKUP($CU102-EN$103,Frauen!$G$9:$J$102,4),Rundäx)))</f>
        <v/>
      </c>
      <c r="EO102" s="37" t="str">
        <f>IF($CU102&gt;=RAM,"",IF($CU102-EO$103&lt;BeginnAlter,"",ROUND((SUM(DH$56:DH102)+SUM(FZ$9:FZ$56))/VLOOKUP($CU102,$AH$9:$AI$102,2)/VLOOKUP($CU102-EO$103,Frauen!$G$9:$J$102,4),Rundäx)))</f>
        <v/>
      </c>
      <c r="EP102" s="37" t="str">
        <f>IF($CU102&gt;=RAM,"",IF($CU102-EP$103&lt;BeginnAlter,"",ROUND((SUM(DI$56:DI102)+SUM(GA$9:GA$56))/VLOOKUP($CU102,$AH$9:$AI$102,2)/VLOOKUP($CU102-EP$103,Frauen!$G$9:$J$102,4),Rundäx)))</f>
        <v/>
      </c>
      <c r="EQ102" s="37" t="str">
        <f>IF($CU102&gt;=RAM,"",IF($CU102-EQ$103&lt;BeginnAlter,"",ROUND((SUM(DJ$56:DJ102)+SUM(GB$9:GB$56))/VLOOKUP($CU102,$AH$9:$AI$102,2)/VLOOKUP($CU102-EQ$103,Frauen!$G$9:$J$102,4),Rundäx)))</f>
        <v/>
      </c>
      <c r="ER102" s="37" t="str">
        <f>IF($CU102&gt;=RAM,"",IF($CU102-ER$103&lt;BeginnAlter,"",ROUND((SUM(DK$56:DK102)+SUM(GC$9:GC$56))/VLOOKUP($CU102,$AH$9:$AI$102,2)/VLOOKUP($CU102-ER$103,Frauen!$G$9:$J$102,4),Rundäx)))</f>
        <v/>
      </c>
      <c r="ES102" s="87"/>
      <c r="ET102" s="36">
        <f t="shared" si="181"/>
        <v>110</v>
      </c>
      <c r="EU102" s="37" t="str">
        <f>IF($CU102&gt;=RAM,"",IF($CU102-EU$103&lt;BeginnAlter,"",ROUND((SUM(DL$56:DL102)+SUM(GD$9:GD$56))/VLOOKUP($CU102,$AH$9:$AI$102,2)/VLOOKUP($CU102-EU$103,Frauen!$G$9:$J$102,4),Rundäx)))</f>
        <v/>
      </c>
      <c r="EV102" s="37" t="str">
        <f>IF($CU102&gt;=RAM,"",IF($CU102-EV$103&lt;BeginnAlter,"",ROUND((SUM(DM$56:DM102)+SUM(GE$9:GE$56))/VLOOKUP($CU102,$AH$9:$AI$102,2)/VLOOKUP($CU102-EV$103,Frauen!$G$9:$J$102,4),Rundäx)))</f>
        <v/>
      </c>
      <c r="EW102" s="37" t="str">
        <f>IF($CU102&gt;=RAM,"",IF($CU102-EW$103&lt;BeginnAlter,"",ROUND((SUM(DN$56:DN102)+SUM(GF$9:GF$56))/VLOOKUP($CU102,$AH$9:$AI$102,2)/VLOOKUP($CU102-EW$103,Frauen!$G$9:$J$102,4),Rundäx)))</f>
        <v/>
      </c>
      <c r="EX102" s="37" t="str">
        <f>IF($CU102&gt;=RAM,"",IF($CU102-EX$103&lt;BeginnAlter,"",ROUND((SUM(DO$56:DO102)+SUM(GG$9:GG$56))/VLOOKUP($CU102,$AH$9:$AI$102,2)/VLOOKUP($CU102-EX$103,Frauen!$G$9:$J$102,4),Rundäx)))</f>
        <v/>
      </c>
      <c r="EY102" s="37" t="str">
        <f>IF($CU102&gt;=RAM,"",IF($CU102-EY$103&lt;BeginnAlter,"",ROUND((SUM(DP$56:DP102)+SUM(GH$9:GH$56))/VLOOKUP($CU102,$AH$9:$AI$102,2)/VLOOKUP($CU102-EY$103,Frauen!$G$9:$J$102,4),Rundäx)))</f>
        <v/>
      </c>
      <c r="EZ102" s="37" t="str">
        <f>IF($CU102&gt;=RAM,"",IF($CU102-EZ$103&lt;BeginnAlter,"",ROUND((SUM(DQ$56:DQ102)+SUM(GI$9:GI$56))/VLOOKUP($CU102,$AH$9:$AI$102,2)/VLOOKUP($CU102-EZ$103,Frauen!$G$9:$J$102,4),Rundäx)))</f>
        <v/>
      </c>
      <c r="FA102" s="37" t="str">
        <f>IF($CU102&gt;=RAM,"",IF($CU102-FA$103&lt;BeginnAlter,"",ROUND((SUM(DR$56:DR102)+SUM(GJ$9:GJ$56))/VLOOKUP($CU102,$AH$9:$AI$102,2)/VLOOKUP($CU102-FA$103,Frauen!$G$9:$J$102,4),Rundäx)))</f>
        <v/>
      </c>
      <c r="FB102" s="37" t="str">
        <f>IF($CU102&gt;=RAM,"",IF($CU102-FB$103&lt;BeginnAlter,"",ROUND((SUM(DS$56:DS102)+SUM(GK$9:GK$56))/VLOOKUP($CU102,$AH$9:$AI$102,2)/VLOOKUP($CU102-FB$103,Frauen!$G$9:$J$102,4),Rundäx)))</f>
        <v/>
      </c>
      <c r="FC102" s="87"/>
      <c r="FD102" s="36">
        <f t="shared" si="182"/>
        <v>110</v>
      </c>
      <c r="FE102" s="37" t="str">
        <f>IF($CU102&gt;=RAM,"",IF($CU102-FE$103&lt;BeginnAlter,"",ROUND((SUM(DT$56:DT102)+SUM(GL$9:GL$56))/VLOOKUP($CU102,$AH$9:$AI$102,2)/VLOOKUP($CU102-FE$103,Frauen!$G$9:$J$102,4),Rundäx)))</f>
        <v/>
      </c>
      <c r="FF102" s="37" t="str">
        <f>IF($CU102&gt;=RAM,"",IF($CU102-FF$103&lt;BeginnAlter,"",ROUND((SUM(DU$56:DU102)+SUM(GM$9:GM$56))/VLOOKUP($CU102,$AH$9:$AI$102,2)/VLOOKUP($CU102-FF$103,Frauen!$G$9:$J$102,4),Rundäx)))</f>
        <v/>
      </c>
      <c r="FG102" s="37" t="str">
        <f>IF($CU102&gt;=RAM,"",IF($CU102-FG$103&lt;BeginnAlter,"",ROUND((SUM(DV$56:DV102)+SUM(GN$9:GN$56))/VLOOKUP($CU102,$AH$9:$AI$102,2)/VLOOKUP($CU102-FG$103,Frauen!$G$9:$J$102,4),Rundäx)))</f>
        <v/>
      </c>
      <c r="FH102" s="37" t="str">
        <f>IF($CU102&gt;=RAM,"",IF($CU102-FH$103&lt;BeginnAlter,"",ROUND((SUM(DW$56:DW102)+SUM(GO$9:GO$56))/VLOOKUP($CU102,$AH$9:$AI$102,2)/VLOOKUP($CU102-FH$103,Frauen!$G$9:$J$102,4),Rundäx)))</f>
        <v/>
      </c>
      <c r="FI102" s="37" t="str">
        <f>IF($CU102&gt;=RAM,"",IF($CU102-FI$103&lt;BeginnAlter,"",ROUND((SUM(DX$56:DX102)+SUM(GP$9:GP$56))/VLOOKUP($CU102,$AH$9:$AI$102,2)/VLOOKUP($CU102-FI$103,Frauen!$G$9:$J$102,4),Rundäx)))</f>
        <v/>
      </c>
      <c r="FJ102" s="37" t="str">
        <f>IF($CU102&gt;=RAM,"",IF($CU102-FJ$103&lt;BeginnAlter,"",ROUND((SUM(DY$56:DY102)+SUM(GQ$9:GQ$56))/VLOOKUP($CU102,$AH$9:$AI$102,2)/VLOOKUP($CU102-FJ$103,Frauen!$G$9:$J$102,4),Rundäx)))</f>
        <v/>
      </c>
      <c r="FK102" s="37" t="str">
        <f>IF($CU102&gt;=RAM,"",IF($CU102-FK$103&lt;BeginnAlter,"",ROUND((SUM(DZ$56:DZ102)+SUM(GR$9:GR$56))/VLOOKUP($CU102,$AH$9:$AI$102,2)/VLOOKUP($CU102-FK$103,Frauen!$G$9:$J$102,4),Rundäx)))</f>
        <v/>
      </c>
      <c r="FL102" s="87"/>
      <c r="FM102" s="36">
        <f t="shared" si="183"/>
        <v>158</v>
      </c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6"/>
      <c r="GT102" s="26"/>
      <c r="GU102" s="26" t="str">
        <f>IF(FM102&gt;=RAM," ",#REF!/$AI102/Frauen!$J90)</f>
        <v xml:space="preserve"> </v>
      </c>
      <c r="GV102" s="26" t="str">
        <f>IF(FM102&gt;=RAM," ",#REF!/$AI102/Frauen!$J93)</f>
        <v xml:space="preserve"> </v>
      </c>
      <c r="GW102" s="26" t="str">
        <f>IF(FM102&gt;=RAM," ",#REF!/$AI102/Frauen!$J96)</f>
        <v xml:space="preserve"> </v>
      </c>
      <c r="GX102" s="26" t="str">
        <f>IF(FM102&gt;=RAM," ",#REF!/$AI102/Frauen!$J99)</f>
        <v xml:space="preserve"> </v>
      </c>
      <c r="GY102" s="26" t="str">
        <f>IF(FM102&gt;=RAM," ",#REF!/$AI102/Frauen!$J103)</f>
        <v xml:space="preserve"> </v>
      </c>
      <c r="GZ102" s="26" t="str">
        <f>IF(FM102&gt;=RAM," ",#REF!/$AI102/Frauen!$J106)</f>
        <v xml:space="preserve"> </v>
      </c>
      <c r="HA102" s="87"/>
      <c r="HB102" s="36">
        <f t="shared" si="184"/>
        <v>158</v>
      </c>
      <c r="HC102" s="26"/>
      <c r="HD102" s="26"/>
      <c r="HE102" s="26"/>
      <c r="HF102" s="26"/>
      <c r="HG102" s="26"/>
      <c r="HH102" s="26"/>
      <c r="HI102" s="26"/>
      <c r="HJ102" s="26"/>
      <c r="HK102" s="87"/>
      <c r="HL102" s="36">
        <f t="shared" si="185"/>
        <v>158</v>
      </c>
      <c r="HM102" s="26"/>
      <c r="HN102" s="26"/>
      <c r="HO102" s="26"/>
      <c r="HP102" s="26"/>
      <c r="HQ102" s="26"/>
      <c r="HR102" s="26"/>
      <c r="HS102" s="26"/>
      <c r="HT102" s="26"/>
      <c r="HU102" s="87"/>
      <c r="HV102" s="36">
        <f t="shared" si="186"/>
        <v>158</v>
      </c>
      <c r="HW102" s="26"/>
      <c r="HX102" s="26"/>
      <c r="HY102" s="26"/>
      <c r="HZ102" s="26"/>
      <c r="IA102" s="26"/>
      <c r="IB102" s="26"/>
      <c r="IC102" s="26"/>
      <c r="ID102" s="90"/>
      <c r="IE102" s="36">
        <f t="shared" si="187"/>
        <v>110</v>
      </c>
      <c r="IF102" s="27" t="str">
        <f t="shared" si="112"/>
        <v/>
      </c>
      <c r="IG102" s="27" t="str">
        <f>IF($IE102&lt;RAM,IF(S103&lt;=RAK,ROUND(SUM(IF102:INDEX(Dakx,RAM-BeginnAlter))+INDEX(Dax,RAM-BeginnAlter+1)*INDEX(äkx,1),RundDx),0),"")</f>
        <v/>
      </c>
      <c r="IH102" s="27" t="str">
        <f>IF($IE102&lt;RAM,IF(S103&lt;=RAK,ROUND(SUM(IG102:INDEX(Nakx,RAM-BeginnAlter))+INDEX(Dax,RAM-BeginnAlter+1)*INDEX(äkx,1),RundDx),0),"")</f>
        <v/>
      </c>
      <c r="II102" s="26" t="str">
        <f t="shared" si="113"/>
        <v/>
      </c>
      <c r="IJ102" s="27" t="str">
        <f t="shared" si="114"/>
        <v/>
      </c>
      <c r="IK102" s="27" t="str">
        <f>IF($IE102&lt;RAM,IF(S103&lt;=RAK,SUM(IJ102:INDEX(Dikx,RAM-BeginnAlter))+INDEX(Dix,RAM-BeginnAlter+1)*INDEX(äkx,1),0),"")</f>
        <v/>
      </c>
      <c r="IL102" s="26" t="str">
        <f t="shared" si="115"/>
        <v/>
      </c>
      <c r="IM102" s="87"/>
      <c r="IN102" s="36">
        <f t="shared" si="188"/>
        <v>158</v>
      </c>
      <c r="IO102" s="27"/>
      <c r="IP102" s="29"/>
      <c r="IQ102" s="26"/>
      <c r="IR102" s="87"/>
    </row>
    <row r="103" spans="1:252" ht="15.75" customHeight="1" x14ac:dyDescent="0.25">
      <c r="R103" s="44"/>
      <c r="AF103" s="4"/>
      <c r="CV103" s="64">
        <v>-15</v>
      </c>
      <c r="CW103" s="64">
        <f>CV103+1</f>
        <v>-14</v>
      </c>
      <c r="CX103" s="64">
        <f t="shared" ref="CX103:DZ103" si="189">CW103+1</f>
        <v>-13</v>
      </c>
      <c r="CY103" s="64">
        <f t="shared" si="189"/>
        <v>-12</v>
      </c>
      <c r="CZ103" s="64">
        <f t="shared" si="189"/>
        <v>-11</v>
      </c>
      <c r="DA103" s="64">
        <f t="shared" si="189"/>
        <v>-10</v>
      </c>
      <c r="DB103" s="64">
        <f t="shared" si="189"/>
        <v>-9</v>
      </c>
      <c r="DC103" s="64">
        <f t="shared" si="189"/>
        <v>-8</v>
      </c>
      <c r="DD103" s="64">
        <f t="shared" si="189"/>
        <v>-7</v>
      </c>
      <c r="DE103" s="64">
        <f t="shared" si="189"/>
        <v>-6</v>
      </c>
      <c r="DF103" s="64">
        <f t="shared" si="189"/>
        <v>-5</v>
      </c>
      <c r="DG103" s="64">
        <f t="shared" si="189"/>
        <v>-4</v>
      </c>
      <c r="DH103" s="64">
        <f t="shared" si="189"/>
        <v>-3</v>
      </c>
      <c r="DI103" s="64">
        <f t="shared" si="189"/>
        <v>-2</v>
      </c>
      <c r="DJ103" s="64">
        <f t="shared" si="189"/>
        <v>-1</v>
      </c>
      <c r="DK103" s="64">
        <f t="shared" si="189"/>
        <v>0</v>
      </c>
      <c r="DL103" s="64">
        <f t="shared" si="189"/>
        <v>1</v>
      </c>
      <c r="DM103" s="64">
        <f t="shared" si="189"/>
        <v>2</v>
      </c>
      <c r="DN103" s="64">
        <f t="shared" si="189"/>
        <v>3</v>
      </c>
      <c r="DO103" s="64">
        <f t="shared" si="189"/>
        <v>4</v>
      </c>
      <c r="DP103" s="64">
        <f t="shared" si="189"/>
        <v>5</v>
      </c>
      <c r="DQ103" s="64">
        <f t="shared" si="189"/>
        <v>6</v>
      </c>
      <c r="DR103" s="64">
        <f t="shared" si="189"/>
        <v>7</v>
      </c>
      <c r="DS103" s="64">
        <f t="shared" si="189"/>
        <v>8</v>
      </c>
      <c r="DT103" s="64">
        <f t="shared" si="189"/>
        <v>9</v>
      </c>
      <c r="DU103" s="64">
        <f t="shared" si="189"/>
        <v>10</v>
      </c>
      <c r="DV103" s="64">
        <f t="shared" si="189"/>
        <v>11</v>
      </c>
      <c r="DW103" s="64">
        <f t="shared" si="189"/>
        <v>12</v>
      </c>
      <c r="DX103" s="64">
        <f t="shared" si="189"/>
        <v>13</v>
      </c>
      <c r="DY103" s="64">
        <f t="shared" si="189"/>
        <v>14</v>
      </c>
      <c r="DZ103" s="64">
        <f t="shared" si="189"/>
        <v>15</v>
      </c>
      <c r="EA103" s="82">
        <v>-15</v>
      </c>
      <c r="EB103" s="82">
        <f>EA103+1</f>
        <v>-14</v>
      </c>
      <c r="EC103" s="82">
        <f t="shared" ref="EC103:EH103" si="190">EB103+1</f>
        <v>-13</v>
      </c>
      <c r="ED103" s="82">
        <f t="shared" si="190"/>
        <v>-12</v>
      </c>
      <c r="EE103" s="82">
        <f t="shared" si="190"/>
        <v>-11</v>
      </c>
      <c r="EF103" s="82">
        <f t="shared" si="190"/>
        <v>-10</v>
      </c>
      <c r="EG103" s="82">
        <f t="shared" si="190"/>
        <v>-9</v>
      </c>
      <c r="EH103" s="82">
        <f t="shared" si="190"/>
        <v>-8</v>
      </c>
      <c r="EI103" s="88"/>
      <c r="EJ103" s="83"/>
      <c r="EK103" s="82">
        <f>EH103+1</f>
        <v>-7</v>
      </c>
      <c r="EL103" s="82">
        <f>EK103+1</f>
        <v>-6</v>
      </c>
      <c r="EM103" s="82">
        <f t="shared" ref="EM103:ER103" si="191">EL103+1</f>
        <v>-5</v>
      </c>
      <c r="EN103" s="82">
        <f t="shared" si="191"/>
        <v>-4</v>
      </c>
      <c r="EO103" s="82">
        <f t="shared" si="191"/>
        <v>-3</v>
      </c>
      <c r="EP103" s="82">
        <f t="shared" si="191"/>
        <v>-2</v>
      </c>
      <c r="EQ103" s="82">
        <f t="shared" si="191"/>
        <v>-1</v>
      </c>
      <c r="ER103" s="82">
        <f t="shared" si="191"/>
        <v>0</v>
      </c>
      <c r="ES103" s="88"/>
      <c r="ET103" s="83"/>
      <c r="EU103" s="82">
        <f>ER103+1</f>
        <v>1</v>
      </c>
      <c r="EV103" s="82">
        <f>EU103+1</f>
        <v>2</v>
      </c>
      <c r="EW103" s="82">
        <f t="shared" ref="EW103:FB103" si="192">EV103+1</f>
        <v>3</v>
      </c>
      <c r="EX103" s="82">
        <f t="shared" si="192"/>
        <v>4</v>
      </c>
      <c r="EY103" s="82">
        <f t="shared" si="192"/>
        <v>5</v>
      </c>
      <c r="EZ103" s="82">
        <f t="shared" si="192"/>
        <v>6</v>
      </c>
      <c r="FA103" s="82">
        <f t="shared" si="192"/>
        <v>7</v>
      </c>
      <c r="FB103" s="82">
        <f t="shared" si="192"/>
        <v>8</v>
      </c>
      <c r="FC103" s="88"/>
      <c r="FD103" s="83"/>
      <c r="FE103" s="82">
        <f>FB103+1</f>
        <v>9</v>
      </c>
      <c r="FF103" s="82">
        <f t="shared" ref="FF103:FK103" si="193">FE103+1</f>
        <v>10</v>
      </c>
      <c r="FG103" s="82">
        <f>FF103+1</f>
        <v>11</v>
      </c>
      <c r="FH103" s="82">
        <f t="shared" si="193"/>
        <v>12</v>
      </c>
      <c r="FI103" s="82">
        <f t="shared" si="193"/>
        <v>13</v>
      </c>
      <c r="FJ103" s="82">
        <f t="shared" si="193"/>
        <v>14</v>
      </c>
      <c r="FK103" s="82">
        <f t="shared" si="193"/>
        <v>15</v>
      </c>
      <c r="FN103" s="64">
        <v>-15</v>
      </c>
      <c r="FO103" s="64">
        <f>FN103+1</f>
        <v>-14</v>
      </c>
      <c r="FP103" s="64">
        <f t="shared" ref="FP103:GR103" si="194">FO103+1</f>
        <v>-13</v>
      </c>
      <c r="FQ103" s="64">
        <f t="shared" si="194"/>
        <v>-12</v>
      </c>
      <c r="FR103" s="64">
        <f t="shared" si="194"/>
        <v>-11</v>
      </c>
      <c r="FS103" s="64">
        <f t="shared" si="194"/>
        <v>-10</v>
      </c>
      <c r="FT103" s="64">
        <f t="shared" si="194"/>
        <v>-9</v>
      </c>
      <c r="FU103" s="64">
        <f t="shared" si="194"/>
        <v>-8</v>
      </c>
      <c r="FV103" s="64">
        <f t="shared" si="194"/>
        <v>-7</v>
      </c>
      <c r="FW103" s="64">
        <f t="shared" si="194"/>
        <v>-6</v>
      </c>
      <c r="FX103" s="64">
        <f t="shared" si="194"/>
        <v>-5</v>
      </c>
      <c r="FY103" s="64">
        <f t="shared" si="194"/>
        <v>-4</v>
      </c>
      <c r="FZ103" s="64">
        <f t="shared" si="194"/>
        <v>-3</v>
      </c>
      <c r="GA103" s="64">
        <f t="shared" si="194"/>
        <v>-2</v>
      </c>
      <c r="GB103" s="64">
        <f t="shared" si="194"/>
        <v>-1</v>
      </c>
      <c r="GC103" s="64">
        <f t="shared" si="194"/>
        <v>0</v>
      </c>
      <c r="GD103" s="64">
        <f t="shared" si="194"/>
        <v>1</v>
      </c>
      <c r="GE103" s="64">
        <f t="shared" si="194"/>
        <v>2</v>
      </c>
      <c r="GF103" s="64">
        <f t="shared" si="194"/>
        <v>3</v>
      </c>
      <c r="GG103" s="64">
        <f t="shared" si="194"/>
        <v>4</v>
      </c>
      <c r="GH103" s="64">
        <f t="shared" si="194"/>
        <v>5</v>
      </c>
      <c r="GI103" s="64">
        <f t="shared" si="194"/>
        <v>6</v>
      </c>
      <c r="GJ103" s="64">
        <f t="shared" si="194"/>
        <v>7</v>
      </c>
      <c r="GK103" s="64">
        <f t="shared" si="194"/>
        <v>8</v>
      </c>
      <c r="GL103" s="64">
        <f t="shared" si="194"/>
        <v>9</v>
      </c>
      <c r="GM103" s="64">
        <f t="shared" si="194"/>
        <v>10</v>
      </c>
      <c r="GN103" s="64">
        <f t="shared" si="194"/>
        <v>11</v>
      </c>
      <c r="GO103" s="64">
        <f t="shared" si="194"/>
        <v>12</v>
      </c>
      <c r="GP103" s="64">
        <f t="shared" si="194"/>
        <v>13</v>
      </c>
      <c r="GQ103" s="64">
        <f t="shared" si="194"/>
        <v>14</v>
      </c>
      <c r="GR103" s="64">
        <f t="shared" si="194"/>
        <v>15</v>
      </c>
      <c r="GS103" s="64">
        <v>-15</v>
      </c>
      <c r="GT103" s="64">
        <f>GS103+1</f>
        <v>-14</v>
      </c>
      <c r="GU103" s="64">
        <f t="shared" ref="GU103:GZ103" si="195">GT103+1</f>
        <v>-13</v>
      </c>
      <c r="GV103" s="64">
        <f t="shared" si="195"/>
        <v>-12</v>
      </c>
      <c r="GW103" s="64">
        <f t="shared" si="195"/>
        <v>-11</v>
      </c>
      <c r="GX103" s="64">
        <f t="shared" si="195"/>
        <v>-10</v>
      </c>
      <c r="GY103" s="64">
        <f t="shared" si="195"/>
        <v>-9</v>
      </c>
      <c r="GZ103" s="64">
        <f t="shared" si="195"/>
        <v>-8</v>
      </c>
      <c r="HC103" s="64">
        <f>GZ103+1</f>
        <v>-7</v>
      </c>
      <c r="HD103" s="64">
        <f>HC103+1</f>
        <v>-6</v>
      </c>
      <c r="HE103" s="64">
        <f t="shared" ref="HE103:HJ103" si="196">HD103+1</f>
        <v>-5</v>
      </c>
      <c r="HF103" s="64">
        <f t="shared" si="196"/>
        <v>-4</v>
      </c>
      <c r="HG103" s="64">
        <f t="shared" si="196"/>
        <v>-3</v>
      </c>
      <c r="HH103" s="64">
        <f t="shared" si="196"/>
        <v>-2</v>
      </c>
      <c r="HI103" s="64">
        <f t="shared" si="196"/>
        <v>-1</v>
      </c>
      <c r="HJ103" s="64">
        <f t="shared" si="196"/>
        <v>0</v>
      </c>
      <c r="HM103" s="64">
        <f>HJ103+1</f>
        <v>1</v>
      </c>
      <c r="HN103" s="64">
        <f>HM103+1</f>
        <v>2</v>
      </c>
      <c r="HO103" s="64">
        <f t="shared" ref="HO103:HT103" si="197">HN103+1</f>
        <v>3</v>
      </c>
      <c r="HP103" s="64">
        <f t="shared" si="197"/>
        <v>4</v>
      </c>
      <c r="HQ103" s="64">
        <f t="shared" si="197"/>
        <v>5</v>
      </c>
      <c r="HR103" s="64">
        <f t="shared" si="197"/>
        <v>6</v>
      </c>
      <c r="HS103" s="64">
        <f t="shared" si="197"/>
        <v>7</v>
      </c>
      <c r="HT103" s="64">
        <f t="shared" si="197"/>
        <v>8</v>
      </c>
      <c r="HW103" s="64">
        <f>HT103+1</f>
        <v>9</v>
      </c>
      <c r="HX103" s="64">
        <f t="shared" ref="HX103:IC103" si="198">HW103+1</f>
        <v>10</v>
      </c>
      <c r="HY103" s="64">
        <f t="shared" si="198"/>
        <v>11</v>
      </c>
      <c r="HZ103" s="64">
        <f t="shared" si="198"/>
        <v>12</v>
      </c>
      <c r="IA103" s="64">
        <f t="shared" si="198"/>
        <v>13</v>
      </c>
      <c r="IB103" s="64">
        <f t="shared" si="198"/>
        <v>14</v>
      </c>
      <c r="IC103" s="64">
        <f t="shared" si="198"/>
        <v>15</v>
      </c>
      <c r="ID103" s="91"/>
    </row>
    <row r="104" spans="1:252" ht="15.75" customHeight="1" x14ac:dyDescent="0.25">
      <c r="AE104" s="3"/>
      <c r="AF104" s="4"/>
      <c r="ID104" s="91"/>
    </row>
    <row r="105" spans="1:252" ht="15.75" customHeight="1" x14ac:dyDescent="0.25">
      <c r="A105" s="1">
        <f>1</f>
        <v>1</v>
      </c>
      <c r="B105" s="73">
        <f>1+A105</f>
        <v>2</v>
      </c>
      <c r="C105" s="73">
        <f t="shared" ref="C105:BN105" si="199">1+B105</f>
        <v>3</v>
      </c>
      <c r="D105" s="73">
        <f t="shared" si="199"/>
        <v>4</v>
      </c>
      <c r="E105" s="73">
        <f t="shared" si="199"/>
        <v>5</v>
      </c>
      <c r="F105" s="73">
        <f t="shared" si="199"/>
        <v>6</v>
      </c>
      <c r="G105" s="73">
        <f t="shared" si="199"/>
        <v>7</v>
      </c>
      <c r="H105" s="73">
        <f t="shared" si="199"/>
        <v>8</v>
      </c>
      <c r="I105" s="73">
        <f t="shared" si="199"/>
        <v>9</v>
      </c>
      <c r="J105" s="73">
        <f t="shared" si="199"/>
        <v>10</v>
      </c>
      <c r="K105" s="73">
        <f t="shared" si="199"/>
        <v>11</v>
      </c>
      <c r="L105" s="73">
        <f t="shared" si="199"/>
        <v>12</v>
      </c>
      <c r="M105" s="73">
        <f t="shared" si="199"/>
        <v>13</v>
      </c>
      <c r="N105" s="73">
        <f t="shared" si="199"/>
        <v>14</v>
      </c>
      <c r="O105" s="73">
        <f t="shared" si="199"/>
        <v>15</v>
      </c>
      <c r="P105" s="73">
        <f t="shared" si="199"/>
        <v>16</v>
      </c>
      <c r="Q105" s="73">
        <f t="shared" si="199"/>
        <v>17</v>
      </c>
      <c r="R105" s="73">
        <f t="shared" si="199"/>
        <v>18</v>
      </c>
      <c r="S105" s="73">
        <f t="shared" si="199"/>
        <v>19</v>
      </c>
      <c r="T105" s="73">
        <f t="shared" si="199"/>
        <v>20</v>
      </c>
      <c r="U105" s="73">
        <f t="shared" si="199"/>
        <v>21</v>
      </c>
      <c r="V105" s="73">
        <f t="shared" si="199"/>
        <v>22</v>
      </c>
      <c r="W105" s="73">
        <f t="shared" si="199"/>
        <v>23</v>
      </c>
      <c r="X105" s="73">
        <f t="shared" si="199"/>
        <v>24</v>
      </c>
      <c r="Y105" s="73">
        <f t="shared" si="199"/>
        <v>25</v>
      </c>
      <c r="Z105" s="73">
        <f t="shared" si="199"/>
        <v>26</v>
      </c>
      <c r="AA105" s="73">
        <f t="shared" si="199"/>
        <v>27</v>
      </c>
      <c r="AB105" s="73">
        <f t="shared" si="199"/>
        <v>28</v>
      </c>
      <c r="AC105" s="73">
        <f t="shared" si="199"/>
        <v>29</v>
      </c>
      <c r="AD105" s="73">
        <f t="shared" si="199"/>
        <v>30</v>
      </c>
      <c r="AE105" s="73">
        <f t="shared" si="199"/>
        <v>31</v>
      </c>
      <c r="AF105" s="73">
        <f t="shared" si="199"/>
        <v>32</v>
      </c>
      <c r="AG105" s="73">
        <f t="shared" si="199"/>
        <v>33</v>
      </c>
      <c r="AH105" s="73">
        <f t="shared" si="199"/>
        <v>34</v>
      </c>
      <c r="AI105" s="73">
        <f t="shared" si="199"/>
        <v>35</v>
      </c>
      <c r="AJ105" s="73">
        <f t="shared" si="199"/>
        <v>36</v>
      </c>
      <c r="AK105" s="73">
        <f t="shared" si="199"/>
        <v>37</v>
      </c>
      <c r="AL105" s="73">
        <f t="shared" si="199"/>
        <v>38</v>
      </c>
      <c r="AM105" s="73">
        <f t="shared" si="199"/>
        <v>39</v>
      </c>
      <c r="AN105" s="73">
        <f t="shared" si="199"/>
        <v>40</v>
      </c>
      <c r="AO105" s="73">
        <f t="shared" si="199"/>
        <v>41</v>
      </c>
      <c r="AP105" s="73">
        <f t="shared" si="199"/>
        <v>42</v>
      </c>
      <c r="AQ105" s="73">
        <f t="shared" si="199"/>
        <v>43</v>
      </c>
      <c r="AR105" s="73">
        <f t="shared" si="199"/>
        <v>44</v>
      </c>
      <c r="AS105" s="73">
        <f t="shared" si="199"/>
        <v>45</v>
      </c>
      <c r="AT105" s="73">
        <f t="shared" si="199"/>
        <v>46</v>
      </c>
      <c r="AU105" s="73">
        <f t="shared" si="199"/>
        <v>47</v>
      </c>
      <c r="AV105" s="73">
        <f t="shared" si="199"/>
        <v>48</v>
      </c>
      <c r="AW105" s="73">
        <f t="shared" si="199"/>
        <v>49</v>
      </c>
      <c r="AX105" s="73">
        <f t="shared" si="199"/>
        <v>50</v>
      </c>
      <c r="AY105" s="73">
        <f t="shared" si="199"/>
        <v>51</v>
      </c>
      <c r="AZ105" s="73">
        <f t="shared" si="199"/>
        <v>52</v>
      </c>
      <c r="BA105" s="73">
        <f t="shared" si="199"/>
        <v>53</v>
      </c>
      <c r="BB105" s="73">
        <f t="shared" si="199"/>
        <v>54</v>
      </c>
      <c r="BC105" s="73">
        <f t="shared" si="199"/>
        <v>55</v>
      </c>
      <c r="BD105" s="73">
        <f t="shared" si="199"/>
        <v>56</v>
      </c>
      <c r="BE105" s="73">
        <f t="shared" si="199"/>
        <v>57</v>
      </c>
      <c r="BF105" s="73">
        <f t="shared" si="199"/>
        <v>58</v>
      </c>
      <c r="BG105" s="73">
        <f t="shared" si="199"/>
        <v>59</v>
      </c>
      <c r="BH105" s="73">
        <f t="shared" si="199"/>
        <v>60</v>
      </c>
      <c r="BI105" s="73">
        <f t="shared" si="199"/>
        <v>61</v>
      </c>
      <c r="BJ105" s="73">
        <f t="shared" si="199"/>
        <v>62</v>
      </c>
      <c r="BK105" s="73">
        <f t="shared" si="199"/>
        <v>63</v>
      </c>
      <c r="BL105" s="73">
        <f t="shared" si="199"/>
        <v>64</v>
      </c>
      <c r="BM105" s="73">
        <f t="shared" si="199"/>
        <v>65</v>
      </c>
      <c r="BN105" s="73">
        <f t="shared" si="199"/>
        <v>66</v>
      </c>
      <c r="BO105" s="73">
        <f t="shared" ref="BO105:DZ105" si="200">1+BN105</f>
        <v>67</v>
      </c>
      <c r="BP105" s="73">
        <f t="shared" si="200"/>
        <v>68</v>
      </c>
      <c r="BQ105" s="73">
        <f t="shared" si="200"/>
        <v>69</v>
      </c>
      <c r="BR105" s="73">
        <f t="shared" si="200"/>
        <v>70</v>
      </c>
      <c r="BS105" s="73">
        <f t="shared" si="200"/>
        <v>71</v>
      </c>
      <c r="BT105" s="73">
        <f t="shared" si="200"/>
        <v>72</v>
      </c>
      <c r="BU105" s="73">
        <f t="shared" si="200"/>
        <v>73</v>
      </c>
      <c r="BV105" s="73">
        <f t="shared" si="200"/>
        <v>74</v>
      </c>
      <c r="BW105" s="73">
        <f t="shared" si="200"/>
        <v>75</v>
      </c>
      <c r="BX105" s="73">
        <f t="shared" si="200"/>
        <v>76</v>
      </c>
      <c r="BY105" s="73">
        <f t="shared" si="200"/>
        <v>77</v>
      </c>
      <c r="BZ105" s="73">
        <f t="shared" si="200"/>
        <v>78</v>
      </c>
      <c r="CA105" s="73">
        <f t="shared" si="200"/>
        <v>79</v>
      </c>
      <c r="CB105" s="73">
        <f t="shared" si="200"/>
        <v>80</v>
      </c>
      <c r="CC105" s="73">
        <f t="shared" si="200"/>
        <v>81</v>
      </c>
      <c r="CD105" s="73">
        <f t="shared" si="200"/>
        <v>82</v>
      </c>
      <c r="CE105" s="73">
        <f t="shared" si="200"/>
        <v>83</v>
      </c>
      <c r="CF105" s="73">
        <f t="shared" si="200"/>
        <v>84</v>
      </c>
      <c r="CG105" s="73">
        <f t="shared" si="200"/>
        <v>85</v>
      </c>
      <c r="CH105" s="73">
        <f t="shared" si="200"/>
        <v>86</v>
      </c>
      <c r="CI105" s="73">
        <f t="shared" si="200"/>
        <v>87</v>
      </c>
      <c r="CJ105" s="73">
        <f t="shared" si="200"/>
        <v>88</v>
      </c>
      <c r="CK105" s="73">
        <f t="shared" si="200"/>
        <v>89</v>
      </c>
      <c r="CL105" s="73">
        <f t="shared" si="200"/>
        <v>90</v>
      </c>
      <c r="CM105" s="73">
        <f t="shared" si="200"/>
        <v>91</v>
      </c>
      <c r="CN105" s="73">
        <f t="shared" si="200"/>
        <v>92</v>
      </c>
      <c r="CO105" s="73">
        <f t="shared" si="200"/>
        <v>93</v>
      </c>
      <c r="CP105" s="73">
        <f t="shared" si="200"/>
        <v>94</v>
      </c>
      <c r="CQ105" s="73">
        <f t="shared" si="200"/>
        <v>95</v>
      </c>
      <c r="CR105" s="73">
        <f t="shared" si="200"/>
        <v>96</v>
      </c>
      <c r="CS105" s="73">
        <f t="shared" si="200"/>
        <v>97</v>
      </c>
      <c r="CT105" s="73">
        <f t="shared" si="200"/>
        <v>98</v>
      </c>
      <c r="CU105" s="73">
        <f t="shared" si="200"/>
        <v>99</v>
      </c>
      <c r="CV105" s="73">
        <f t="shared" si="200"/>
        <v>100</v>
      </c>
      <c r="CW105" s="73">
        <f t="shared" si="200"/>
        <v>101</v>
      </c>
      <c r="CX105" s="73">
        <f t="shared" si="200"/>
        <v>102</v>
      </c>
      <c r="CY105" s="73">
        <f t="shared" si="200"/>
        <v>103</v>
      </c>
      <c r="CZ105" s="73">
        <f t="shared" si="200"/>
        <v>104</v>
      </c>
      <c r="DA105" s="73">
        <f t="shared" si="200"/>
        <v>105</v>
      </c>
      <c r="DB105" s="73">
        <f t="shared" si="200"/>
        <v>106</v>
      </c>
      <c r="DC105" s="73">
        <f t="shared" si="200"/>
        <v>107</v>
      </c>
      <c r="DD105" s="73">
        <f t="shared" si="200"/>
        <v>108</v>
      </c>
      <c r="DE105" s="73">
        <f t="shared" si="200"/>
        <v>109</v>
      </c>
      <c r="DF105" s="73">
        <f t="shared" si="200"/>
        <v>110</v>
      </c>
      <c r="DG105" s="73">
        <f t="shared" si="200"/>
        <v>111</v>
      </c>
      <c r="DH105" s="73">
        <f t="shared" si="200"/>
        <v>112</v>
      </c>
      <c r="DI105" s="73">
        <f t="shared" si="200"/>
        <v>113</v>
      </c>
      <c r="DJ105" s="73">
        <f t="shared" si="200"/>
        <v>114</v>
      </c>
      <c r="DK105" s="73">
        <f t="shared" si="200"/>
        <v>115</v>
      </c>
      <c r="DL105" s="73">
        <f t="shared" si="200"/>
        <v>116</v>
      </c>
      <c r="DM105" s="73">
        <f t="shared" si="200"/>
        <v>117</v>
      </c>
      <c r="DN105" s="73">
        <f t="shared" si="200"/>
        <v>118</v>
      </c>
      <c r="DO105" s="73">
        <f t="shared" si="200"/>
        <v>119</v>
      </c>
      <c r="DP105" s="73">
        <f t="shared" si="200"/>
        <v>120</v>
      </c>
      <c r="DQ105" s="73">
        <f t="shared" si="200"/>
        <v>121</v>
      </c>
      <c r="DR105" s="73">
        <f t="shared" si="200"/>
        <v>122</v>
      </c>
      <c r="DS105" s="73">
        <f t="shared" si="200"/>
        <v>123</v>
      </c>
      <c r="DT105" s="73">
        <f t="shared" si="200"/>
        <v>124</v>
      </c>
      <c r="DU105" s="73">
        <f t="shared" si="200"/>
        <v>125</v>
      </c>
      <c r="DV105" s="73">
        <f t="shared" si="200"/>
        <v>126</v>
      </c>
      <c r="DW105" s="73">
        <f t="shared" si="200"/>
        <v>127</v>
      </c>
      <c r="DX105" s="73">
        <f t="shared" si="200"/>
        <v>128</v>
      </c>
      <c r="DY105" s="73">
        <f t="shared" si="200"/>
        <v>129</v>
      </c>
      <c r="DZ105" s="73">
        <f t="shared" si="200"/>
        <v>130</v>
      </c>
      <c r="EA105" s="73">
        <f t="shared" ref="EA105:GL105" si="201">1+DZ105</f>
        <v>131</v>
      </c>
      <c r="EB105" s="73">
        <f t="shared" si="201"/>
        <v>132</v>
      </c>
      <c r="EC105" s="73">
        <f t="shared" si="201"/>
        <v>133</v>
      </c>
      <c r="ED105" s="73">
        <f t="shared" si="201"/>
        <v>134</v>
      </c>
      <c r="EE105" s="73">
        <f t="shared" si="201"/>
        <v>135</v>
      </c>
      <c r="EF105" s="73">
        <f t="shared" si="201"/>
        <v>136</v>
      </c>
      <c r="EG105" s="73">
        <f t="shared" si="201"/>
        <v>137</v>
      </c>
      <c r="EH105" s="73">
        <f t="shared" si="201"/>
        <v>138</v>
      </c>
      <c r="EI105" s="73">
        <f t="shared" si="201"/>
        <v>139</v>
      </c>
      <c r="EJ105" s="73">
        <f t="shared" si="201"/>
        <v>140</v>
      </c>
      <c r="EK105" s="73">
        <f t="shared" si="201"/>
        <v>141</v>
      </c>
      <c r="EL105" s="73">
        <f t="shared" si="201"/>
        <v>142</v>
      </c>
      <c r="EM105" s="73">
        <f t="shared" si="201"/>
        <v>143</v>
      </c>
      <c r="EN105" s="73">
        <f t="shared" si="201"/>
        <v>144</v>
      </c>
      <c r="EO105" s="73">
        <f t="shared" si="201"/>
        <v>145</v>
      </c>
      <c r="EP105" s="73">
        <f t="shared" si="201"/>
        <v>146</v>
      </c>
      <c r="EQ105" s="73">
        <f t="shared" si="201"/>
        <v>147</v>
      </c>
      <c r="ER105" s="73">
        <f t="shared" si="201"/>
        <v>148</v>
      </c>
      <c r="ES105" s="73">
        <f t="shared" si="201"/>
        <v>149</v>
      </c>
      <c r="ET105" s="73">
        <f t="shared" si="201"/>
        <v>150</v>
      </c>
      <c r="EU105" s="73">
        <f t="shared" si="201"/>
        <v>151</v>
      </c>
      <c r="EV105" s="73">
        <f t="shared" si="201"/>
        <v>152</v>
      </c>
      <c r="EW105" s="73">
        <f t="shared" si="201"/>
        <v>153</v>
      </c>
      <c r="EX105" s="73">
        <f t="shared" si="201"/>
        <v>154</v>
      </c>
      <c r="EY105" s="73">
        <f t="shared" si="201"/>
        <v>155</v>
      </c>
      <c r="EZ105" s="73">
        <f t="shared" si="201"/>
        <v>156</v>
      </c>
      <c r="FA105" s="73">
        <f t="shared" si="201"/>
        <v>157</v>
      </c>
      <c r="FB105" s="73">
        <f t="shared" si="201"/>
        <v>158</v>
      </c>
      <c r="FC105" s="73">
        <f t="shared" si="201"/>
        <v>159</v>
      </c>
      <c r="FD105" s="73">
        <f t="shared" si="201"/>
        <v>160</v>
      </c>
      <c r="FE105" s="73">
        <f t="shared" si="201"/>
        <v>161</v>
      </c>
      <c r="FF105" s="73">
        <f t="shared" si="201"/>
        <v>162</v>
      </c>
      <c r="FG105" s="73">
        <f t="shared" si="201"/>
        <v>163</v>
      </c>
      <c r="FH105" s="73">
        <f t="shared" si="201"/>
        <v>164</v>
      </c>
      <c r="FI105" s="73">
        <f t="shared" si="201"/>
        <v>165</v>
      </c>
      <c r="FJ105" s="73">
        <f t="shared" si="201"/>
        <v>166</v>
      </c>
      <c r="FK105" s="73">
        <f t="shared" si="201"/>
        <v>167</v>
      </c>
      <c r="FL105" s="73">
        <f t="shared" si="201"/>
        <v>168</v>
      </c>
      <c r="FM105" s="73">
        <f t="shared" si="201"/>
        <v>169</v>
      </c>
      <c r="FN105" s="73">
        <f t="shared" si="201"/>
        <v>170</v>
      </c>
      <c r="FO105" s="73">
        <f t="shared" si="201"/>
        <v>171</v>
      </c>
      <c r="FP105" s="73">
        <f t="shared" si="201"/>
        <v>172</v>
      </c>
      <c r="FQ105" s="73">
        <f t="shared" si="201"/>
        <v>173</v>
      </c>
      <c r="FR105" s="73">
        <f t="shared" si="201"/>
        <v>174</v>
      </c>
      <c r="FS105" s="73">
        <f t="shared" si="201"/>
        <v>175</v>
      </c>
      <c r="FT105" s="73">
        <f t="shared" si="201"/>
        <v>176</v>
      </c>
      <c r="FU105" s="73">
        <f t="shared" si="201"/>
        <v>177</v>
      </c>
      <c r="FV105" s="73">
        <f t="shared" si="201"/>
        <v>178</v>
      </c>
      <c r="FW105" s="73">
        <f t="shared" si="201"/>
        <v>179</v>
      </c>
      <c r="FX105" s="73">
        <f t="shared" si="201"/>
        <v>180</v>
      </c>
      <c r="FY105" s="73">
        <f t="shared" si="201"/>
        <v>181</v>
      </c>
      <c r="FZ105" s="73">
        <f t="shared" si="201"/>
        <v>182</v>
      </c>
      <c r="GA105" s="73">
        <f t="shared" si="201"/>
        <v>183</v>
      </c>
      <c r="GB105" s="73">
        <f t="shared" si="201"/>
        <v>184</v>
      </c>
      <c r="GC105" s="73">
        <f t="shared" si="201"/>
        <v>185</v>
      </c>
      <c r="GD105" s="73">
        <f t="shared" si="201"/>
        <v>186</v>
      </c>
      <c r="GE105" s="73">
        <f t="shared" si="201"/>
        <v>187</v>
      </c>
      <c r="GF105" s="73">
        <f t="shared" si="201"/>
        <v>188</v>
      </c>
      <c r="GG105" s="73">
        <f t="shared" si="201"/>
        <v>189</v>
      </c>
      <c r="GH105" s="73">
        <f t="shared" si="201"/>
        <v>190</v>
      </c>
      <c r="GI105" s="73">
        <f t="shared" si="201"/>
        <v>191</v>
      </c>
      <c r="GJ105" s="73">
        <f t="shared" si="201"/>
        <v>192</v>
      </c>
      <c r="GK105" s="73">
        <f t="shared" si="201"/>
        <v>193</v>
      </c>
      <c r="GL105" s="73">
        <f t="shared" si="201"/>
        <v>194</v>
      </c>
      <c r="GM105" s="73">
        <f t="shared" ref="GM105:IR105" si="202">1+GL105</f>
        <v>195</v>
      </c>
      <c r="GN105" s="73">
        <f t="shared" si="202"/>
        <v>196</v>
      </c>
      <c r="GO105" s="73">
        <f t="shared" si="202"/>
        <v>197</v>
      </c>
      <c r="GP105" s="73">
        <f t="shared" si="202"/>
        <v>198</v>
      </c>
      <c r="GQ105" s="73">
        <f t="shared" si="202"/>
        <v>199</v>
      </c>
      <c r="GR105" s="73">
        <f t="shared" si="202"/>
        <v>200</v>
      </c>
      <c r="GS105" s="73">
        <f t="shared" si="202"/>
        <v>201</v>
      </c>
      <c r="GT105" s="73">
        <f t="shared" si="202"/>
        <v>202</v>
      </c>
      <c r="GU105" s="73">
        <f t="shared" si="202"/>
        <v>203</v>
      </c>
      <c r="GV105" s="73">
        <f t="shared" si="202"/>
        <v>204</v>
      </c>
      <c r="GW105" s="73">
        <f t="shared" si="202"/>
        <v>205</v>
      </c>
      <c r="GX105" s="73">
        <f t="shared" si="202"/>
        <v>206</v>
      </c>
      <c r="GY105" s="73">
        <f t="shared" si="202"/>
        <v>207</v>
      </c>
      <c r="GZ105" s="73">
        <f t="shared" si="202"/>
        <v>208</v>
      </c>
      <c r="HA105" s="73">
        <f t="shared" si="202"/>
        <v>209</v>
      </c>
      <c r="HB105" s="73">
        <f t="shared" si="202"/>
        <v>210</v>
      </c>
      <c r="HC105" s="73">
        <f t="shared" si="202"/>
        <v>211</v>
      </c>
      <c r="HD105" s="73">
        <f t="shared" si="202"/>
        <v>212</v>
      </c>
      <c r="HE105" s="73">
        <f t="shared" si="202"/>
        <v>213</v>
      </c>
      <c r="HF105" s="73">
        <f t="shared" si="202"/>
        <v>214</v>
      </c>
      <c r="HG105" s="73">
        <f t="shared" si="202"/>
        <v>215</v>
      </c>
      <c r="HH105" s="73">
        <f t="shared" si="202"/>
        <v>216</v>
      </c>
      <c r="HI105" s="73">
        <f t="shared" si="202"/>
        <v>217</v>
      </c>
      <c r="HJ105" s="73">
        <f t="shared" si="202"/>
        <v>218</v>
      </c>
      <c r="HK105" s="73">
        <f t="shared" si="202"/>
        <v>219</v>
      </c>
      <c r="HL105" s="73">
        <f t="shared" si="202"/>
        <v>220</v>
      </c>
      <c r="HM105" s="73">
        <f t="shared" si="202"/>
        <v>221</v>
      </c>
      <c r="HN105" s="73">
        <f t="shared" si="202"/>
        <v>222</v>
      </c>
      <c r="HO105" s="73">
        <f t="shared" si="202"/>
        <v>223</v>
      </c>
      <c r="HP105" s="73">
        <f t="shared" si="202"/>
        <v>224</v>
      </c>
      <c r="HQ105" s="73">
        <f t="shared" si="202"/>
        <v>225</v>
      </c>
      <c r="HR105" s="73">
        <f t="shared" si="202"/>
        <v>226</v>
      </c>
      <c r="HS105" s="73">
        <f t="shared" si="202"/>
        <v>227</v>
      </c>
      <c r="HT105" s="73">
        <f t="shared" si="202"/>
        <v>228</v>
      </c>
      <c r="HU105" s="73">
        <f t="shared" si="202"/>
        <v>229</v>
      </c>
      <c r="HV105" s="73">
        <f t="shared" si="202"/>
        <v>230</v>
      </c>
      <c r="HW105" s="73">
        <f t="shared" si="202"/>
        <v>231</v>
      </c>
      <c r="HX105" s="73">
        <f t="shared" si="202"/>
        <v>232</v>
      </c>
      <c r="HY105" s="73">
        <f t="shared" si="202"/>
        <v>233</v>
      </c>
      <c r="HZ105" s="73">
        <f t="shared" si="202"/>
        <v>234</v>
      </c>
      <c r="IA105" s="73">
        <f t="shared" si="202"/>
        <v>235</v>
      </c>
      <c r="IB105" s="73">
        <f t="shared" si="202"/>
        <v>236</v>
      </c>
      <c r="IC105" s="73">
        <f t="shared" si="202"/>
        <v>237</v>
      </c>
      <c r="ID105" s="73">
        <f t="shared" si="202"/>
        <v>238</v>
      </c>
      <c r="IE105" s="73">
        <f t="shared" si="202"/>
        <v>239</v>
      </c>
      <c r="IF105" s="73">
        <f t="shared" si="202"/>
        <v>240</v>
      </c>
      <c r="IG105" s="73">
        <f t="shared" si="202"/>
        <v>241</v>
      </c>
      <c r="IH105" s="73">
        <f t="shared" si="202"/>
        <v>242</v>
      </c>
      <c r="II105" s="73">
        <f t="shared" si="202"/>
        <v>243</v>
      </c>
      <c r="IJ105" s="73">
        <f t="shared" si="202"/>
        <v>244</v>
      </c>
      <c r="IK105" s="73">
        <f t="shared" si="202"/>
        <v>245</v>
      </c>
      <c r="IL105" s="73">
        <f t="shared" si="202"/>
        <v>246</v>
      </c>
      <c r="IM105" s="73">
        <f t="shared" si="202"/>
        <v>247</v>
      </c>
      <c r="IN105" s="73">
        <f t="shared" si="202"/>
        <v>248</v>
      </c>
      <c r="IO105" s="73">
        <f t="shared" si="202"/>
        <v>249</v>
      </c>
      <c r="IP105" s="73">
        <f t="shared" si="202"/>
        <v>250</v>
      </c>
      <c r="IQ105" s="73">
        <f t="shared" si="202"/>
        <v>251</v>
      </c>
      <c r="IR105" s="73">
        <f t="shared" si="202"/>
        <v>252</v>
      </c>
    </row>
    <row r="106" spans="1:252" ht="15.75" customHeight="1" x14ac:dyDescent="0.25">
      <c r="X106" s="4"/>
      <c r="AF106" s="4"/>
      <c r="ID106" s="91"/>
      <c r="IL106" s="182"/>
    </row>
    <row r="107" spans="1:252" ht="15.75" customHeight="1" x14ac:dyDescent="0.25">
      <c r="AF107" s="4"/>
      <c r="ID107" s="91"/>
    </row>
    <row r="108" spans="1:252" ht="15.75" customHeight="1" x14ac:dyDescent="0.25">
      <c r="ID108" s="91"/>
    </row>
    <row r="109" spans="1:252" ht="15.75" customHeight="1" x14ac:dyDescent="0.25">
      <c r="ID109" s="91"/>
    </row>
    <row r="110" spans="1:252" ht="15.75" customHeight="1" x14ac:dyDescent="0.25">
      <c r="ID110" s="91"/>
    </row>
    <row r="111" spans="1:252" ht="15.75" customHeight="1" x14ac:dyDescent="0.25">
      <c r="ID111" s="91"/>
    </row>
    <row r="112" spans="1:252" ht="15.75" customHeight="1" x14ac:dyDescent="0.25">
      <c r="ID112" s="91"/>
    </row>
    <row r="113" spans="238:238" ht="15.75" customHeight="1" x14ac:dyDescent="0.25">
      <c r="ID113" s="91"/>
    </row>
    <row r="114" spans="238:238" ht="15.75" customHeight="1" x14ac:dyDescent="0.25">
      <c r="ID114" s="91"/>
    </row>
    <row r="115" spans="238:238" ht="15.75" customHeight="1" x14ac:dyDescent="0.25">
      <c r="ID115" s="91"/>
    </row>
    <row r="116" spans="238:238" ht="15.75" customHeight="1" x14ac:dyDescent="0.25">
      <c r="ID116" s="91"/>
    </row>
    <row r="117" spans="238:238" ht="15.75" customHeight="1" x14ac:dyDescent="0.25">
      <c r="ID117" s="91"/>
    </row>
    <row r="118" spans="238:238" ht="15.75" customHeight="1" x14ac:dyDescent="0.25">
      <c r="ID118" s="91"/>
    </row>
  </sheetData>
  <customSheetViews>
    <customSheetView guid="{30BFA3C6-776B-11D4-A436-0050044063A3}" fitToPage="1" printArea="1" hiddenColumns="1" showRuler="0" topLeftCell="IH1">
      <pane ySplit="8" topLeftCell="A46" activePane="bottomLeft"/>
      <selection pane="bottomLeft" activeCell="IN1" sqref="IN1:IQ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"/>
      <headerFooter alignWithMargins="0">
        <oddFooter>Seite &amp;P</oddFooter>
      </headerFooter>
    </customSheetView>
    <customSheetView guid="{30BFA3C5-776B-11D4-A436-0050044063A3}" fitToPage="1" printArea="1" hiddenColumns="1" showRuler="0" topLeftCell="IA1">
      <pane ySplit="8" topLeftCell="A48" activePane="bottomLeft"/>
      <selection pane="bottomLeft" activeCell="IE1" sqref="IE1:IL57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r:id="rId2"/>
      <headerFooter alignWithMargins="0">
        <oddFooter>Seite &amp;P</oddFooter>
      </headerFooter>
    </customSheetView>
    <customSheetView guid="{30BFA3C4-776B-11D4-A436-0050044063A3}" fitToPage="1" printArea="1" hiddenColumns="1" showRuler="0" topLeftCell="HR1">
      <pane ySplit="8" topLeftCell="A42" activePane="bottomLeft"/>
      <selection pane="bottomLeft" activeCell="HV1" sqref="HV1:IC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3"/>
      <headerFooter alignWithMargins="0">
        <oddFooter>Seite &amp;P</oddFooter>
      </headerFooter>
    </customSheetView>
    <customSheetView guid="{30BFA3C3-776B-11D4-A436-0050044063A3}" fitToPage="1" printArea="1" hiddenColumns="1" showRuler="0" topLeftCell="HH1">
      <pane ySplit="8" topLeftCell="A41" activePane="bottomLeft"/>
      <selection pane="bottomLeft" activeCell="HL1" sqref="HL1:HT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4"/>
      <headerFooter alignWithMargins="0">
        <oddFooter>Seite &amp;P</oddFooter>
      </headerFooter>
    </customSheetView>
    <customSheetView guid="{30BFA3C2-776B-11D4-A436-0050044063A3}" fitToPage="1" printArea="1" hiddenColumns="1" showRuler="0" topLeftCell="GX1">
      <pane ySplit="8" topLeftCell="A43" activePane="bottomLeft"/>
      <selection pane="bottomLeft" activeCell="HB1" sqref="HB1:HJ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5"/>
      <headerFooter alignWithMargins="0">
        <oddFooter>Seite &amp;P</oddFooter>
      </headerFooter>
    </customSheetView>
    <customSheetView guid="{30BFA3C1-776B-11D4-A436-0050044063A3}" fitToPage="1" printArea="1" hiddenColumns="1" showRuler="0" topLeftCell="FK1">
      <pane ySplit="8" topLeftCell="A47" activePane="bottomLeft"/>
      <selection pane="bottomLeft" activeCell="FM1" sqref="FM1:GZ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6"/>
      <headerFooter alignWithMargins="0">
        <oddFooter>Seite &amp;P</oddFooter>
      </headerFooter>
    </customSheetView>
    <customSheetView guid="{30BFA3C0-776B-11D4-A436-0050044063A3}" fitToPage="1" printArea="1" hiddenColumns="1" showRuler="0" topLeftCell="EZ1">
      <pane ySplit="8" topLeftCell="A50" activePane="bottomLeft"/>
      <selection pane="bottomLeft" activeCell="FD1" sqref="FD1:FK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7"/>
      <headerFooter alignWithMargins="0">
        <oddFooter>Seite &amp;P</oddFooter>
      </headerFooter>
    </customSheetView>
    <customSheetView guid="{30BFA3BF-776B-11D4-A436-0050044063A3}" fitToPage="1" printArea="1" hiddenColumns="1" showRuler="0" topLeftCell="EP1">
      <pane ySplit="8" topLeftCell="A47" activePane="bottomLeft"/>
      <selection pane="bottomLeft" activeCell="ET1" sqref="ET1:FB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8"/>
      <headerFooter alignWithMargins="0">
        <oddFooter>Seite &amp;P</oddFooter>
      </headerFooter>
    </customSheetView>
    <customSheetView guid="{30BFA3BE-776B-11D4-A436-0050044063A3}" fitToPage="1" printArea="1" hiddenColumns="1" showRuler="0" topLeftCell="EF1">
      <pane ySplit="8" topLeftCell="A47" activePane="bottomLeft"/>
      <selection pane="bottomLeft" activeCell="EJ1" sqref="EJ1:ER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9"/>
      <headerFooter alignWithMargins="0">
        <oddFooter>Seite &amp;P</oddFooter>
      </headerFooter>
    </customSheetView>
    <customSheetView guid="{30BFA3BD-776B-11D4-A436-0050044063A3}" fitToPage="1" printArea="1" hiddenColumns="1" showRuler="0" topLeftCell="CS1">
      <pane ySplit="8" topLeftCell="A49" activePane="bottomLeft"/>
      <selection pane="bottomLeft" activeCell="CU1" sqref="CU1:EH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0"/>
      <headerFooter alignWithMargins="0">
        <oddFooter>Seite &amp;P</oddFooter>
      </headerFooter>
    </customSheetView>
    <customSheetView guid="{30BFA3BC-776B-11D4-A436-0050044063A3}" fitToPage="1" printArea="1" hiddenColumns="1" showRuler="0" topLeftCell="CK1">
      <pane ySplit="8" topLeftCell="A42" activePane="bottomLeft"/>
      <selection pane="bottomLeft" activeCell="CP1" sqref="CP1:CS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1"/>
      <headerFooter alignWithMargins="0">
        <oddFooter>Seite &amp;P</oddFooter>
      </headerFooter>
    </customSheetView>
    <customSheetView guid="{30BFA3BB-776B-11D4-A436-0050044063A3}" fitToPage="1" printArea="1" hiddenColumns="1" showRuler="0" topLeftCell="CA1">
      <pane ySplit="8" topLeftCell="A51" activePane="bottomLeft"/>
      <selection pane="bottomLeft" activeCell="CG1" sqref="CG1:CN57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r:id="rId12"/>
      <headerFooter alignWithMargins="0">
        <oddFooter>Seite &amp;P</oddFooter>
      </headerFooter>
    </customSheetView>
    <customSheetView guid="{30BFA3BA-776B-11D4-A436-0050044063A3}" fitToPage="1" printArea="1" hiddenColumns="1" showRuler="0" topLeftCell="BT1">
      <pane ySplit="8" topLeftCell="A48" activePane="bottomLeft"/>
      <selection pane="bottomLeft" activeCell="BX1" sqref="BX1:CE57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r:id="rId13"/>
      <headerFooter alignWithMargins="0">
        <oddFooter>Seite &amp;P</oddFooter>
      </headerFooter>
    </customSheetView>
    <customSheetView guid="{30BFA3B9-776B-11D4-A436-0050044063A3}" fitToPage="1" printArea="1" showRuler="0" topLeftCell="BI41">
      <pane ySplit="8" topLeftCell="A44" activePane="bottomLeft"/>
      <selection pane="bottomLeft" activeCell="BQ1" sqref="BQ1:BV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4"/>
      <headerFooter alignWithMargins="0">
        <oddFooter>Seite &amp;P</oddFooter>
      </headerFooter>
    </customSheetView>
    <customSheetView guid="{30BFA3B8-776B-11D4-A436-0050044063A3}" fitToPage="1" printArea="1" showRuler="0" topLeftCell="BD41">
      <selection activeCell="BJ1" sqref="BJ1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5"/>
      <headerFooter alignWithMargins="0">
        <oddFooter>Seite &amp;P</oddFooter>
      </headerFooter>
    </customSheetView>
    <customSheetView guid="{30BFA3B6-776B-11D4-A436-0050044063A3}" fitToPage="1" printArea="1" showRuler="0" topLeftCell="AW41">
      <pane ySplit="8" topLeftCell="A49" activePane="bottomLeft"/>
      <selection pane="bottomLeft" activeCell="BF1" sqref="BF1:BH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6"/>
      <headerFooter alignWithMargins="0">
        <oddFooter>Seite &amp;P</oddFooter>
      </headerFooter>
    </customSheetView>
    <customSheetView guid="{30BFA3B5-776B-11D4-A436-0050044063A3}" fitToPage="1" printArea="1" showRuler="0" topLeftCell="AT41">
      <pane ySplit="8" topLeftCell="A87" activePane="bottomLeft"/>
      <selection pane="bottomLeft" activeCell="AZ57" sqref="AZ57:BD102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r:id="rId17"/>
      <headerFooter alignWithMargins="0">
        <oddFooter>Seite &amp;P</oddFooter>
      </headerFooter>
    </customSheetView>
    <customSheetView guid="{30BFA3B4-776B-11D4-A436-0050044063A3}" fitToPage="1" printArea="1" showRuler="0" topLeftCell="AT41">
      <pane ySplit="8" topLeftCell="A49" activePane="bottomLeft"/>
      <selection pane="bottomLeft" activeCell="AZ1" sqref="AZ1:BD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18"/>
      <headerFooter alignWithMargins="0">
        <oddFooter>Seite &amp;P</oddFooter>
      </headerFooter>
    </customSheetView>
    <customSheetView guid="{30BFA3B3-776B-11D4-A436-0050044063A3}" fitToPage="1" printArea="1" showRuler="0" topLeftCell="AO41">
      <pane ySplit="8" topLeftCell="A89" activePane="bottomLeft"/>
      <selection pane="bottomLeft" activeCell="AQ57" sqref="AQ57:AX102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82" orientation="portrait" blackAndWhite="1" r:id="rId19"/>
      <headerFooter alignWithMargins="0">
        <oddFooter>Seite &amp;P</oddFooter>
      </headerFooter>
    </customSheetView>
    <customSheetView guid="{30BFA3B2-776B-11D4-A436-0050044063A3}" fitToPage="1" printArea="1" showRuler="0" topLeftCell="AO41">
      <pane ySplit="8" topLeftCell="A49" activePane="bottomLeft"/>
      <selection pane="bottomLeft" activeCell="AQ1" sqref="AQ1:AX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20"/>
      <headerFooter alignWithMargins="0">
        <oddFooter>Seite &amp;P</oddFooter>
      </headerFooter>
    </customSheetView>
    <customSheetView guid="{30BFA3B1-776B-11D4-A436-0050044063A3}" fitToPage="1" printArea="1" showRuler="0" topLeftCell="AF41">
      <pane ySplit="8" topLeftCell="A49" activePane="bottomLeft"/>
      <selection pane="bottomLeft" activeCell="AH1" sqref="AH1:AO57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r:id="rId21"/>
      <headerFooter alignWithMargins="0">
        <oddFooter>Seite &amp;P</oddFooter>
      </headerFooter>
    </customSheetView>
    <customSheetView guid="{30BFA3AF-776B-11D4-A436-0050044063A3}" fitToPage="1" printArea="1" showRuler="0" topLeftCell="U41">
      <pane ySplit="8" topLeftCell="A50" activePane="bottomLeft"/>
      <selection pane="bottomLeft" activeCell="X1" sqref="X1:AF57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r:id="rId22"/>
      <headerFooter alignWithMargins="0">
        <oddFooter>Seite &amp;P</oddFooter>
      </headerFooter>
    </customSheetView>
    <customSheetView guid="{30BFA3AE-776B-11D4-A436-0050044063A3}" fitToPage="1" printArea="1" showRuler="0" topLeftCell="J41">
      <pane ySplit="8" topLeftCell="A87" activePane="bottomLeft"/>
      <selection pane="bottomLeft" activeCell="O57" sqref="O57:V102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r:id="rId23"/>
      <headerFooter alignWithMargins="0">
        <oddFooter>Seite &amp;P</oddFooter>
      </headerFooter>
    </customSheetView>
    <customSheetView guid="{30BFA3AD-776B-11D4-A436-0050044063A3}" fitToPage="1" printArea="1" showRuler="0" topLeftCell="J41">
      <pane ySplit="8" topLeftCell="A50" activePane="bottomLeft"/>
      <selection pane="bottomLeft" activeCell="O1" sqref="O1:V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24"/>
      <headerFooter alignWithMargins="0">
        <oddFooter>Seite &amp;P</oddFooter>
      </headerFooter>
    </customSheetView>
    <customSheetView guid="{30BFA3AC-776B-11D4-A436-0050044063A3}" fitToPage="1" printArea="1" showRuler="0" topLeftCell="A41">
      <pane ySplit="8" topLeftCell="A91" activePane="bottomLeft"/>
      <selection pane="bottomLeft" activeCell="G57" sqref="G57:M102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r:id="rId25"/>
      <headerFooter alignWithMargins="0">
        <oddFooter>Seite &amp;P</oddFooter>
      </headerFooter>
    </customSheetView>
    <customSheetView guid="{30BFA3AB-776B-11D4-A436-0050044063A3}" fitToPage="1" printArea="1" showRuler="0" topLeftCell="A41">
      <pane ySplit="8" topLeftCell="A48" activePane="bottomLeft"/>
      <selection pane="bottomLeft" activeCell="G1" sqref="G1:M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26"/>
      <headerFooter alignWithMargins="0">
        <oddFooter>Seite &amp;P</oddFooter>
      </headerFooter>
    </customSheetView>
    <customSheetView guid="{30BFA3AA-776B-11D4-A436-0050044063A3}" printArea="1" showRuler="0" topLeftCell="A41">
      <pane ySplit="8" topLeftCell="A92" activePane="bottomLeft"/>
      <selection pane="bottomLeft" activeCell="A57" sqref="A57:E102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0" orientation="portrait" blackAndWhite="1" r:id="rId27"/>
      <headerFooter alignWithMargins="0">
        <oddFooter>Seite &amp;P</oddFooter>
      </headerFooter>
    </customSheetView>
    <customSheetView guid="{30BFA3A9-776B-11D4-A436-0050044063A3}" fitToPage="1" printArea="1" showRuler="0" topLeftCell="A41">
      <selection activeCell="E56" sqref="A1:E56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r:id="rId28"/>
      <headerFooter alignWithMargins="0">
        <oddFooter>Seite &amp;P</oddFooter>
      </headerFooter>
    </customSheetView>
    <customSheetView guid="{4C29A34C-6ED4-11D4-A42C-0050044063A3}" printArea="1" showRuler="0" topLeftCell="V1">
      <pane ySplit="8" topLeftCell="A6"/>
      <selection activeCell="X1" sqref="X1:AF98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35433070866141736" header="0.27559055118110237" footer="0.15748031496062992"/>
      <printOptions horizontalCentered="1"/>
      <pageSetup paperSize="9" scale="71" orientation="portrait" horizontalDpi="300" verticalDpi="300" r:id="rId29"/>
      <headerFooter alignWithMargins="0">
        <oddFooter>Seite &amp;P</oddFooter>
      </headerFooter>
    </customSheetView>
    <customSheetView guid="{4C29A34D-6ED4-11D4-A42C-0050044063A3}" printArea="1" showRuler="0" topLeftCell="V1">
      <pane ySplit="8" topLeftCell="A6"/>
      <selection activeCell="X1" sqref="X1:AF98"/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35433070866141736" header="0.27559055118110237" footer="0.15748031496062992"/>
      <printOptions horizontalCentered="1"/>
      <pageSetup paperSize="9" scale="71" orientation="portrait" horizontalDpi="300" verticalDpi="300" r:id="rId30"/>
      <headerFooter alignWithMargins="0">
        <oddFooter>Seite &amp;P</oddFooter>
      </headerFooter>
    </customSheetView>
    <customSheetView guid="{6EC1D8DB-7337-11D4-A432-0050044063A3}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1"/>
      <headerFooter alignWithMargins="0">
        <oddFooter>Seite &amp;P</oddFooter>
      </headerFooter>
    </customSheetView>
    <customSheetView guid="{67B6F32A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2"/>
      <headerFooter alignWithMargins="0">
        <oddFooter>Seite &amp;P</oddFooter>
      </headerFooter>
    </customSheetView>
    <customSheetView guid="{67B6F32B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3"/>
      <headerFooter alignWithMargins="0">
        <oddFooter>Seite &amp;P</oddFooter>
      </headerFooter>
    </customSheetView>
    <customSheetView guid="{67B6F32C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4"/>
      <headerFooter alignWithMargins="0">
        <oddFooter>Seite &amp;P</oddFooter>
      </headerFooter>
    </customSheetView>
    <customSheetView guid="{67B6F32D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5"/>
      <headerFooter alignWithMargins="0">
        <oddFooter>Seite &amp;P</oddFooter>
      </headerFooter>
    </customSheetView>
    <customSheetView guid="{67B6F32E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6"/>
      <headerFooter alignWithMargins="0">
        <oddFooter>Seite &amp;P</oddFooter>
      </headerFooter>
    </customSheetView>
    <customSheetView guid="{67B6F32F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7"/>
      <headerFooter alignWithMargins="0">
        <oddFooter>Seite &amp;P</oddFooter>
      </headerFooter>
    </customSheetView>
    <customSheetView guid="{67B6F330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8"/>
      <headerFooter alignWithMargins="0">
        <oddFooter>Seite &amp;P</oddFooter>
      </headerFooter>
    </customSheetView>
    <customSheetView guid="{67B6F332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39"/>
      <headerFooter alignWithMargins="0">
        <oddFooter>Seite &amp;P</oddFooter>
      </headerFooter>
    </customSheetView>
    <customSheetView guid="{67B6F333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0"/>
      <headerFooter alignWithMargins="0">
        <oddFooter>Seite &amp;P</oddFooter>
      </headerFooter>
    </customSheetView>
    <customSheetView guid="{67B6F334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1"/>
      <headerFooter alignWithMargins="0">
        <oddFooter>Seite &amp;P</oddFooter>
      </headerFooter>
    </customSheetView>
    <customSheetView guid="{67B6F335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2"/>
      <headerFooter alignWithMargins="0">
        <oddFooter>Seite &amp;P</oddFooter>
      </headerFooter>
    </customSheetView>
    <customSheetView guid="{67B6F336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3"/>
      <headerFooter alignWithMargins="0">
        <oddFooter>Seite &amp;P</oddFooter>
      </headerFooter>
    </customSheetView>
    <customSheetView guid="{67B6F337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4"/>
      <headerFooter alignWithMargins="0">
        <oddFooter>Seite &amp;P</oddFooter>
      </headerFooter>
    </customSheetView>
    <customSheetView guid="{67B6F338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5"/>
      <headerFooter alignWithMargins="0">
        <oddFooter>Seite &amp;P</oddFooter>
      </headerFooter>
    </customSheetView>
    <customSheetView guid="{67B6F339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6"/>
      <headerFooter alignWithMargins="0">
        <oddFooter>Seite &amp;P</oddFooter>
      </headerFooter>
    </customSheetView>
    <customSheetView guid="{67B6F33A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7"/>
      <headerFooter alignWithMargins="0">
        <oddFooter>Seite &amp;P</oddFooter>
      </headerFooter>
    </customSheetView>
    <customSheetView guid="{67B6F33B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8"/>
      <headerFooter alignWithMargins="0">
        <oddFooter>Seite &amp;P</oddFooter>
      </headerFooter>
    </customSheetView>
    <customSheetView guid="{67B6F33C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49"/>
      <headerFooter alignWithMargins="0">
        <oddFooter>Seite &amp;P</oddFooter>
      </headerFooter>
    </customSheetView>
    <customSheetView guid="{67B6F33D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0"/>
      <headerFooter alignWithMargins="0">
        <oddFooter>Seite &amp;P</oddFooter>
      </headerFooter>
    </customSheetView>
    <customSheetView guid="{67B6F33E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1"/>
      <headerFooter alignWithMargins="0">
        <oddFooter>Seite &amp;P</oddFooter>
      </headerFooter>
    </customSheetView>
    <customSheetView guid="{67B6F33F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2"/>
      <headerFooter alignWithMargins="0">
        <oddFooter>Seite &amp;P</oddFooter>
      </headerFooter>
    </customSheetView>
    <customSheetView guid="{67B6F340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3"/>
      <headerFooter alignWithMargins="0">
        <oddFooter>Seite &amp;P</oddFooter>
      </headerFooter>
    </customSheetView>
    <customSheetView guid="{67B6F341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4"/>
      <headerFooter alignWithMargins="0">
        <oddFooter>Seite &amp;P</oddFooter>
      </headerFooter>
    </customSheetView>
    <customSheetView guid="{67B6F342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5"/>
      <headerFooter alignWithMargins="0">
        <oddFooter>Seite &amp;P</oddFooter>
      </headerFooter>
    </customSheetView>
    <customSheetView guid="{67B6F343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6"/>
      <headerFooter alignWithMargins="0">
        <oddFooter>Seite &amp;P</oddFooter>
      </headerFooter>
    </customSheetView>
    <customSheetView guid="{67B6F344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7"/>
      <headerFooter alignWithMargins="0">
        <oddFooter>Seite &amp;P</oddFooter>
      </headerFooter>
    </customSheetView>
    <customSheetView guid="{67B6F345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8"/>
      <headerFooter alignWithMargins="0">
        <oddFooter>Seite &amp;P</oddFooter>
      </headerFooter>
    </customSheetView>
    <customSheetView guid="{67B6F346-7771-11D4-A436-0050044063A3}" printArea="1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52" man="1"/>
        <brk id="170" max="52" man="1"/>
      </colBreaks>
      <pageMargins left="0.78740157480314965" right="0.78740157480314965" top="0.55118110236220474" bottom="0.55118110236220474" header="0.27559055118110237" footer="0.35433070866141736"/>
      <printOptions horizontalCentered="1"/>
      <pageSetup paperSize="9" scale="90" orientation="portrait" blackAndWhite="1" r:id="rId59"/>
      <headerFooter alignWithMargins="0">
        <oddFooter>Seite &amp;P</oddFooter>
      </headerFooter>
    </customSheetView>
    <customSheetView guid="{E26AA399-7CC0-11D4-A43C-0050044063A3}" hiddenColumns="1" showRuler="0">
      <rowBreaks count="1" manualBreakCount="1">
        <brk id="53" max="16383" man="1"/>
      </rowBreaks>
      <colBreaks count="16" manualBreakCount="16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0" max="113" man="1"/>
        <brk id="74" max="113" man="1"/>
        <brk id="75" max="113" man="1"/>
        <brk id="84" max="113" man="1"/>
        <brk id="92" max="1048575" man="1"/>
        <brk id="97" max="1048575" man="1"/>
        <brk id="162" max="113" man="1"/>
        <brk id="170" max="113" man="1"/>
      </colBreaks>
      <pageMargins left="0.78740157480314965" right="0.78740157480314965" top="0.55118110236220474" bottom="0.35433070866141736" header="0.27559055118110237" footer="0.15748031496062992"/>
      <printOptions horizontalCentered="1"/>
      <pageSetup paperSize="9" scale="71" orientation="portrait" horizontalDpi="300" verticalDpi="300" r:id="rId60"/>
      <headerFooter alignWithMargins="0">
        <oddFooter>Seite &amp;P</oddFooter>
      </headerFooter>
    </customSheetView>
  </customSheetViews>
  <printOptions horizontalCentered="1"/>
  <pageMargins left="0.78740157480314965" right="0.78740157480314965" top="0.55118110236220474" bottom="0.55118110236220474" header="0.51181102362204722" footer="0.31496062992125984"/>
  <pageSetup paperSize="9" scale="90" orientation="portrait" blackAndWhite="1" r:id="rId61"/>
  <headerFooter alignWithMargins="0">
    <oddFooter>Seite &amp;P</oddFooter>
  </headerFooter>
  <rowBreaks count="1" manualBreakCount="1">
    <brk id="53" max="16383" man="1"/>
  </rowBreaks>
  <colBreaks count="16" manualBreakCount="16">
    <brk id="5" max="1048575" man="1"/>
    <brk id="13" max="1048575" man="1"/>
    <brk id="22" max="1048575" man="1"/>
    <brk id="32" max="1048575" man="1"/>
    <brk id="41" max="1048575" man="1"/>
    <brk id="42" max="113" man="1"/>
    <brk id="50" max="1048575" man="1"/>
    <brk id="56" max="1048575" man="1"/>
    <brk id="60" max="113" man="1"/>
    <brk id="74" max="113" man="1"/>
    <brk id="75" max="113" man="1"/>
    <brk id="84" max="113" man="1"/>
    <brk id="92" max="1048575" man="1"/>
    <brk id="97" max="1048575" man="1"/>
    <brk id="162" max="113" man="1"/>
    <brk id="170" max="113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autoPageBreaks="0"/>
  </sheetPr>
  <dimension ref="A1:IR119"/>
  <sheetViews>
    <sheetView tabSelected="1" topLeftCell="BY1" zoomScaleNormal="100" workbookViewId="0">
      <pane ySplit="2910" topLeftCell="A48" activePane="bottomLeft"/>
      <selection activeCell="II8" sqref="II8"/>
      <selection pane="bottomLeft" activeCell="CN56" sqref="CN56"/>
    </sheetView>
  </sheetViews>
  <sheetFormatPr baseColWidth="10" defaultColWidth="11.42578125" defaultRowHeight="15.75" customHeight="1" x14ac:dyDescent="0.25"/>
  <cols>
    <col min="1" max="1" width="4.140625" style="1" customWidth="1"/>
    <col min="2" max="5" width="11.42578125" style="1"/>
    <col min="6" max="6" width="2" style="84" customWidth="1"/>
    <col min="7" max="7" width="4.140625" style="1" customWidth="1"/>
    <col min="8" max="13" width="11.42578125" style="1"/>
    <col min="14" max="14" width="2" style="84" customWidth="1"/>
    <col min="15" max="15" width="4.140625" style="1" customWidth="1"/>
    <col min="16" max="16" width="11.42578125" style="44"/>
    <col min="17" max="22" width="11.42578125" style="1"/>
    <col min="23" max="23" width="2" style="84" customWidth="1"/>
    <col min="24" max="24" width="4.140625" style="1" customWidth="1"/>
    <col min="25" max="26" width="12.7109375" style="1" customWidth="1"/>
    <col min="27" max="30" width="10.7109375" style="1" customWidth="1"/>
    <col min="31" max="32" width="14.7109375" style="1" customWidth="1"/>
    <col min="33" max="33" width="2" style="84" customWidth="1"/>
    <col min="34" max="34" width="4.140625" style="1" customWidth="1"/>
    <col min="35" max="41" width="14.7109375" style="1" customWidth="1"/>
    <col min="42" max="42" width="2" style="84" customWidth="1"/>
    <col min="43" max="43" width="4.140625" style="1" customWidth="1"/>
    <col min="44" max="50" width="14.7109375" style="1" customWidth="1"/>
    <col min="51" max="51" width="2" style="84" customWidth="1"/>
    <col min="52" max="52" width="4.140625" style="1" customWidth="1"/>
    <col min="53" max="56" width="13.7109375" style="1" customWidth="1"/>
    <col min="57" max="57" width="2" style="84" customWidth="1"/>
    <col min="58" max="58" width="9.140625" style="1" customWidth="1"/>
    <col min="59" max="60" width="13.7109375" style="1" customWidth="1"/>
    <col min="61" max="61" width="2" style="84" customWidth="1"/>
    <col min="62" max="62" width="4.140625" style="1" customWidth="1"/>
    <col min="63" max="66" width="11.42578125" style="1"/>
    <col min="67" max="67" width="13" style="1" customWidth="1"/>
    <col min="68" max="68" width="2" style="84" customWidth="1"/>
    <col min="69" max="69" width="4.140625" style="1" customWidth="1"/>
    <col min="70" max="71" width="11.42578125" style="1"/>
    <col min="72" max="73" width="12.140625" style="1" customWidth="1"/>
    <col min="74" max="74" width="13" style="1" customWidth="1"/>
    <col min="75" max="75" width="2" style="84" customWidth="1"/>
    <col min="76" max="76" width="4.140625" style="1" customWidth="1"/>
    <col min="77" max="77" width="18.42578125" style="1" customWidth="1"/>
    <col min="78" max="80" width="12.7109375" style="1" customWidth="1"/>
    <col min="81" max="81" width="14.7109375" style="124" hidden="1" customWidth="1"/>
    <col min="82" max="82" width="14.7109375" style="129" hidden="1" customWidth="1"/>
    <col min="83" max="83" width="12.7109375" style="1" customWidth="1"/>
    <col min="84" max="84" width="2" style="84" customWidth="1"/>
    <col min="85" max="85" width="4.140625" style="1" customWidth="1"/>
    <col min="86" max="88" width="11.42578125" style="1"/>
    <col min="89" max="89" width="13" style="1" customWidth="1"/>
    <col min="90" max="91" width="11.42578125" style="1"/>
    <col min="92" max="92" width="13" style="1" customWidth="1"/>
    <col min="93" max="93" width="2" style="84" customWidth="1"/>
    <col min="94" max="94" width="4.140625" style="1" customWidth="1"/>
    <col min="95" max="97" width="17.7109375" style="1" customWidth="1"/>
    <col min="98" max="98" width="2" style="84" customWidth="1"/>
    <col min="99" max="99" width="4.140625" style="1" customWidth="1"/>
    <col min="100" max="130" width="15.42578125" style="1" hidden="1" customWidth="1"/>
    <col min="131" max="134" width="11.42578125" style="44"/>
    <col min="135" max="135" width="12.28515625" style="44" customWidth="1"/>
    <col min="136" max="138" width="11.42578125" style="44"/>
    <col min="139" max="139" width="2" style="84" customWidth="1"/>
    <col min="140" max="140" width="4.140625" style="1" customWidth="1"/>
    <col min="141" max="144" width="11.42578125" style="44"/>
    <col min="145" max="145" width="12.28515625" style="44" customWidth="1"/>
    <col min="146" max="148" width="11.42578125" style="44"/>
    <col min="149" max="149" width="2" style="84" customWidth="1"/>
    <col min="150" max="150" width="4.140625" style="1" customWidth="1"/>
    <col min="151" max="154" width="11.42578125" style="44"/>
    <col min="155" max="155" width="12.28515625" style="44" customWidth="1"/>
    <col min="156" max="158" width="11.42578125" style="44"/>
    <col min="159" max="159" width="2" style="84" customWidth="1"/>
    <col min="160" max="160" width="4.140625" style="1" customWidth="1"/>
    <col min="161" max="167" width="13.140625" style="44" customWidth="1"/>
    <col min="168" max="168" width="2" style="84" customWidth="1"/>
    <col min="169" max="169" width="4.140625" style="1" customWidth="1"/>
    <col min="170" max="200" width="15.42578125" style="1" hidden="1" customWidth="1"/>
    <col min="201" max="204" width="11.42578125" style="1"/>
    <col min="205" max="205" width="12.28515625" style="1" customWidth="1"/>
    <col min="206" max="208" width="11.42578125" style="1"/>
    <col min="209" max="209" width="2" style="84" customWidth="1"/>
    <col min="210" max="210" width="4.140625" style="1" customWidth="1"/>
    <col min="211" max="214" width="11.42578125" style="1"/>
    <col min="215" max="215" width="12.28515625" style="1" customWidth="1"/>
    <col min="216" max="218" width="11.42578125" style="1"/>
    <col min="219" max="219" width="2" style="84" customWidth="1"/>
    <col min="220" max="220" width="4.140625" style="1" customWidth="1"/>
    <col min="221" max="224" width="11.42578125" style="1"/>
    <col min="225" max="225" width="12.28515625" style="1" customWidth="1"/>
    <col min="226" max="228" width="11.42578125" style="1"/>
    <col min="229" max="229" width="2" style="84" customWidth="1"/>
    <col min="230" max="230" width="4.140625" style="1" customWidth="1"/>
    <col min="231" max="237" width="13.140625" style="1" customWidth="1"/>
    <col min="238" max="238" width="2" style="84" customWidth="1"/>
    <col min="239" max="239" width="4.140625" style="1" customWidth="1"/>
    <col min="240" max="242" width="11.42578125" style="1"/>
    <col min="243" max="243" width="13" style="1" customWidth="1"/>
    <col min="244" max="245" width="11.42578125" style="1"/>
    <col min="246" max="246" width="13" style="1" customWidth="1"/>
    <col min="247" max="247" width="2" style="84" customWidth="1"/>
    <col min="248" max="248" width="4.140625" style="1" customWidth="1"/>
    <col min="249" max="251" width="18.7109375" style="1" customWidth="1"/>
    <col min="252" max="252" width="2" style="84" customWidth="1"/>
    <col min="253" max="253" width="4.140625" style="1" customWidth="1"/>
    <col min="254" max="16384" width="11.42578125" style="1"/>
  </cols>
  <sheetData>
    <row r="1" spans="1:252" x14ac:dyDescent="0.25">
      <c r="E1" s="2" t="str">
        <f>Grundlagen</f>
        <v>EVK 2000, 2.25%</v>
      </c>
      <c r="M1" s="2" t="str">
        <f>Grundlagen</f>
        <v>EVK 2000, 2.25%</v>
      </c>
      <c r="S1" s="2"/>
      <c r="V1" s="2" t="str">
        <f>Grundlagen</f>
        <v>EVK 2000, 2.25%</v>
      </c>
      <c r="AF1" s="2" t="str">
        <f>Grundlagen</f>
        <v>EVK 2000, 2.25%</v>
      </c>
      <c r="AO1" s="2" t="str">
        <f>Grundlagen</f>
        <v>EVK 2000, 2.25%</v>
      </c>
      <c r="AX1" s="2" t="str">
        <f>Grundlagen</f>
        <v>EVK 2000, 2.25%</v>
      </c>
      <c r="BD1" s="2" t="str">
        <f>Grundlagen</f>
        <v>EVK 2000, 2.25%</v>
      </c>
      <c r="BH1" s="2" t="str">
        <f>Grundlagen</f>
        <v>EVK 2000, 2.25%</v>
      </c>
      <c r="BO1" s="2" t="str">
        <f>Grundlagen</f>
        <v>EVK 2000, 2.25%</v>
      </c>
      <c r="BV1" s="2" t="str">
        <f>Grundlagen</f>
        <v>EVK 2000, 2.25%</v>
      </c>
      <c r="CE1" s="2" t="str">
        <f>Grundlagen</f>
        <v>EVK 2000, 2.25%</v>
      </c>
      <c r="CK1" s="2"/>
      <c r="CN1" s="2" t="str">
        <f>Grundlagen</f>
        <v>EVK 2000, 2.25%</v>
      </c>
      <c r="CS1" s="2" t="str">
        <f>Grundlagen</f>
        <v>EVK 2000, 2.25%</v>
      </c>
      <c r="EH1" s="45" t="str">
        <f>Grundlagen</f>
        <v>EVK 2000, 2.25%</v>
      </c>
      <c r="ER1" s="45" t="str">
        <f>Grundlagen</f>
        <v>EVK 2000, 2.25%</v>
      </c>
      <c r="FB1" s="45" t="str">
        <f>Grundlagen</f>
        <v>EVK 2000, 2.25%</v>
      </c>
      <c r="FK1" s="45" t="str">
        <f>Grundlagen</f>
        <v>EVK 2000, 2.25%</v>
      </c>
      <c r="GZ1" s="2" t="str">
        <f>Grundlagen</f>
        <v>EVK 2000, 2.25%</v>
      </c>
      <c r="HJ1" s="2" t="str">
        <f>Grundlagen</f>
        <v>EVK 2000, 2.25%</v>
      </c>
      <c r="HT1" s="2" t="str">
        <f>Grundlagen</f>
        <v>EVK 2000, 2.25%</v>
      </c>
      <c r="IC1" s="2" t="str">
        <f>Grundlagen</f>
        <v>EVK 2000, 2.25%</v>
      </c>
      <c r="II1" s="2"/>
      <c r="IL1" s="2" t="str">
        <f>Grundlagen</f>
        <v>EVK 2000, 2.25%</v>
      </c>
      <c r="IQ1" s="2" t="str">
        <f>Grundlagen</f>
        <v>EVK 2000, 2.25%</v>
      </c>
    </row>
    <row r="2" spans="1:252" x14ac:dyDescent="0.25">
      <c r="C2" s="3"/>
      <c r="E2" s="2" t="str">
        <f>FT &amp;1</f>
        <v>Frauen Tabelle 1</v>
      </c>
      <c r="I2" s="3"/>
      <c r="M2" s="2" t="str">
        <f>FT &amp;2</f>
        <v>Frauen Tabelle 2</v>
      </c>
      <c r="Q2" s="3"/>
      <c r="S2" s="2"/>
      <c r="U2" s="3"/>
      <c r="V2" s="2" t="str">
        <f>FT &amp;3</f>
        <v>Frauen Tabelle 3</v>
      </c>
      <c r="AE2" s="3"/>
      <c r="AF2" s="2" t="str">
        <f>FT &amp;4</f>
        <v>Frauen Tabelle 4</v>
      </c>
      <c r="AN2" s="3"/>
      <c r="AO2" s="2" t="str">
        <f>FT &amp;5</f>
        <v>Frauen Tabelle 5</v>
      </c>
      <c r="AW2" s="3"/>
      <c r="AX2" s="2" t="str">
        <f>FT &amp;6</f>
        <v>Frauen Tabelle 6</v>
      </c>
      <c r="BC2" s="3"/>
      <c r="BD2" s="2" t="str">
        <f>FT &amp;7</f>
        <v>Frauen Tabelle 7</v>
      </c>
      <c r="BH2" s="2" t="str">
        <f>FT &amp;8</f>
        <v>Frauen Tabelle 8</v>
      </c>
      <c r="BM2" s="3"/>
      <c r="BN2" s="3"/>
      <c r="BO2" s="2" t="str">
        <f>FT &amp;9</f>
        <v>Frauen Tabelle 9</v>
      </c>
      <c r="BT2" s="3"/>
      <c r="BU2" s="3"/>
      <c r="BV2" s="2" t="str">
        <f>FT &amp;10</f>
        <v>Frauen Tabelle 10</v>
      </c>
      <c r="CE2" s="2" t="str">
        <f>FT &amp;11</f>
        <v>Frauen Tabelle 11</v>
      </c>
      <c r="CJ2" s="3"/>
      <c r="CK2" s="2"/>
      <c r="CN2" s="2" t="str">
        <f>FT &amp;12</f>
        <v>Frauen Tabelle 12</v>
      </c>
      <c r="CS2" s="2" t="str">
        <f>FT &amp;13</f>
        <v>Frauen Tabelle 13</v>
      </c>
      <c r="EH2" s="45" t="str">
        <f>FT &amp;14</f>
        <v>Frauen Tabelle 14</v>
      </c>
      <c r="ER2" s="45" t="str">
        <f>FT &amp;15</f>
        <v>Frauen Tabelle 15</v>
      </c>
      <c r="FB2" s="45" t="str">
        <f>FT &amp;16</f>
        <v>Frauen Tabelle 16</v>
      </c>
      <c r="FK2" s="45" t="str">
        <f>FT &amp;17</f>
        <v>Frauen Tabelle 17</v>
      </c>
      <c r="GX2" s="3"/>
      <c r="GY2" s="3"/>
      <c r="GZ2" s="2" t="str">
        <f>FT &amp;18</f>
        <v>Frauen Tabelle 18</v>
      </c>
      <c r="HH2" s="3"/>
      <c r="HI2" s="3"/>
      <c r="HJ2" s="2" t="str">
        <f>FT &amp;19</f>
        <v>Frauen Tabelle 19</v>
      </c>
      <c r="HR2" s="3"/>
      <c r="HS2" s="3"/>
      <c r="HT2" s="2" t="str">
        <f>FT &amp;20</f>
        <v>Frauen Tabelle 20</v>
      </c>
      <c r="IB2" s="3"/>
      <c r="IC2" s="2" t="str">
        <f>FT &amp;21</f>
        <v>Frauen Tabelle 21</v>
      </c>
      <c r="IH2" s="3"/>
      <c r="II2" s="2"/>
      <c r="IL2" s="2" t="str">
        <f>FT &amp;22</f>
        <v>Frauen Tabelle 22</v>
      </c>
      <c r="IQ2" s="2" t="str">
        <f>FT &amp;23</f>
        <v>Frauen Tabelle 23</v>
      </c>
    </row>
    <row r="3" spans="1:252" x14ac:dyDescent="0.25">
      <c r="A3" s="4" t="s">
        <v>10</v>
      </c>
      <c r="G3" s="4" t="s">
        <v>11</v>
      </c>
      <c r="M3" s="92"/>
      <c r="O3" s="4" t="s">
        <v>85</v>
      </c>
      <c r="S3" s="5"/>
      <c r="V3" s="5"/>
      <c r="X3" s="4" t="s">
        <v>12</v>
      </c>
      <c r="AF3" s="32" t="str">
        <f>"Unterjährigkeit m = " &amp;m</f>
        <v>Unterjährigkeit m = 12</v>
      </c>
      <c r="AH3" s="4" t="s">
        <v>183</v>
      </c>
      <c r="AO3" s="32" t="str">
        <f>"Unterjährigkeit m = " &amp;m</f>
        <v>Unterjährigkeit m = 12</v>
      </c>
      <c r="AQ3" s="4" t="s">
        <v>182</v>
      </c>
      <c r="AX3" s="32" t="str">
        <f>"Unterjährigkeit m = " &amp;m</f>
        <v>Unterjährigkeit m = 12</v>
      </c>
      <c r="AZ3" s="4" t="s">
        <v>45</v>
      </c>
      <c r="BD3" s="32" t="str">
        <f>"Unterjährigkeit m = " &amp;m</f>
        <v>Unterjährigkeit m = 12</v>
      </c>
      <c r="BF3" s="4" t="s">
        <v>165</v>
      </c>
      <c r="BG3" s="4"/>
      <c r="BH3" s="32" t="str">
        <f>"Unterjährigkeit m = " &amp;m</f>
        <v>Unterjährigkeit m = 12</v>
      </c>
      <c r="BJ3" s="4" t="s">
        <v>13</v>
      </c>
      <c r="BO3" s="32" t="str">
        <f>"Unterjährigkeit m = " &amp;m</f>
        <v>Unterjährigkeit m = 12</v>
      </c>
      <c r="BQ3" s="4" t="s">
        <v>14</v>
      </c>
      <c r="BV3" s="32" t="str">
        <f>"Unterjährigkeit m = " &amp;m</f>
        <v>Unterjährigkeit m = 12</v>
      </c>
      <c r="BX3" s="4" t="s">
        <v>184</v>
      </c>
      <c r="BY3" s="4"/>
      <c r="CE3" s="32" t="str">
        <f>"Unterjährigkeit m = " &amp;m</f>
        <v>Unterjährigkeit m = 12</v>
      </c>
      <c r="CG3" s="4" t="s">
        <v>215</v>
      </c>
      <c r="CK3" s="32"/>
      <c r="CN3" s="32" t="str">
        <f>"Unterjährigkeit m = " &amp;m</f>
        <v>Unterjährigkeit m = 12</v>
      </c>
      <c r="CP3" s="4" t="s">
        <v>26</v>
      </c>
      <c r="CS3" s="32" t="str">
        <f>"Unterjährigkeit m = " &amp;m</f>
        <v>Unterjährigkeit m = 12</v>
      </c>
      <c r="CU3" s="4" t="s">
        <v>395</v>
      </c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H3" s="40" t="str">
        <f>"Unterjährigkeit m = " &amp;m</f>
        <v>Unterjährigkeit m = 12</v>
      </c>
      <c r="EJ3" s="4" t="s">
        <v>395</v>
      </c>
      <c r="ER3" s="40" t="str">
        <f>"Unterjährigkeit m = " &amp;m</f>
        <v>Unterjährigkeit m = 12</v>
      </c>
      <c r="ET3" s="4" t="s">
        <v>395</v>
      </c>
      <c r="FB3" s="40" t="str">
        <f>"Unterjährigkeit m = " &amp;m</f>
        <v>Unterjährigkeit m = 12</v>
      </c>
      <c r="FD3" s="4" t="s">
        <v>395</v>
      </c>
      <c r="FK3" s="40" t="str">
        <f>"Unterjährigkeit m = " &amp;m</f>
        <v>Unterjährigkeit m = 12</v>
      </c>
      <c r="FM3" s="4" t="s">
        <v>396</v>
      </c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Z3" s="32" t="str">
        <f>"Unterjährigkeit m = " &amp;m</f>
        <v>Unterjährigkeit m = 12</v>
      </c>
      <c r="HB3" s="4" t="s">
        <v>396</v>
      </c>
      <c r="HJ3" s="32" t="str">
        <f>"Unterjährigkeit m = " &amp;m</f>
        <v>Unterjährigkeit m = 12</v>
      </c>
      <c r="HL3" s="4" t="s">
        <v>396</v>
      </c>
      <c r="HT3" s="32" t="str">
        <f>"Unterjährigkeit m = " &amp;m</f>
        <v>Unterjährigkeit m = 12</v>
      </c>
      <c r="HV3" s="4" t="s">
        <v>396</v>
      </c>
      <c r="IC3" s="32" t="str">
        <f>"Unterjährigkeit m = " &amp;m</f>
        <v>Unterjährigkeit m = 12</v>
      </c>
      <c r="IE3" s="4" t="s">
        <v>215</v>
      </c>
      <c r="II3" s="32"/>
      <c r="IL3" s="32" t="str">
        <f>"Unterjährigkeit m = " &amp;m</f>
        <v>Unterjährigkeit m = 12</v>
      </c>
      <c r="IN3" s="4" t="s">
        <v>26</v>
      </c>
      <c r="IQ3" s="32" t="str">
        <f>"Unterjährigkeit m = " &amp;m</f>
        <v>Unterjährigkeit m = 12</v>
      </c>
    </row>
    <row r="4" spans="1:252" ht="19.5" x14ac:dyDescent="0.3">
      <c r="E4" s="2" t="str">
        <f>"Rücktrittsalter s = " &amp;RAF</f>
        <v>Rücktrittsalter s = 64</v>
      </c>
      <c r="M4" s="2" t="str">
        <f>"Rücktrittsalter s = " &amp;RAF</f>
        <v>Rücktrittsalter s = 64</v>
      </c>
      <c r="O4" s="4"/>
      <c r="S4" s="2"/>
      <c r="V4" s="2" t="str">
        <f>"Rücktrittsalter s = " &amp;RAF</f>
        <v>Rücktrittsalter s = 64</v>
      </c>
      <c r="X4" s="4"/>
      <c r="AF4" s="2" t="str">
        <f>"Rücktrittsalter s = " &amp;RAF</f>
        <v>Rücktrittsalter s = 64</v>
      </c>
      <c r="AH4" s="4"/>
      <c r="AO4" s="2" t="str">
        <f>"Rücktrittsalter s = " &amp;RAF</f>
        <v>Rücktrittsalter s = 64</v>
      </c>
      <c r="AQ4" s="4"/>
      <c r="AX4" s="2" t="str">
        <f>"Rücktrittsalter s = " &amp;RAF</f>
        <v>Rücktrittsalter s = 64</v>
      </c>
      <c r="AZ4" s="4"/>
      <c r="BD4" s="2" t="str">
        <f>"Rücktrittsalter s = " &amp;RAF</f>
        <v>Rücktrittsalter s = 64</v>
      </c>
      <c r="BF4" s="4"/>
      <c r="BG4" s="4"/>
      <c r="BH4" s="2"/>
      <c r="BJ4" s="4" t="s">
        <v>166</v>
      </c>
      <c r="BO4" s="2" t="str">
        <f>"Rücktrittsalter s = " &amp;RAF</f>
        <v>Rücktrittsalter s = 64</v>
      </c>
      <c r="BQ4" s="4" t="s">
        <v>24</v>
      </c>
      <c r="BV4" s="2" t="str">
        <f>"Rücktrittsalter s = " &amp;RAF</f>
        <v>Rücktrittsalter s = 64</v>
      </c>
      <c r="BX4" s="4" t="s">
        <v>181</v>
      </c>
      <c r="BY4" s="4"/>
      <c r="CE4" s="2" t="str">
        <f>"Rücktrittsalter s = " &amp;RAF</f>
        <v>Rücktrittsalter s = 64</v>
      </c>
      <c r="CG4" s="4" t="s">
        <v>216</v>
      </c>
      <c r="CK4" s="2"/>
      <c r="CN4" s="2" t="str">
        <f>"Rücktrittsalter s = " &amp;RAF</f>
        <v>Rücktrittsalter s = 64</v>
      </c>
      <c r="CP4" s="4" t="s">
        <v>25</v>
      </c>
      <c r="CS4" s="2" t="str">
        <f>"Rücktrittsalter s = " &amp;RAF</f>
        <v>Rücktrittsalter s = 64</v>
      </c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E4" s="6" t="s">
        <v>407</v>
      </c>
      <c r="EH4" s="45" t="str">
        <f>"Rücktrittsalter s = " &amp;RAF</f>
        <v>Rücktrittsalter s = 64</v>
      </c>
      <c r="EJ4" s="4"/>
      <c r="EO4" s="6" t="s">
        <v>407</v>
      </c>
      <c r="ER4" s="45" t="str">
        <f>"Rücktrittsalter s = " &amp;RAF</f>
        <v>Rücktrittsalter s = 64</v>
      </c>
      <c r="ET4" s="4"/>
      <c r="EY4" s="6" t="s">
        <v>407</v>
      </c>
      <c r="FB4" s="45" t="str">
        <f>"Rücktrittsalter s = " &amp;RAF</f>
        <v>Rücktrittsalter s = 64</v>
      </c>
      <c r="FD4" s="4"/>
      <c r="FH4" s="6" t="s">
        <v>407</v>
      </c>
      <c r="FI4" s="46"/>
      <c r="FK4" s="45" t="str">
        <f>"Rücktrittsalter s = " &amp;RAF</f>
        <v>Rücktrittsalter s = 64</v>
      </c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W4" s="6" t="s">
        <v>408</v>
      </c>
      <c r="GZ4" s="2" t="str">
        <f>"Rücktrittsalter s = " &amp;RAF</f>
        <v>Rücktrittsalter s = 64</v>
      </c>
      <c r="HB4" s="4"/>
      <c r="HG4" s="6" t="s">
        <v>408</v>
      </c>
      <c r="HJ4" s="2" t="str">
        <f>"Rücktrittsalter s = " &amp;RAF</f>
        <v>Rücktrittsalter s = 64</v>
      </c>
      <c r="HL4" s="4"/>
      <c r="HQ4" s="6" t="s">
        <v>408</v>
      </c>
      <c r="HT4" s="2" t="str">
        <f>"Rücktrittsalter s = " &amp;RAF</f>
        <v>Rücktrittsalter s = 64</v>
      </c>
      <c r="HV4" s="4"/>
      <c r="HZ4" s="6" t="s">
        <v>408</v>
      </c>
      <c r="IA4" s="6"/>
      <c r="IC4" s="2" t="str">
        <f>"Rücktrittsalter s = " &amp;RAF</f>
        <v>Rücktrittsalter s = 64</v>
      </c>
      <c r="IE4" s="4" t="s">
        <v>246</v>
      </c>
      <c r="II4" s="2"/>
      <c r="IL4" s="2" t="str">
        <f>"Rücktrittsalter s = " &amp;RAF</f>
        <v>Rücktrittsalter s = 64</v>
      </c>
      <c r="IN4" s="4" t="s">
        <v>15</v>
      </c>
      <c r="IQ4" s="2" t="str">
        <f>"Rücktrittsalter s = " &amp;RAF</f>
        <v>Rücktrittsalter s = 64</v>
      </c>
    </row>
    <row r="5" spans="1:252" ht="15.75" customHeight="1" thickBot="1" x14ac:dyDescent="0.3">
      <c r="E5" s="4"/>
      <c r="M5" s="4"/>
      <c r="S5" s="4"/>
      <c r="V5" s="4"/>
      <c r="AF5" s="4"/>
      <c r="AO5" s="4"/>
      <c r="AX5" s="4"/>
      <c r="BD5" s="4"/>
      <c r="BH5" s="2" t="str">
        <f>"Schlussalter z* = " &amp;RAK</f>
        <v>Schlussalter z* = 25</v>
      </c>
      <c r="BO5" s="4"/>
      <c r="BV5" s="4"/>
      <c r="CE5" s="2" t="str">
        <f>"Schlussalter z* = " &amp;RAK</f>
        <v>Schlussalter z* = 25</v>
      </c>
      <c r="CK5" s="4"/>
      <c r="CN5" s="4"/>
      <c r="CS5" s="4"/>
      <c r="II5" s="4"/>
      <c r="IL5" s="2" t="str">
        <f>"Schlussalter z* = " &amp;RAK</f>
        <v>Schlussalter z* = 25</v>
      </c>
      <c r="IQ5" s="2" t="str">
        <f>"Schlussalter z* = " &amp;RAK</f>
        <v>Schlussalter z* = 25</v>
      </c>
    </row>
    <row r="6" spans="1:252" ht="15.75" customHeight="1" x14ac:dyDescent="0.25">
      <c r="A6" s="7"/>
      <c r="B6" s="7"/>
      <c r="C6" s="7"/>
      <c r="D6" s="7"/>
      <c r="E6" s="7"/>
      <c r="F6" s="85"/>
      <c r="G6" s="7"/>
      <c r="H6" s="7"/>
      <c r="I6" s="7"/>
      <c r="J6" s="7"/>
      <c r="K6" s="7"/>
      <c r="L6" s="7"/>
      <c r="M6" s="7"/>
      <c r="N6" s="85"/>
      <c r="O6" s="7"/>
      <c r="P6" s="41"/>
      <c r="Q6" s="7"/>
      <c r="R6" s="7"/>
      <c r="S6" s="7"/>
      <c r="T6" s="7"/>
      <c r="U6" s="7"/>
      <c r="V6" s="7"/>
      <c r="W6" s="85"/>
      <c r="X6" s="7"/>
      <c r="Y6" s="7"/>
      <c r="Z6" s="7"/>
      <c r="AA6" s="7"/>
      <c r="AB6" s="7"/>
      <c r="AC6" s="7"/>
      <c r="AD6" s="7"/>
      <c r="AE6" s="7"/>
      <c r="AF6" s="7"/>
      <c r="AG6" s="85"/>
      <c r="AH6" s="7"/>
      <c r="AI6" s="7"/>
      <c r="AJ6" s="7"/>
      <c r="AK6" s="7"/>
      <c r="AL6" s="7"/>
      <c r="AM6" s="7"/>
      <c r="AN6" s="7"/>
      <c r="AO6" s="7"/>
      <c r="AP6" s="85"/>
      <c r="AQ6" s="7"/>
      <c r="AR6" s="7"/>
      <c r="AS6" s="7"/>
      <c r="AT6" s="7"/>
      <c r="AU6" s="7"/>
      <c r="AV6" s="7"/>
      <c r="AW6" s="7"/>
      <c r="AX6" s="7"/>
      <c r="AY6" s="85"/>
      <c r="AZ6" s="7"/>
      <c r="BA6" s="7"/>
      <c r="BB6" s="7"/>
      <c r="BC6" s="7"/>
      <c r="BD6" s="7"/>
      <c r="BE6" s="85"/>
      <c r="BF6" s="7"/>
      <c r="BG6" s="7"/>
      <c r="BH6" s="7"/>
      <c r="BI6" s="85"/>
      <c r="BJ6" s="7"/>
      <c r="BK6" s="7"/>
      <c r="BL6" s="7"/>
      <c r="BM6" s="7"/>
      <c r="BN6" s="7"/>
      <c r="BO6" s="7"/>
      <c r="BP6" s="85"/>
      <c r="BQ6" s="7"/>
      <c r="BR6" s="7"/>
      <c r="BS6" s="7"/>
      <c r="BT6" s="7"/>
      <c r="BU6" s="7"/>
      <c r="BV6" s="7"/>
      <c r="BW6" s="85"/>
      <c r="BX6" s="7"/>
      <c r="BY6" s="7"/>
      <c r="BZ6" s="7"/>
      <c r="CA6" s="7"/>
      <c r="CB6" s="7"/>
      <c r="CC6" s="125"/>
      <c r="CD6" s="130"/>
      <c r="CE6" s="7"/>
      <c r="CF6" s="85"/>
      <c r="CG6" s="7"/>
      <c r="CH6" s="7"/>
      <c r="CI6" s="7"/>
      <c r="CJ6" s="7"/>
      <c r="CK6" s="7"/>
      <c r="CL6" s="7"/>
      <c r="CM6" s="7"/>
      <c r="CN6" s="7"/>
      <c r="CO6" s="85"/>
      <c r="CP6" s="7"/>
      <c r="CQ6" s="7"/>
      <c r="CR6" s="7"/>
      <c r="CS6" s="7"/>
      <c r="CT6" s="85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41"/>
      <c r="EB6" s="41"/>
      <c r="EC6" s="41"/>
      <c r="ED6" s="41"/>
      <c r="EE6" s="41"/>
      <c r="EF6" s="41"/>
      <c r="EG6" s="41"/>
      <c r="EH6" s="41"/>
      <c r="EI6" s="85"/>
      <c r="EJ6" s="7"/>
      <c r="EK6" s="41"/>
      <c r="EL6" s="41"/>
      <c r="EM6" s="41"/>
      <c r="EN6" s="41"/>
      <c r="EO6" s="41"/>
      <c r="EP6" s="41"/>
      <c r="EQ6" s="41"/>
      <c r="ER6" s="41"/>
      <c r="ES6" s="85"/>
      <c r="ET6" s="7"/>
      <c r="EU6" s="41"/>
      <c r="EV6" s="41"/>
      <c r="EW6" s="41"/>
      <c r="EX6" s="41"/>
      <c r="EY6" s="41"/>
      <c r="EZ6" s="41"/>
      <c r="FA6" s="41"/>
      <c r="FB6" s="41"/>
      <c r="FC6" s="85"/>
      <c r="FD6" s="7"/>
      <c r="FE6" s="41"/>
      <c r="FF6" s="41"/>
      <c r="FG6" s="41"/>
      <c r="FH6" s="41"/>
      <c r="FI6" s="41"/>
      <c r="FJ6" s="41"/>
      <c r="FK6" s="41"/>
      <c r="FL6" s="85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85"/>
      <c r="HB6" s="7"/>
      <c r="HC6" s="7"/>
      <c r="HD6" s="7"/>
      <c r="HE6" s="7"/>
      <c r="HF6" s="7"/>
      <c r="HG6" s="7"/>
      <c r="HH6" s="7"/>
      <c r="HI6" s="7"/>
      <c r="HJ6" s="7"/>
      <c r="HK6" s="85"/>
      <c r="HL6" s="7"/>
      <c r="HM6" s="7"/>
      <c r="HN6" s="7"/>
      <c r="HO6" s="7"/>
      <c r="HP6" s="7"/>
      <c r="HQ6" s="7"/>
      <c r="HR6" s="7"/>
      <c r="HS6" s="7"/>
      <c r="HT6" s="7"/>
      <c r="HU6" s="85"/>
      <c r="HV6" s="7"/>
      <c r="HW6" s="7"/>
      <c r="HX6" s="7"/>
      <c r="HY6" s="7"/>
      <c r="HZ6" s="7"/>
      <c r="IA6" s="7"/>
      <c r="IB6" s="7"/>
      <c r="IC6" s="7"/>
      <c r="ID6" s="85"/>
      <c r="IE6" s="7"/>
      <c r="IF6" s="7"/>
      <c r="IG6" s="7"/>
      <c r="IH6" s="7"/>
      <c r="II6" s="7"/>
      <c r="IJ6" s="7"/>
      <c r="IK6" s="7"/>
      <c r="IL6" s="7"/>
      <c r="IM6" s="85"/>
      <c r="IN6" s="7"/>
      <c r="IO6" s="7"/>
      <c r="IP6" s="7"/>
      <c r="IQ6" s="7"/>
      <c r="IR6" s="85"/>
    </row>
    <row r="7" spans="1:252" s="17" customFormat="1" ht="18.75" x14ac:dyDescent="0.2">
      <c r="A7" s="18" t="s">
        <v>17</v>
      </c>
      <c r="B7" s="18" t="s">
        <v>94</v>
      </c>
      <c r="C7" s="18" t="s">
        <v>95</v>
      </c>
      <c r="D7" s="18" t="s">
        <v>96</v>
      </c>
      <c r="E7" s="18" t="s">
        <v>97</v>
      </c>
      <c r="F7" s="89"/>
      <c r="G7" s="18" t="s">
        <v>17</v>
      </c>
      <c r="H7" s="18" t="s">
        <v>98</v>
      </c>
      <c r="I7" s="18" t="s">
        <v>99</v>
      </c>
      <c r="J7" s="18" t="s">
        <v>100</v>
      </c>
      <c r="K7" s="18" t="s">
        <v>102</v>
      </c>
      <c r="L7" s="18" t="s">
        <v>101</v>
      </c>
      <c r="M7" s="18" t="s">
        <v>103</v>
      </c>
      <c r="N7" s="89"/>
      <c r="O7" s="18" t="s">
        <v>17</v>
      </c>
      <c r="P7" s="134" t="s">
        <v>104</v>
      </c>
      <c r="Q7" s="18" t="s">
        <v>105</v>
      </c>
      <c r="R7" s="18" t="s">
        <v>106</v>
      </c>
      <c r="S7" s="18" t="s">
        <v>107</v>
      </c>
      <c r="T7" s="18" t="s">
        <v>108</v>
      </c>
      <c r="U7" s="18" t="s">
        <v>109</v>
      </c>
      <c r="V7" s="18" t="s">
        <v>110</v>
      </c>
      <c r="W7" s="89"/>
      <c r="X7" s="18" t="s">
        <v>17</v>
      </c>
      <c r="Y7" s="18" t="s">
        <v>119</v>
      </c>
      <c r="Z7" s="18" t="s">
        <v>120</v>
      </c>
      <c r="AA7" s="18" t="s">
        <v>123</v>
      </c>
      <c r="AB7" s="18" t="s">
        <v>124</v>
      </c>
      <c r="AC7" s="18" t="s">
        <v>125</v>
      </c>
      <c r="AD7" s="18" t="s">
        <v>126</v>
      </c>
      <c r="AE7" s="18" t="s">
        <v>121</v>
      </c>
      <c r="AF7" s="18" t="s">
        <v>122</v>
      </c>
      <c r="AG7" s="89"/>
      <c r="AH7" s="18" t="s">
        <v>17</v>
      </c>
      <c r="AI7" s="18" t="s">
        <v>141</v>
      </c>
      <c r="AJ7" s="18" t="s">
        <v>142</v>
      </c>
      <c r="AK7" s="18" t="s">
        <v>145</v>
      </c>
      <c r="AL7" s="18" t="s">
        <v>143</v>
      </c>
      <c r="AM7" s="18" t="s">
        <v>144</v>
      </c>
      <c r="AN7" s="18" t="s">
        <v>146</v>
      </c>
      <c r="AO7" s="18" t="s">
        <v>147</v>
      </c>
      <c r="AP7" s="89"/>
      <c r="AQ7" s="18" t="s">
        <v>17</v>
      </c>
      <c r="AR7" s="18" t="s">
        <v>151</v>
      </c>
      <c r="AS7" s="18" t="s">
        <v>152</v>
      </c>
      <c r="AT7" s="18" t="s">
        <v>148</v>
      </c>
      <c r="AU7" s="18" t="s">
        <v>153</v>
      </c>
      <c r="AV7" s="18" t="s">
        <v>154</v>
      </c>
      <c r="AW7" s="18" t="s">
        <v>149</v>
      </c>
      <c r="AX7" s="18" t="s">
        <v>150</v>
      </c>
      <c r="AY7" s="89"/>
      <c r="AZ7" s="18" t="s">
        <v>17</v>
      </c>
      <c r="BA7" s="18" t="s">
        <v>155</v>
      </c>
      <c r="BB7" s="18" t="s">
        <v>156</v>
      </c>
      <c r="BC7" s="18" t="s">
        <v>157</v>
      </c>
      <c r="BD7" s="18" t="s">
        <v>158</v>
      </c>
      <c r="BE7" s="89"/>
      <c r="BF7" s="18" t="s">
        <v>18</v>
      </c>
      <c r="BG7" s="18" t="s">
        <v>159</v>
      </c>
      <c r="BH7" s="18" t="s">
        <v>160</v>
      </c>
      <c r="BI7" s="89"/>
      <c r="BJ7" s="18" t="s">
        <v>17</v>
      </c>
      <c r="BK7" s="18" t="s">
        <v>167</v>
      </c>
      <c r="BL7" s="18" t="s">
        <v>168</v>
      </c>
      <c r="BM7" s="18" t="s">
        <v>169</v>
      </c>
      <c r="BN7" s="135" t="s">
        <v>170</v>
      </c>
      <c r="BO7" s="18" t="s">
        <v>171</v>
      </c>
      <c r="BP7" s="89"/>
      <c r="BQ7" s="18" t="s">
        <v>17</v>
      </c>
      <c r="BR7" s="18" t="s">
        <v>250</v>
      </c>
      <c r="BS7" s="18" t="s">
        <v>251</v>
      </c>
      <c r="BT7" s="18" t="s">
        <v>252</v>
      </c>
      <c r="BU7" s="135" t="s">
        <v>180</v>
      </c>
      <c r="BV7" s="18" t="s">
        <v>179</v>
      </c>
      <c r="BW7" s="89"/>
      <c r="BX7" s="18" t="s">
        <v>17</v>
      </c>
      <c r="BY7" s="18" t="s">
        <v>254</v>
      </c>
      <c r="BZ7" s="18" t="s">
        <v>190</v>
      </c>
      <c r="CA7" s="18" t="s">
        <v>191</v>
      </c>
      <c r="CB7" s="18" t="s">
        <v>192</v>
      </c>
      <c r="CC7" s="127" t="s">
        <v>420</v>
      </c>
      <c r="CD7" s="65" t="s">
        <v>421</v>
      </c>
      <c r="CE7" s="18" t="s">
        <v>189</v>
      </c>
      <c r="CF7" s="89"/>
      <c r="CG7" s="18" t="s">
        <v>17</v>
      </c>
      <c r="CH7" s="18" t="s">
        <v>203</v>
      </c>
      <c r="CI7" s="18" t="s">
        <v>204</v>
      </c>
      <c r="CJ7" s="18" t="s">
        <v>205</v>
      </c>
      <c r="CK7" s="18" t="s">
        <v>206</v>
      </c>
      <c r="CL7" s="18" t="s">
        <v>207</v>
      </c>
      <c r="CM7" s="18" t="s">
        <v>208</v>
      </c>
      <c r="CN7" s="18" t="s">
        <v>209</v>
      </c>
      <c r="CO7" s="89"/>
      <c r="CP7" s="18" t="s">
        <v>17</v>
      </c>
      <c r="CQ7" s="18" t="s">
        <v>210</v>
      </c>
      <c r="CR7" s="18" t="s">
        <v>211</v>
      </c>
      <c r="CS7" s="18" t="s">
        <v>212</v>
      </c>
      <c r="CT7" s="89"/>
      <c r="CU7" s="18" t="s">
        <v>17</v>
      </c>
      <c r="CV7" s="18" t="s">
        <v>34</v>
      </c>
      <c r="CW7" s="18" t="s">
        <v>320</v>
      </c>
      <c r="CX7" s="18" t="s">
        <v>321</v>
      </c>
      <c r="CY7" s="18" t="s">
        <v>35</v>
      </c>
      <c r="CZ7" s="18" t="s">
        <v>322</v>
      </c>
      <c r="DA7" s="18" t="s">
        <v>323</v>
      </c>
      <c r="DB7" s="18" t="s">
        <v>33</v>
      </c>
      <c r="DC7" s="18" t="s">
        <v>324</v>
      </c>
      <c r="DD7" s="18" t="s">
        <v>325</v>
      </c>
      <c r="DE7" s="18" t="s">
        <v>32</v>
      </c>
      <c r="DF7" s="18" t="s">
        <v>326</v>
      </c>
      <c r="DG7" s="18" t="s">
        <v>327</v>
      </c>
      <c r="DH7" s="18" t="s">
        <v>31</v>
      </c>
      <c r="DI7" s="18" t="s">
        <v>328</v>
      </c>
      <c r="DJ7" s="18" t="s">
        <v>329</v>
      </c>
      <c r="DK7" s="18" t="s">
        <v>30</v>
      </c>
      <c r="DL7" s="18" t="s">
        <v>330</v>
      </c>
      <c r="DM7" s="18" t="s">
        <v>331</v>
      </c>
      <c r="DN7" s="18" t="s">
        <v>29</v>
      </c>
      <c r="DO7" s="18" t="s">
        <v>332</v>
      </c>
      <c r="DP7" s="18" t="s">
        <v>333</v>
      </c>
      <c r="DQ7" s="18" t="s">
        <v>28</v>
      </c>
      <c r="DR7" s="18" t="s">
        <v>334</v>
      </c>
      <c r="DS7" s="18" t="s">
        <v>335</v>
      </c>
      <c r="DT7" s="18" t="s">
        <v>27</v>
      </c>
      <c r="DU7" s="18" t="s">
        <v>336</v>
      </c>
      <c r="DV7" s="18" t="s">
        <v>337</v>
      </c>
      <c r="DW7" s="18" t="s">
        <v>338</v>
      </c>
      <c r="DX7" s="18" t="s">
        <v>339</v>
      </c>
      <c r="DY7" s="18" t="s">
        <v>340</v>
      </c>
      <c r="DZ7" s="18" t="s">
        <v>341</v>
      </c>
      <c r="EA7" s="134" t="s">
        <v>342</v>
      </c>
      <c r="EB7" s="134" t="s">
        <v>343</v>
      </c>
      <c r="EC7" s="134" t="s">
        <v>344</v>
      </c>
      <c r="ED7" s="134" t="s">
        <v>345</v>
      </c>
      <c r="EE7" s="134" t="s">
        <v>346</v>
      </c>
      <c r="EF7" s="134" t="s">
        <v>347</v>
      </c>
      <c r="EG7" s="134" t="s">
        <v>348</v>
      </c>
      <c r="EH7" s="134" t="s">
        <v>349</v>
      </c>
      <c r="EI7" s="89"/>
      <c r="EJ7" s="18" t="s">
        <v>17</v>
      </c>
      <c r="EK7" s="134" t="s">
        <v>350</v>
      </c>
      <c r="EL7" s="134" t="s">
        <v>351</v>
      </c>
      <c r="EM7" s="134" t="s">
        <v>352</v>
      </c>
      <c r="EN7" s="134" t="s">
        <v>353</v>
      </c>
      <c r="EO7" s="134" t="s">
        <v>354</v>
      </c>
      <c r="EP7" s="134" t="s">
        <v>355</v>
      </c>
      <c r="EQ7" s="134" t="s">
        <v>356</v>
      </c>
      <c r="ER7" s="134" t="s">
        <v>357</v>
      </c>
      <c r="ES7" s="89"/>
      <c r="ET7" s="18" t="s">
        <v>17</v>
      </c>
      <c r="EU7" s="134" t="s">
        <v>358</v>
      </c>
      <c r="EV7" s="134" t="s">
        <v>359</v>
      </c>
      <c r="EW7" s="134" t="s">
        <v>360</v>
      </c>
      <c r="EX7" s="134" t="s">
        <v>361</v>
      </c>
      <c r="EY7" s="134" t="s">
        <v>362</v>
      </c>
      <c r="EZ7" s="134" t="s">
        <v>363</v>
      </c>
      <c r="FA7" s="134" t="s">
        <v>364</v>
      </c>
      <c r="FB7" s="134" t="s">
        <v>365</v>
      </c>
      <c r="FC7" s="89"/>
      <c r="FD7" s="18" t="s">
        <v>17</v>
      </c>
      <c r="FE7" s="134" t="s">
        <v>366</v>
      </c>
      <c r="FF7" s="134" t="s">
        <v>367</v>
      </c>
      <c r="FG7" s="134" t="s">
        <v>368</v>
      </c>
      <c r="FH7" s="134" t="s">
        <v>369</v>
      </c>
      <c r="FI7" s="134" t="s">
        <v>370</v>
      </c>
      <c r="FJ7" s="134" t="s">
        <v>371</v>
      </c>
      <c r="FK7" s="134" t="s">
        <v>372</v>
      </c>
      <c r="FL7" s="89"/>
      <c r="FM7" s="18" t="s">
        <v>17</v>
      </c>
      <c r="FN7" s="18" t="s">
        <v>44</v>
      </c>
      <c r="FO7" s="18" t="s">
        <v>373</v>
      </c>
      <c r="FP7" s="18" t="s">
        <v>374</v>
      </c>
      <c r="FQ7" s="18" t="s">
        <v>43</v>
      </c>
      <c r="FR7" s="18" t="s">
        <v>375</v>
      </c>
      <c r="FS7" s="18" t="s">
        <v>376</v>
      </c>
      <c r="FT7" s="18" t="s">
        <v>42</v>
      </c>
      <c r="FU7" s="18" t="s">
        <v>377</v>
      </c>
      <c r="FV7" s="18" t="s">
        <v>378</v>
      </c>
      <c r="FW7" s="18" t="s">
        <v>41</v>
      </c>
      <c r="FX7" s="18" t="s">
        <v>379</v>
      </c>
      <c r="FY7" s="18" t="s">
        <v>380</v>
      </c>
      <c r="FZ7" s="18" t="s">
        <v>40</v>
      </c>
      <c r="GA7" s="18" t="s">
        <v>381</v>
      </c>
      <c r="GB7" s="18" t="s">
        <v>382</v>
      </c>
      <c r="GC7" s="18" t="s">
        <v>39</v>
      </c>
      <c r="GD7" s="18" t="s">
        <v>383</v>
      </c>
      <c r="GE7" s="18" t="s">
        <v>384</v>
      </c>
      <c r="GF7" s="18" t="s">
        <v>38</v>
      </c>
      <c r="GG7" s="18" t="s">
        <v>385</v>
      </c>
      <c r="GH7" s="18" t="s">
        <v>386</v>
      </c>
      <c r="GI7" s="18" t="s">
        <v>37</v>
      </c>
      <c r="GJ7" s="18" t="s">
        <v>387</v>
      </c>
      <c r="GK7" s="18" t="s">
        <v>388</v>
      </c>
      <c r="GL7" s="18" t="s">
        <v>36</v>
      </c>
      <c r="GM7" s="18" t="s">
        <v>389</v>
      </c>
      <c r="GN7" s="18" t="s">
        <v>390</v>
      </c>
      <c r="GO7" s="18" t="s">
        <v>391</v>
      </c>
      <c r="GP7" s="18" t="s">
        <v>392</v>
      </c>
      <c r="GQ7" s="18" t="s">
        <v>393</v>
      </c>
      <c r="GR7" s="18" t="s">
        <v>394</v>
      </c>
      <c r="GS7" s="134" t="s">
        <v>342</v>
      </c>
      <c r="GT7" s="134" t="s">
        <v>343</v>
      </c>
      <c r="GU7" s="134" t="s">
        <v>344</v>
      </c>
      <c r="GV7" s="134" t="s">
        <v>345</v>
      </c>
      <c r="GW7" s="134" t="s">
        <v>346</v>
      </c>
      <c r="GX7" s="134" t="s">
        <v>347</v>
      </c>
      <c r="GY7" s="134" t="s">
        <v>348</v>
      </c>
      <c r="GZ7" s="134" t="s">
        <v>349</v>
      </c>
      <c r="HA7" s="89"/>
      <c r="HB7" s="18" t="s">
        <v>17</v>
      </c>
      <c r="HC7" s="134" t="s">
        <v>350</v>
      </c>
      <c r="HD7" s="134" t="s">
        <v>351</v>
      </c>
      <c r="HE7" s="134" t="s">
        <v>352</v>
      </c>
      <c r="HF7" s="134" t="s">
        <v>353</v>
      </c>
      <c r="HG7" s="134" t="s">
        <v>354</v>
      </c>
      <c r="HH7" s="134" t="s">
        <v>355</v>
      </c>
      <c r="HI7" s="134" t="s">
        <v>356</v>
      </c>
      <c r="HJ7" s="134" t="s">
        <v>357</v>
      </c>
      <c r="HK7" s="89"/>
      <c r="HL7" s="18" t="s">
        <v>17</v>
      </c>
      <c r="HM7" s="134" t="s">
        <v>358</v>
      </c>
      <c r="HN7" s="134" t="s">
        <v>359</v>
      </c>
      <c r="HO7" s="134" t="s">
        <v>360</v>
      </c>
      <c r="HP7" s="134" t="s">
        <v>361</v>
      </c>
      <c r="HQ7" s="134" t="s">
        <v>362</v>
      </c>
      <c r="HR7" s="134" t="s">
        <v>363</v>
      </c>
      <c r="HS7" s="134" t="s">
        <v>364</v>
      </c>
      <c r="HT7" s="134" t="s">
        <v>365</v>
      </c>
      <c r="HU7" s="89"/>
      <c r="HV7" s="18" t="s">
        <v>17</v>
      </c>
      <c r="HW7" s="134" t="s">
        <v>366</v>
      </c>
      <c r="HX7" s="134" t="s">
        <v>367</v>
      </c>
      <c r="HY7" s="134" t="s">
        <v>368</v>
      </c>
      <c r="HZ7" s="134" t="s">
        <v>369</v>
      </c>
      <c r="IA7" s="134" t="s">
        <v>370</v>
      </c>
      <c r="IB7" s="134" t="s">
        <v>371</v>
      </c>
      <c r="IC7" s="134" t="s">
        <v>372</v>
      </c>
      <c r="ID7" s="136"/>
      <c r="IE7" s="134" t="s">
        <v>17</v>
      </c>
      <c r="IF7" s="18" t="s">
        <v>242</v>
      </c>
      <c r="IG7" s="18" t="s">
        <v>243</v>
      </c>
      <c r="IH7" s="18" t="s">
        <v>244</v>
      </c>
      <c r="II7" s="18" t="s">
        <v>245</v>
      </c>
      <c r="IJ7" s="18" t="s">
        <v>239</v>
      </c>
      <c r="IK7" s="18" t="s">
        <v>240</v>
      </c>
      <c r="IL7" s="18" t="s">
        <v>241</v>
      </c>
      <c r="IM7" s="89"/>
      <c r="IN7" s="18" t="s">
        <v>17</v>
      </c>
      <c r="IO7" s="18" t="s">
        <v>236</v>
      </c>
      <c r="IP7" s="18" t="s">
        <v>237</v>
      </c>
      <c r="IQ7" s="18" t="s">
        <v>238</v>
      </c>
      <c r="IR7" s="89"/>
    </row>
    <row r="8" spans="1:252" ht="15.75" customHeight="1" thickBot="1" x14ac:dyDescent="0.3">
      <c r="A8" s="8"/>
      <c r="B8" s="8"/>
      <c r="C8" s="8"/>
      <c r="D8" s="8"/>
      <c r="E8" s="8"/>
      <c r="F8" s="87"/>
      <c r="G8" s="8"/>
      <c r="H8" s="8"/>
      <c r="I8" s="8"/>
      <c r="J8" s="8"/>
      <c r="K8" s="8"/>
      <c r="L8" s="8"/>
      <c r="M8" s="8"/>
      <c r="N8" s="87"/>
      <c r="O8" s="8"/>
      <c r="P8" s="42"/>
      <c r="Q8" s="8"/>
      <c r="R8" s="8"/>
      <c r="S8" s="8"/>
      <c r="T8" s="8"/>
      <c r="U8" s="8"/>
      <c r="V8" s="8"/>
      <c r="W8" s="87"/>
      <c r="X8" s="8"/>
      <c r="Y8" s="8"/>
      <c r="Z8" s="8"/>
      <c r="AA8" s="8"/>
      <c r="AB8" s="8"/>
      <c r="AC8" s="8"/>
      <c r="AD8" s="8"/>
      <c r="AE8" s="8"/>
      <c r="AF8" s="8"/>
      <c r="AG8" s="87"/>
      <c r="AH8" s="8"/>
      <c r="AI8" s="8"/>
      <c r="AJ8" s="8"/>
      <c r="AK8" s="8"/>
      <c r="AL8" s="8"/>
      <c r="AM8" s="8"/>
      <c r="AN8" s="8"/>
      <c r="AO8" s="8"/>
      <c r="AP8" s="87"/>
      <c r="AQ8" s="8"/>
      <c r="AR8" s="8"/>
      <c r="AS8" s="8"/>
      <c r="AT8" s="8"/>
      <c r="AU8" s="8"/>
      <c r="AV8" s="8"/>
      <c r="AW8" s="8"/>
      <c r="AX8" s="8"/>
      <c r="AY8" s="87"/>
      <c r="AZ8" s="8"/>
      <c r="BA8" s="8"/>
      <c r="BB8" s="8"/>
      <c r="BC8" s="8"/>
      <c r="BD8" s="8"/>
      <c r="BE8" s="87"/>
      <c r="BF8" s="8"/>
      <c r="BG8" s="8"/>
      <c r="BH8" s="8"/>
      <c r="BI8" s="87"/>
      <c r="BJ8" s="8"/>
      <c r="BK8" s="8"/>
      <c r="BL8" s="8"/>
      <c r="BM8" s="8"/>
      <c r="BN8" s="8"/>
      <c r="BO8" s="8"/>
      <c r="BP8" s="87"/>
      <c r="BQ8" s="8"/>
      <c r="BR8" s="8"/>
      <c r="BS8" s="8"/>
      <c r="BT8" s="8"/>
      <c r="BU8" s="8"/>
      <c r="BV8" s="8"/>
      <c r="BW8" s="87"/>
      <c r="BX8" s="8"/>
      <c r="BY8" s="8"/>
      <c r="BZ8" s="8"/>
      <c r="CA8" s="8"/>
      <c r="CB8" s="8"/>
      <c r="CC8" s="126"/>
      <c r="CD8" s="131"/>
      <c r="CE8" s="8"/>
      <c r="CF8" s="87"/>
      <c r="CG8" s="8"/>
      <c r="CH8" s="8"/>
      <c r="CI8" s="8"/>
      <c r="CJ8" s="8"/>
      <c r="CK8" s="8"/>
      <c r="CL8" s="8"/>
      <c r="CM8" s="8"/>
      <c r="CN8" s="8"/>
      <c r="CO8" s="87"/>
      <c r="CP8" s="8"/>
      <c r="CQ8" s="8"/>
      <c r="CR8" s="8"/>
      <c r="CS8" s="8"/>
      <c r="CT8" s="87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42"/>
      <c r="EB8" s="42"/>
      <c r="EC8" s="42"/>
      <c r="ED8" s="42"/>
      <c r="EE8" s="42"/>
      <c r="EF8" s="42"/>
      <c r="EG8" s="42"/>
      <c r="EH8" s="42"/>
      <c r="EI8" s="87"/>
      <c r="EJ8" s="8"/>
      <c r="EK8" s="42"/>
      <c r="EL8" s="42"/>
      <c r="EM8" s="42"/>
      <c r="EN8" s="42"/>
      <c r="EO8" s="42"/>
      <c r="EP8" s="42"/>
      <c r="EQ8" s="42"/>
      <c r="ER8" s="42"/>
      <c r="ES8" s="87"/>
      <c r="ET8" s="8"/>
      <c r="EU8" s="42"/>
      <c r="EV8" s="42"/>
      <c r="EW8" s="42"/>
      <c r="EX8" s="42"/>
      <c r="EY8" s="42"/>
      <c r="EZ8" s="42"/>
      <c r="FA8" s="42"/>
      <c r="FB8" s="42"/>
      <c r="FC8" s="87"/>
      <c r="FD8" s="8"/>
      <c r="FE8" s="42"/>
      <c r="FF8" s="42"/>
      <c r="FG8" s="42"/>
      <c r="FH8" s="42"/>
      <c r="FI8" s="42"/>
      <c r="FJ8" s="42"/>
      <c r="FK8" s="42"/>
      <c r="FL8" s="87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7"/>
      <c r="HB8" s="8"/>
      <c r="HC8" s="8"/>
      <c r="HD8" s="8"/>
      <c r="HE8" s="8"/>
      <c r="HF8" s="8"/>
      <c r="HG8" s="8"/>
      <c r="HH8" s="8"/>
      <c r="HI8" s="8"/>
      <c r="HJ8" s="8"/>
      <c r="HK8" s="87"/>
      <c r="HL8" s="8"/>
      <c r="HM8" s="8"/>
      <c r="HN8" s="8"/>
      <c r="HO8" s="8"/>
      <c r="HP8" s="8"/>
      <c r="HQ8" s="8"/>
      <c r="HR8" s="8"/>
      <c r="HS8" s="8"/>
      <c r="HT8" s="8"/>
      <c r="HU8" s="87"/>
      <c r="HV8" s="8"/>
      <c r="HW8" s="8"/>
      <c r="HX8" s="8"/>
      <c r="HY8" s="8"/>
      <c r="HZ8" s="8"/>
      <c r="IA8" s="8"/>
      <c r="IB8" s="8"/>
      <c r="IC8" s="8"/>
      <c r="ID8" s="87"/>
      <c r="IE8" s="8"/>
      <c r="IF8" s="8"/>
      <c r="IG8" s="8"/>
      <c r="IH8" s="8"/>
      <c r="II8" s="8"/>
      <c r="IJ8" s="8"/>
      <c r="IK8" s="8"/>
      <c r="IL8" s="8"/>
      <c r="IM8" s="87"/>
      <c r="IN8" s="8"/>
      <c r="IO8" s="8"/>
      <c r="IP8" s="8"/>
      <c r="IQ8" s="8"/>
      <c r="IR8" s="87"/>
    </row>
    <row r="9" spans="1:252" ht="15.75" customHeight="1" x14ac:dyDescent="0.25">
      <c r="A9" s="35">
        <f>BeginnAlter</f>
        <v>17</v>
      </c>
      <c r="B9" s="93">
        <v>8.9209693543454619E-5</v>
      </c>
      <c r="C9" s="93">
        <v>4.9997769701903961E-5</v>
      </c>
      <c r="D9" s="93">
        <v>4.8233510298904001E-3</v>
      </c>
      <c r="E9" s="93">
        <v>9.0000000000034497E-5</v>
      </c>
      <c r="F9" s="89"/>
      <c r="G9" s="35">
        <f>BeginnAlter</f>
        <v>17</v>
      </c>
      <c r="H9" s="11">
        <v>100000</v>
      </c>
      <c r="I9" s="11">
        <v>0</v>
      </c>
      <c r="J9" s="25">
        <f>IF(G9&lt;RAF,H9+I9,ROUND(J8*(1-E8),Rundlx))</f>
        <v>100000</v>
      </c>
      <c r="K9" s="30">
        <f>IF(J9&gt;0,ROUND(SUM(J9:J$102)/J9-0.5,Rundex),"")</f>
        <v>65.08</v>
      </c>
      <c r="L9" s="25">
        <f>IF(G9&gt;=RAF,J9,ROUND(L10/(1-D9),Rundlx))</f>
        <v>226800</v>
      </c>
      <c r="M9" s="30">
        <f>IF(L9&gt;0,ROUND(SUM(L9:L$102)/L9-0.5,Rundex),"")</f>
        <v>40.25</v>
      </c>
      <c r="N9" s="89"/>
      <c r="O9" s="35">
        <f>BeginnAlter</f>
        <v>17</v>
      </c>
      <c r="P9" s="94">
        <v>3.6907151863370624E-2</v>
      </c>
      <c r="Q9" s="95">
        <v>21.641625345434125</v>
      </c>
      <c r="R9" s="94">
        <v>1E-10</v>
      </c>
      <c r="S9" s="95">
        <v>0.01</v>
      </c>
      <c r="T9" s="28">
        <v>9.0000000000034497E-5</v>
      </c>
      <c r="U9" s="25">
        <v>100000</v>
      </c>
      <c r="V9" s="30">
        <f>IF(U9&gt;0,ROUND(SUM(U9:U$102)/U9-0.5,Rundex),"")</f>
        <v>66.37</v>
      </c>
      <c r="W9" s="89"/>
      <c r="X9" s="35">
        <f>BeginnAlter</f>
        <v>17</v>
      </c>
      <c r="Y9" s="11">
        <f>IF($X9&lt;=RAF,ROUND(v^X9*H9,RundDx)," ")</f>
        <v>68505</v>
      </c>
      <c r="Z9" s="11">
        <f>IF($X9&lt;RAF,SUM(Y9:INDEX(Day,RAF-BeginnAlter))," ")</f>
        <v>1919676</v>
      </c>
      <c r="AA9" s="11">
        <f t="shared" ref="AA9:AA72" si="0">IF($X9&lt;RAF,ROUND(v^($X9+FaktorAlter)*$H9*$B9,RundCx)," ")</f>
        <v>6</v>
      </c>
      <c r="AB9" s="11">
        <f>IF($X9&lt;RAF,SUM(AA9:INDEX(Cay,RAF-BeginnAlter))," ")</f>
        <v>1486</v>
      </c>
      <c r="AC9" s="11">
        <f t="shared" ref="AC9:AC72" si="1">IF($X9&lt;RAF,ROUND(v^($X9+FaktorAlter)*$H9*$C9,RundCx)," ")</f>
        <v>3</v>
      </c>
      <c r="AD9" s="11">
        <f>IF($X9&lt;RAF,SUM(AC9:INDEX(Caiy,RAF-BeginnAlter))," ")</f>
        <v>8514</v>
      </c>
      <c r="AE9" s="10">
        <f>IF($X9&lt;RAF,ROUND(Z9/Y9,Rundäx)," ")</f>
        <v>28.021999999999998</v>
      </c>
      <c r="AF9" s="10">
        <f>IF($X9&lt;RAF,ROUND(AE9-(m-1)/(2*m)*((Y9-INDEX(Day,RAF-BeginnAlter+1))/Y9),Rundäx)," ")</f>
        <v>27.672999999999998</v>
      </c>
      <c r="AG9" s="89"/>
      <c r="AH9" s="35">
        <f>BeginnAlter</f>
        <v>17</v>
      </c>
      <c r="AI9" s="11">
        <f>IF($AH9&lt;=RAF,ROUND(v^AH9*L9,RundDx)," ")</f>
        <v>155370</v>
      </c>
      <c r="AJ9" s="11">
        <f>IF($AH9&gt;RAF," ",IF($AH9&lt;RAF,SUM(AI9:INDEX(Diy,RAF-BeginnAlter))+INDEX(Ny,RAF-BeginnAlter+1),INDEX(Ny,RAF-BeginnAlter+1)))</f>
        <v>3750870</v>
      </c>
      <c r="AK9" s="11">
        <f>IF($AH9&lt;RAF,SUM(AI9:INDEX(Diy,RAF-BeginnAlter))," ")</f>
        <v>3384776</v>
      </c>
      <c r="AL9" s="10">
        <f>IF($AH9&gt;RAF," ",ROUND(AJ9/AI9,Rundäx))</f>
        <v>24.141999999999999</v>
      </c>
      <c r="AM9" s="10">
        <f>IF($AH9&gt;RAF," ",ROUND(AJ9/AI9-(m-1)/(2*m),Rundäx))</f>
        <v>23.683</v>
      </c>
      <c r="AN9" s="10">
        <f>IF($AH9&lt;RAF,ROUND(AK9/AI9,Rundäx)," ")</f>
        <v>21.785</v>
      </c>
      <c r="AO9" s="10">
        <f>IF($AH9&lt;RAF,ROUND(AK9/AI9-(m-1)/(2*m)*(AI9-INDEX(Diy,RAF-BeginnAlter+1))/AI9,Rundäx)," ")</f>
        <v>21.390999999999998</v>
      </c>
      <c r="AP9" s="89"/>
      <c r="AQ9" s="35">
        <f>BeginnAlter</f>
        <v>17</v>
      </c>
      <c r="AR9" s="11">
        <f>ROUND(v^AQ9*J9,RundDx)</f>
        <v>68505</v>
      </c>
      <c r="AS9" s="11">
        <f>SUM(AR9:AR$96)</f>
        <v>2355060</v>
      </c>
      <c r="AT9" s="25">
        <f>IF($AQ9&lt;RAF,SUM(AR9:INDEX(Dy,RAF-BeginnAlter))," ")</f>
        <v>1988966</v>
      </c>
      <c r="AU9" s="24">
        <f>IF(AR9&gt;0,ROUND(AS9/AR9,Rundäx)," ")</f>
        <v>34.378</v>
      </c>
      <c r="AV9" s="24">
        <f>IF(AR9&gt;0,ROUND(AS9/AR9-(m-1)/(2*m),Rundäx)," ")</f>
        <v>33.92</v>
      </c>
      <c r="AW9" s="24">
        <f>IF($AQ9&lt;RAF,ROUND(AT9/AR9,Rundäx)," ")</f>
        <v>29.033999999999999</v>
      </c>
      <c r="AX9" s="24">
        <f>IF($AQ9&lt;RAF,ROUND(AT9/AR9-(m-1)/(2*m)*(AR9-INDEX(Dy,RAF-BeginnAlter+1))/AR9,Rundäx)," ")</f>
        <v>28.721</v>
      </c>
      <c r="AY9" s="89"/>
      <c r="AZ9" s="35">
        <f>BeginnAlter</f>
        <v>17</v>
      </c>
      <c r="BA9" s="11">
        <f>ROUND(v^AZ9*U9,0)</f>
        <v>68505</v>
      </c>
      <c r="BB9" s="11">
        <f>SUM(BA9:BA$96)</f>
        <v>2377849</v>
      </c>
      <c r="BC9" s="10">
        <f>IF(BA9&gt;0,ROUND(BB9/BA9,Rundäx)," ")</f>
        <v>34.710999999999999</v>
      </c>
      <c r="BD9" s="10">
        <f>IF(BA9&gt;0,ROUND(BB9/BA9-(m-1)/(2*m),Rundäx),0)</f>
        <v>34.252000000000002</v>
      </c>
      <c r="BE9" s="89"/>
      <c r="BF9" s="9">
        <v>0</v>
      </c>
      <c r="BG9" s="10">
        <f>IF($BF9&lt;RAK,IF(Zins&lt;&gt;0,ROUND((1-v^(RAK-$BF9))/(1-v),Rundäx),RAK-$BF9),IF($BF9&gt;RAK,"",0))</f>
        <v>19.388999999999999</v>
      </c>
      <c r="BH9" s="10">
        <f>IF($BF9&lt;RAK,IF(Zins&lt;&gt;0,ROUND((1-v^(RAK-$BF9))/(1-v)-(m-1)/(2*m)*(1-v^(RAK-$BF9)),Rundäx),RAK-$BF9),IF($BF9&gt;RAK,"",0))</f>
        <v>19.193000000000001</v>
      </c>
      <c r="BI9" s="89"/>
      <c r="BJ9" s="35">
        <f>BeginnAlter</f>
        <v>17</v>
      </c>
      <c r="BK9" s="11">
        <f>IF(BJ9&lt;RAF,ROUND(v^(BJ9+FaktorAlter)*$H9*$C9*0.5*(AM9+AM10),RundDx)," ")</f>
        <v>80</v>
      </c>
      <c r="BL9" s="11">
        <f>IF(BJ9&lt;RAF,SUM(BK9:INDEX(Daiy,RAF-BeginnAlter))," ")</f>
        <v>160112</v>
      </c>
      <c r="BM9" s="11">
        <f>IF(BJ9&lt;RAF,SUM(BL9:INDEX(Naiy,RAF-BeginnAlter))," ")</f>
        <v>5457066</v>
      </c>
      <c r="BN9" s="10">
        <f>IF(BJ9&lt;RAF,ROUND(INDEX(Day,RAF-BeginnAlter+1)/Y9*INDEX(ämy,RAF-BeginnAlter+1),Rundäx)," ")</f>
        <v>3.915</v>
      </c>
      <c r="BO9" s="10">
        <f>IF(BJ9&lt;RAF,ROUND(BL9/Y9,Rundäx)," ")</f>
        <v>2.3370000000000002</v>
      </c>
      <c r="BP9" s="89"/>
      <c r="BQ9" s="35">
        <f>BeginnAlter</f>
        <v>17</v>
      </c>
      <c r="BR9" s="11">
        <f>IF(BQ9&lt;RAF,ROUND(v^(BQ9+FaktorAlter)*C9*H9*(0.5*(AM9+AM10)-v^FaktorAlter*(1-D9)/(1-0.5*D9)*INDEX(Diy,RAF-BeginnAlter+1)/AI10*INDEX(äimy,RAF-BeginnAlter+1)),RundDx)," ")</f>
        <v>72</v>
      </c>
      <c r="BS9" s="11">
        <f>IF(BQ9&lt;RAF,SUM(BR9:INDEX(Daiys,RAF-BeginnAlter))," ")</f>
        <v>72166</v>
      </c>
      <c r="BT9" s="11">
        <f>IF(BQ9&lt;RAF,SUM(BS9:INDEX(Naiys,RAF-BeginnAlter))," ")</f>
        <v>2052843</v>
      </c>
      <c r="BU9" s="10">
        <f>IF(BQ9&lt;RAF,ROUND((1-I9/L9)*INDEX(ämy,RAF-BeginnAlter+1)/Y9*INDEX(Dy,RAF-BeginnAlter+1),Rundäx)," ")</f>
        <v>5.1980000000000004</v>
      </c>
      <c r="BV9" s="10">
        <f>IF(BQ9&lt;RAF,ROUND(BS9/Y9,Rundäx)," ")</f>
        <v>1.0529999999999999</v>
      </c>
      <c r="BW9" s="89"/>
      <c r="BX9" s="35">
        <f>BeginnAlter</f>
        <v>17</v>
      </c>
      <c r="BY9" s="10">
        <f>IF(S10&lt;=RAK,IF(ROUND($BX9+FaktorAlter+RAK-0.5*($S9+$S10),0)&lt;$BX9+1,"",IF(ROUND($BX9+FaktorAlter+RAK-0.5*($S9+$S10),0)&lt;RAF,0.5*($AM9+$AM10)-v^FaktorAlter*(1-$D9)/(1-0.5*$D9)/$AI10*VLOOKUP(ROUND($BX9+FaktorAlter+RAK-0.5*($S9+$S10),0),$AH$9:$AM$102,2)*VLOOKUP(ROUND($BX9+FaktorAlter+RAK-0.5*($S9+$S10),0),$AH$9:$AM$102,6),IF($BX9&lt;RAF,(0.5*($AM9+$AM10)-v^FaktorAlter*(1-$D9)/(1-0.5*$D9)/$AI10*VLOOKUP(ROUND($BX9+FaktorAlter+RAK-0.5*($S9+$S10),0),$AQ$9:$AX$102,2)*VLOOKUP(ROUND($BX9+FaktorAlter+RAK-0.5*($S9+$S10),0),$AQ$9:$AX$102,6)),""))),"")</f>
        <v>15.939225689698027</v>
      </c>
      <c r="BZ9" s="11">
        <f>IF(S10&lt;=RAK,IF($BX9&lt;RAF,ROUND(v^($BX9+FaktorAlter)*$H9*$C9*0.5*($R9+$R10)*BY9,RundDx),""),"")</f>
        <v>0</v>
      </c>
      <c r="CA9" s="11">
        <f>IF(S10&lt;=RAK,IF($BX9&lt;RAF,SUM(BZ9:INDEX(Dazy,RAF-BeginnAlter)),""),"")</f>
        <v>16256</v>
      </c>
      <c r="CB9" s="10">
        <f>IF(S10&lt;=RAK,IF($BX9&lt;RAF,ROUND($CA9/$Y9,Rundäx),""),"")</f>
        <v>0.23699999999999999</v>
      </c>
      <c r="CC9" s="11">
        <f>IF(AND(S9&lt;=RAK,S9&lt;&gt;""),ROUND((1-MOD($BX9+RAK-S9,1))*INDEX(Dy,INT($BX9+RAK-S9-BeginnAlter+1))+MOD($BX9+RAK-S9,1)*INDEX(Dy,INT($BX9+RAK-S9-BeginnAlter+1)+1),RundDx),0)</f>
        <v>38774</v>
      </c>
      <c r="CD9" s="10">
        <f>IF(AND(S9&lt;=RAK,S9&lt;&gt;""),ROUND((1-MOD($BX9+RAK-MIN(S9,RAK),1))*INDEX(ämy,INT($BX9+RAK-MIN(S9,RAK)-BeginnAlter+1))+MOD($BX9+RAK-MIN(S9,RAK),1)*INDEX(ämy,INT($BX9+RAK-MIN(S9,RAK)-BeginnAlter+1)+1),Rundäx),0)</f>
        <v>26.158999999999999</v>
      </c>
      <c r="CE9" s="10">
        <f>IF(S10&lt;=RAK,IF($BX9&lt;=RAF,ROUND((INDEX(ämy,RAF-BeginnAlter+1)-INDEX(Ds25zsy,RAF-BeginnAlter+1)/INDEX(Dy,RAF-BeginnAlter+1)*INDEX(äms25zsy,RAF-BeginnAlter+1))*INDEX(ky,RAF-BeginnAlter+1)*INDEX(Day,RAF-BeginnAlter+1)/$Y9,Rundäx),""),"")</f>
        <v>2E-3</v>
      </c>
      <c r="CF9" s="89"/>
      <c r="CG9" s="35">
        <f>BeginnAlter</f>
        <v>17</v>
      </c>
      <c r="CH9" s="11">
        <f>IF(CG9&lt;RAF,ROUND(v^($CG9+FaktorAlter)*$H9*($B9*0.5*($P9+$P10)*(VLOOKUP(TRUNC(0.5*($Q9+$Q10),0),Männer!$AZ$9:$BD$95,5)+(0.5*($Q9+$Q10)-TRUNC(0.5*($Q9+$Q10),0))*(VLOOKUP(TRUNC(0.5*($Q9+$Q10)+1,0),Männer!$AZ$9:$BD$95,5)-VLOOKUP(TRUNC(0.5*($Q9+$Q10),0),Männer!$AZ$9:$BD$95,5)))+$C9*0.5*($CN9+$CN10)),RundDx),"")</f>
        <v>13</v>
      </c>
      <c r="CI9" s="11">
        <f>IF(CG9&lt;RAF,ROUND(SUM(CH9:INDEX(Dawy,RAF-BeginnAlter))+INDEX(Day,RAF-BeginnAlter+1)*INDEX(äwy,1),RundDx),"")</f>
        <v>14510</v>
      </c>
      <c r="CJ9" s="11">
        <f>IF(CG9&lt;RAF,ROUND(SUM(CI9:INDEX(Nawy,RAF-BeginnAlter))+INDEX(Day,RAF-BeginnAlter+1)*INDEX(äwy,1),RundDx),"")</f>
        <v>454136</v>
      </c>
      <c r="CK9" s="10">
        <f>IF(CG9&lt;RAF,ROUND(CI9/$Y9,Rundäx),"")</f>
        <v>0.21199999999999999</v>
      </c>
      <c r="CL9" s="11">
        <f>IF(CG9&lt;RAF,ROUND(v^($CG9+FaktorAlter)*$L9*$D9*0.5*($P9+$P10)*(VLOOKUP(TRUNC(0.5*($Q9+$Q10),0),Männer!$AZ$9:$BD$95,5)+(0.5*($Q9+$Q10)-TRUNC(0.5*($Q9+$Q10),0))*(VLOOKUP(TRUNC(0.5*($Q9+$Q10)+1,0),Männer!$AZ$9:$BD$95,5)-VLOOKUP(TRUNC(0.5*($Q9+$Q10),0),Männer!$AZ$9:$BD$95,5))),RundDx),"")</f>
        <v>949</v>
      </c>
      <c r="CM9" s="11">
        <f>IF(CG9&lt;RAF,SUM(CL9:INDEX(Diwy,RAF-BeginnAlter))+INDEX(Diy,RAF-BeginnAlter+1)*INDEX(äwy,1),"")</f>
        <v>253279.304</v>
      </c>
      <c r="CN9" s="10">
        <f>IF(CG9&lt;RAF,ROUND(CM9/$AI9,Rundäx),IF(CG9&gt;RAF,"",INDEX(äwy,1)))</f>
        <v>1.63</v>
      </c>
      <c r="CO9" s="89"/>
      <c r="CP9" s="9">
        <f>RAF</f>
        <v>64</v>
      </c>
      <c r="CQ9" s="11">
        <f>ROUND(v^($CP9+FaktorAlter)*VLOOKUP(CP9,G$9:J$102,4)*VLOOKUP(CP9,A$9:E$102,5)*0.5*(VLOOKUP(CP9,O$9:P$102,2)+VLOOKUP(CP9+1,O$9:P$102,2))*(VLOOKUP(TRUNC(0.5*(VLOOKUP(CP9,O$9:Q$102,3)+VLOOKUP(CP9+1,O$9:Q$102,3)),0),Männer!$AZ$9:$BD$95,5)+(0.5*(VLOOKUP(CP9,O$9:Q$102,3)+VLOOKUP(CP9+1,O$9:Q$102,3))-TRUNC(0.5*(VLOOKUP(CP9,O$9:Q$102,3)+VLOOKUP(CP9+1,O$9:Q$102,3)),0))*(VLOOKUP(TRUNC(0.5*(VLOOKUP(CP9,O$9:Q$102,3)+VLOOKUP(CP9+1,O$9:Q$102,3))+1,0),Männer!$AZ$9:$BD$95,5)-VLOOKUP(TRUNC(0.5*(VLOOKUP(CP9,O$9:Q$102,3)+VLOOKUP(CP9+1,O$9:Q$102,3)),0),Männer!$AZ$9:$BD$95,5))),RundDx)</f>
        <v>339</v>
      </c>
      <c r="CR9" s="11">
        <f>SUM(CQ9:CQ$56)</f>
        <v>2522</v>
      </c>
      <c r="CS9" s="24">
        <f>IF(VLOOKUP(CP9,AQ$9:AR$102,2)&gt;0,ROUND(CR9/VLOOKUP(CP9,AQ$9:AR$102,2),Rundäx),0)</f>
        <v>0.11600000000000001</v>
      </c>
      <c r="CT9" s="89"/>
      <c r="CU9" s="35">
        <f>BeginnAlter</f>
        <v>17</v>
      </c>
      <c r="CV9" s="25">
        <f>IF($CU9&gt;=RAF,"",IF($CU9-CV$103&lt;BeginnAlter,"",ROUND(v^($CU9+FaktorAlter)*$L9*$D9*0.5*(VLOOKUP($CU9-CV$103,Männer!$G$9:$J$102,4)+VLOOKUP($CU9-CV$103+1,Männer!$G$9:$J$102,4))*0.5*(VLOOKUP($CU9-CV$103,Männer!$AZ$9:$BD$102,5)+VLOOKUP($CU9-CV$103+1,Männer!$AZ$9:$BD$102,5)),RundDx)))</f>
        <v>2028191188</v>
      </c>
      <c r="CW9" s="25">
        <f>IF($CU9&gt;=RAF,"",IF($CU9-CW$103&lt;BeginnAlter,"",ROUND(v^($CU9+FaktorAlter)*$L9*$D9*0.5*(VLOOKUP($CU9-CW$103,Männer!$G$9:$J$102,4)+VLOOKUP($CU9-CW$103+1,Männer!$G$9:$J$102,4))*0.5*(VLOOKUP($CU9-CW$103,Männer!$AZ$9:$BD$102,5)+VLOOKUP($CU9-CW$103+1,Männer!$AZ$9:$BD$102,5)),RundDx)))</f>
        <v>2056282689</v>
      </c>
      <c r="CX9" s="25">
        <f>IF($CU9&gt;=RAF,"",IF($CU9-CX$103&lt;BeginnAlter,"",ROUND(v^($CU9+FaktorAlter)*$L9*$D9*0.5*(VLOOKUP($CU9-CX$103,Männer!$G$9:$J$102,4)+VLOOKUP($CU9-CX$103+1,Männer!$G$9:$J$102,4))*0.5*(VLOOKUP($CU9-CX$103,Männer!$AZ$9:$BD$102,5)+VLOOKUP($CU9-CX$103+1,Männer!$AZ$9:$BD$102,5)),RundDx)))</f>
        <v>2083813572</v>
      </c>
      <c r="CY9" s="25">
        <f>IF($CU9&gt;=RAF,"",IF($CU9-CY$103&lt;BeginnAlter,"",ROUND(v^($CU9+FaktorAlter)*$L9*$D9*0.5*(VLOOKUP($CU9-CY$103,Männer!$G$9:$J$102,4)+VLOOKUP($CU9-CY$103+1,Männer!$G$9:$J$102,4))*0.5*(VLOOKUP($CU9-CY$103,Männer!$AZ$9:$BD$102,5)+VLOOKUP($CU9-CY$103+1,Männer!$AZ$9:$BD$102,5)),RundDx)))</f>
        <v>2110774732</v>
      </c>
      <c r="CZ9" s="25">
        <f>IF($CU9&gt;=RAF,"",IF($CU9-CZ$103&lt;BeginnAlter,"",ROUND(v^($CU9+FaktorAlter)*$L9*$D9*0.5*(VLOOKUP($CU9-CZ$103,Männer!$G$9:$J$102,4)+VLOOKUP($CU9-CZ$103+1,Männer!$G$9:$J$102,4))*0.5*(VLOOKUP($CU9-CZ$103,Männer!$AZ$9:$BD$102,5)+VLOOKUP($CU9-CZ$103+1,Männer!$AZ$9:$BD$102,5)),RundDx)))</f>
        <v>2137195425</v>
      </c>
      <c r="DA9" s="25">
        <f>IF($CU9&gt;=RAF,"",IF($CU9-DA$103&lt;BeginnAlter,"",ROUND(v^($CU9+FaktorAlter)*$L9*$D9*0.5*(VLOOKUP($CU9-DA$103,Männer!$G$9:$J$102,4)+VLOOKUP($CU9-DA$103+1,Männer!$G$9:$J$102,4))*0.5*(VLOOKUP($CU9-DA$103,Männer!$AZ$9:$BD$102,5)+VLOOKUP($CU9-DA$103+1,Männer!$AZ$9:$BD$102,5)),RundDx)))</f>
        <v>2163058758</v>
      </c>
      <c r="DB9" s="25">
        <f>IF($CU9&gt;=RAF,"",IF($CU9-DB$103&lt;BeginnAlter,"",ROUND(v^($CU9+FaktorAlter)*$L9*$D9*0.5*(VLOOKUP($CU9-DB$103,Männer!$G$9:$J$102,4)+VLOOKUP($CU9-DB$103+1,Männer!$G$9:$J$102,4))*0.5*(VLOOKUP($CU9-DB$103,Männer!$AZ$9:$BD$102,5)+VLOOKUP($CU9-DB$103+1,Männer!$AZ$9:$BD$102,5)),RundDx)))</f>
        <v>2188433460</v>
      </c>
      <c r="DC9" s="25">
        <f>IF($CU9&gt;=RAF,"",IF($CU9-DC$103&lt;BeginnAlter,"",ROUND(v^($CU9+FaktorAlter)*$L9*$D9*0.5*(VLOOKUP($CU9-DC$103,Männer!$G$9:$J$102,4)+VLOOKUP($CU9-DC$103+1,Männer!$G$9:$J$102,4))*0.5*(VLOOKUP($CU9-DC$103,Männer!$AZ$9:$BD$102,5)+VLOOKUP($CU9-DC$103+1,Männer!$AZ$9:$BD$102,5)),RundDx)))</f>
        <v>2213308415</v>
      </c>
      <c r="DD9" s="25">
        <f>IF($CU9&gt;=RAF,"",IF($CU9-DD$103&lt;BeginnAlter,"",ROUND(v^($CU9+FaktorAlter)*$L9*$D9*0.5*(VLOOKUP($CU9-DD$103,Männer!$G$9:$J$102,4)+VLOOKUP($CU9-DD$103+1,Männer!$G$9:$J$102,4))*0.5*(VLOOKUP($CU9-DD$103,Männer!$AZ$9:$BD$102,5)+VLOOKUP($CU9-DD$103+1,Männer!$AZ$9:$BD$102,5)),RundDx)))</f>
        <v>2237620636</v>
      </c>
      <c r="DE9" s="25">
        <f>IF($CU9&gt;=RAF,"",IF($CU9-DE$103&lt;BeginnAlter,"",ROUND(v^($CU9+FaktorAlter)*$L9*$D9*0.5*(VLOOKUP($CU9-DE$103,Männer!$G$9:$J$102,4)+VLOOKUP($CU9-DE$103+1,Männer!$G$9:$J$102,4))*0.5*(VLOOKUP($CU9-DE$103,Männer!$AZ$9:$BD$102,5)+VLOOKUP($CU9-DE$103+1,Männer!$AZ$9:$BD$102,5)),RundDx)))</f>
        <v>2261480691</v>
      </c>
      <c r="DF9" s="25">
        <f>IF($CU9&gt;=RAF,"",IF($CU9-DF$103&lt;BeginnAlter,"",ROUND(v^($CU9+FaktorAlter)*$L9*$D9*0.5*(VLOOKUP($CU9-DF$103,Männer!$G$9:$J$102,4)+VLOOKUP($CU9-DF$103+1,Männer!$G$9:$J$102,4))*0.5*(VLOOKUP($CU9-DF$103,Männer!$AZ$9:$BD$102,5)+VLOOKUP($CU9-DF$103+1,Männer!$AZ$9:$BD$102,5)),RundDx)))</f>
        <v>2284879663</v>
      </c>
      <c r="DG9" s="25">
        <f>IF($CU9&gt;=RAF,"",IF($CU9-DG$103&lt;BeginnAlter,"",ROUND(v^($CU9+FaktorAlter)*$L9*$D9*0.5*(VLOOKUP($CU9-DG$103,Männer!$G$9:$J$102,4)+VLOOKUP($CU9-DG$103+1,Männer!$G$9:$J$102,4))*0.5*(VLOOKUP($CU9-DG$103,Männer!$AZ$9:$BD$102,5)+VLOOKUP($CU9-DG$103+1,Männer!$AZ$9:$BD$102,5)),RundDx)))</f>
        <v>2307806980</v>
      </c>
      <c r="DH9" s="25">
        <f>IF($CU9&gt;=RAF,"",IF($CU9-DH$103&lt;BeginnAlter,"",ROUND(v^($CU9+FaktorAlter)*$L9*$D9*0.5*(VLOOKUP($CU9-DH$103,Männer!$G$9:$J$102,4)+VLOOKUP($CU9-DH$103+1,Männer!$G$9:$J$102,4))*0.5*(VLOOKUP($CU9-DH$103,Männer!$AZ$9:$BD$102,5)+VLOOKUP($CU9-DH$103+1,Männer!$AZ$9:$BD$102,5)),RundDx)))</f>
        <v>2330275845</v>
      </c>
      <c r="DI9" s="25">
        <f>IF($CU9&gt;=RAF,"",IF($CU9-DI$103&lt;BeginnAlter,"",ROUND(v^($CU9+FaktorAlter)*$L9*$D9*0.5*(VLOOKUP($CU9-DI$103,Männer!$G$9:$J$102,4)+VLOOKUP($CU9-DI$103+1,Männer!$G$9:$J$102,4))*0.5*(VLOOKUP($CU9-DI$103,Männer!$AZ$9:$BD$102,5)+VLOOKUP($CU9-DI$103+1,Männer!$AZ$9:$BD$102,5)),RundDx)))</f>
        <v>2352275807</v>
      </c>
      <c r="DJ9" s="25">
        <f>IF($CU9&gt;=RAF,"",IF($CU9-DJ$103&lt;BeginnAlter,"",ROUND(v^($CU9+FaktorAlter)*$L9*$D9*0.5*(VLOOKUP($CU9-DJ$103,Männer!$G$9:$J$102,4)+VLOOKUP($CU9-DJ$103+1,Männer!$G$9:$J$102,4))*0.5*(VLOOKUP($CU9-DJ$103,Männer!$AZ$9:$BD$102,5)+VLOOKUP($CU9-DJ$103+1,Männer!$AZ$9:$BD$102,5)),RundDx)))</f>
        <v>2373865284</v>
      </c>
      <c r="DK9" s="25">
        <f>IF($CU9&gt;=RAF,"",IF($CU9-DK$103&lt;BeginnAlter,"",ROUND(v^($CU9+FaktorAlter)*$L9*$D9*0.5*(VLOOKUP($CU9-DK$103,Männer!$G$9:$J$102,4)+VLOOKUP($CU9-DK$103+1,Männer!$G$9:$J$102,4))*0.5*(VLOOKUP($CU9-DK$103,Männer!$AZ$9:$BD$102,5)+VLOOKUP($CU9-DK$103+1,Männer!$AZ$9:$BD$102,5)),RundDx)))</f>
        <v>2394997585</v>
      </c>
      <c r="DL9" s="25" t="str">
        <f>IF($CU9&gt;=RAF,"",IF($CU9-DL$103&lt;BeginnAlter,"",ROUND(v^($CU9+FaktorAlter)*$L9*$D9*0.5*(VLOOKUP($CU9-DL$103,Männer!$G$9:$J$102,4)+VLOOKUP($CU9-DL$103+1,Männer!$G$9:$J$102,4))*0.5*(VLOOKUP($CU9-DL$103,Männer!$AZ$9:$BD$102,5)+VLOOKUP($CU9-DL$103+1,Männer!$AZ$9:$BD$102,5)),RundDx)))</f>
        <v/>
      </c>
      <c r="DM9" s="25" t="str">
        <f>IF($CU9&gt;=RAF,"",IF($CU9-DM$103&lt;BeginnAlter,"",ROUND(v^($CU9+FaktorAlter)*$L9*$D9*0.5*(VLOOKUP($CU9-DM$103,Männer!$G$9:$J$102,4)+VLOOKUP($CU9-DM$103+1,Männer!$G$9:$J$102,4))*0.5*(VLOOKUP($CU9-DM$103,Männer!$AZ$9:$BD$102,5)+VLOOKUP($CU9-DM$103+1,Männer!$AZ$9:$BD$102,5)),RundDx)))</f>
        <v/>
      </c>
      <c r="DN9" s="25" t="str">
        <f>IF($CU9&gt;=RAF,"",IF($CU9-DN$103&lt;BeginnAlter,"",ROUND(v^($CU9+FaktorAlter)*$L9*$D9*0.5*(VLOOKUP($CU9-DN$103,Männer!$G$9:$J$102,4)+VLOOKUP($CU9-DN$103+1,Männer!$G$9:$J$102,4))*0.5*(VLOOKUP($CU9-DN$103,Männer!$AZ$9:$BD$102,5)+VLOOKUP($CU9-DN$103+1,Männer!$AZ$9:$BD$102,5)),RundDx)))</f>
        <v/>
      </c>
      <c r="DO9" s="25" t="str">
        <f>IF($CU9&gt;=RAF,"",IF($CU9-DO$103&lt;BeginnAlter,"",ROUND(v^($CU9+FaktorAlter)*$L9*$D9*0.5*(VLOOKUP($CU9-DO$103,Männer!$G$9:$J$102,4)+VLOOKUP($CU9-DO$103+1,Männer!$G$9:$J$102,4))*0.5*(VLOOKUP($CU9-DO$103,Männer!$AZ$9:$BD$102,5)+VLOOKUP($CU9-DO$103+1,Männer!$AZ$9:$BD$102,5)),RundDx)))</f>
        <v/>
      </c>
      <c r="DP9" s="25" t="str">
        <f>IF($CU9&gt;=RAF,"",IF($CU9-DP$103&lt;BeginnAlter,"",ROUND(v^($CU9+FaktorAlter)*$L9*$D9*0.5*(VLOOKUP($CU9-DP$103,Männer!$G$9:$J$102,4)+VLOOKUP($CU9-DP$103+1,Männer!$G$9:$J$102,4))*0.5*(VLOOKUP($CU9-DP$103,Männer!$AZ$9:$BD$102,5)+VLOOKUP($CU9-DP$103+1,Männer!$AZ$9:$BD$102,5)),RundDx)))</f>
        <v/>
      </c>
      <c r="DQ9" s="25" t="str">
        <f>IF($CU9&gt;=RAF,"",IF($CU9-DQ$103&lt;BeginnAlter,"",ROUND(v^($CU9+FaktorAlter)*$L9*$D9*0.5*(VLOOKUP($CU9-DQ$103,Männer!$G$9:$J$102,4)+VLOOKUP($CU9-DQ$103+1,Männer!$G$9:$J$102,4))*0.5*(VLOOKUP($CU9-DQ$103,Männer!$AZ$9:$BD$102,5)+VLOOKUP($CU9-DQ$103+1,Männer!$AZ$9:$BD$102,5)),RundDx)))</f>
        <v/>
      </c>
      <c r="DR9" s="25" t="str">
        <f>IF($CU9&gt;=RAF,"",IF($CU9-DR$103&lt;BeginnAlter,"",ROUND(v^($CU9+FaktorAlter)*$L9*$D9*0.5*(VLOOKUP($CU9-DR$103,Männer!$G$9:$J$102,4)+VLOOKUP($CU9-DR$103+1,Männer!$G$9:$J$102,4))*0.5*(VLOOKUP($CU9-DR$103,Männer!$AZ$9:$BD$102,5)+VLOOKUP($CU9-DR$103+1,Männer!$AZ$9:$BD$102,5)),RundDx)))</f>
        <v/>
      </c>
      <c r="DS9" s="25" t="str">
        <f>IF($CU9&gt;=RAF,"",IF($CU9-DS$103&lt;BeginnAlter,"",ROUND(v^($CU9+FaktorAlter)*$L9*$D9*0.5*(VLOOKUP($CU9-DS$103,Männer!$G$9:$J$102,4)+VLOOKUP($CU9-DS$103+1,Männer!$G$9:$J$102,4))*0.5*(VLOOKUP($CU9-DS$103,Männer!$AZ$9:$BD$102,5)+VLOOKUP($CU9-DS$103+1,Männer!$AZ$9:$BD$102,5)),RundDx)))</f>
        <v/>
      </c>
      <c r="DT9" s="25" t="str">
        <f>IF($CU9&gt;=RAF,"",IF($CU9-DT$103&lt;BeginnAlter,"",ROUND(v^($CU9+FaktorAlter)*$L9*$D9*0.5*(VLOOKUP($CU9-DT$103,Männer!$G$9:$J$102,4)+VLOOKUP($CU9-DT$103+1,Männer!$G$9:$J$102,4))*0.5*(VLOOKUP($CU9-DT$103,Männer!$AZ$9:$BD$102,5)+VLOOKUP($CU9-DT$103+1,Männer!$AZ$9:$BD$102,5)),RundDx)))</f>
        <v/>
      </c>
      <c r="DU9" s="25" t="str">
        <f>IF($CU9&gt;=RAF,"",IF($CU9-DU$103&lt;BeginnAlter,"",ROUND(v^($CU9+FaktorAlter)*$L9*$D9*0.5*(VLOOKUP($CU9-DU$103,Männer!$G$9:$J$102,4)+VLOOKUP($CU9-DU$103+1,Männer!$G$9:$J$102,4))*0.5*(VLOOKUP($CU9-DU$103,Männer!$AZ$9:$BD$102,5)+VLOOKUP($CU9-DU$103+1,Männer!$AZ$9:$BD$102,5)),RundDx)))</f>
        <v/>
      </c>
      <c r="DV9" s="25" t="str">
        <f>IF($CU9&gt;=RAF,"",IF($CU9-DV$103&lt;BeginnAlter,"",ROUND(v^($CU9+FaktorAlter)*$L9*$D9*0.5*(VLOOKUP($CU9-DV$103,Männer!$G$9:$J$102,4)+VLOOKUP($CU9-DV$103+1,Männer!$G$9:$J$102,4))*0.5*(VLOOKUP($CU9-DV$103,Männer!$AZ$9:$BD$102,5)+VLOOKUP($CU9-DV$103+1,Männer!$AZ$9:$BD$102,5)),RundDx)))</f>
        <v/>
      </c>
      <c r="DW9" s="25" t="str">
        <f>IF($CU9&gt;=RAF,"",IF($CU9-DW$103&lt;BeginnAlter,"",ROUND(v^($CU9+FaktorAlter)*$L9*$D9*0.5*(VLOOKUP($CU9-DW$103,Männer!$G$9:$J$102,4)+VLOOKUP($CU9-DW$103+1,Männer!$G$9:$J$102,4))*0.5*(VLOOKUP($CU9-DW$103,Männer!$AZ$9:$BD$102,5)+VLOOKUP($CU9-DW$103+1,Männer!$AZ$9:$BD$102,5)),RundDx)))</f>
        <v/>
      </c>
      <c r="DX9" s="25" t="str">
        <f>IF($CU9&gt;=RAF,"",IF($CU9-DX$103&lt;BeginnAlter,"",ROUND(v^($CU9+FaktorAlter)*$L9*$D9*0.5*(VLOOKUP($CU9-DX$103,Männer!$G$9:$J$102,4)+VLOOKUP($CU9-DX$103+1,Männer!$G$9:$J$102,4))*0.5*(VLOOKUP($CU9-DX$103,Männer!$AZ$9:$BD$102,5)+VLOOKUP($CU9-DX$103+1,Männer!$AZ$9:$BD$102,5)),RundDx)))</f>
        <v/>
      </c>
      <c r="DY9" s="25" t="str">
        <f>IF($CU9&gt;=RAF,"",IF($CU9-DY$103&lt;BeginnAlter,"",ROUND(v^($CU9+FaktorAlter)*$L9*$D9*0.5*(VLOOKUP($CU9-DY$103,Männer!$G$9:$J$102,4)+VLOOKUP($CU9-DY$103+1,Männer!$G$9:$J$102,4))*0.5*(VLOOKUP($CU9-DY$103,Männer!$AZ$9:$BD$102,5)+VLOOKUP($CU9-DY$103+1,Männer!$AZ$9:$BD$102,5)),RundDx)))</f>
        <v/>
      </c>
      <c r="DZ9" s="25" t="str">
        <f>IF($CU9&gt;=RAF,"",IF($CU9-DZ$103&lt;BeginnAlter,"",ROUND(v^($CU9+FaktorAlter)*$L9*$D9*0.5*(VLOOKUP($CU9-DZ$103,Männer!$G$9:$J$102,4)+VLOOKUP($CU9-DZ$103+1,Männer!$G$9:$J$102,4))*0.5*(VLOOKUP($CU9-DZ$103,Männer!$AZ$9:$BD$102,5)+VLOOKUP($CU9-DZ$103+1,Männer!$AZ$9:$BD$102,5)),RundDx)))</f>
        <v/>
      </c>
      <c r="EA9" s="43">
        <f>IF($CU9&gt;=RAF,"",IF($CU9-EA$103&lt;BeginnAlter,"",ROUND((SUM(CV9:CV$56)+SUM(FN$9:FN$56))/VLOOKUP($CU9,$AH$9:$AI$102,2)/VLOOKUP($CU9-EA$103,Männer!$G$9:$J$102,4),Rundäx)))</f>
        <v>7.359</v>
      </c>
      <c r="EB9" s="43">
        <f>IF($CU9&gt;=RAF,"",IF($CU9-EB$103&lt;BeginnAlter,"",ROUND((SUM(CW9:CW$56)+SUM(FO$9:FO$56))/VLOOKUP($CU9,$AH$9:$AI$102,2)/VLOOKUP($CU9-EB$103,Männer!$G$9:$J$102,4),Rundäx)))</f>
        <v>7.5519999999999996</v>
      </c>
      <c r="EC9" s="43">
        <f>IF($CU9&gt;=RAF,"",IF($CU9-EC$103&lt;BeginnAlter,"",ROUND((SUM(CX9:CX$56)+SUM(FP$9:FP$56))/VLOOKUP($CU9,$AH$9:$AI$102,2)/VLOOKUP($CU9-EC$103,Männer!$G$9:$J$102,4),Rundäx)))</f>
        <v>7.7450000000000001</v>
      </c>
      <c r="ED9" s="43">
        <f>IF($CU9&gt;=RAF,"",IF($CU9-ED$103&lt;BeginnAlter,"",ROUND((SUM(CY9:CY$56)+SUM(FQ$9:FQ$56))/VLOOKUP($CU9,$AH$9:$AI$102,2)/VLOOKUP($CU9-ED$103,Männer!$G$9:$J$102,4),Rundäx)))</f>
        <v>7.9359999999999999</v>
      </c>
      <c r="EE9" s="43">
        <f>IF($CU9&gt;=RAF,"",IF($CU9-EE$103&lt;BeginnAlter,"",ROUND((SUM(CZ9:CZ$56)+SUM(FR$9:FR$56))/VLOOKUP($CU9,$AH$9:$AI$102,2)/VLOOKUP($CU9-EE$103,Männer!$G$9:$J$102,4),Rundäx)))</f>
        <v>8.1270000000000007</v>
      </c>
      <c r="EF9" s="43">
        <f>IF($CU9&gt;=RAF,"",IF($CU9-EF$103&lt;BeginnAlter,"",ROUND((SUM(DA9:DA$56)+SUM(FS$9:FS$56))/VLOOKUP($CU9,$AH$9:$AI$102,2)/VLOOKUP($CU9-EF$103,Männer!$G$9:$J$102,4),Rundäx)))</f>
        <v>8.3160000000000007</v>
      </c>
      <c r="EG9" s="43">
        <f>IF($CU9&gt;=RAF,"",IF($CU9-EG$103&lt;BeginnAlter,"",ROUND((SUM(DB9:DB$56)+SUM(FT$9:FT$56))/VLOOKUP($CU9,$AH$9:$AI$102,2)/VLOOKUP($CU9-EG$103,Männer!$G$9:$J$102,4),Rundäx)))</f>
        <v>8.5030000000000001</v>
      </c>
      <c r="EH9" s="43">
        <f>IF($CU9&gt;=RAF,"",IF($CU9-EH$103&lt;BeginnAlter,"",ROUND((SUM(DC9:DC$56)+SUM(FU$9:FU$56))/VLOOKUP($CU9,$AH$9:$AI$102,2)/VLOOKUP($CU9-EH$103,Männer!$G$9:$J$102,4),Rundäx)))</f>
        <v>8.69</v>
      </c>
      <c r="EI9" s="89"/>
      <c r="EJ9" s="35">
        <f>BeginnAlter</f>
        <v>17</v>
      </c>
      <c r="EK9" s="43">
        <f>IF($CU9&gt;=RAF,"",IF($CU9-EK$103&lt;BeginnAlter,"",ROUND((SUM(DD9:DD$56)+SUM(FV$9:FV$56))/VLOOKUP($CU9,$AH$9:$AI$102,2)/VLOOKUP($CU9-EK$103,Männer!$G$9:$J$102,4),Rundäx)))</f>
        <v>8.875</v>
      </c>
      <c r="EL9" s="43">
        <f>IF($CU9&gt;=RAF,"",IF($CU9-EL$103&lt;BeginnAlter,"",ROUND((SUM(DE9:DE$56)+SUM(FW$9:FW$56))/VLOOKUP($CU9,$AH$9:$AI$102,2)/VLOOKUP($CU9-EL$103,Männer!$G$9:$J$102,4),Rundäx)))</f>
        <v>9.0589999999999993</v>
      </c>
      <c r="EM9" s="43">
        <f>IF($CU9&gt;=RAF,"",IF($CU9-EM$103&lt;BeginnAlter,"",ROUND((SUM(DF9:DF$56)+SUM(FX$9:FX$56))/VLOOKUP($CU9,$AH$9:$AI$102,2)/VLOOKUP($CU9-EM$103,Männer!$G$9:$J$102,4),Rundäx)))</f>
        <v>9.2420000000000009</v>
      </c>
      <c r="EN9" s="43">
        <f>IF($CU9&gt;=RAF,"",IF($CU9-EN$103&lt;BeginnAlter,"",ROUND((SUM(DG9:DG$56)+SUM(FY$9:FY$56))/VLOOKUP($CU9,$AH$9:$AI$102,2)/VLOOKUP($CU9-EN$103,Männer!$G$9:$J$102,4),Rundäx)))</f>
        <v>9.4239999999999995</v>
      </c>
      <c r="EO9" s="43">
        <f>IF($CU9&gt;=RAF,"",IF($CU9-EO$103&lt;BeginnAlter,"",ROUND((SUM(DH9:DH$56)+SUM(FZ$9:FZ$56))/VLOOKUP($CU9,$AH$9:$AI$102,2)/VLOOKUP($CU9-EO$103,Männer!$G$9:$J$102,4),Rundäx)))</f>
        <v>9.6059999999999999</v>
      </c>
      <c r="EP9" s="43">
        <f>IF($CU9&gt;=RAF,"",IF($CU9-EP$103&lt;BeginnAlter,"",ROUND((SUM(DI9:DI$56)+SUM(GA$9:GA$56))/VLOOKUP($CU9,$AH$9:$AI$102,2)/VLOOKUP($CU9-EP$103,Männer!$G$9:$J$102,4),Rundäx)))</f>
        <v>9.7880000000000003</v>
      </c>
      <c r="EQ9" s="43">
        <f>IF($CU9&gt;=RAF,"",IF($CU9-EQ$103&lt;BeginnAlter,"",ROUND((SUM(DJ9:DJ$56)+SUM(GB$9:GB$56))/VLOOKUP($CU9,$AH$9:$AI$102,2)/VLOOKUP($CU9-EQ$103,Männer!$G$9:$J$102,4),Rundäx)))</f>
        <v>9.9700000000000006</v>
      </c>
      <c r="ER9" s="43">
        <f>IF($CU9&gt;=RAF,"",IF($CU9-ER$103&lt;BeginnAlter,"",ROUND((SUM(DK9:DK$56)+SUM(GC$9:GC$56))/VLOOKUP($CU9,$AH$9:$AI$102,2)/VLOOKUP($CU9-ER$103,Männer!$G$9:$J$102,4),Rundäx)))</f>
        <v>10.153</v>
      </c>
      <c r="ES9" s="89"/>
      <c r="ET9" s="35">
        <f>BeginnAlter</f>
        <v>17</v>
      </c>
      <c r="EU9" s="43" t="str">
        <f>IF($CU9&gt;=RAF,"",IF($CU9-EU$103&lt;BeginnAlter,"",ROUND((SUM(DL9:DL$56)+SUM(GD$9:GD$56))/VLOOKUP($CU9,$AH$9:$AI$102,2)/VLOOKUP($CU9-EU$103,Männer!$G$9:$J$102,4),Rundäx)))</f>
        <v/>
      </c>
      <c r="EV9" s="43" t="str">
        <f>IF($CU9&gt;=RAF,"",IF($CU9-EV$103&lt;BeginnAlter,"",ROUND((SUM(DM9:DM$56)+SUM(GE$9:GE$56))/VLOOKUP($CU9,$AH$9:$AI$102,2)/VLOOKUP($CU9-EV$103,Männer!$G$9:$J$102,4),Rundäx)))</f>
        <v/>
      </c>
      <c r="EW9" s="43" t="str">
        <f>IF($CU9&gt;=RAF,"",IF($CU9-EW$103&lt;BeginnAlter,"",ROUND((SUM(DN9:DN$56)+SUM(GF$9:GF$56))/VLOOKUP($CU9,$AH$9:$AI$102,2)/VLOOKUP($CU9-EW$103,Männer!$G$9:$J$102,4),Rundäx)))</f>
        <v/>
      </c>
      <c r="EX9" s="43" t="str">
        <f>IF($CU9&gt;=RAF,"",IF($CU9-EX$103&lt;BeginnAlter,"",ROUND((SUM(DO9:DO$56)+SUM(GG$9:GG$56))/VLOOKUP($CU9,$AH$9:$AI$102,2)/VLOOKUP($CU9-EX$103,Männer!$G$9:$J$102,4),Rundäx)))</f>
        <v/>
      </c>
      <c r="EY9" s="43" t="str">
        <f>IF($CU9&gt;=RAF,"",IF($CU9-EY$103&lt;BeginnAlter,"",ROUND((SUM(DP9:DP$56)+SUM(GH$9:GH$56))/VLOOKUP($CU9,$AH$9:$AI$102,2)/VLOOKUP($CU9-EY$103,Männer!$G$9:$J$102,4),Rundäx)))</f>
        <v/>
      </c>
      <c r="EZ9" s="43" t="str">
        <f>IF($CU9&gt;=RAF,"",IF($CU9-EZ$103&lt;BeginnAlter,"",ROUND((SUM(DQ9:DQ$56)+SUM(GI$9:GI$56))/VLOOKUP($CU9,$AH$9:$AI$102,2)/VLOOKUP($CU9-EZ$103,Männer!$G$9:$J$102,4),Rundäx)))</f>
        <v/>
      </c>
      <c r="FA9" s="43" t="str">
        <f>IF($CU9&gt;=RAF,"",IF($CU9-FA$103&lt;BeginnAlter,"",ROUND((SUM(DR9:DR$56)+SUM(GJ$9:GJ$56))/VLOOKUP($CU9,$AH$9:$AI$102,2)/VLOOKUP($CU9-FA$103,Männer!$G$9:$J$102,4),Rundäx)))</f>
        <v/>
      </c>
      <c r="FB9" s="43" t="str">
        <f>IF($CU9&gt;=RAF,"",IF($CU9-FB$103&lt;BeginnAlter,"",ROUND((SUM(DS9:DS$56)+SUM(GK$9:GK$56))/VLOOKUP($CU9,$AH$9:$AI$102,2)/VLOOKUP($CU9-FB$103,Männer!$G$9:$J$102,4),Rundäx)))</f>
        <v/>
      </c>
      <c r="FC9" s="89"/>
      <c r="FD9" s="35">
        <f>BeginnAlter</f>
        <v>17</v>
      </c>
      <c r="FE9" s="43" t="str">
        <f>IF($CU9&gt;=RAF,"",IF($CU9-FE$103&lt;BeginnAlter,"",ROUND((SUM(DT9:DT$56)+SUM(GL$9:GL$56))/VLOOKUP($CU9,$AH$9:$AI$102,2)/VLOOKUP($CU9-FE$103,Männer!$G$9:$J$102,4),Rundäx)))</f>
        <v/>
      </c>
      <c r="FF9" s="43" t="str">
        <f>IF($CU9&gt;=RAF,"",IF($CU9-FF$103&lt;BeginnAlter,"",ROUND((SUM(DU9:DU$56)+SUM(GM$9:GM$56))/VLOOKUP($CU9,$AH$9:$AI$102,2)/VLOOKUP($CU9-FF$103,Männer!$G$9:$J$102,4),Rundäx)))</f>
        <v/>
      </c>
      <c r="FG9" s="43" t="str">
        <f>IF($CU9&gt;=RAF,"",IF($CU9-FG$103&lt;BeginnAlter,"",ROUND((SUM(DV9:DV$56)+SUM(GN$9:GN$56))/VLOOKUP($CU9,$AH$9:$AI$102,2)/VLOOKUP($CU9-FG$103,Männer!$G$9:$J$102,4),Rundäx)))</f>
        <v/>
      </c>
      <c r="FH9" s="43" t="str">
        <f>IF($CU9&gt;=RAF,"",IF($CU9-FH$103&lt;BeginnAlter,"",ROUND((SUM(DW9:DW$56)+SUM(GO$9:GO$56))/VLOOKUP($CU9,$AH$9:$AI$102,2)/VLOOKUP($CU9-FH$103,Männer!$G$9:$J$102,4),Rundäx)))</f>
        <v/>
      </c>
      <c r="FI9" s="43" t="str">
        <f>IF($CU9&gt;=RAF,"",IF($CU9-FI$103&lt;BeginnAlter,"",ROUND((SUM(DX9:DX$56)+SUM(GP$9:GP$56))/VLOOKUP($CU9,$AH$9:$AI$102,2)/VLOOKUP($CU9-FI$103,Männer!$G$9:$J$102,4),Rundäx)))</f>
        <v/>
      </c>
      <c r="FJ9" s="43" t="str">
        <f>IF($CU9&gt;=RAF,"",IF($CU9-FJ$103&lt;BeginnAlter,"",ROUND((SUM(DY9:DY$56)+SUM(GQ$9:GQ$56))/VLOOKUP($CU9,$AH$9:$AI$102,2)/VLOOKUP($CU9-FJ$103,Männer!$G$9:$J$102,4),Rundäx)))</f>
        <v/>
      </c>
      <c r="FK9" s="43" t="str">
        <f>IF($CU9&gt;=RAF,"",IF($CU9-FK$103&lt;BeginnAlter,"",ROUND((SUM(DZ9:DZ$56)+SUM(GR$9:GR$56))/VLOOKUP($CU9,$AH$9:$AI$102,2)/VLOOKUP($CU9-FK$103,Männer!$G$9:$J$102,4),Rundäx)))</f>
        <v/>
      </c>
      <c r="FL9" s="89"/>
      <c r="FM9" s="9">
        <f>RAF</f>
        <v>64</v>
      </c>
      <c r="FN9" s="25">
        <f>ROUND(v^($FM9+FaktorAlter)*VLOOKUP($FM9,$G$9:$J$102,4)*VLOOKUP($FM9,$A$9:$E$102,5)*0.5*(VLOOKUP($FM9-FN$103,Männer!$G$9:$J$102,4)+VLOOKUP($FM9-FN$103+1,Männer!$G$9:$J$102,4))*0.5*(VLOOKUP($FM9-FN$103,Männer!$AZ$9:$BD$102,5)+VLOOKUP($FM9-FN$103+1,Männer!$AZ$9:$BD$102,5)),RundDx)</f>
        <v>88530729</v>
      </c>
      <c r="FO9" s="25">
        <f>ROUND(v^($FM9+FaktorAlter)*VLOOKUP($FM9,$G$9:$J$102,4)*VLOOKUP($FM9,$A$9:$E$102,5)*0.5*(VLOOKUP($FM9-FO$103,Männer!$G$9:$J$102,4)+VLOOKUP($FM9-FO$103+1,Männer!$G$9:$J$102,4))*0.5*(VLOOKUP($FM9-FO$103,Männer!$AZ$9:$BD$102,5)+VLOOKUP($FM9-FO$103+1,Männer!$AZ$9:$BD$102,5)),RundDx)</f>
        <v>98539858</v>
      </c>
      <c r="FP9" s="25">
        <f>ROUND(v^($FM9+FaktorAlter)*VLOOKUP($FM9,$G$9:$J$102,4)*VLOOKUP($FM9,$A$9:$E$102,5)*0.5*(VLOOKUP($FM9-FP$103,Männer!$G$9:$J$102,4)+VLOOKUP($FM9-FP$103+1,Männer!$G$9:$J$102,4))*0.5*(VLOOKUP($FM9-FP$103,Männer!$AZ$9:$BD$102,5)+VLOOKUP($FM9-FP$103+1,Männer!$AZ$9:$BD$102,5)),RundDx)</f>
        <v>108873038</v>
      </c>
      <c r="FQ9" s="25">
        <f>ROUND(v^($FM9+FaktorAlter)*VLOOKUP($FM9,$G$9:$J$102,4)*VLOOKUP($FM9,$A$9:$E$102,5)*0.5*(VLOOKUP($FM9-FQ$103,Männer!$G$9:$J$102,4)+VLOOKUP($FM9-FQ$103+1,Männer!$G$9:$J$102,4))*0.5*(VLOOKUP($FM9-FQ$103,Männer!$AZ$9:$BD$102,5)+VLOOKUP($FM9-FQ$103+1,Männer!$AZ$9:$BD$102,5)),RundDx)</f>
        <v>119474702</v>
      </c>
      <c r="FR9" s="25">
        <f>ROUND(v^($FM9+FaktorAlter)*VLOOKUP($FM9,$G$9:$J$102,4)*VLOOKUP($FM9,$A$9:$E$102,5)*0.5*(VLOOKUP($FM9-FR$103,Männer!$G$9:$J$102,4)+VLOOKUP($FM9-FR$103+1,Männer!$G$9:$J$102,4))*0.5*(VLOOKUP($FM9-FR$103,Männer!$AZ$9:$BD$102,5)+VLOOKUP($FM9-FR$103+1,Männer!$AZ$9:$BD$102,5)),RundDx)</f>
        <v>130277152</v>
      </c>
      <c r="FS9" s="25">
        <f>ROUND(v^($FM9+FaktorAlter)*VLOOKUP($FM9,$G$9:$J$102,4)*VLOOKUP($FM9,$A$9:$E$102,5)*0.5*(VLOOKUP($FM9-FS$103,Männer!$G$9:$J$102,4)+VLOOKUP($FM9-FS$103+1,Männer!$G$9:$J$102,4))*0.5*(VLOOKUP($FM9-FS$103,Männer!$AZ$9:$BD$102,5)+VLOOKUP($FM9-FS$103+1,Männer!$AZ$9:$BD$102,5)),RundDx)</f>
        <v>141229983</v>
      </c>
      <c r="FT9" s="25">
        <f>ROUND(v^($FM9+FaktorAlter)*VLOOKUP($FM9,$G$9:$J$102,4)*VLOOKUP($FM9,$A$9:$E$102,5)*0.5*(VLOOKUP($FM9-FT$103,Männer!$G$9:$J$102,4)+VLOOKUP($FM9-FT$103+1,Männer!$G$9:$J$102,4))*0.5*(VLOOKUP($FM9-FT$103,Männer!$AZ$9:$BD$102,5)+VLOOKUP($FM9-FT$103+1,Männer!$AZ$9:$BD$102,5)),RundDx)</f>
        <v>152270718</v>
      </c>
      <c r="FU9" s="25">
        <f>ROUND(v^($FM9+FaktorAlter)*VLOOKUP($FM9,$G$9:$J$102,4)*VLOOKUP($FM9,$A$9:$E$102,5)*0.5*(VLOOKUP($FM9-FU$103,Männer!$G$9:$J$102,4)+VLOOKUP($FM9-FU$103+1,Männer!$G$9:$J$102,4))*0.5*(VLOOKUP($FM9-FU$103,Männer!$AZ$9:$BD$102,5)+VLOOKUP($FM9-FU$103+1,Männer!$AZ$9:$BD$102,5)),RundDx)</f>
        <v>163393669</v>
      </c>
      <c r="FV9" s="25">
        <f>ROUND(v^($FM9+FaktorAlter)*VLOOKUP($FM9,$G$9:$J$102,4)*VLOOKUP($FM9,$A$9:$E$102,5)*0.5*(VLOOKUP($FM9-FV$103,Männer!$G$9:$J$102,4)+VLOOKUP($FM9-FV$103+1,Männer!$G$9:$J$102,4))*0.5*(VLOOKUP($FM9-FV$103,Männer!$AZ$9:$BD$102,5)+VLOOKUP($FM9-FV$103+1,Männer!$AZ$9:$BD$102,5)),RundDx)</f>
        <v>174585083</v>
      </c>
      <c r="FW9" s="25">
        <f>ROUND(v^($FM9+FaktorAlter)*VLOOKUP($FM9,$G$9:$J$102,4)*VLOOKUP($FM9,$A$9:$E$102,5)*0.5*(VLOOKUP($FM9-FW$103,Männer!$G$9:$J$102,4)+VLOOKUP($FM9-FW$103+1,Männer!$G$9:$J$102,4))*0.5*(VLOOKUP($FM9-FW$103,Männer!$AZ$9:$BD$102,5)+VLOOKUP($FM9-FW$103+1,Männer!$AZ$9:$BD$102,5)),RundDx)</f>
        <v>185792100</v>
      </c>
      <c r="FX9" s="25">
        <f>ROUND(v^($FM9+FaktorAlter)*VLOOKUP($FM9,$G$9:$J$102,4)*VLOOKUP($FM9,$A$9:$E$102,5)*0.5*(VLOOKUP($FM9-FX$103,Männer!$G$9:$J$102,4)+VLOOKUP($FM9-FX$103+1,Männer!$G$9:$J$102,4))*0.5*(VLOOKUP($FM9-FX$103,Männer!$AZ$9:$BD$102,5)+VLOOKUP($FM9-FX$103+1,Männer!$AZ$9:$BD$102,5)),RundDx)</f>
        <v>197008011</v>
      </c>
      <c r="FY9" s="25">
        <f>ROUND(v^($FM9+FaktorAlter)*VLOOKUP($FM9,$G$9:$J$102,4)*VLOOKUP($FM9,$A$9:$E$102,5)*0.5*(VLOOKUP($FM9-FY$103,Männer!$G$9:$J$102,4)+VLOOKUP($FM9-FY$103+1,Männer!$G$9:$J$102,4))*0.5*(VLOOKUP($FM9-FY$103,Männer!$AZ$9:$BD$102,5)+VLOOKUP($FM9-FY$103+1,Männer!$AZ$9:$BD$102,5)),RundDx)</f>
        <v>208272596</v>
      </c>
      <c r="FZ9" s="25">
        <f>ROUND(v^($FM9+FaktorAlter)*VLOOKUP($FM9,$G$9:$J$102,4)*VLOOKUP($FM9,$A$9:$E$102,5)*0.5*(VLOOKUP($FM9-FZ$103,Männer!$G$9:$J$102,4)+VLOOKUP($FM9-FZ$103+1,Männer!$G$9:$J$102,4))*0.5*(VLOOKUP($FM9-FZ$103,Männer!$AZ$9:$BD$102,5)+VLOOKUP($FM9-FZ$103+1,Männer!$AZ$9:$BD$102,5)),RundDx)</f>
        <v>219618344</v>
      </c>
      <c r="GA9" s="25">
        <f>ROUND(v^($FM9+FaktorAlter)*VLOOKUP($FM9,$G$9:$J$102,4)*VLOOKUP($FM9,$A$9:$E$102,5)*0.5*(VLOOKUP($FM9-GA$103,Männer!$G$9:$J$102,4)+VLOOKUP($FM9-GA$103+1,Männer!$G$9:$J$102,4))*0.5*(VLOOKUP($FM9-GA$103,Männer!$AZ$9:$BD$102,5)+VLOOKUP($FM9-GA$103+1,Männer!$AZ$9:$BD$102,5)),RundDx)</f>
        <v>231017244</v>
      </c>
      <c r="GB9" s="25">
        <f>ROUND(v^($FM9+FaktorAlter)*VLOOKUP($FM9,$G$9:$J$102,4)*VLOOKUP($FM9,$A$9:$E$102,5)*0.5*(VLOOKUP($FM9-GB$103,Männer!$G$9:$J$102,4)+VLOOKUP($FM9-GB$103+1,Männer!$G$9:$J$102,4))*0.5*(VLOOKUP($FM9-GB$103,Männer!$AZ$9:$BD$102,5)+VLOOKUP($FM9-GB$103+1,Männer!$AZ$9:$BD$102,5)),RundDx)</f>
        <v>242497060</v>
      </c>
      <c r="GC9" s="25">
        <f>ROUND(v^($FM9+FaktorAlter)*VLOOKUP($FM9,$G$9:$J$102,4)*VLOOKUP($FM9,$A$9:$E$102,5)*0.5*(VLOOKUP($FM9-GC$103,Männer!$G$9:$J$102,4)+VLOOKUP($FM9-GC$103+1,Männer!$G$9:$J$102,4))*0.5*(VLOOKUP($FM9-GC$103,Männer!$AZ$9:$BD$102,5)+VLOOKUP($FM9-GC$103+1,Männer!$AZ$9:$BD$102,5)),RundDx)</f>
        <v>254116385</v>
      </c>
      <c r="GD9" s="25">
        <f>ROUND(v^($FM9+FaktorAlter)*VLOOKUP($FM9,$G$9:$J$102,4)*VLOOKUP($FM9,$A$9:$E$102,5)*0.5*(VLOOKUP($FM9-GD$103,Männer!$G$9:$J$102,4)+VLOOKUP($FM9-GD$103+1,Männer!$G$9:$J$102,4))*0.5*(VLOOKUP($FM9-GD$103,Männer!$AZ$9:$BD$102,5)+VLOOKUP($FM9-GD$103+1,Männer!$AZ$9:$BD$102,5)),RundDx)</f>
        <v>265897244</v>
      </c>
      <c r="GE9" s="25">
        <f>ROUND(v^($FM9+FaktorAlter)*VLOOKUP($FM9,$G$9:$J$102,4)*VLOOKUP($FM9,$A$9:$E$102,5)*0.5*(VLOOKUP($FM9-GE$103,Männer!$G$9:$J$102,4)+VLOOKUP($FM9-GE$103+1,Männer!$G$9:$J$102,4))*0.5*(VLOOKUP($FM9-GE$103,Männer!$AZ$9:$BD$102,5)+VLOOKUP($FM9-GE$103+1,Männer!$AZ$9:$BD$102,5)),RundDx)</f>
        <v>277868043</v>
      </c>
      <c r="GF9" s="25">
        <f>ROUND(v^($FM9+FaktorAlter)*VLOOKUP($FM9,$G$9:$J$102,4)*VLOOKUP($FM9,$A$9:$E$102,5)*0.5*(VLOOKUP($FM9-GF$103,Männer!$G$9:$J$102,4)+VLOOKUP($FM9-GF$103+1,Männer!$G$9:$J$102,4))*0.5*(VLOOKUP($FM9-GF$103,Männer!$AZ$9:$BD$102,5)+VLOOKUP($FM9-GF$103+1,Männer!$AZ$9:$BD$102,5)),RundDx)</f>
        <v>290046627</v>
      </c>
      <c r="GG9" s="25">
        <f>ROUND(v^($FM9+FaktorAlter)*VLOOKUP($FM9,$G$9:$J$102,4)*VLOOKUP($FM9,$A$9:$E$102,5)*0.5*(VLOOKUP($FM9-GG$103,Männer!$G$9:$J$102,4)+VLOOKUP($FM9-GG$103+1,Männer!$G$9:$J$102,4))*0.5*(VLOOKUP($FM9-GG$103,Männer!$AZ$9:$BD$102,5)+VLOOKUP($FM9-GG$103+1,Männer!$AZ$9:$BD$102,5)),RundDx)</f>
        <v>302442800</v>
      </c>
      <c r="GH9" s="25">
        <f>ROUND(v^($FM9+FaktorAlter)*VLOOKUP($FM9,$G$9:$J$102,4)*VLOOKUP($FM9,$A$9:$E$102,5)*0.5*(VLOOKUP($FM9-GH$103,Männer!$G$9:$J$102,4)+VLOOKUP($FM9-GH$103+1,Männer!$G$9:$J$102,4))*0.5*(VLOOKUP($FM9-GH$103,Männer!$AZ$9:$BD$102,5)+VLOOKUP($FM9-GH$103+1,Männer!$AZ$9:$BD$102,5)),RundDx)</f>
        <v>315078710</v>
      </c>
      <c r="GI9" s="25">
        <f>ROUND(v^($FM9+FaktorAlter)*VLOOKUP($FM9,$G$9:$J$102,4)*VLOOKUP($FM9,$A$9:$E$102,5)*0.5*(VLOOKUP($FM9-GI$103,Männer!$G$9:$J$102,4)+VLOOKUP($FM9-GI$103+1,Männer!$G$9:$J$102,4))*0.5*(VLOOKUP($FM9-GI$103,Männer!$AZ$9:$BD$102,5)+VLOOKUP($FM9-GI$103+1,Männer!$AZ$9:$BD$102,5)),RundDx)</f>
        <v>327939409</v>
      </c>
      <c r="GJ9" s="25">
        <f>ROUND(v^($FM9+FaktorAlter)*VLOOKUP($FM9,$G$9:$J$102,4)*VLOOKUP($FM9,$A$9:$E$102,5)*0.5*(VLOOKUP($FM9-GJ$103,Männer!$G$9:$J$102,4)+VLOOKUP($FM9-GJ$103+1,Männer!$G$9:$J$102,4))*0.5*(VLOOKUP($FM9-GJ$103,Männer!$AZ$9:$BD$102,5)+VLOOKUP($FM9-GJ$103+1,Männer!$AZ$9:$BD$102,5)),RundDx)</f>
        <v>341006025</v>
      </c>
      <c r="GK9" s="25">
        <f>ROUND(v^($FM9+FaktorAlter)*VLOOKUP($FM9,$G$9:$J$102,4)*VLOOKUP($FM9,$A$9:$E$102,5)*0.5*(VLOOKUP($FM9-GK$103,Männer!$G$9:$J$102,4)+VLOOKUP($FM9-GK$103+1,Männer!$G$9:$J$102,4))*0.5*(VLOOKUP($FM9-GK$103,Männer!$AZ$9:$BD$102,5)+VLOOKUP($FM9-GK$103+1,Männer!$AZ$9:$BD$102,5)),RundDx)</f>
        <v>354274919</v>
      </c>
      <c r="GL9" s="25">
        <f>ROUND(v^($FM9+FaktorAlter)*VLOOKUP($FM9,$G$9:$J$102,4)*VLOOKUP($FM9,$A$9:$E$102,5)*0.5*(VLOOKUP($FM9-GL$103,Männer!$G$9:$J$102,4)+VLOOKUP($FM9-GL$103+1,Männer!$G$9:$J$102,4))*0.5*(VLOOKUP($FM9-GL$103,Männer!$AZ$9:$BD$102,5)+VLOOKUP($FM9-GL$103+1,Männer!$AZ$9:$BD$102,5)),RundDx)</f>
        <v>367551508</v>
      </c>
      <c r="GM9" s="25">
        <f>ROUND(v^($FM9+FaktorAlter)*VLOOKUP($FM9,$G$9:$J$102,4)*VLOOKUP($FM9,$A$9:$E$102,5)*0.5*(VLOOKUP($FM9-GM$103,Männer!$G$9:$J$102,4)+VLOOKUP($FM9-GM$103+1,Männer!$G$9:$J$102,4))*0.5*(VLOOKUP($FM9-GM$103,Männer!$AZ$9:$BD$102,5)+VLOOKUP($FM9-GM$103+1,Männer!$AZ$9:$BD$102,5)),RundDx)</f>
        <v>380628352</v>
      </c>
      <c r="GN9" s="25">
        <f>ROUND(v^($FM9+FaktorAlter)*VLOOKUP($FM9,$G$9:$J$102,4)*VLOOKUP($FM9,$A$9:$E$102,5)*0.5*(VLOOKUP($FM9-GN$103,Männer!$G$9:$J$102,4)+VLOOKUP($FM9-GN$103+1,Männer!$G$9:$J$102,4))*0.5*(VLOOKUP($FM9-GN$103,Männer!$AZ$9:$BD$102,5)+VLOOKUP($FM9-GN$103+1,Männer!$AZ$9:$BD$102,5)),RundDx)</f>
        <v>393507652</v>
      </c>
      <c r="GO9" s="25">
        <f>ROUND(v^($FM9+FaktorAlter)*VLOOKUP($FM9,$G$9:$J$102,4)*VLOOKUP($FM9,$A$9:$E$102,5)*0.5*(VLOOKUP($FM9-GO$103,Männer!$G$9:$J$102,4)+VLOOKUP($FM9-GO$103+1,Männer!$G$9:$J$102,4))*0.5*(VLOOKUP($FM9-GO$103,Männer!$AZ$9:$BD$102,5)+VLOOKUP($FM9-GO$103+1,Männer!$AZ$9:$BD$102,5)),RundDx)</f>
        <v>406191352</v>
      </c>
      <c r="GP9" s="25">
        <f>ROUND(v^($FM9+FaktorAlter)*VLOOKUP($FM9,$G$9:$J$102,4)*VLOOKUP($FM9,$A$9:$E$102,5)*0.5*(VLOOKUP($FM9-GP$103,Männer!$G$9:$J$102,4)+VLOOKUP($FM9-GP$103+1,Männer!$G$9:$J$102,4))*0.5*(VLOOKUP($FM9-GP$103,Männer!$AZ$9:$BD$102,5)+VLOOKUP($FM9-GP$103+1,Männer!$AZ$9:$BD$102,5)),RundDx)</f>
        <v>418656662</v>
      </c>
      <c r="GQ9" s="25">
        <f>ROUND(v^($FM9+FaktorAlter)*VLOOKUP($FM9,$G$9:$J$102,4)*VLOOKUP($FM9,$A$9:$E$102,5)*0.5*(VLOOKUP($FM9-GQ$103,Männer!$G$9:$J$102,4)+VLOOKUP($FM9-GQ$103+1,Männer!$G$9:$J$102,4))*0.5*(VLOOKUP($FM9-GQ$103,Männer!$AZ$9:$BD$102,5)+VLOOKUP($FM9-GQ$103+1,Männer!$AZ$9:$BD$102,5)),RundDx)</f>
        <v>430904966</v>
      </c>
      <c r="GR9" s="25">
        <f>ROUND(v^($FM9+FaktorAlter)*VLOOKUP($FM9,$G$9:$J$102,4)*VLOOKUP($FM9,$A$9:$E$102,5)*0.5*(VLOOKUP($FM9-GR$103,Männer!$G$9:$J$102,4)+VLOOKUP($FM9-GR$103+1,Männer!$G$9:$J$102,4))*0.5*(VLOOKUP($FM9-GR$103,Männer!$AZ$9:$BD$102,5)+VLOOKUP($FM9-GR$103+1,Männer!$AZ$9:$BD$102,5)),RundDx)</f>
        <v>442955223</v>
      </c>
      <c r="GS9" s="24">
        <f>ROUND(SUM(FN9:FN$56)/VLOOKUP($FM9,$AQ$9:$AR$102,2)/VLOOKUP($FM9-GS$103,Männer!$G$9:$J$102,4),Rundäx)</f>
        <v>0.51500000000000001</v>
      </c>
      <c r="GT9" s="24">
        <f>ROUND(SUM(FO9:FO$56)/VLOOKUP($FM9,$AQ$9:$AR$102,2)/VLOOKUP($FM9-GT$103,Männer!$G$9:$J$102,4),Rundäx)</f>
        <v>0.57899999999999996</v>
      </c>
      <c r="GU9" s="24">
        <f>ROUND(SUM(FP9:FP$56)/VLOOKUP($FM9,$AQ$9:$AR$102,2)/VLOOKUP($FM9-GU$103,Männer!$G$9:$J$102,4),Rundäx)</f>
        <v>0.64900000000000002</v>
      </c>
      <c r="GV9" s="24">
        <f>ROUND(SUM(FQ9:FQ$56)/VLOOKUP($FM9,$AQ$9:$AR$102,2)/VLOOKUP($FM9-GV$103,Männer!$G$9:$J$102,4),Rundäx)</f>
        <v>0.72499999999999998</v>
      </c>
      <c r="GW9" s="24">
        <f>ROUND(SUM(FR9:FR$56)/VLOOKUP($FM9,$AQ$9:$AR$102,2)/VLOOKUP($FM9-GW$103,Männer!$G$9:$J$102,4),Rundäx)</f>
        <v>0.80800000000000005</v>
      </c>
      <c r="GX9" s="24">
        <f>ROUND(SUM(FS9:FS$56)/VLOOKUP($FM9,$AQ$9:$AR$102,2)/VLOOKUP($FM9-GX$103,Männer!$G$9:$J$102,4),Rundäx)</f>
        <v>0.89900000000000002</v>
      </c>
      <c r="GY9" s="24">
        <f>ROUND(SUM(FT9:FT$56)/VLOOKUP($FM9,$AQ$9:$AR$102,2)/VLOOKUP($FM9-GY$103,Männer!$G$9:$J$102,4),Rundäx)</f>
        <v>0.997</v>
      </c>
      <c r="GZ9" s="24">
        <f>ROUND(SUM(FU9:FU$56)/VLOOKUP($FM9,$AQ$9:$AR$102,2)/VLOOKUP($FM9-GZ$103,Männer!$G$9:$J$102,4),Rundäx)</f>
        <v>1.103</v>
      </c>
      <c r="HA9" s="89"/>
      <c r="HB9" s="9">
        <f>RAF</f>
        <v>64</v>
      </c>
      <c r="HC9" s="24">
        <f>ROUND(SUM(FV9:FV$56)/VLOOKUP($FM9,$AQ$9:$AR$102,2)/VLOOKUP($FM9-HC$103,Männer!$G$9:$J$102,4),Rundäx)</f>
        <v>1.2170000000000001</v>
      </c>
      <c r="HD9" s="24">
        <f>ROUND(SUM(FW9:FW$56)/VLOOKUP($FM9,$AQ$9:$AR$102,2)/VLOOKUP($FM9-HD$103,Männer!$G$9:$J$102,4),Rundäx)</f>
        <v>1.341</v>
      </c>
      <c r="HE9" s="24">
        <f>ROUND(SUM(FX9:FX$56)/VLOOKUP($FM9,$AQ$9:$AR$102,2)/VLOOKUP($FM9-HE$103,Männer!$G$9:$J$102,4),Rundäx)</f>
        <v>1.4750000000000001</v>
      </c>
      <c r="HF9" s="24">
        <f>ROUND(SUM(FY9:FY$56)/VLOOKUP($FM9,$AQ$9:$AR$102,2)/VLOOKUP($FM9-HF$103,Männer!$G$9:$J$102,4),Rundäx)</f>
        <v>1.6180000000000001</v>
      </c>
      <c r="HG9" s="24">
        <f>ROUND(SUM(FZ9:FZ$56)/VLOOKUP($FM9,$AQ$9:$AR$102,2)/VLOOKUP($FM9-HG$103,Männer!$G$9:$J$102,4),Rundäx)</f>
        <v>1.77</v>
      </c>
      <c r="HH9" s="24">
        <f>ROUND(SUM(GA9:GA$56)/VLOOKUP($FM9,$AQ$9:$AR$102,2)/VLOOKUP($FM9-HH$103,Männer!$G$9:$J$102,4),Rundäx)</f>
        <v>1.9339999999999999</v>
      </c>
      <c r="HI9" s="24">
        <f>ROUND(SUM(GB9:GB$56)/VLOOKUP($FM9,$AQ$9:$AR$102,2)/VLOOKUP($FM9-HI$103,Männer!$G$9:$J$102,4),Rundäx)</f>
        <v>2.1080000000000001</v>
      </c>
      <c r="HJ9" s="24">
        <f>ROUND(SUM(GC9:GC$56)/VLOOKUP($FM9,$AQ$9:$AR$102,2)/VLOOKUP($FM9-HJ$103,Männer!$G$9:$J$102,4),Rundäx)</f>
        <v>2.2930000000000001</v>
      </c>
      <c r="HK9" s="89"/>
      <c r="HL9" s="9">
        <f>RAF</f>
        <v>64</v>
      </c>
      <c r="HM9" s="24">
        <f>ROUND(SUM(GD9:GD$56)/VLOOKUP($FM9,$AQ$9:$AR$102,2)/VLOOKUP($FM9-HM$103,Männer!$G$9:$J$102,4),Rundäx)</f>
        <v>2.488</v>
      </c>
      <c r="HN9" s="24">
        <f>ROUND(SUM(GE9:GE$56)/VLOOKUP($FM9,$AQ$9:$AR$102,2)/VLOOKUP($FM9-HN$103,Männer!$G$9:$J$102,4),Rundäx)</f>
        <v>2.694</v>
      </c>
      <c r="HO9" s="24">
        <f>ROUND(SUM(GF9:GF$56)/VLOOKUP($FM9,$AQ$9:$AR$102,2)/VLOOKUP($FM9-HO$103,Männer!$G$9:$J$102,4),Rundäx)</f>
        <v>2.911</v>
      </c>
      <c r="HP9" s="24">
        <f>ROUND(SUM(GG9:GG$56)/VLOOKUP($FM9,$AQ$9:$AR$102,2)/VLOOKUP($FM9-HP$103,Männer!$G$9:$J$102,4),Rundäx)</f>
        <v>3.14</v>
      </c>
      <c r="HQ9" s="24">
        <f>ROUND(SUM(GH9:GH$56)/VLOOKUP($FM9,$AQ$9:$AR$102,2)/VLOOKUP($FM9-HQ$103,Männer!$G$9:$J$102,4),Rundäx)</f>
        <v>3.3780000000000001</v>
      </c>
      <c r="HR9" s="24">
        <f>ROUND(SUM(GI9:GI$56)/VLOOKUP($FM9,$AQ$9:$AR$102,2)/VLOOKUP($FM9-HR$103,Männer!$G$9:$J$102,4),Rundäx)</f>
        <v>3.6280000000000001</v>
      </c>
      <c r="HS9" s="24">
        <f>ROUND(SUM(GJ9:GJ$56)/VLOOKUP($FM9,$AQ$9:$AR$102,2)/VLOOKUP($FM9-HS$103,Männer!$G$9:$J$102,4),Rundäx)</f>
        <v>3.887</v>
      </c>
      <c r="HT9" s="24">
        <f>ROUND(SUM(GK9:GK$56)/VLOOKUP($FM9,$AQ$9:$AR$102,2)/VLOOKUP($FM9-HT$103,Männer!$G$9:$J$102,4),Rundäx)</f>
        <v>4.1559999999999997</v>
      </c>
      <c r="HU9" s="89"/>
      <c r="HV9" s="9">
        <f>RAF</f>
        <v>64</v>
      </c>
      <c r="HW9" s="24">
        <f>ROUND(SUM(GL9:GL$56)/VLOOKUP($FM9,$AQ$9:$AR$102,2)/VLOOKUP($FM9-HW$103,Männer!$G$9:$J$102,4),Rundäx)</f>
        <v>4.4340000000000002</v>
      </c>
      <c r="HX9" s="24">
        <f>ROUND(SUM(GM9:GM$56)/VLOOKUP($FM9,$AQ$9:$AR$102,2)/VLOOKUP($FM9-HX$103,Männer!$G$9:$J$102,4),Rundäx)</f>
        <v>4.72</v>
      </c>
      <c r="HY9" s="24">
        <f>ROUND(SUM(GN9:GN$56)/VLOOKUP($FM9,$AQ$9:$AR$102,2)/VLOOKUP($FM9-HY$103,Männer!$G$9:$J$102,4),Rundäx)</f>
        <v>5.0129999999999999</v>
      </c>
      <c r="HZ9" s="24">
        <f>ROUND(SUM(GO9:GO$56)/VLOOKUP($FM9,$AQ$9:$AR$102,2)/VLOOKUP($FM9-HZ$103,Männer!$G$9:$J$102,4),Rundäx)</f>
        <v>5.3109999999999999</v>
      </c>
      <c r="IA9" s="24">
        <f>ROUND(SUM(GP9:GP$56)/VLOOKUP($FM9,$AQ$9:$AR$102,2)/VLOOKUP($FM9-IA$103,Männer!$G$9:$J$102,4),Rundäx)</f>
        <v>5.6159999999999997</v>
      </c>
      <c r="IB9" s="24">
        <f>ROUND(SUM(GQ9:GQ$56)/VLOOKUP($FM9,$AQ$9:$AR$102,2)/VLOOKUP($FM9-IB$103,Männer!$G$9:$J$102,4),Rundäx)</f>
        <v>5.9240000000000004</v>
      </c>
      <c r="IC9" s="24">
        <f>ROUND(SUM(GR9:GR$56)/VLOOKUP($FM9,$AQ$9:$AR$102,2)/VLOOKUP($FM9-IC$103,Männer!$G$9:$J$102,4),Rundäx)</f>
        <v>6.2359999999999998</v>
      </c>
      <c r="ID9" s="89"/>
      <c r="IE9" s="35">
        <f>BeginnAlter</f>
        <v>17</v>
      </c>
      <c r="IF9" s="11">
        <f>IF($IE9&lt;RAF,IF(S10&lt;=RAK,ROUND(v^($IE9+FaktorAlter)*$H9*($B9*0.5*($R9+$R10)*(VLOOKUP(TRUNC(0.5*($S9+$S10),0),$BF$9:$BH$102,3)+(0.5*($S9+$S10)-TRUNC(0.5*($S9+$S10),0))*(VLOOKUP(TRUNC(0.5*($S9+$S10)+1,0),$BF$9:$BH$102,3)-VLOOKUP(TRUNC(0.5*($S9+$S10),0),$BF$9:$BH$102,3)))+$C9*0.5*($IL9+$IL10)),RundDx),0),"")</f>
        <v>5</v>
      </c>
      <c r="IG9" s="11">
        <f>IF($IE9&lt;RAF,IF(S10&lt;=RAK,ROUND(SUM(IF9:INDEX(Daky,RAF-BeginnAlter))+INDEX(Day,RAF-BeginnAlter+1)*INDEX(äky,1),RundDx),0),"")</f>
        <v>6442</v>
      </c>
      <c r="IH9" s="11">
        <f>IF($IE9&lt;RAF,IF(S10&lt;=RAK,ROUND(SUM(IG9:INDEX(Naky,RAF-BeginnAlter))+INDEX(Day,RAF-BeginnAlter+1)*INDEX(äky,1),RundDx),0),"")</f>
        <v>133911</v>
      </c>
      <c r="II9" s="10">
        <f>IF($IE9&lt;RAF,IF(S10&lt;=RAK,ROUND(IG9/$Y9,Rundäx),0),"")</f>
        <v>9.4E-2</v>
      </c>
      <c r="IJ9" s="11">
        <f>IF($IE9&lt;RAF,IF(S10&lt;=RAK,ROUND(v^($IE9+FaktorAlter)*$L9*$D9*0.5*($R9+$R10)*(VLOOKUP(TRUNC(0.5*($S9+$S10),0),$BF$9:$BH$102,3)+(0.5*($S9+$S10)-TRUNC(0.5*($S9+$S10),0))*(VLOOKUP(TRUNC(0.5*($S9+$S10)+1,0),$BF$9:$BH$102,3)-VLOOKUP(TRUNC(0.5*($S9+$S10),0),$BF$9:$BH$102,3))),RundDx),0),"")</f>
        <v>0</v>
      </c>
      <c r="IK9" s="11">
        <f>IF($IE9&lt;RAF,IF(S10&lt;=RAK,SUM(IJ9:INDEX(Diky,RAF-BeginnAlter))+INDEX(Diy,RAF-BeginnAlter+1)*INDEX(äky,1),0),"")</f>
        <v>233545</v>
      </c>
      <c r="IL9" s="10">
        <f>IF($IE9&lt;RAF,IF(S10&lt;=RAK,ROUND(IK9/$AI9,Rundäx),0),IF(IE9&gt;RAF,"",INDEX(äky,1)))</f>
        <v>1.5029999999999999</v>
      </c>
      <c r="IM9" s="89"/>
      <c r="IN9" s="9">
        <f>RAF</f>
        <v>64</v>
      </c>
      <c r="IO9" s="25">
        <f t="shared" ref="IO9:IO14" si="2">IF(AND(VLOOKUP(IN9+1,O$9:S$102,5)&lt;=RAK,VLOOKUP(IN9+1,O$9:S$102,5)&lt;&gt;""),ROUND(v^($IN9+FaktorAlter)*VLOOKUP(IN9,G$9:J$102,4)*VLOOKUP(IN9,A$9:E$102,5)*0.5*(VLOOKUP(IN9,O$9:R$102,4)+VLOOKUP(IN9+1,O$9:R$102,4))*(VLOOKUP(TRUNC(0.5*(VLOOKUP(IN9,O$9:S$102,5)+VLOOKUP(IN9+1,O$9:S$102,5)),0),$BF$9:$BH$36,3)+(0.5*(VLOOKUP(IN9,O$9:S$102,5)+VLOOKUP(IN9+1,O$9:S$102,5))-TRUNC(0.5*(VLOOKUP(IN9,O$9:S$102,5)+VLOOKUP(IN9+1,O$9:S$102,5)),0))*(VLOOKUP(TRUNC(0.5*(VLOOKUP(IN9,O$9:S$102,5)+VLOOKUP(IN9+1,O$9:S$102,5))+1,0),$BF$9:$BH$36,3)-VLOOKUP(TRUNC(0.5*(VLOOKUP(IN9,O$9:S$102,5)+VLOOKUP(IN9+1,O$9:S$102,5)),0),$BF$9:$BH$36,3))),RundDx),0)</f>
        <v>2</v>
      </c>
      <c r="IP9" s="11">
        <f>IF(AND(VLOOKUP(IN9+1,O$9:S$102,5)&lt;=RAK,VLOOKUP(IN9+1,O$9:S$102,5)&lt;&gt;""),SUM(IO9:IO$102),0)</f>
        <v>5</v>
      </c>
      <c r="IQ9" s="10">
        <f t="shared" ref="IQ9:IQ14" si="3">IF(VLOOKUP(IN9+1,O$9:S$102,5)&lt;=RAK,ROUND(IP9/INDEX(Dy,$IN9-BeginnAlter+1),Rundäx),0)</f>
        <v>0</v>
      </c>
      <c r="IR9" s="86"/>
    </row>
    <row r="10" spans="1:252" ht="15.75" customHeight="1" x14ac:dyDescent="0.25">
      <c r="A10" s="9">
        <f t="shared" ref="A10:A44" si="4">1+A9</f>
        <v>18</v>
      </c>
      <c r="B10" s="93">
        <v>9.5799841220998156E-5</v>
      </c>
      <c r="C10" s="93">
        <v>6.9996646888198348E-5</v>
      </c>
      <c r="D10" s="93">
        <v>7.2658729084646486E-3</v>
      </c>
      <c r="E10" s="93">
        <v>1.0000900081008623E-4</v>
      </c>
      <c r="F10" s="89"/>
      <c r="G10" s="9">
        <f t="shared" ref="G10:G44" si="5">1+G9</f>
        <v>18</v>
      </c>
      <c r="H10" s="11">
        <f>IF(G10&lt;=RAF,ROUND(H9*(1-B9-C9),Rundlx),"")</f>
        <v>99986</v>
      </c>
      <c r="I10" s="25">
        <f>IF(G10&lt;=RAF,ROUND(H9*C9*(1-D9)/(1-0.5*D9)+I9*(1-D9),RundIx),"")</f>
        <v>5</v>
      </c>
      <c r="J10" s="25">
        <f>IF(G10&lt;=RAF,H10+I10,ROUND(J9*(1-E9),Rundlx))</f>
        <v>99991</v>
      </c>
      <c r="K10" s="30">
        <f>IF(J10&gt;0,ROUND(SUM(J10:J$102)/J10-0.5,Rundex),"")</f>
        <v>64.09</v>
      </c>
      <c r="L10" s="25">
        <f t="shared" ref="L10:L73" si="6">IF(G10&gt;=RAF,J10,ROUND(L11/(1-D10),Rundlx))</f>
        <v>225706</v>
      </c>
      <c r="M10" s="30">
        <f>IF(L10&gt;0,ROUND(SUM(L10:L$102)/L10-0.5,Rundex),"")</f>
        <v>39.44</v>
      </c>
      <c r="N10" s="89"/>
      <c r="O10" s="9">
        <f>1+O9</f>
        <v>18</v>
      </c>
      <c r="P10" s="94">
        <v>4.568949190219844E-2</v>
      </c>
      <c r="Q10" s="95">
        <v>22.579156426173999</v>
      </c>
      <c r="R10" s="94">
        <v>1E-10</v>
      </c>
      <c r="S10" s="95">
        <v>0.02</v>
      </c>
      <c r="T10" s="28">
        <v>1.0000900081008623E-4</v>
      </c>
      <c r="U10" s="11">
        <f>ROUND(U9*(1-T9),Rundlx)</f>
        <v>99991</v>
      </c>
      <c r="V10" s="30">
        <f>IF(U10&gt;0,ROUND(SUM(U10:U$102)/U10-0.5,Rundex),"")</f>
        <v>65.37</v>
      </c>
      <c r="W10" s="89"/>
      <c r="X10" s="9">
        <f>1+X9</f>
        <v>18</v>
      </c>
      <c r="Y10" s="11">
        <f>IF($X10&lt;=RAF,ROUND(v^X10*H10,RundDx)," ")</f>
        <v>66988</v>
      </c>
      <c r="Z10" s="11">
        <f>IF($X10&lt;RAF,SUM(Y10:INDEX(Day,RAF-BeginnAlter))," ")</f>
        <v>1851171</v>
      </c>
      <c r="AA10" s="11">
        <f t="shared" si="0"/>
        <v>6</v>
      </c>
      <c r="AB10" s="11">
        <f>IF($X10&lt;RAF,SUM(AA10:INDEX(Cay,RAF-BeginnAlter))," ")</f>
        <v>1480</v>
      </c>
      <c r="AC10" s="11">
        <f t="shared" si="1"/>
        <v>5</v>
      </c>
      <c r="AD10" s="11">
        <f>IF($X10&lt;RAF,SUM(AC10:INDEX(Caiy,RAF-BeginnAlter))," ")</f>
        <v>8511</v>
      </c>
      <c r="AE10" s="10">
        <f>IF($X10&lt;RAF,ROUND(Z10/Y10,Rundäx)," ")</f>
        <v>27.634</v>
      </c>
      <c r="AF10" s="10">
        <f>IF($X10&lt;RAF,ROUND(AE10-(m-1)/(2*m)*((Y10-INDEX(Day,RAF-BeginnAlter+1))/Y10),Rundäx)," ")</f>
        <v>27.288</v>
      </c>
      <c r="AG10" s="89"/>
      <c r="AH10" s="9">
        <f>1+AH9</f>
        <v>18</v>
      </c>
      <c r="AI10" s="11">
        <f>IF($AH10&lt;=RAF,ROUND(v^AH10*L10,RundDx)," ")</f>
        <v>151218</v>
      </c>
      <c r="AJ10" s="11">
        <f>IF($AH10&gt;RAF," ",IF($AH10&lt;RAF,SUM(AI10:INDEX(Diy,RAF-BeginnAlter))+INDEX(Ny,RAF-BeginnAlter+1),INDEX(Ny,RAF-BeginnAlter+1)))</f>
        <v>3595500</v>
      </c>
      <c r="AK10" s="11">
        <f>IF($AH10&lt;RAF,SUM(AI10:INDEX(Diy,RAF-BeginnAlter))," ")</f>
        <v>3229406</v>
      </c>
      <c r="AL10" s="10">
        <f>IF($AH10&gt;RAF," ",ROUND(AJ10/AI10,Rundäx))</f>
        <v>23.777000000000001</v>
      </c>
      <c r="AM10" s="10">
        <f>IF($AH10&gt;RAF," ",ROUND(AJ10/AI10-(m-1)/(2*m),Rundäx))</f>
        <v>23.318999999999999</v>
      </c>
      <c r="AN10" s="10">
        <f>IF($AH10&lt;RAF,ROUND(AK10/AI10,Rundäx)," ")</f>
        <v>21.356000000000002</v>
      </c>
      <c r="AO10" s="10">
        <f>IF($AH10&lt;RAF,ROUND(AK10/AI10-(m-1)/(2*m)*(AI10-INDEX(Diy,RAF-BeginnAlter+1))/AI10,Rundäx)," ")</f>
        <v>20.963999999999999</v>
      </c>
      <c r="AP10" s="89"/>
      <c r="AQ10" s="9">
        <f>1+AQ9</f>
        <v>18</v>
      </c>
      <c r="AR10" s="11">
        <f>ROUND(v^AQ10*J10,RundDx)</f>
        <v>66992</v>
      </c>
      <c r="AS10" s="11">
        <f>SUM(AR10:AR$96)</f>
        <v>2286555</v>
      </c>
      <c r="AT10" s="25">
        <f>IF($AQ10&lt;RAF,SUM(AR10:INDEX(Dy,RAF-BeginnAlter))," ")</f>
        <v>1920461</v>
      </c>
      <c r="AU10" s="24">
        <f>IF(AR10&gt;0,ROUND(AS10/AR10,Rundäx)," ")</f>
        <v>34.131999999999998</v>
      </c>
      <c r="AV10" s="24">
        <f>IF(AR10&gt;0,ROUND(AS10/AR10-(m-1)/(2*m),Rundäx)," ")</f>
        <v>33.673000000000002</v>
      </c>
      <c r="AW10" s="24">
        <f>IF($AQ10&lt;RAF,ROUND(AT10/AR10,Rundäx)," ")</f>
        <v>28.667000000000002</v>
      </c>
      <c r="AX10" s="24">
        <f>IF($AQ10&lt;RAF,ROUND(AT10/AR10-(m-1)/(2*m)*(AR10-INDEX(Dy,RAF-BeginnAlter+1))/AR10,Rundäx)," ")</f>
        <v>28.356999999999999</v>
      </c>
      <c r="AY10" s="89"/>
      <c r="AZ10" s="9">
        <f>1+AZ9</f>
        <v>18</v>
      </c>
      <c r="BA10" s="11">
        <f>ROUND(v^AZ10*U10,0)</f>
        <v>66992</v>
      </c>
      <c r="BB10" s="11">
        <f>SUM(BA10:BA$96)</f>
        <v>2309344</v>
      </c>
      <c r="BC10" s="10">
        <f>IF(BA10&gt;0,ROUND(BB10/BA10,Rundäx)," ")</f>
        <v>34.472000000000001</v>
      </c>
      <c r="BD10" s="10">
        <f t="shared" ref="BD10:BD73" si="7">IF(BA10&gt;0,ROUND(BB10/BA10-(m-1)/(2*m),Rundäx),0)</f>
        <v>34.014000000000003</v>
      </c>
      <c r="BE10" s="89"/>
      <c r="BF10" s="9">
        <f>1+BF9</f>
        <v>1</v>
      </c>
      <c r="BG10" s="10">
        <f t="shared" ref="BG10:BG73" si="8">IF($BF10&lt;RAK,IF(Zins&lt;&gt;0,ROUND((1-v^(RAK-$BF10))/(1-v),Rundäx),RAK-$BF10),IF($BF10&gt;RAK,"",0))</f>
        <v>18.803000000000001</v>
      </c>
      <c r="BH10" s="10">
        <f t="shared" ref="BH10:BH73" si="9">IF($BF10&lt;RAK,IF(Zins&lt;&gt;0,ROUND((1-v^(RAK-$BF10))/(1-v)-(m-1)/(2*m)*(1-v^(RAK-$BF10)),Rundäx),RAK-$BF10),IF($BF10&gt;RAK,"",0))</f>
        <v>18.613</v>
      </c>
      <c r="BI10" s="89"/>
      <c r="BJ10" s="9">
        <f>1+BJ9</f>
        <v>18</v>
      </c>
      <c r="BK10" s="11">
        <f t="shared" ref="BK10:BK73" si="10">IF(BJ10&lt;RAF,ROUND(v^(BJ10+FaktorAlter)*$H10*$C10*0.5*(AM10+AM11),RundDx)," ")</f>
        <v>107</v>
      </c>
      <c r="BL10" s="11">
        <f>IF(BJ10&lt;RAF,SUM(BK10:INDEX(Daiy,RAF-BeginnAlter))," ")</f>
        <v>160032</v>
      </c>
      <c r="BM10" s="11">
        <f>IF(BJ10&lt;RAF,SUM(BL10:INDEX(Naiy,RAF-BeginnAlter))," ")</f>
        <v>5296954</v>
      </c>
      <c r="BN10" s="10">
        <f t="shared" ref="BN10:BN73" si="11">IF(BJ10&lt;RAF,ROUND(INDEX(Day,RAF-BeginnAlter+1)/Y10*INDEX(ämy,RAF-BeginnAlter+1),Rundäx)," ")</f>
        <v>4.0030000000000001</v>
      </c>
      <c r="BO10" s="10">
        <f t="shared" ref="BO10:BO73" si="12">IF(BJ10&lt;RAF,ROUND(BL10/Y10,Rundäx)," ")</f>
        <v>2.3889999999999998</v>
      </c>
      <c r="BP10" s="89"/>
      <c r="BQ10" s="9">
        <f>1+BQ9</f>
        <v>18</v>
      </c>
      <c r="BR10" s="11">
        <f t="shared" ref="BR10:BR73" si="13">IF(BQ10&lt;RAF,ROUND(v^(BQ10+FaktorAlter)*C10*H10*(0.5*(AM10+AM11)-v^FaktorAlter*(1-D10)/(1-0.5*D10)*INDEX(Diy,RAF-BeginnAlter+1)/AI11*INDEX(äimy,RAF-BeginnAlter+1)),RundDx)," ")</f>
        <v>96</v>
      </c>
      <c r="BS10" s="11">
        <f>IF(BQ10&lt;RAF,SUM(BR10:INDEX(Daiys,RAF-BeginnAlter))," ")</f>
        <v>72094</v>
      </c>
      <c r="BT10" s="11">
        <f>IF(BQ10&lt;RAF,SUM(BS10:INDEX(Naiys,RAF-BeginnAlter))," ")</f>
        <v>1980677</v>
      </c>
      <c r="BU10" s="10">
        <f t="shared" ref="BU10:BU73" si="14">IF(BQ10&lt;RAF,ROUND((1-I10/L10)*INDEX(ämy,RAF-BeginnAlter+1)/Y10*INDEX(Dy,RAF-BeginnAlter+1),Rundäx)," ")</f>
        <v>5.3159999999999998</v>
      </c>
      <c r="BV10" s="10">
        <f t="shared" ref="BV10:BV73" si="15">IF(BQ10&lt;RAF,ROUND(BS10/Y10,Rundäx)," ")</f>
        <v>1.0760000000000001</v>
      </c>
      <c r="BW10" s="89"/>
      <c r="BX10" s="9">
        <f>1+BX9</f>
        <v>18</v>
      </c>
      <c r="BY10" s="10">
        <f t="shared" ref="BY10:BY73" si="16">IF(S11&lt;=RAK,IF(ROUND($BX10+FaktorAlter+RAK-0.5*($S10+$S11),0)&lt;$BX10+1,"",IF(ROUND($BX10+FaktorAlter+RAK-0.5*($S10+$S11),0)&lt;RAF,0.5*($AM10+$AM11)-v^FaktorAlter*(1-$D10)/(1-0.5*$D10)/$AI11*VLOOKUP(ROUND($BX10+FaktorAlter+RAK-0.5*($S10+$S11),0),$AH$9:$AM$102,2)*VLOOKUP(ROUND($BX10+FaktorAlter+RAK-0.5*($S10+$S11),0),$AH$9:$AM$102,6),IF($BX10&lt;RAF,(0.5*($AM10+$AM11)-v^FaktorAlter*(1-$D10)/(1-0.5*$D10)/$AI11*VLOOKUP(ROUND($BX10+FaktorAlter+RAK-0.5*($S10+$S11),0),$AQ$9:$AX$102,2)*VLOOKUP(ROUND($BX10+FaktorAlter+RAK-0.5*($S10+$S11),0),$AQ$9:$AX$102,6)),""))),"")</f>
        <v>15.749079121366467</v>
      </c>
      <c r="BZ10" s="11">
        <f t="shared" ref="BZ10:BZ73" si="17">IF(S11&lt;=RAK,IF($BX10&lt;RAF,ROUND(v^($BX10+FaktorAlter)*$H10*$C10*0.5*($R10+$R11)*BY10,RundDx),""),"")</f>
        <v>0</v>
      </c>
      <c r="CA10" s="11">
        <f>IF(S11&lt;=RAK,IF($BX10&lt;RAF,SUM(BZ10:INDEX(Dazy,RAF-BeginnAlter)),""),"")</f>
        <v>16256</v>
      </c>
      <c r="CB10" s="10">
        <f t="shared" ref="CB10:CB73" si="18">IF(S11&lt;=RAK,IF($BX10&lt;RAF,ROUND($CA10/$Y10,Rundäx),""),"")</f>
        <v>0.24299999999999999</v>
      </c>
      <c r="CC10" s="11">
        <f t="shared" ref="CC10:CC73" si="19">IF(AND(S10&lt;=RAK,S10&lt;&gt;""),ROUND((1-MOD($BX10+RAK-S10,1))*INDEX(Dy,INT($BX10+RAK-S10-BeginnAlter+1))+MOD($BX10+RAK-S10,1)*INDEX(Dy,INT($BX10+RAK-S10-BeginnAlter+1)+1),RundDx),0)</f>
        <v>37882</v>
      </c>
      <c r="CD10" s="10">
        <f t="shared" ref="CD10:CD73" si="20">IF(AND(S10&lt;=RAK,S10&lt;&gt;""),ROUND((1-MOD($BX10+RAK-MIN(S10,RAK),1))*INDEX(ämy,INT($BX10+RAK-MIN(S10,RAK)-BeginnAlter+1))+MOD($BX10+RAK-MIN(S10,RAK),1)*INDEX(ämy,INT($BX10+RAK-MIN(S10,RAK)-BeginnAlter+1)+1),Rundäx),0)</f>
        <v>25.773</v>
      </c>
      <c r="CE10" s="10">
        <f t="shared" ref="CE10:CE73" si="21">IF(S11&lt;=RAK,IF($BX10&lt;=RAF,ROUND((INDEX(ämy,RAF-BeginnAlter+1)-INDEX(Ds25zsy,RAF-BeginnAlter+1)/INDEX(Dy,RAF-BeginnAlter+1)*INDEX(äms25zsy,RAF-BeginnAlter+1))*INDEX(ky,RAF-BeginnAlter+1)*INDEX(Day,RAF-BeginnAlter+1)/$Y10,Rundäx),""),"")</f>
        <v>2E-3</v>
      </c>
      <c r="CF10" s="89"/>
      <c r="CG10" s="9">
        <f>1+CG9</f>
        <v>18</v>
      </c>
      <c r="CH10" s="11">
        <f>IF(CG10&lt;RAF,ROUND(v^($CG10+FaktorAlter)*$H10*($B10*0.5*($P10+$P11)*(VLOOKUP(TRUNC(0.5*($Q10+$Q11),0),Männer!$AZ$9:$BD$95,5)+(0.5*($Q10+$Q11)-TRUNC(0.5*($Q10+$Q11),0))*(VLOOKUP(TRUNC(0.5*($Q10+$Q11)+1,0),Männer!$AZ$9:$BD$95,5)-VLOOKUP(TRUNC(0.5*($Q10+$Q11),0),Männer!$AZ$9:$BD$95,5)))+$C10*0.5*($CN10+$CN11)),RundDx),"")</f>
        <v>18</v>
      </c>
      <c r="CI10" s="11">
        <f>IF(CG10&lt;RAF,ROUND(SUM(CH10:INDEX(Dawy,RAF-BeginnAlter))+INDEX(Day,RAF-BeginnAlter+1)*INDEX(äwy,1),RundDx),"")</f>
        <v>14497</v>
      </c>
      <c r="CJ10" s="11">
        <f>IF(CG10&lt;RAF,ROUND(SUM(CI10:INDEX(Nawy,RAF-BeginnAlter))+INDEX(Day,RAF-BeginnAlter+1)*INDEX(äwy,1),RundDx),"")</f>
        <v>439626</v>
      </c>
      <c r="CK10" s="10">
        <f t="shared" ref="CK10:CK73" si="22">IF(CG10&lt;RAF,ROUND(CI10/$Y10,Rundäx),"")</f>
        <v>0.216</v>
      </c>
      <c r="CL10" s="11">
        <f>IF(CG10&lt;RAF,ROUND(v^($CG10+FaktorAlter)*$L10*$D10*0.5*($P10+$P11)*(VLOOKUP(TRUNC(0.5*($Q10+$Q11),0),Männer!$AZ$9:$BD$95,5)+(0.5*($Q10+$Q11)-TRUNC(0.5*($Q10+$Q11),0))*(VLOOKUP(TRUNC(0.5*($Q10+$Q11)+1,0),Männer!$AZ$9:$BD$95,5)-VLOOKUP(TRUNC(0.5*($Q10+$Q11),0),Männer!$AZ$9:$BD$95,5))),RundDx),"")</f>
        <v>1669</v>
      </c>
      <c r="CM10" s="11">
        <f>IF(CG10&lt;RAF,SUM(CL10:INDEX(Diwy,RAF-BeginnAlter))+INDEX(Diy,RAF-BeginnAlter+1)*INDEX(äwy,1),"")</f>
        <v>252330.304</v>
      </c>
      <c r="CN10" s="10">
        <f t="shared" ref="CN10:CN73" si="23">IF(CG10&lt;RAF,ROUND(CM10/$AI10,Rundäx),IF(CG10&gt;RAF,"",INDEX(äwy,1)))</f>
        <v>1.669</v>
      </c>
      <c r="CO10" s="89"/>
      <c r="CP10" s="9">
        <f>1+CP9</f>
        <v>65</v>
      </c>
      <c r="CQ10" s="11">
        <f>ROUND(v^($CP10+FaktorAlter)*VLOOKUP(CP10,G$9:J$102,4)*VLOOKUP(CP10,A$9:E$102,5)*0.5*(VLOOKUP(CP10,O$9:P$102,2)+VLOOKUP(CP10+1,O$9:P$102,2))*(VLOOKUP(TRUNC(0.5*(VLOOKUP(CP10,O$9:Q$102,3)+VLOOKUP(CP10+1,O$9:Q$102,3)),0),Männer!$AZ$9:$BD$95,5)+(0.5*(VLOOKUP(CP10,O$9:Q$102,3)+VLOOKUP(CP10+1,O$9:Q$102,3))-TRUNC(0.5*(VLOOKUP(CP10,O$9:Q$102,3)+VLOOKUP(CP10+1,O$9:Q$102,3)),0))*(VLOOKUP(TRUNC(0.5*(VLOOKUP(CP10,O$9:Q$102,3)+VLOOKUP(CP10+1,O$9:Q$102,3))+1,0),Männer!$AZ$9:$BD$95,5)-VLOOKUP(TRUNC(0.5*(VLOOKUP(CP10,O$9:Q$102,3)+VLOOKUP(CP10+1,O$9:Q$102,3)),0),Männer!$AZ$9:$BD$95,5))),RundDx)</f>
        <v>312</v>
      </c>
      <c r="CR10" s="11">
        <f>SUM(CQ10:CQ$56)</f>
        <v>2183</v>
      </c>
      <c r="CS10" s="24">
        <f t="shared" ref="CS10:CS43" si="24">IF(VLOOKUP(CP10,AQ$9:AR$102,2)&gt;0,ROUND(CR10/VLOOKUP(CP10,AQ$9:AR$102,2),Rundäx),0)</f>
        <v>0.104</v>
      </c>
      <c r="CT10" s="89"/>
      <c r="CU10" s="9">
        <f>1+CU9</f>
        <v>18</v>
      </c>
      <c r="CV10" s="25">
        <f>IF($CU10&gt;=RAF,"",IF($CU10-CV$103&lt;BeginnAlter,"",ROUND(v^($CU10+FaktorAlter)*$L10*$D10*0.5*(VLOOKUP($CU10-CV$103,Männer!$G$9:$J$102,4)+VLOOKUP($CU10-CV$103+1,Männer!$G$9:$J$102,4))*0.5*(VLOOKUP($CU10-CV$103,Männer!$AZ$9:$BD$102,5)+VLOOKUP($CU10-CV$103+1,Männer!$AZ$9:$BD$102,5)),RundDx)))</f>
        <v>2931597250</v>
      </c>
      <c r="CW10" s="25">
        <f>IF($CU10&gt;=RAF,"",IF($CU10-CW$103&lt;BeginnAlter,"",ROUND(v^($CU10+FaktorAlter)*$L10*$D10*0.5*(VLOOKUP($CU10-CW$103,Männer!$G$9:$J$102,4)+VLOOKUP($CU10-CW$103+1,Männer!$G$9:$J$102,4))*0.5*(VLOOKUP($CU10-CW$103,Männer!$AZ$9:$BD$102,5)+VLOOKUP($CU10-CW$103+1,Männer!$AZ$9:$BD$102,5)),RundDx)))</f>
        <v>2973613749</v>
      </c>
      <c r="CX10" s="25">
        <f>IF($CU10&gt;=RAF,"",IF($CU10-CX$103&lt;BeginnAlter,"",ROUND(v^($CU10+FaktorAlter)*$L10*$D10*0.5*(VLOOKUP($CU10-CX$103,Männer!$G$9:$J$102,4)+VLOOKUP($CU10-CX$103+1,Männer!$G$9:$J$102,4))*0.5*(VLOOKUP($CU10-CX$103,Männer!$AZ$9:$BD$102,5)+VLOOKUP($CU10-CX$103+1,Männer!$AZ$9:$BD$102,5)),RundDx)))</f>
        <v>3014799843</v>
      </c>
      <c r="CY10" s="25">
        <f>IF($CU10&gt;=RAF,"",IF($CU10-CY$103&lt;BeginnAlter,"",ROUND(v^($CU10+FaktorAlter)*$L10*$D10*0.5*(VLOOKUP($CU10-CY$103,Männer!$G$9:$J$102,4)+VLOOKUP($CU10-CY$103+1,Männer!$G$9:$J$102,4))*0.5*(VLOOKUP($CU10-CY$103,Männer!$AZ$9:$BD$102,5)+VLOOKUP($CU10-CY$103+1,Männer!$AZ$9:$BD$102,5)),RundDx)))</f>
        <v>3055163993</v>
      </c>
      <c r="CZ10" s="25">
        <f>IF($CU10&gt;=RAF,"",IF($CU10-CZ$103&lt;BeginnAlter,"",ROUND(v^($CU10+FaktorAlter)*$L10*$D10*0.5*(VLOOKUP($CU10-CZ$103,Männer!$G$9:$J$102,4)+VLOOKUP($CU10-CZ$103+1,Männer!$G$9:$J$102,4))*0.5*(VLOOKUP($CU10-CZ$103,Männer!$AZ$9:$BD$102,5)+VLOOKUP($CU10-CZ$103+1,Männer!$AZ$9:$BD$102,5)),RundDx)))</f>
        <v>3094692847</v>
      </c>
      <c r="DA10" s="25">
        <f>IF($CU10&gt;=RAF,"",IF($CU10-DA$103&lt;BeginnAlter,"",ROUND(v^($CU10+FaktorAlter)*$L10*$D10*0.5*(VLOOKUP($CU10-DA$103,Männer!$G$9:$J$102,4)+VLOOKUP($CU10-DA$103+1,Männer!$G$9:$J$102,4))*0.5*(VLOOKUP($CU10-DA$103,Männer!$AZ$9:$BD$102,5)+VLOOKUP($CU10-DA$103+1,Männer!$AZ$9:$BD$102,5)),RundDx)))</f>
        <v>3133429303</v>
      </c>
      <c r="DB10" s="25">
        <f>IF($CU10&gt;=RAF,"",IF($CU10-DB$103&lt;BeginnAlter,"",ROUND(v^($CU10+FaktorAlter)*$L10*$D10*0.5*(VLOOKUP($CU10-DB$103,Männer!$G$9:$J$102,4)+VLOOKUP($CU10-DB$103+1,Männer!$G$9:$J$102,4))*0.5*(VLOOKUP($CU10-DB$103,Männer!$AZ$9:$BD$102,5)+VLOOKUP($CU10-DB$103+1,Männer!$AZ$9:$BD$102,5)),RundDx)))</f>
        <v>3171348588</v>
      </c>
      <c r="DC10" s="25">
        <f>IF($CU10&gt;=RAF,"",IF($CU10-DC$103&lt;BeginnAlter,"",ROUND(v^($CU10+FaktorAlter)*$L10*$D10*0.5*(VLOOKUP($CU10-DC$103,Männer!$G$9:$J$102,4)+VLOOKUP($CU10-DC$103+1,Männer!$G$9:$J$102,4))*0.5*(VLOOKUP($CU10-DC$103,Männer!$AZ$9:$BD$102,5)+VLOOKUP($CU10-DC$103+1,Männer!$AZ$9:$BD$102,5)),RundDx)))</f>
        <v>3208551473</v>
      </c>
      <c r="DD10" s="25">
        <f>IF($CU10&gt;=RAF,"",IF($CU10-DD$103&lt;BeginnAlter,"",ROUND(v^($CU10+FaktorAlter)*$L10*$D10*0.5*(VLOOKUP($CU10-DD$103,Männer!$G$9:$J$102,4)+VLOOKUP($CU10-DD$103+1,Männer!$G$9:$J$102,4))*0.5*(VLOOKUP($CU10-DD$103,Männer!$AZ$9:$BD$102,5)+VLOOKUP($CU10-DD$103+1,Männer!$AZ$9:$BD$102,5)),RundDx)))</f>
        <v>3245021658</v>
      </c>
      <c r="DE10" s="25">
        <f>IF($CU10&gt;=RAF,"",IF($CU10-DE$103&lt;BeginnAlter,"",ROUND(v^($CU10+FaktorAlter)*$L10*$D10*0.5*(VLOOKUP($CU10-DE$103,Männer!$G$9:$J$102,4)+VLOOKUP($CU10-DE$103+1,Männer!$G$9:$J$102,4))*0.5*(VLOOKUP($CU10-DE$103,Männer!$AZ$9:$BD$102,5)+VLOOKUP($CU10-DE$103+1,Männer!$AZ$9:$BD$102,5)),RundDx)))</f>
        <v>3280666797</v>
      </c>
      <c r="DF10" s="25">
        <f>IF($CU10&gt;=RAF,"",IF($CU10-DF$103&lt;BeginnAlter,"",ROUND(v^($CU10+FaktorAlter)*$L10*$D10*0.5*(VLOOKUP($CU10-DF$103,Männer!$G$9:$J$102,4)+VLOOKUP($CU10-DF$103+1,Männer!$G$9:$J$102,4))*0.5*(VLOOKUP($CU10-DF$103,Männer!$AZ$9:$BD$102,5)+VLOOKUP($CU10-DF$103+1,Männer!$AZ$9:$BD$102,5)),RundDx)))</f>
        <v>3315648996</v>
      </c>
      <c r="DG10" s="25">
        <f>IF($CU10&gt;=RAF,"",IF($CU10-DG$103&lt;BeginnAlter,"",ROUND(v^($CU10+FaktorAlter)*$L10*$D10*0.5*(VLOOKUP($CU10-DG$103,Männer!$G$9:$J$102,4)+VLOOKUP($CU10-DG$103+1,Männer!$G$9:$J$102,4))*0.5*(VLOOKUP($CU10-DG$103,Männer!$AZ$9:$BD$102,5)+VLOOKUP($CU10-DG$103+1,Männer!$AZ$9:$BD$102,5)),RundDx)))</f>
        <v>3349955182</v>
      </c>
      <c r="DH10" s="25">
        <f>IF($CU10&gt;=RAF,"",IF($CU10-DH$103&lt;BeginnAlter,"",ROUND(v^($CU10+FaktorAlter)*$L10*$D10*0.5*(VLOOKUP($CU10-DH$103,Männer!$G$9:$J$102,4)+VLOOKUP($CU10-DH$103+1,Männer!$G$9:$J$102,4))*0.5*(VLOOKUP($CU10-DH$103,Männer!$AZ$9:$BD$102,5)+VLOOKUP($CU10-DH$103+1,Männer!$AZ$9:$BD$102,5)),RundDx)))</f>
        <v>3383569856</v>
      </c>
      <c r="DI10" s="25">
        <f>IF($CU10&gt;=RAF,"",IF($CU10-DI$103&lt;BeginnAlter,"",ROUND(v^($CU10+FaktorAlter)*$L10*$D10*0.5*(VLOOKUP($CU10-DI$103,Männer!$G$9:$J$102,4)+VLOOKUP($CU10-DI$103+1,Männer!$G$9:$J$102,4))*0.5*(VLOOKUP($CU10-DI$103,Männer!$AZ$9:$BD$102,5)+VLOOKUP($CU10-DI$103+1,Männer!$AZ$9:$BD$102,5)),RundDx)))</f>
        <v>3416512374</v>
      </c>
      <c r="DJ10" s="25">
        <f>IF($CU10&gt;=RAF,"",IF($CU10-DJ$103&lt;BeginnAlter,"",ROUND(v^($CU10+FaktorAlter)*$L10*$D10*0.5*(VLOOKUP($CU10-DJ$103,Männer!$G$9:$J$102,4)+VLOOKUP($CU10-DJ$103+1,Männer!$G$9:$J$102,4))*0.5*(VLOOKUP($CU10-DJ$103,Männer!$AZ$9:$BD$102,5)+VLOOKUP($CU10-DJ$103+1,Männer!$AZ$9:$BD$102,5)),RundDx)))</f>
        <v>3448767415</v>
      </c>
      <c r="DK10" s="25">
        <f>IF($CU10&gt;=RAF,"",IF($CU10-DK$103&lt;BeginnAlter,"",ROUND(v^($CU10+FaktorAlter)*$L10*$D10*0.5*(VLOOKUP($CU10-DK$103,Männer!$G$9:$J$102,4)+VLOOKUP($CU10-DK$103+1,Männer!$G$9:$J$102,4))*0.5*(VLOOKUP($CU10-DK$103,Männer!$AZ$9:$BD$102,5)+VLOOKUP($CU10-DK$103+1,Männer!$AZ$9:$BD$102,5)),RundDx)))</f>
        <v>3480420626</v>
      </c>
      <c r="DL10" s="25">
        <f>IF($CU10&gt;=RAF,"",IF($CU10-DL$103&lt;BeginnAlter,"",ROUND(v^($CU10+FaktorAlter)*$L10*$D10*0.5*(VLOOKUP($CU10-DL$103,Männer!$G$9:$J$102,4)+VLOOKUP($CU10-DL$103+1,Männer!$G$9:$J$102,4))*0.5*(VLOOKUP($CU10-DL$103,Männer!$AZ$9:$BD$102,5)+VLOOKUP($CU10-DL$103+1,Männer!$AZ$9:$BD$102,5)),RundDx)))</f>
        <v>3511403555</v>
      </c>
      <c r="DM10" s="25" t="str">
        <f>IF($CU10&gt;=RAF,"",IF($CU10-DM$103&lt;BeginnAlter,"",ROUND(v^($CU10+FaktorAlter)*$L10*$D10*0.5*(VLOOKUP($CU10-DM$103,Männer!$G$9:$J$102,4)+VLOOKUP($CU10-DM$103+1,Männer!$G$9:$J$102,4))*0.5*(VLOOKUP($CU10-DM$103,Männer!$AZ$9:$BD$102,5)+VLOOKUP($CU10-DM$103+1,Männer!$AZ$9:$BD$102,5)),RundDx)))</f>
        <v/>
      </c>
      <c r="DN10" s="25" t="str">
        <f>IF($CU10&gt;=RAF,"",IF($CU10-DN$103&lt;BeginnAlter,"",ROUND(v^($CU10+FaktorAlter)*$L10*$D10*0.5*(VLOOKUP($CU10-DN$103,Männer!$G$9:$J$102,4)+VLOOKUP($CU10-DN$103+1,Männer!$G$9:$J$102,4))*0.5*(VLOOKUP($CU10-DN$103,Männer!$AZ$9:$BD$102,5)+VLOOKUP($CU10-DN$103+1,Männer!$AZ$9:$BD$102,5)),RundDx)))</f>
        <v/>
      </c>
      <c r="DO10" s="25" t="str">
        <f>IF($CU10&gt;=RAF,"",IF($CU10-DO$103&lt;BeginnAlter,"",ROUND(v^($CU10+FaktorAlter)*$L10*$D10*0.5*(VLOOKUP($CU10-DO$103,Männer!$G$9:$J$102,4)+VLOOKUP($CU10-DO$103+1,Männer!$G$9:$J$102,4))*0.5*(VLOOKUP($CU10-DO$103,Männer!$AZ$9:$BD$102,5)+VLOOKUP($CU10-DO$103+1,Männer!$AZ$9:$BD$102,5)),RundDx)))</f>
        <v/>
      </c>
      <c r="DP10" s="25" t="str">
        <f>IF($CU10&gt;=RAF,"",IF($CU10-DP$103&lt;BeginnAlter,"",ROUND(v^($CU10+FaktorAlter)*$L10*$D10*0.5*(VLOOKUP($CU10-DP$103,Männer!$G$9:$J$102,4)+VLOOKUP($CU10-DP$103+1,Männer!$G$9:$J$102,4))*0.5*(VLOOKUP($CU10-DP$103,Männer!$AZ$9:$BD$102,5)+VLOOKUP($CU10-DP$103+1,Männer!$AZ$9:$BD$102,5)),RundDx)))</f>
        <v/>
      </c>
      <c r="DQ10" s="25" t="str">
        <f>IF($CU10&gt;=RAF,"",IF($CU10-DQ$103&lt;BeginnAlter,"",ROUND(v^($CU10+FaktorAlter)*$L10*$D10*0.5*(VLOOKUP($CU10-DQ$103,Männer!$G$9:$J$102,4)+VLOOKUP($CU10-DQ$103+1,Männer!$G$9:$J$102,4))*0.5*(VLOOKUP($CU10-DQ$103,Männer!$AZ$9:$BD$102,5)+VLOOKUP($CU10-DQ$103+1,Männer!$AZ$9:$BD$102,5)),RundDx)))</f>
        <v/>
      </c>
      <c r="DR10" s="25" t="str">
        <f>IF($CU10&gt;=RAF,"",IF($CU10-DR$103&lt;BeginnAlter,"",ROUND(v^($CU10+FaktorAlter)*$L10*$D10*0.5*(VLOOKUP($CU10-DR$103,Männer!$G$9:$J$102,4)+VLOOKUP($CU10-DR$103+1,Männer!$G$9:$J$102,4))*0.5*(VLOOKUP($CU10-DR$103,Männer!$AZ$9:$BD$102,5)+VLOOKUP($CU10-DR$103+1,Männer!$AZ$9:$BD$102,5)),RundDx)))</f>
        <v/>
      </c>
      <c r="DS10" s="25" t="str">
        <f>IF($CU10&gt;=RAF,"",IF($CU10-DS$103&lt;BeginnAlter,"",ROUND(v^($CU10+FaktorAlter)*$L10*$D10*0.5*(VLOOKUP($CU10-DS$103,Männer!$G$9:$J$102,4)+VLOOKUP($CU10-DS$103+1,Männer!$G$9:$J$102,4))*0.5*(VLOOKUP($CU10-DS$103,Männer!$AZ$9:$BD$102,5)+VLOOKUP($CU10-DS$103+1,Männer!$AZ$9:$BD$102,5)),RundDx)))</f>
        <v/>
      </c>
      <c r="DT10" s="25" t="str">
        <f>IF($CU10&gt;=RAF,"",IF($CU10-DT$103&lt;BeginnAlter,"",ROUND(v^($CU10+FaktorAlter)*$L10*$D10*0.5*(VLOOKUP($CU10-DT$103,Männer!$G$9:$J$102,4)+VLOOKUP($CU10-DT$103+1,Männer!$G$9:$J$102,4))*0.5*(VLOOKUP($CU10-DT$103,Männer!$AZ$9:$BD$102,5)+VLOOKUP($CU10-DT$103+1,Männer!$AZ$9:$BD$102,5)),RundDx)))</f>
        <v/>
      </c>
      <c r="DU10" s="25" t="str">
        <f>IF($CU10&gt;=RAF,"",IF($CU10-DU$103&lt;BeginnAlter,"",ROUND(v^($CU10+FaktorAlter)*$L10*$D10*0.5*(VLOOKUP($CU10-DU$103,Männer!$G$9:$J$102,4)+VLOOKUP($CU10-DU$103+1,Männer!$G$9:$J$102,4))*0.5*(VLOOKUP($CU10-DU$103,Männer!$AZ$9:$BD$102,5)+VLOOKUP($CU10-DU$103+1,Männer!$AZ$9:$BD$102,5)),RundDx)))</f>
        <v/>
      </c>
      <c r="DV10" s="25" t="str">
        <f>IF($CU10&gt;=RAF,"",IF($CU10-DV$103&lt;BeginnAlter,"",ROUND(v^($CU10+FaktorAlter)*$L10*$D10*0.5*(VLOOKUP($CU10-DV$103,Männer!$G$9:$J$102,4)+VLOOKUP($CU10-DV$103+1,Männer!$G$9:$J$102,4))*0.5*(VLOOKUP($CU10-DV$103,Männer!$AZ$9:$BD$102,5)+VLOOKUP($CU10-DV$103+1,Männer!$AZ$9:$BD$102,5)),RundDx)))</f>
        <v/>
      </c>
      <c r="DW10" s="25" t="str">
        <f>IF($CU10&gt;=RAF,"",IF($CU10-DW$103&lt;BeginnAlter,"",ROUND(v^($CU10+FaktorAlter)*$L10*$D10*0.5*(VLOOKUP($CU10-DW$103,Männer!$G$9:$J$102,4)+VLOOKUP($CU10-DW$103+1,Männer!$G$9:$J$102,4))*0.5*(VLOOKUP($CU10-DW$103,Männer!$AZ$9:$BD$102,5)+VLOOKUP($CU10-DW$103+1,Männer!$AZ$9:$BD$102,5)),RundDx)))</f>
        <v/>
      </c>
      <c r="DX10" s="25" t="str">
        <f>IF($CU10&gt;=RAF,"",IF($CU10-DX$103&lt;BeginnAlter,"",ROUND(v^($CU10+FaktorAlter)*$L10*$D10*0.5*(VLOOKUP($CU10-DX$103,Männer!$G$9:$J$102,4)+VLOOKUP($CU10-DX$103+1,Männer!$G$9:$J$102,4))*0.5*(VLOOKUP($CU10-DX$103,Männer!$AZ$9:$BD$102,5)+VLOOKUP($CU10-DX$103+1,Männer!$AZ$9:$BD$102,5)),RundDx)))</f>
        <v/>
      </c>
      <c r="DY10" s="25" t="str">
        <f>IF($CU10&gt;=RAF,"",IF($CU10-DY$103&lt;BeginnAlter,"",ROUND(v^($CU10+FaktorAlter)*$L10*$D10*0.5*(VLOOKUP($CU10-DY$103,Männer!$G$9:$J$102,4)+VLOOKUP($CU10-DY$103+1,Männer!$G$9:$J$102,4))*0.5*(VLOOKUP($CU10-DY$103,Männer!$AZ$9:$BD$102,5)+VLOOKUP($CU10-DY$103+1,Männer!$AZ$9:$BD$102,5)),RundDx)))</f>
        <v/>
      </c>
      <c r="DZ10" s="25" t="str">
        <f>IF($CU10&gt;=RAF,"",IF($CU10-DZ$103&lt;BeginnAlter,"",ROUND(v^($CU10+FaktorAlter)*$L10*$D10*0.5*(VLOOKUP($CU10-DZ$103,Männer!$G$9:$J$102,4)+VLOOKUP($CU10-DZ$103+1,Männer!$G$9:$J$102,4))*0.5*(VLOOKUP($CU10-DZ$103,Männer!$AZ$9:$BD$102,5)+VLOOKUP($CU10-DZ$103+1,Männer!$AZ$9:$BD$102,5)),RundDx)))</f>
        <v/>
      </c>
      <c r="EA10" s="43">
        <f>IF($CU10&gt;=RAF,"",IF($CU10-EA$103&lt;BeginnAlter,"",ROUND((SUM(CV10:CV$56)+SUM(FN$9:FN$56))/VLOOKUP($CU10,$AH$9:$AI$102,2)/VLOOKUP($CU10-EA$103,Männer!$G$9:$J$102,4),Rundäx)))</f>
        <v>7.431</v>
      </c>
      <c r="EB10" s="43">
        <f>IF($CU10&gt;=RAF,"",IF($CU10-EB$103&lt;BeginnAlter,"",ROUND((SUM(CW10:CW$56)+SUM(FO$9:FO$56))/VLOOKUP($CU10,$AH$9:$AI$102,2)/VLOOKUP($CU10-EB$103,Männer!$G$9:$J$102,4),Rundäx)))</f>
        <v>7.6280000000000001</v>
      </c>
      <c r="EC10" s="43">
        <f>IF($CU10&gt;=RAF,"",IF($CU10-EC$103&lt;BeginnAlter,"",ROUND((SUM(CX10:CX$56)+SUM(FP$9:FP$56))/VLOOKUP($CU10,$AH$9:$AI$102,2)/VLOOKUP($CU10-EC$103,Männer!$G$9:$J$102,4),Rundäx)))</f>
        <v>7.8239999999999998</v>
      </c>
      <c r="ED10" s="43">
        <f>IF($CU10&gt;=RAF,"",IF($CU10-ED$103&lt;BeginnAlter,"",ROUND((SUM(CY10:CY$56)+SUM(FQ$9:FQ$56))/VLOOKUP($CU10,$AH$9:$AI$102,2)/VLOOKUP($CU10-ED$103,Männer!$G$9:$J$102,4),Rundäx)))</f>
        <v>8.0190000000000001</v>
      </c>
      <c r="EE10" s="43">
        <f>IF($CU10&gt;=RAF,"",IF($CU10-EE$103&lt;BeginnAlter,"",ROUND((SUM(CZ10:CZ$56)+SUM(FR$9:FR$56))/VLOOKUP($CU10,$AH$9:$AI$102,2)/VLOOKUP($CU10-EE$103,Männer!$G$9:$J$102,4),Rundäx)))</f>
        <v>8.2129999999999992</v>
      </c>
      <c r="EF10" s="43">
        <f>IF($CU10&gt;=RAF,"",IF($CU10-EF$103&lt;BeginnAlter,"",ROUND((SUM(DA10:DA$56)+SUM(FS$9:FS$56))/VLOOKUP($CU10,$AH$9:$AI$102,2)/VLOOKUP($CU10-EF$103,Männer!$G$9:$J$102,4),Rundäx)))</f>
        <v>8.4060000000000006</v>
      </c>
      <c r="EG10" s="43">
        <f>IF($CU10&gt;=RAF,"",IF($CU10-EG$103&lt;BeginnAlter,"",ROUND((SUM(DB10:DB$56)+SUM(FT$9:FT$56))/VLOOKUP($CU10,$AH$9:$AI$102,2)/VLOOKUP($CU10-EG$103,Männer!$G$9:$J$102,4),Rundäx)))</f>
        <v>8.5969999999999995</v>
      </c>
      <c r="EH10" s="43">
        <f>IF($CU10&gt;=RAF,"",IF($CU10-EH$103&lt;BeginnAlter,"",ROUND((SUM(DC10:DC$56)+SUM(FU$9:FU$56))/VLOOKUP($CU10,$AH$9:$AI$102,2)/VLOOKUP($CU10-EH$103,Männer!$G$9:$J$102,4),Rundäx)))</f>
        <v>8.7870000000000008</v>
      </c>
      <c r="EI10" s="89"/>
      <c r="EJ10" s="9">
        <f>1+EJ9</f>
        <v>18</v>
      </c>
      <c r="EK10" s="43">
        <f>IF($CU10&gt;=RAF,"",IF($CU10-EK$103&lt;BeginnAlter,"",ROUND((SUM(DD10:DD$56)+SUM(FV$9:FV$56))/VLOOKUP($CU10,$AH$9:$AI$102,2)/VLOOKUP($CU10-EK$103,Männer!$G$9:$J$102,4),Rundäx)))</f>
        <v>8.9760000000000009</v>
      </c>
      <c r="EL10" s="43">
        <f>IF($CU10&gt;=RAF,"",IF($CU10-EL$103&lt;BeginnAlter,"",ROUND((SUM(DE10:DE$56)+SUM(FW$9:FW$56))/VLOOKUP($CU10,$AH$9:$AI$102,2)/VLOOKUP($CU10-EL$103,Männer!$G$9:$J$102,4),Rundäx)))</f>
        <v>9.1639999999999997</v>
      </c>
      <c r="EM10" s="43">
        <f>IF($CU10&gt;=RAF,"",IF($CU10-EM$103&lt;BeginnAlter,"",ROUND((SUM(DF10:DF$56)+SUM(FX$9:FX$56))/VLOOKUP($CU10,$AH$9:$AI$102,2)/VLOOKUP($CU10-EM$103,Männer!$G$9:$J$102,4),Rundäx)))</f>
        <v>9.35</v>
      </c>
      <c r="EN10" s="43">
        <f>IF($CU10&gt;=RAF,"",IF($CU10-EN$103&lt;BeginnAlter,"",ROUND((SUM(DG10:DG$56)+SUM(FY$9:FY$56))/VLOOKUP($CU10,$AH$9:$AI$102,2)/VLOOKUP($CU10-EN$103,Männer!$G$9:$J$102,4),Rundäx)))</f>
        <v>9.5359999999999996</v>
      </c>
      <c r="EO10" s="43">
        <f>IF($CU10&gt;=RAF,"",IF($CU10-EO$103&lt;BeginnAlter,"",ROUND((SUM(DH10:DH$56)+SUM(FZ$9:FZ$56))/VLOOKUP($CU10,$AH$9:$AI$102,2)/VLOOKUP($CU10-EO$103,Männer!$G$9:$J$102,4),Rundäx)))</f>
        <v>9.7210000000000001</v>
      </c>
      <c r="EP10" s="43">
        <f>IF($CU10&gt;=RAF,"",IF($CU10-EP$103&lt;BeginnAlter,"",ROUND((SUM(DI10:DI$56)+SUM(GA$9:GA$56))/VLOOKUP($CU10,$AH$9:$AI$102,2)/VLOOKUP($CU10-EP$103,Männer!$G$9:$J$102,4),Rundäx)))</f>
        <v>9.9049999999999994</v>
      </c>
      <c r="EQ10" s="43">
        <f>IF($CU10&gt;=RAF,"",IF($CU10-EQ$103&lt;BeginnAlter,"",ROUND((SUM(DJ10:DJ$56)+SUM(GB$9:GB$56))/VLOOKUP($CU10,$AH$9:$AI$102,2)/VLOOKUP($CU10-EQ$103,Männer!$G$9:$J$102,4),Rundäx)))</f>
        <v>10.09</v>
      </c>
      <c r="ER10" s="43">
        <f>IF($CU10&gt;=RAF,"",IF($CU10-ER$103&lt;BeginnAlter,"",ROUND((SUM(DK10:DK$56)+SUM(GC$9:GC$56))/VLOOKUP($CU10,$AH$9:$AI$102,2)/VLOOKUP($CU10-ER$103,Männer!$G$9:$J$102,4),Rundäx)))</f>
        <v>10.275</v>
      </c>
      <c r="ES10" s="89"/>
      <c r="ET10" s="9">
        <f>1+ET9</f>
        <v>18</v>
      </c>
      <c r="EU10" s="43">
        <f>IF($CU10&gt;=RAF,"",IF($CU10-EU$103&lt;BeginnAlter,"",ROUND((SUM(DL10:DL$56)+SUM(GD$9:GD$56))/VLOOKUP($CU10,$AH$9:$AI$102,2)/VLOOKUP($CU10-EU$103,Männer!$G$9:$J$102,4),Rundäx)))</f>
        <v>10.461</v>
      </c>
      <c r="EV10" s="43" t="str">
        <f>IF($CU10&gt;=RAF,"",IF($CU10-EV$103&lt;BeginnAlter,"",ROUND((SUM(DM10:DM$56)+SUM(GE$9:GE$56))/VLOOKUP($CU10,$AH$9:$AI$102,2)/VLOOKUP($CU10-EV$103,Männer!$G$9:$J$102,4),Rundäx)))</f>
        <v/>
      </c>
      <c r="EW10" s="43" t="str">
        <f>IF($CU10&gt;=RAF,"",IF($CU10-EW$103&lt;BeginnAlter,"",ROUND((SUM(DN10:DN$56)+SUM(GF$9:GF$56))/VLOOKUP($CU10,$AH$9:$AI$102,2)/VLOOKUP($CU10-EW$103,Männer!$G$9:$J$102,4),Rundäx)))</f>
        <v/>
      </c>
      <c r="EX10" s="43" t="str">
        <f>IF($CU10&gt;=RAF,"",IF($CU10-EX$103&lt;BeginnAlter,"",ROUND((SUM(DO10:DO$56)+SUM(GG$9:GG$56))/VLOOKUP($CU10,$AH$9:$AI$102,2)/VLOOKUP($CU10-EX$103,Männer!$G$9:$J$102,4),Rundäx)))</f>
        <v/>
      </c>
      <c r="EY10" s="43" t="str">
        <f>IF($CU10&gt;=RAF,"",IF($CU10-EY$103&lt;BeginnAlter,"",ROUND((SUM(DP10:DP$56)+SUM(GH$9:GH$56))/VLOOKUP($CU10,$AH$9:$AI$102,2)/VLOOKUP($CU10-EY$103,Männer!$G$9:$J$102,4),Rundäx)))</f>
        <v/>
      </c>
      <c r="EZ10" s="43" t="str">
        <f>IF($CU10&gt;=RAF,"",IF($CU10-EZ$103&lt;BeginnAlter,"",ROUND((SUM(DQ10:DQ$56)+SUM(GI$9:GI$56))/VLOOKUP($CU10,$AH$9:$AI$102,2)/VLOOKUP($CU10-EZ$103,Männer!$G$9:$J$102,4),Rundäx)))</f>
        <v/>
      </c>
      <c r="FA10" s="43" t="str">
        <f>IF($CU10&gt;=RAF,"",IF($CU10-FA$103&lt;BeginnAlter,"",ROUND((SUM(DR10:DR$56)+SUM(GJ$9:GJ$56))/VLOOKUP($CU10,$AH$9:$AI$102,2)/VLOOKUP($CU10-FA$103,Männer!$G$9:$J$102,4),Rundäx)))</f>
        <v/>
      </c>
      <c r="FB10" s="43" t="str">
        <f>IF($CU10&gt;=RAF,"",IF($CU10-FB$103&lt;BeginnAlter,"",ROUND((SUM(DS10:DS$56)+SUM(GK$9:GK$56))/VLOOKUP($CU10,$AH$9:$AI$102,2)/VLOOKUP($CU10-FB$103,Männer!$G$9:$J$102,4),Rundäx)))</f>
        <v/>
      </c>
      <c r="FC10" s="89"/>
      <c r="FD10" s="9">
        <f>1+FD9</f>
        <v>18</v>
      </c>
      <c r="FE10" s="43" t="str">
        <f>IF($CU10&gt;=RAF,"",IF($CU10-FE$103&lt;BeginnAlter,"",ROUND((SUM(DT10:DT$56)+SUM(GL$9:GL$56))/VLOOKUP($CU10,$AH$9:$AI$102,2)/VLOOKUP($CU10-FE$103,Männer!$G$9:$J$102,4),Rundäx)))</f>
        <v/>
      </c>
      <c r="FF10" s="43" t="str">
        <f>IF($CU10&gt;=RAF,"",IF($CU10-FF$103&lt;BeginnAlter,"",ROUND((SUM(DU10:DU$56)+SUM(GM$9:GM$56))/VLOOKUP($CU10,$AH$9:$AI$102,2)/VLOOKUP($CU10-FF$103,Männer!$G$9:$J$102,4),Rundäx)))</f>
        <v/>
      </c>
      <c r="FG10" s="43" t="str">
        <f>IF($CU10&gt;=RAF,"",IF($CU10-FG$103&lt;BeginnAlter,"",ROUND((SUM(DV10:DV$56)+SUM(GN$9:GN$56))/VLOOKUP($CU10,$AH$9:$AI$102,2)/VLOOKUP($CU10-FG$103,Männer!$G$9:$J$102,4),Rundäx)))</f>
        <v/>
      </c>
      <c r="FH10" s="43" t="str">
        <f>IF($CU10&gt;=RAF,"",IF($CU10-FH$103&lt;BeginnAlter,"",ROUND((SUM(DW10:DW$56)+SUM(GO$9:GO$56))/VLOOKUP($CU10,$AH$9:$AI$102,2)/VLOOKUP($CU10-FH$103,Männer!$G$9:$J$102,4),Rundäx)))</f>
        <v/>
      </c>
      <c r="FI10" s="43" t="str">
        <f>IF($CU10&gt;=RAF,"",IF($CU10-FI$103&lt;BeginnAlter,"",ROUND((SUM(DX10:DX$56)+SUM(GP$9:GP$56))/VLOOKUP($CU10,$AH$9:$AI$102,2)/VLOOKUP($CU10-FI$103,Männer!$G$9:$J$102,4),Rundäx)))</f>
        <v/>
      </c>
      <c r="FJ10" s="43" t="str">
        <f>IF($CU10&gt;=RAF,"",IF($CU10-FJ$103&lt;BeginnAlter,"",ROUND((SUM(DY10:DY$56)+SUM(GQ$9:GQ$56))/VLOOKUP($CU10,$AH$9:$AI$102,2)/VLOOKUP($CU10-FJ$103,Männer!$G$9:$J$102,4),Rundäx)))</f>
        <v/>
      </c>
      <c r="FK10" s="43" t="str">
        <f>IF($CU10&gt;=RAF,"",IF($CU10-FK$103&lt;BeginnAlter,"",ROUND((SUM(DZ10:DZ$56)+SUM(GR$9:GR$56))/VLOOKUP($CU10,$AH$9:$AI$102,2)/VLOOKUP($CU10-FK$103,Männer!$G$9:$J$102,4),Rundäx)))</f>
        <v/>
      </c>
      <c r="FL10" s="89"/>
      <c r="FM10" s="9">
        <f>1+FM9</f>
        <v>65</v>
      </c>
      <c r="FN10" s="25">
        <f>ROUND(v^($FM10+FaktorAlter)*VLOOKUP($FM10,$G$9:$J$102,4)*VLOOKUP($FM10,$A$9:$E$102,5)*0.5*(VLOOKUP($FM10-FN$103,Männer!$G$9:$J$102,4)+VLOOKUP($FM10-FN$103+1,Männer!$G$9:$J$102,4))*0.5*(VLOOKUP($FM10-FN$103,Männer!$AZ$9:$BD$102,5)+VLOOKUP($FM10-FN$103+1,Männer!$AZ$9:$BD$102,5)),RundDx)</f>
        <v>83269711</v>
      </c>
      <c r="FO10" s="25">
        <f>ROUND(v^($FM10+FaktorAlter)*VLOOKUP($FM10,$G$9:$J$102,4)*VLOOKUP($FM10,$A$9:$E$102,5)*0.5*(VLOOKUP($FM10-FO$103,Männer!$G$9:$J$102,4)+VLOOKUP($FM10-FO$103+1,Männer!$G$9:$J$102,4))*0.5*(VLOOKUP($FM10-FO$103,Männer!$AZ$9:$BD$102,5)+VLOOKUP($FM10-FO$103+1,Männer!$AZ$9:$BD$102,5)),RundDx)</f>
        <v>93438984</v>
      </c>
      <c r="FP10" s="25">
        <f>ROUND(v^($FM10+FaktorAlter)*VLOOKUP($FM10,$G$9:$J$102,4)*VLOOKUP($FM10,$A$9:$E$102,5)*0.5*(VLOOKUP($FM10-FP$103,Männer!$G$9:$J$102,4)+VLOOKUP($FM10-FP$103+1,Männer!$G$9:$J$102,4))*0.5*(VLOOKUP($FM10-FP$103,Männer!$AZ$9:$BD$102,5)+VLOOKUP($FM10-FP$103+1,Männer!$AZ$9:$BD$102,5)),RundDx)</f>
        <v>104003032</v>
      </c>
      <c r="FQ10" s="25">
        <f>ROUND(v^($FM10+FaktorAlter)*VLOOKUP($FM10,$G$9:$J$102,4)*VLOOKUP($FM10,$A$9:$E$102,5)*0.5*(VLOOKUP($FM10-FQ$103,Männer!$G$9:$J$102,4)+VLOOKUP($FM10-FQ$103+1,Männer!$G$9:$J$102,4))*0.5*(VLOOKUP($FM10-FQ$103,Männer!$AZ$9:$BD$102,5)+VLOOKUP($FM10-FQ$103+1,Männer!$AZ$9:$BD$102,5)),RundDx)</f>
        <v>114909096</v>
      </c>
      <c r="FR10" s="25">
        <f>ROUND(v^($FM10+FaktorAlter)*VLOOKUP($FM10,$G$9:$J$102,4)*VLOOKUP($FM10,$A$9:$E$102,5)*0.5*(VLOOKUP($FM10-FR$103,Männer!$G$9:$J$102,4)+VLOOKUP($FM10-FR$103+1,Männer!$G$9:$J$102,4))*0.5*(VLOOKUP($FM10-FR$103,Männer!$AZ$9:$BD$102,5)+VLOOKUP($FM10-FR$103+1,Männer!$AZ$9:$BD$102,5)),RundDx)</f>
        <v>126098530</v>
      </c>
      <c r="FS10" s="25">
        <f>ROUND(v^($FM10+FaktorAlter)*VLOOKUP($FM10,$G$9:$J$102,4)*VLOOKUP($FM10,$A$9:$E$102,5)*0.5*(VLOOKUP($FM10-FS$103,Männer!$G$9:$J$102,4)+VLOOKUP($FM10-FS$103+1,Männer!$G$9:$J$102,4))*0.5*(VLOOKUP($FM10-FS$103,Männer!$AZ$9:$BD$102,5)+VLOOKUP($FM10-FS$103+1,Männer!$AZ$9:$BD$102,5)),RundDx)</f>
        <v>137499882</v>
      </c>
      <c r="FT10" s="25">
        <f>ROUND(v^($FM10+FaktorAlter)*VLOOKUP($FM10,$G$9:$J$102,4)*VLOOKUP($FM10,$A$9:$E$102,5)*0.5*(VLOOKUP($FM10-FT$103,Männer!$G$9:$J$102,4)+VLOOKUP($FM10-FT$103+1,Männer!$G$9:$J$102,4))*0.5*(VLOOKUP($FM10-FT$103,Männer!$AZ$9:$BD$102,5)+VLOOKUP($FM10-FT$103+1,Männer!$AZ$9:$BD$102,5)),RundDx)</f>
        <v>149059951</v>
      </c>
      <c r="FU10" s="25">
        <f>ROUND(v^($FM10+FaktorAlter)*VLOOKUP($FM10,$G$9:$J$102,4)*VLOOKUP($FM10,$A$9:$E$102,5)*0.5*(VLOOKUP($FM10-FU$103,Männer!$G$9:$J$102,4)+VLOOKUP($FM10-FU$103+1,Männer!$G$9:$J$102,4))*0.5*(VLOOKUP($FM10-FU$103,Männer!$AZ$9:$BD$102,5)+VLOOKUP($FM10-FU$103+1,Männer!$AZ$9:$BD$102,5)),RundDx)</f>
        <v>160712799</v>
      </c>
      <c r="FV10" s="25">
        <f>ROUND(v^($FM10+FaktorAlter)*VLOOKUP($FM10,$G$9:$J$102,4)*VLOOKUP($FM10,$A$9:$E$102,5)*0.5*(VLOOKUP($FM10-FV$103,Männer!$G$9:$J$102,4)+VLOOKUP($FM10-FV$103+1,Männer!$G$9:$J$102,4))*0.5*(VLOOKUP($FM10-FV$103,Männer!$AZ$9:$BD$102,5)+VLOOKUP($FM10-FV$103+1,Männer!$AZ$9:$BD$102,5)),RundDx)</f>
        <v>172452420</v>
      </c>
      <c r="FW10" s="25">
        <f>ROUND(v^($FM10+FaktorAlter)*VLOOKUP($FM10,$G$9:$J$102,4)*VLOOKUP($FM10,$A$9:$E$102,5)*0.5*(VLOOKUP($FM10-FW$103,Männer!$G$9:$J$102,4)+VLOOKUP($FM10-FW$103+1,Männer!$G$9:$J$102,4))*0.5*(VLOOKUP($FM10-FW$103,Männer!$AZ$9:$BD$102,5)+VLOOKUP($FM10-FW$103+1,Männer!$AZ$9:$BD$102,5)),RundDx)</f>
        <v>184264300</v>
      </c>
      <c r="FX10" s="25">
        <f>ROUND(v^($FM10+FaktorAlter)*VLOOKUP($FM10,$G$9:$J$102,4)*VLOOKUP($FM10,$A$9:$E$102,5)*0.5*(VLOOKUP($FM10-FX$103,Männer!$G$9:$J$102,4)+VLOOKUP($FM10-FX$103+1,Männer!$G$9:$J$102,4))*0.5*(VLOOKUP($FM10-FX$103,Männer!$AZ$9:$BD$102,5)+VLOOKUP($FM10-FX$103+1,Männer!$AZ$9:$BD$102,5)),RundDx)</f>
        <v>196092648</v>
      </c>
      <c r="FY10" s="25">
        <f>ROUND(v^($FM10+FaktorAlter)*VLOOKUP($FM10,$G$9:$J$102,4)*VLOOKUP($FM10,$A$9:$E$102,5)*0.5*(VLOOKUP($FM10-FY$103,Männer!$G$9:$J$102,4)+VLOOKUP($FM10-FY$103+1,Männer!$G$9:$J$102,4))*0.5*(VLOOKUP($FM10-FY$103,Männer!$AZ$9:$BD$102,5)+VLOOKUP($FM10-FY$103+1,Männer!$AZ$9:$BD$102,5)),RundDx)</f>
        <v>207930383</v>
      </c>
      <c r="FZ10" s="25">
        <f>ROUND(v^($FM10+FaktorAlter)*VLOOKUP($FM10,$G$9:$J$102,4)*VLOOKUP($FM10,$A$9:$E$102,5)*0.5*(VLOOKUP($FM10-FZ$103,Männer!$G$9:$J$102,4)+VLOOKUP($FM10-FZ$103+1,Männer!$G$9:$J$102,4))*0.5*(VLOOKUP($FM10-FZ$103,Männer!$AZ$9:$BD$102,5)+VLOOKUP($FM10-FZ$103+1,Männer!$AZ$9:$BD$102,5)),RundDx)</f>
        <v>219819491</v>
      </c>
      <c r="GA10" s="25">
        <f>ROUND(v^($FM10+FaktorAlter)*VLOOKUP($FM10,$G$9:$J$102,4)*VLOOKUP($FM10,$A$9:$E$102,5)*0.5*(VLOOKUP($FM10-GA$103,Männer!$G$9:$J$102,4)+VLOOKUP($FM10-GA$103+1,Männer!$G$9:$J$102,4))*0.5*(VLOOKUP($FM10-GA$103,Männer!$AZ$9:$BD$102,5)+VLOOKUP($FM10-GA$103+1,Männer!$AZ$9:$BD$102,5)),RundDx)</f>
        <v>231794262</v>
      </c>
      <c r="GB10" s="25">
        <f>ROUND(v^($FM10+FaktorAlter)*VLOOKUP($FM10,$G$9:$J$102,4)*VLOOKUP($FM10,$A$9:$E$102,5)*0.5*(VLOOKUP($FM10-GB$103,Männer!$G$9:$J$102,4)+VLOOKUP($FM10-GB$103+1,Männer!$G$9:$J$102,4))*0.5*(VLOOKUP($FM10-GB$103,Männer!$AZ$9:$BD$102,5)+VLOOKUP($FM10-GB$103+1,Männer!$AZ$9:$BD$102,5)),RundDx)</f>
        <v>243825132</v>
      </c>
      <c r="GC10" s="25">
        <f>ROUND(v^($FM10+FaktorAlter)*VLOOKUP($FM10,$G$9:$J$102,4)*VLOOKUP($FM10,$A$9:$E$102,5)*0.5*(VLOOKUP($FM10-GC$103,Männer!$G$9:$J$102,4)+VLOOKUP($FM10-GC$103+1,Männer!$G$9:$J$102,4))*0.5*(VLOOKUP($FM10-GC$103,Männer!$AZ$9:$BD$102,5)+VLOOKUP($FM10-GC$103+1,Männer!$AZ$9:$BD$102,5)),RundDx)</f>
        <v>255941403</v>
      </c>
      <c r="GD10" s="25">
        <f>ROUND(v^($FM10+FaktorAlter)*VLOOKUP($FM10,$G$9:$J$102,4)*VLOOKUP($FM10,$A$9:$E$102,5)*0.5*(VLOOKUP($FM10-GD$103,Männer!$G$9:$J$102,4)+VLOOKUP($FM10-GD$103+1,Männer!$G$9:$J$102,4))*0.5*(VLOOKUP($FM10-GD$103,Männer!$AZ$9:$BD$102,5)+VLOOKUP($FM10-GD$103+1,Männer!$AZ$9:$BD$102,5)),RundDx)</f>
        <v>268204918</v>
      </c>
      <c r="GE10" s="25">
        <f>ROUND(v^($FM10+FaktorAlter)*VLOOKUP($FM10,$G$9:$J$102,4)*VLOOKUP($FM10,$A$9:$E$102,5)*0.5*(VLOOKUP($FM10-GE$103,Männer!$G$9:$J$102,4)+VLOOKUP($FM10-GE$103+1,Männer!$G$9:$J$102,4))*0.5*(VLOOKUP($FM10-GE$103,Männer!$AZ$9:$BD$102,5)+VLOOKUP($FM10-GE$103+1,Männer!$AZ$9:$BD$102,5)),RundDx)</f>
        <v>280638922</v>
      </c>
      <c r="GF10" s="25">
        <f>ROUND(v^($FM10+FaktorAlter)*VLOOKUP($FM10,$G$9:$J$102,4)*VLOOKUP($FM10,$A$9:$E$102,5)*0.5*(VLOOKUP($FM10-GF$103,Männer!$G$9:$J$102,4)+VLOOKUP($FM10-GF$103+1,Männer!$G$9:$J$102,4))*0.5*(VLOOKUP($FM10-GF$103,Männer!$AZ$9:$BD$102,5)+VLOOKUP($FM10-GF$103+1,Männer!$AZ$9:$BD$102,5)),RundDx)</f>
        <v>293273398</v>
      </c>
      <c r="GG10" s="25">
        <f>ROUND(v^($FM10+FaktorAlter)*VLOOKUP($FM10,$G$9:$J$102,4)*VLOOKUP($FM10,$A$9:$E$102,5)*0.5*(VLOOKUP($FM10-GG$103,Männer!$G$9:$J$102,4)+VLOOKUP($FM10-GG$103+1,Männer!$G$9:$J$102,4))*0.5*(VLOOKUP($FM10-GG$103,Männer!$AZ$9:$BD$102,5)+VLOOKUP($FM10-GG$103+1,Männer!$AZ$9:$BD$102,5)),RundDx)</f>
        <v>306127178</v>
      </c>
      <c r="GH10" s="25">
        <f>ROUND(v^($FM10+FaktorAlter)*VLOOKUP($FM10,$G$9:$J$102,4)*VLOOKUP($FM10,$A$9:$E$102,5)*0.5*(VLOOKUP($FM10-GH$103,Männer!$G$9:$J$102,4)+VLOOKUP($FM10-GH$103+1,Männer!$G$9:$J$102,4))*0.5*(VLOOKUP($FM10-GH$103,Männer!$AZ$9:$BD$102,5)+VLOOKUP($FM10-GH$103+1,Männer!$AZ$9:$BD$102,5)),RundDx)</f>
        <v>319210610</v>
      </c>
      <c r="GI10" s="25">
        <f>ROUND(v^($FM10+FaktorAlter)*VLOOKUP($FM10,$G$9:$J$102,4)*VLOOKUP($FM10,$A$9:$E$102,5)*0.5*(VLOOKUP($FM10-GI$103,Männer!$G$9:$J$102,4)+VLOOKUP($FM10-GI$103+1,Männer!$G$9:$J$102,4))*0.5*(VLOOKUP($FM10-GI$103,Männer!$AZ$9:$BD$102,5)+VLOOKUP($FM10-GI$103+1,Männer!$AZ$9:$BD$102,5)),RundDx)</f>
        <v>332547072</v>
      </c>
      <c r="GJ10" s="25">
        <f>ROUND(v^($FM10+FaktorAlter)*VLOOKUP($FM10,$G$9:$J$102,4)*VLOOKUP($FM10,$A$9:$E$102,5)*0.5*(VLOOKUP($FM10-GJ$103,Männer!$G$9:$J$102,4)+VLOOKUP($FM10-GJ$103+1,Männer!$G$9:$J$102,4))*0.5*(VLOOKUP($FM10-GJ$103,Männer!$AZ$9:$BD$102,5)+VLOOKUP($FM10-GJ$103+1,Männer!$AZ$9:$BD$102,5)),RundDx)</f>
        <v>346120784</v>
      </c>
      <c r="GK10" s="25">
        <f>ROUND(v^($FM10+FaktorAlter)*VLOOKUP($FM10,$G$9:$J$102,4)*VLOOKUP($FM10,$A$9:$E$102,5)*0.5*(VLOOKUP($FM10-GK$103,Männer!$G$9:$J$102,4)+VLOOKUP($FM10-GK$103+1,Männer!$G$9:$J$102,4))*0.5*(VLOOKUP($FM10-GK$103,Männer!$AZ$9:$BD$102,5)+VLOOKUP($FM10-GK$103+1,Männer!$AZ$9:$BD$102,5)),RundDx)</f>
        <v>359911829</v>
      </c>
      <c r="GL10" s="25">
        <f>ROUND(v^($FM10+FaktorAlter)*VLOOKUP($FM10,$G$9:$J$102,4)*VLOOKUP($FM10,$A$9:$E$102,5)*0.5*(VLOOKUP($FM10-GL$103,Männer!$G$9:$J$102,4)+VLOOKUP($FM10-GL$103+1,Männer!$G$9:$J$102,4))*0.5*(VLOOKUP($FM10-GL$103,Männer!$AZ$9:$BD$102,5)+VLOOKUP($FM10-GL$103+1,Männer!$AZ$9:$BD$102,5)),RundDx)</f>
        <v>373916368</v>
      </c>
      <c r="GM10" s="25">
        <f>ROUND(v^($FM10+FaktorAlter)*VLOOKUP($FM10,$G$9:$J$102,4)*VLOOKUP($FM10,$A$9:$E$102,5)*0.5*(VLOOKUP($FM10-GM$103,Männer!$G$9:$J$102,4)+VLOOKUP($FM10-GM$103+1,Männer!$G$9:$J$102,4))*0.5*(VLOOKUP($FM10-GM$103,Männer!$AZ$9:$BD$102,5)+VLOOKUP($FM10-GM$103+1,Männer!$AZ$9:$BD$102,5)),RundDx)</f>
        <v>387929028</v>
      </c>
      <c r="GN10" s="25">
        <f>ROUND(v^($FM10+FaktorAlter)*VLOOKUP($FM10,$G$9:$J$102,4)*VLOOKUP($FM10,$A$9:$E$102,5)*0.5*(VLOOKUP($FM10-GN$103,Männer!$G$9:$J$102,4)+VLOOKUP($FM10-GN$103+1,Männer!$G$9:$J$102,4))*0.5*(VLOOKUP($FM10-GN$103,Männer!$AZ$9:$BD$102,5)+VLOOKUP($FM10-GN$103+1,Männer!$AZ$9:$BD$102,5)),RundDx)</f>
        <v>401730868</v>
      </c>
      <c r="GO10" s="25">
        <f>ROUND(v^($FM10+FaktorAlter)*VLOOKUP($FM10,$G$9:$J$102,4)*VLOOKUP($FM10,$A$9:$E$102,5)*0.5*(VLOOKUP($FM10-GO$103,Männer!$G$9:$J$102,4)+VLOOKUP($FM10-GO$103+1,Männer!$G$9:$J$102,4))*0.5*(VLOOKUP($FM10-GO$103,Männer!$AZ$9:$BD$102,5)+VLOOKUP($FM10-GO$103+1,Männer!$AZ$9:$BD$102,5)),RundDx)</f>
        <v>415324212</v>
      </c>
      <c r="GP10" s="25">
        <f>ROUND(v^($FM10+FaktorAlter)*VLOOKUP($FM10,$G$9:$J$102,4)*VLOOKUP($FM10,$A$9:$E$102,5)*0.5*(VLOOKUP($FM10-GP$103,Männer!$G$9:$J$102,4)+VLOOKUP($FM10-GP$103+1,Männer!$G$9:$J$102,4))*0.5*(VLOOKUP($FM10-GP$103,Männer!$AZ$9:$BD$102,5)+VLOOKUP($FM10-GP$103+1,Männer!$AZ$9:$BD$102,5)),RundDx)</f>
        <v>428711113</v>
      </c>
      <c r="GQ10" s="25">
        <f>ROUND(v^($FM10+FaktorAlter)*VLOOKUP($FM10,$G$9:$J$102,4)*VLOOKUP($FM10,$A$9:$E$102,5)*0.5*(VLOOKUP($FM10-GQ$103,Männer!$G$9:$J$102,4)+VLOOKUP($FM10-GQ$103+1,Männer!$G$9:$J$102,4))*0.5*(VLOOKUP($FM10-GQ$103,Männer!$AZ$9:$BD$102,5)+VLOOKUP($FM10-GQ$103+1,Männer!$AZ$9:$BD$102,5)),RundDx)</f>
        <v>441867516</v>
      </c>
      <c r="GR10" s="25">
        <f>ROUND(v^($FM10+FaktorAlter)*VLOOKUP($FM10,$G$9:$J$102,4)*VLOOKUP($FM10,$A$9:$E$102,5)*0.5*(VLOOKUP($FM10-GR$103,Männer!$G$9:$J$102,4)+VLOOKUP($FM10-GR$103+1,Männer!$G$9:$J$102,4))*0.5*(VLOOKUP($FM10-GR$103,Männer!$AZ$9:$BD$102,5)+VLOOKUP($FM10-GR$103+1,Männer!$AZ$9:$BD$102,5)),RundDx)</f>
        <v>454794881</v>
      </c>
      <c r="GS10" s="24">
        <f>ROUND(SUM(FN10:FN$56)/VLOOKUP($FM10,$AQ$9:$AR$102,2)/VLOOKUP($FM10-GS$103,Männer!$G$9:$J$102,4),Rundäx)</f>
        <v>0.48499999999999999</v>
      </c>
      <c r="GT10" s="24">
        <f>ROUND(SUM(FO10:FO$56)/VLOOKUP($FM10,$AQ$9:$AR$102,2)/VLOOKUP($FM10-GT$103,Männer!$G$9:$J$102,4),Rundäx)</f>
        <v>0.54800000000000004</v>
      </c>
      <c r="GU10" s="24">
        <f>ROUND(SUM(FP10:FP$56)/VLOOKUP($FM10,$AQ$9:$AR$102,2)/VLOOKUP($FM10-GU$103,Männer!$G$9:$J$102,4),Rundäx)</f>
        <v>0.61699999999999999</v>
      </c>
      <c r="GV10" s="24">
        <f>ROUND(SUM(FQ10:FQ$56)/VLOOKUP($FM10,$AQ$9:$AR$102,2)/VLOOKUP($FM10-GV$103,Männer!$G$9:$J$102,4),Rundäx)</f>
        <v>0.69199999999999995</v>
      </c>
      <c r="GW10" s="24">
        <f>ROUND(SUM(FR10:FR$56)/VLOOKUP($FM10,$AQ$9:$AR$102,2)/VLOOKUP($FM10-GW$103,Männer!$G$9:$J$102,4),Rundäx)</f>
        <v>0.77500000000000002</v>
      </c>
      <c r="GX10" s="24">
        <f>ROUND(SUM(FS10:FS$56)/VLOOKUP($FM10,$AQ$9:$AR$102,2)/VLOOKUP($FM10-GX$103,Männer!$G$9:$J$102,4),Rundäx)</f>
        <v>0.86399999999999999</v>
      </c>
      <c r="GY10" s="24">
        <f>ROUND(SUM(FT10:FT$56)/VLOOKUP($FM10,$AQ$9:$AR$102,2)/VLOOKUP($FM10-GY$103,Männer!$G$9:$J$102,4),Rundäx)</f>
        <v>0.96099999999999997</v>
      </c>
      <c r="GZ10" s="24">
        <f>ROUND(SUM(FU10:FU$56)/VLOOKUP($FM10,$AQ$9:$AR$102,2)/VLOOKUP($FM10-GZ$103,Männer!$G$9:$J$102,4),Rundäx)</f>
        <v>1.0669999999999999</v>
      </c>
      <c r="HA10" s="89"/>
      <c r="HB10" s="9">
        <f>1+HB9</f>
        <v>65</v>
      </c>
      <c r="HC10" s="24">
        <f>ROUND(SUM(FV10:FV$56)/VLOOKUP($FM10,$AQ$9:$AR$102,2)/VLOOKUP($FM10-HC$103,Männer!$G$9:$J$102,4),Rundäx)</f>
        <v>1.1819999999999999</v>
      </c>
      <c r="HD10" s="24">
        <f>ROUND(SUM(FW10:FW$56)/VLOOKUP($FM10,$AQ$9:$AR$102,2)/VLOOKUP($FM10-HD$103,Männer!$G$9:$J$102,4),Rundäx)</f>
        <v>1.3049999999999999</v>
      </c>
      <c r="HE10" s="24">
        <f>ROUND(SUM(FX10:FX$56)/VLOOKUP($FM10,$AQ$9:$AR$102,2)/VLOOKUP($FM10-HE$103,Männer!$G$9:$J$102,4),Rundäx)</f>
        <v>1.4390000000000001</v>
      </c>
      <c r="HF10" s="24">
        <f>ROUND(SUM(FY10:FY$56)/VLOOKUP($FM10,$AQ$9:$AR$102,2)/VLOOKUP($FM10-HF$103,Männer!$G$9:$J$102,4),Rundäx)</f>
        <v>1.583</v>
      </c>
      <c r="HG10" s="24">
        <f>ROUND(SUM(FZ10:FZ$56)/VLOOKUP($FM10,$AQ$9:$AR$102,2)/VLOOKUP($FM10-HG$103,Männer!$G$9:$J$102,4),Rundäx)</f>
        <v>1.7370000000000001</v>
      </c>
      <c r="HH10" s="24">
        <f>ROUND(SUM(GA10:GA$56)/VLOOKUP($FM10,$AQ$9:$AR$102,2)/VLOOKUP($FM10-HH$103,Männer!$G$9:$J$102,4),Rundäx)</f>
        <v>1.901</v>
      </c>
      <c r="HI10" s="24">
        <f>ROUND(SUM(GB10:GB$56)/VLOOKUP($FM10,$AQ$9:$AR$102,2)/VLOOKUP($FM10-HI$103,Männer!$G$9:$J$102,4),Rundäx)</f>
        <v>2.077</v>
      </c>
      <c r="HJ10" s="24">
        <f>ROUND(SUM(GC10:GC$56)/VLOOKUP($FM10,$AQ$9:$AR$102,2)/VLOOKUP($FM10-HJ$103,Männer!$G$9:$J$102,4),Rundäx)</f>
        <v>2.2629999999999999</v>
      </c>
      <c r="HK10" s="89"/>
      <c r="HL10" s="9">
        <f>1+HL9</f>
        <v>65</v>
      </c>
      <c r="HM10" s="24">
        <f>ROUND(SUM(GD10:GD$56)/VLOOKUP($FM10,$AQ$9:$AR$102,2)/VLOOKUP($FM10-HM$103,Männer!$G$9:$J$102,4),Rundäx)</f>
        <v>2.46</v>
      </c>
      <c r="HN10" s="24">
        <f>ROUND(SUM(GE10:GE$56)/VLOOKUP($FM10,$AQ$9:$AR$102,2)/VLOOKUP($FM10-HN$103,Männer!$G$9:$J$102,4),Rundäx)</f>
        <v>2.6669999999999998</v>
      </c>
      <c r="HO10" s="24">
        <f>ROUND(SUM(GF10:GF$56)/VLOOKUP($FM10,$AQ$9:$AR$102,2)/VLOOKUP($FM10-HO$103,Männer!$G$9:$J$102,4),Rundäx)</f>
        <v>2.8860000000000001</v>
      </c>
      <c r="HP10" s="24">
        <f>ROUND(SUM(GG10:GG$56)/VLOOKUP($FM10,$AQ$9:$AR$102,2)/VLOOKUP($FM10-HP$103,Männer!$G$9:$J$102,4),Rundäx)</f>
        <v>3.1150000000000002</v>
      </c>
      <c r="HQ10" s="24">
        <f>ROUND(SUM(GH10:GH$56)/VLOOKUP($FM10,$AQ$9:$AR$102,2)/VLOOKUP($FM10-HQ$103,Männer!$G$9:$J$102,4),Rundäx)</f>
        <v>3.3559999999999999</v>
      </c>
      <c r="HR10" s="24">
        <f>ROUND(SUM(GI10:GI$56)/VLOOKUP($FM10,$AQ$9:$AR$102,2)/VLOOKUP($FM10-HR$103,Männer!$G$9:$J$102,4),Rundäx)</f>
        <v>3.6059999999999999</v>
      </c>
      <c r="HS10" s="24">
        <f>ROUND(SUM(GJ10:GJ$56)/VLOOKUP($FM10,$AQ$9:$AR$102,2)/VLOOKUP($FM10-HS$103,Männer!$G$9:$J$102,4),Rundäx)</f>
        <v>3.867</v>
      </c>
      <c r="HT10" s="24">
        <f>ROUND(SUM(GK10:GK$56)/VLOOKUP($FM10,$AQ$9:$AR$102,2)/VLOOKUP($FM10-HT$103,Männer!$G$9:$J$102,4),Rundäx)</f>
        <v>4.1379999999999999</v>
      </c>
      <c r="HU10" s="89"/>
      <c r="HV10" s="9">
        <f>1+HV9</f>
        <v>65</v>
      </c>
      <c r="HW10" s="24">
        <f>ROUND(SUM(GL10:GL$56)/VLOOKUP($FM10,$AQ$9:$AR$102,2)/VLOOKUP($FM10-HW$103,Männer!$G$9:$J$102,4),Rundäx)</f>
        <v>4.4180000000000001</v>
      </c>
      <c r="HX10" s="24">
        <f>ROUND(SUM(GM10:GM$56)/VLOOKUP($FM10,$AQ$9:$AR$102,2)/VLOOKUP($FM10-HX$103,Männer!$G$9:$J$102,4),Rundäx)</f>
        <v>4.7069999999999999</v>
      </c>
      <c r="HY10" s="24">
        <f>ROUND(SUM(GN10:GN$56)/VLOOKUP($FM10,$AQ$9:$AR$102,2)/VLOOKUP($FM10-HY$103,Männer!$G$9:$J$102,4),Rundäx)</f>
        <v>5.0030000000000001</v>
      </c>
      <c r="HZ10" s="24">
        <f>ROUND(SUM(GO10:GO$56)/VLOOKUP($FM10,$AQ$9:$AR$102,2)/VLOOKUP($FM10-HZ$103,Männer!$G$9:$J$102,4),Rundäx)</f>
        <v>5.3049999999999997</v>
      </c>
      <c r="IA10" s="24">
        <f>ROUND(SUM(GP10:GP$56)/VLOOKUP($FM10,$AQ$9:$AR$102,2)/VLOOKUP($FM10-IA$103,Männer!$G$9:$J$102,4),Rundäx)</f>
        <v>5.6130000000000004</v>
      </c>
      <c r="IB10" s="24">
        <f>ROUND(SUM(GQ10:GQ$56)/VLOOKUP($FM10,$AQ$9:$AR$102,2)/VLOOKUP($FM10-IB$103,Männer!$G$9:$J$102,4),Rundäx)</f>
        <v>5.9260000000000002</v>
      </c>
      <c r="IC10" s="24">
        <f>ROUND(SUM(GR10:GR$56)/VLOOKUP($FM10,$AQ$9:$AR$102,2)/VLOOKUP($FM10-IC$103,Männer!$G$9:$J$102,4),Rundäx)</f>
        <v>6.2430000000000003</v>
      </c>
      <c r="ID10" s="89"/>
      <c r="IE10" s="9">
        <f>1+IE9</f>
        <v>18</v>
      </c>
      <c r="IF10" s="11">
        <f t="shared" ref="IF10:IF73" si="25">IF($IE10&lt;RAF,IF(S11&lt;=RAK,ROUND(v^($IE10+FaktorAlter)*$H10*($B10*0.5*($R10+$R11)*(VLOOKUP(TRUNC(0.5*($S10+$S11),0),$BF$9:$BH$102,3)+(0.5*($S10+$S11)-TRUNC(0.5*($S10+$S11),0))*(VLOOKUP(TRUNC(0.5*($S10+$S11)+1,0),$BF$9:$BH$102,3)-VLOOKUP(TRUNC(0.5*($S10+$S11),0),$BF$9:$BH$102,3)))+$C10*0.5*($IL10+$IL11)),RundDx),0),"")</f>
        <v>7</v>
      </c>
      <c r="IG10" s="11">
        <f>IF($IE10&lt;RAF,IF(S11&lt;=RAK,ROUND(SUM(IF10:INDEX(Daky,RAF-BeginnAlter))+INDEX(Day,RAF-BeginnAlter+1)*INDEX(äky,1),RundDx),0),"")</f>
        <v>6437</v>
      </c>
      <c r="IH10" s="11">
        <f>IF($IE10&lt;RAF,IF(S11&lt;=RAK,ROUND(SUM(IG10:INDEX(Naky,RAF-BeginnAlter))+INDEX(Day,RAF-BeginnAlter+1)*INDEX(äky,1),RundDx),0),"")</f>
        <v>127469</v>
      </c>
      <c r="II10" s="10">
        <f t="shared" ref="II10:II73" si="26">IF($IE10&lt;RAF,IF(S11&lt;=RAK,ROUND(IG10/$Y10,Rundäx),0),"")</f>
        <v>9.6000000000000002E-2</v>
      </c>
      <c r="IJ10" s="11">
        <f t="shared" ref="IJ10:IJ73" si="27">IF($IE10&lt;RAF,IF(S11&lt;=RAK,ROUND(v^($IE10+FaktorAlter)*$L10*$D10*0.5*($R10+$R11)*(VLOOKUP(TRUNC(0.5*($S10+$S11),0),$BF$9:$BH$102,3)+(0.5*($S10+$S11)-TRUNC(0.5*($S10+$S11),0))*(VLOOKUP(TRUNC(0.5*($S10+$S11)+1,0),$BF$9:$BH$102,3)-VLOOKUP(TRUNC(0.5*($S10+$S11),0),$BF$9:$BH$102,3))),RundDx),0),"")</f>
        <v>5</v>
      </c>
      <c r="IK10" s="11">
        <f>IF($IE10&lt;RAF,IF(S11&lt;=RAK,SUM(IJ10:INDEX(Diky,RAF-BeginnAlter))+INDEX(Diy,RAF-BeginnAlter+1)*INDEX(äky,1),0),"")</f>
        <v>233545</v>
      </c>
      <c r="IL10" s="10">
        <f t="shared" ref="IL10:IL73" si="28">IF($IE10&lt;RAF,IF(S11&lt;=RAK,ROUND(IK10/$AI10,Rundäx),0),IF(IE10&gt;RAF,"",INDEX(äky,1)))</f>
        <v>1.544</v>
      </c>
      <c r="IM10" s="89"/>
      <c r="IN10" s="9">
        <f t="shared" ref="IN10:IN73" si="29">1+IN9</f>
        <v>65</v>
      </c>
      <c r="IO10" s="25">
        <f t="shared" si="2"/>
        <v>1</v>
      </c>
      <c r="IP10" s="11">
        <f>IF(AND(VLOOKUP(IN10+1,O$9:S$102,5)&lt;=RAK,VLOOKUP(IN10+1,O$9:S$102,5)&lt;&gt;""),SUM(IO10:IO$102),0)</f>
        <v>3</v>
      </c>
      <c r="IQ10" s="10">
        <f t="shared" si="3"/>
        <v>0</v>
      </c>
      <c r="IR10" s="86"/>
    </row>
    <row r="11" spans="1:252" ht="15.75" customHeight="1" x14ac:dyDescent="0.25">
      <c r="A11" s="9">
        <f t="shared" si="4"/>
        <v>19</v>
      </c>
      <c r="B11" s="93">
        <v>1.2308512291999787E-4</v>
      </c>
      <c r="C11" s="93">
        <v>8.9994460920210019E-5</v>
      </c>
      <c r="D11" s="93">
        <v>9.4883480693243975E-3</v>
      </c>
      <c r="E11" s="93">
        <v>1.2002280433287549E-4</v>
      </c>
      <c r="F11" s="89"/>
      <c r="G11" s="9">
        <f t="shared" si="5"/>
        <v>19</v>
      </c>
      <c r="H11" s="11">
        <f t="shared" ref="H11:H74" si="30">IF(G11&lt;=RAF,ROUND(H10*(1-B10-C10),Rundlx),"")</f>
        <v>99969</v>
      </c>
      <c r="I11" s="25">
        <f t="shared" ref="I11:I74" si="31">IF(G11&lt;=RAF,ROUND(H10*C10*(1-D10)/(1-0.5*D10)+I10*(1-D10),RundIx),"")</f>
        <v>12</v>
      </c>
      <c r="J11" s="25">
        <f t="shared" ref="J11:J74" si="32">IF(G11&lt;=RAF,H11+I11,ROUND(J10*(1-E10),Rundlx))</f>
        <v>99981</v>
      </c>
      <c r="K11" s="30">
        <f>IF(J11&gt;0,ROUND(SUM(J11:J$102)/J11-0.5,Rundex),"")</f>
        <v>63.09</v>
      </c>
      <c r="L11" s="25">
        <f t="shared" si="6"/>
        <v>224066</v>
      </c>
      <c r="M11" s="30">
        <f>IF(L11&gt;0,ROUND(SUM(L11:L$102)/L11-0.5,Rundex),"")</f>
        <v>38.729999999999997</v>
      </c>
      <c r="N11" s="89"/>
      <c r="O11" s="9">
        <f>1+O10</f>
        <v>19</v>
      </c>
      <c r="P11" s="94">
        <v>5.4219623644647455E-2</v>
      </c>
      <c r="Q11" s="95">
        <v>23.516687506913872</v>
      </c>
      <c r="R11" s="94">
        <v>4.599999999999986E-4</v>
      </c>
      <c r="S11" s="95">
        <v>0.03</v>
      </c>
      <c r="T11" s="28">
        <v>1.2002280433287549E-4</v>
      </c>
      <c r="U11" s="11">
        <f t="shared" ref="U11:U74" si="33">ROUND(U10*(1-T10),Rundlx)</f>
        <v>99981</v>
      </c>
      <c r="V11" s="30">
        <f>IF(U11&gt;0,ROUND(SUM(U11:U$102)/U11-0.5,Rundex),"")</f>
        <v>64.38</v>
      </c>
      <c r="W11" s="89"/>
      <c r="X11" s="9">
        <f>1+X10</f>
        <v>19</v>
      </c>
      <c r="Y11" s="11">
        <f t="shared" ref="Y11:Y74" si="34">IF($X11&lt;=RAF,ROUND(v^X11*H11,RundDx)," ")</f>
        <v>65503</v>
      </c>
      <c r="Z11" s="11">
        <f>IF($X11&lt;RAF,SUM(Y11:INDEX(Day,RAF-BeginnAlter))," ")</f>
        <v>1784183</v>
      </c>
      <c r="AA11" s="11">
        <f t="shared" si="0"/>
        <v>8</v>
      </c>
      <c r="AB11" s="11">
        <f>IF($X11&lt;RAF,SUM(AA11:INDEX(Cay,RAF-BeginnAlter))," ")</f>
        <v>1474</v>
      </c>
      <c r="AC11" s="11">
        <f t="shared" si="1"/>
        <v>6</v>
      </c>
      <c r="AD11" s="11">
        <f>IF($X11&lt;RAF,SUM(AC11:INDEX(Caiy,RAF-BeginnAlter))," ")</f>
        <v>8506</v>
      </c>
      <c r="AE11" s="10">
        <f t="shared" ref="AE11:AE74" si="35">IF($X11&lt;RAF,ROUND(Z11/Y11,Rundäx)," ")</f>
        <v>27.238</v>
      </c>
      <c r="AF11" s="10">
        <f t="shared" ref="AF11:AF74" si="36">IF($X11&lt;RAF,ROUND(AE11-(m-1)/(2*m)*((Y11-INDEX(Day,RAF-BeginnAlter+1))/Y11),Rundäx)," ")</f>
        <v>26.893999999999998</v>
      </c>
      <c r="AG11" s="89"/>
      <c r="AH11" s="9">
        <f>1+AH10</f>
        <v>19</v>
      </c>
      <c r="AI11" s="11">
        <f t="shared" ref="AI11:AI74" si="37">IF($AH11&lt;=RAF,ROUND(v^AH11*L11,RundDx)," ")</f>
        <v>146816</v>
      </c>
      <c r="AJ11" s="11">
        <f>IF($AH11&gt;RAF," ",IF($AH11&lt;RAF,SUM(AI11:INDEX(Diy,RAF-BeginnAlter))+INDEX(Ny,RAF-BeginnAlter+1),INDEX(Ny,RAF-BeginnAlter+1)))</f>
        <v>3444282</v>
      </c>
      <c r="AK11" s="11">
        <f>IF($AH11&lt;RAF,SUM(AI11:INDEX(Diy,RAF-BeginnAlter))," ")</f>
        <v>3078188</v>
      </c>
      <c r="AL11" s="10">
        <f t="shared" ref="AL11:AL74" si="38">IF($AH11&gt;RAF," ",ROUND(AJ11/AI11,Rundäx))</f>
        <v>23.46</v>
      </c>
      <c r="AM11" s="10">
        <f t="shared" ref="AM11:AM74" si="39">IF($AH11&gt;RAF," ",ROUND(AJ11/AI11-(m-1)/(2*m),Rundäx))</f>
        <v>23.001999999999999</v>
      </c>
      <c r="AN11" s="10">
        <f t="shared" ref="AN11:AN74" si="40">IF($AH11&lt;RAF,ROUND(AK11/AI11,Rundäx)," ")</f>
        <v>20.966000000000001</v>
      </c>
      <c r="AO11" s="10">
        <f t="shared" ref="AO11:AO74" si="41">IF($AH11&lt;RAF,ROUND(AK11/AI11-(m-1)/(2*m)*(AI11-INDEX(Diy,RAF-BeginnAlter+1))/AI11,Rundäx)," ")</f>
        <v>20.576000000000001</v>
      </c>
      <c r="AP11" s="89"/>
      <c r="AQ11" s="9">
        <f>1+AQ10</f>
        <v>19</v>
      </c>
      <c r="AR11" s="11">
        <f t="shared" ref="AR11:AR74" si="42">ROUND(v^AQ11*J11,RundDx)</f>
        <v>65511</v>
      </c>
      <c r="AS11" s="11">
        <f>SUM(AR11:AR$96)</f>
        <v>2219563</v>
      </c>
      <c r="AT11" s="25">
        <f>IF($AQ11&lt;RAF,SUM(AR11:INDEX(Dy,RAF-BeginnAlter))," ")</f>
        <v>1853469</v>
      </c>
      <c r="AU11" s="24">
        <f t="shared" ref="AU11:AU74" si="43">IF(AR11&gt;0,ROUND(AS11/AR11,Rundäx)," ")</f>
        <v>33.881</v>
      </c>
      <c r="AV11" s="24">
        <f t="shared" ref="AV11:AV74" si="44">IF(AR11&gt;0,ROUND(AS11/AR11-(m-1)/(2*m),Rundäx)," ")</f>
        <v>33.421999999999997</v>
      </c>
      <c r="AW11" s="24">
        <f t="shared" ref="AW11:AW74" si="45">IF($AQ11&lt;RAF,ROUND(AT11/AR11,Rundäx)," ")</f>
        <v>28.292000000000002</v>
      </c>
      <c r="AX11" s="24">
        <f t="shared" ref="AX11:AX74" si="46">IF($AQ11&lt;RAF,ROUND(AT11/AR11-(m-1)/(2*m)*(AR11-INDEX(Dy,RAF-BeginnAlter+1))/AR11,Rundäx)," ")</f>
        <v>27.986000000000001</v>
      </c>
      <c r="AY11" s="89"/>
      <c r="AZ11" s="9">
        <f>1+AZ10</f>
        <v>19</v>
      </c>
      <c r="BA11" s="11">
        <f t="shared" ref="BA11:BA74" si="47">ROUND(v^AZ11*U11,0)</f>
        <v>65511</v>
      </c>
      <c r="BB11" s="11">
        <f>SUM(BA11:BA$96)</f>
        <v>2242352</v>
      </c>
      <c r="BC11" s="10">
        <f t="shared" ref="BC11:BC74" si="48">IF(BA11&gt;0,ROUND(BB11/BA11,Rundäx)," ")</f>
        <v>34.228999999999999</v>
      </c>
      <c r="BD11" s="10">
        <f t="shared" si="7"/>
        <v>33.770000000000003</v>
      </c>
      <c r="BE11" s="89"/>
      <c r="BF11" s="9">
        <f>1+BF10</f>
        <v>2</v>
      </c>
      <c r="BG11" s="10">
        <f t="shared" si="8"/>
        <v>18.202999999999999</v>
      </c>
      <c r="BH11" s="10">
        <f t="shared" si="9"/>
        <v>18.02</v>
      </c>
      <c r="BI11" s="89"/>
      <c r="BJ11" s="9">
        <f>1+BJ10</f>
        <v>19</v>
      </c>
      <c r="BK11" s="11">
        <f t="shared" si="10"/>
        <v>133</v>
      </c>
      <c r="BL11" s="11">
        <f>IF(BJ11&lt;RAF,SUM(BK11:INDEX(Daiy,RAF-BeginnAlter))," ")</f>
        <v>159925</v>
      </c>
      <c r="BM11" s="11">
        <f>IF(BJ11&lt;RAF,SUM(BL11:INDEX(Naiy,RAF-BeginnAlter))," ")</f>
        <v>5136922</v>
      </c>
      <c r="BN11" s="10">
        <f t="shared" si="11"/>
        <v>4.0940000000000003</v>
      </c>
      <c r="BO11" s="10">
        <f t="shared" si="12"/>
        <v>2.4409999999999998</v>
      </c>
      <c r="BP11" s="89"/>
      <c r="BQ11" s="9">
        <f>1+BQ10</f>
        <v>19</v>
      </c>
      <c r="BR11" s="11">
        <f t="shared" si="13"/>
        <v>119</v>
      </c>
      <c r="BS11" s="11">
        <f>IF(BQ11&lt;RAF,SUM(BR11:INDEX(Daiys,RAF-BeginnAlter))," ")</f>
        <v>71998</v>
      </c>
      <c r="BT11" s="11">
        <f>IF(BQ11&lt;RAF,SUM(BS11:INDEX(Naiys,RAF-BeginnAlter))," ")</f>
        <v>1908583</v>
      </c>
      <c r="BU11" s="10">
        <f t="shared" si="14"/>
        <v>5.4359999999999999</v>
      </c>
      <c r="BV11" s="10">
        <f t="shared" si="15"/>
        <v>1.099</v>
      </c>
      <c r="BW11" s="89"/>
      <c r="BX11" s="9">
        <f>1+BX10</f>
        <v>19</v>
      </c>
      <c r="BY11" s="10">
        <f t="shared" si="16"/>
        <v>15.585584528438647</v>
      </c>
      <c r="BZ11" s="11">
        <f t="shared" si="17"/>
        <v>0</v>
      </c>
      <c r="CA11" s="11">
        <f>IF(S12&lt;=RAK,IF($BX11&lt;RAF,SUM(BZ11:INDEX(Dazy,RAF-BeginnAlter)),""),"")</f>
        <v>16256</v>
      </c>
      <c r="CB11" s="10">
        <f t="shared" si="18"/>
        <v>0.248</v>
      </c>
      <c r="CC11" s="11">
        <f t="shared" si="19"/>
        <v>37006</v>
      </c>
      <c r="CD11" s="10">
        <f t="shared" si="20"/>
        <v>25.38</v>
      </c>
      <c r="CE11" s="10">
        <f t="shared" si="21"/>
        <v>2E-3</v>
      </c>
      <c r="CF11" s="89"/>
      <c r="CG11" s="9">
        <f>1+CG10</f>
        <v>19</v>
      </c>
      <c r="CH11" s="11">
        <f>IF(CG11&lt;RAF,ROUND(v^($CG11+FaktorAlter)*$H11*($B11*0.5*($P11+$P12)*(VLOOKUP(TRUNC(0.5*($Q11+$Q12),0),Männer!$AZ$9:$BD$95,5)+(0.5*($Q11+$Q12)-TRUNC(0.5*($Q11+$Q12),0))*(VLOOKUP(TRUNC(0.5*($Q11+$Q12)+1,0),Männer!$AZ$9:$BD$95,5)-VLOOKUP(TRUNC(0.5*($Q11+$Q12),0),Männer!$AZ$9:$BD$95,5)))+$C11*0.5*($CN11+$CN12)),RundDx),"")</f>
        <v>24</v>
      </c>
      <c r="CI11" s="11">
        <f>IF(CG11&lt;RAF,ROUND(SUM(CH11:INDEX(Dawy,RAF-BeginnAlter))+INDEX(Day,RAF-BeginnAlter+1)*INDEX(äwy,1),RundDx),"")</f>
        <v>14479</v>
      </c>
      <c r="CJ11" s="11">
        <f>IF(CG11&lt;RAF,ROUND(SUM(CI11:INDEX(Nawy,RAF-BeginnAlter))+INDEX(Day,RAF-BeginnAlter+1)*INDEX(äwy,1),RundDx),"")</f>
        <v>425129</v>
      </c>
      <c r="CK11" s="10">
        <f t="shared" si="22"/>
        <v>0.221</v>
      </c>
      <c r="CL11" s="11">
        <f>IF(CG11&lt;RAF,ROUND(v^($CG11+FaktorAlter)*$L11*$D11*0.5*($P11+$P12)*(VLOOKUP(TRUNC(0.5*($Q11+$Q12),0),Männer!$AZ$9:$BD$95,5)+(0.5*($Q11+$Q12)-TRUNC(0.5*($Q11+$Q12),0))*(VLOOKUP(TRUNC(0.5*($Q11+$Q12)+1,0),Männer!$AZ$9:$BD$95,5)-VLOOKUP(TRUNC(0.5*($Q11+$Q12),0),Männer!$AZ$9:$BD$95,5))),RundDx),"")</f>
        <v>2449</v>
      </c>
      <c r="CM11" s="11">
        <f>IF(CG11&lt;RAF,SUM(CL11:INDEX(Diwy,RAF-BeginnAlter))+INDEX(Diy,RAF-BeginnAlter+1)*INDEX(äwy,1),"")</f>
        <v>250661.304</v>
      </c>
      <c r="CN11" s="10">
        <f t="shared" si="23"/>
        <v>1.7070000000000001</v>
      </c>
      <c r="CO11" s="89"/>
      <c r="CP11" s="9">
        <f>1+CP10</f>
        <v>66</v>
      </c>
      <c r="CQ11" s="11">
        <f>ROUND(v^($CP11+FaktorAlter)*VLOOKUP(CP11,G$9:J$102,4)*VLOOKUP(CP11,A$9:E$102,5)*0.5*(VLOOKUP(CP11,O$9:P$102,2)+VLOOKUP(CP11+1,O$9:P$102,2))*(VLOOKUP(TRUNC(0.5*(VLOOKUP(CP11,O$9:Q$102,3)+VLOOKUP(CP11+1,O$9:Q$102,3)),0),Männer!$AZ$9:$BD$95,5)+(0.5*(VLOOKUP(CP11,O$9:Q$102,3)+VLOOKUP(CP11+1,O$9:Q$102,3))-TRUNC(0.5*(VLOOKUP(CP11,O$9:Q$102,3)+VLOOKUP(CP11+1,O$9:Q$102,3)),0))*(VLOOKUP(TRUNC(0.5*(VLOOKUP(CP11,O$9:Q$102,3)+VLOOKUP(CP11+1,O$9:Q$102,3))+1,0),Männer!$AZ$9:$BD$95,5)-VLOOKUP(TRUNC(0.5*(VLOOKUP(CP11,O$9:Q$102,3)+VLOOKUP(CP11+1,O$9:Q$102,3)),0),Männer!$AZ$9:$BD$95,5))),RundDx)</f>
        <v>277</v>
      </c>
      <c r="CR11" s="11">
        <f>SUM(CQ11:CQ$56)</f>
        <v>1871</v>
      </c>
      <c r="CS11" s="24">
        <f t="shared" si="24"/>
        <v>9.1999999999999998E-2</v>
      </c>
      <c r="CT11" s="89"/>
      <c r="CU11" s="9">
        <f>1+CU10</f>
        <v>19</v>
      </c>
      <c r="CV11" s="25">
        <f>IF($CU11&gt;=RAF,"",IF($CU11-CV$103&lt;BeginnAlter,"",ROUND(v^($CU11+FaktorAlter)*$L11*$D11*0.5*(VLOOKUP($CU11-CV$103,Männer!$G$9:$J$102,4)+VLOOKUP($CU11-CV$103+1,Männer!$G$9:$J$102,4))*0.5*(VLOOKUP($CU11-CV$103,Männer!$AZ$9:$BD$102,5)+VLOOKUP($CU11-CV$103+1,Männer!$AZ$9:$BD$102,5)),RundDx)))</f>
        <v>3662511912</v>
      </c>
      <c r="CW11" s="25">
        <f>IF($CU11&gt;=RAF,"",IF($CU11-CW$103&lt;BeginnAlter,"",ROUND(v^($CU11+FaktorAlter)*$L11*$D11*0.5*(VLOOKUP($CU11-CW$103,Männer!$G$9:$J$102,4)+VLOOKUP($CU11-CW$103+1,Männer!$G$9:$J$102,4))*0.5*(VLOOKUP($CU11-CW$103,Männer!$AZ$9:$BD$102,5)+VLOOKUP($CU11-CW$103+1,Männer!$AZ$9:$BD$102,5)),RundDx)))</f>
        <v>3716863883</v>
      </c>
      <c r="CX11" s="25">
        <f>IF($CU11&gt;=RAF,"",IF($CU11-CX$103&lt;BeginnAlter,"",ROUND(v^($CU11+FaktorAlter)*$L11*$D11*0.5*(VLOOKUP($CU11-CX$103,Männer!$G$9:$J$102,4)+VLOOKUP($CU11-CX$103+1,Männer!$G$9:$J$102,4))*0.5*(VLOOKUP($CU11-CX$103,Männer!$AZ$9:$BD$102,5)+VLOOKUP($CU11-CX$103+1,Männer!$AZ$9:$BD$102,5)),RundDx)))</f>
        <v>3770135049</v>
      </c>
      <c r="CY11" s="25">
        <f>IF($CU11&gt;=RAF,"",IF($CU11-CY$103&lt;BeginnAlter,"",ROUND(v^($CU11+FaktorAlter)*$L11*$D11*0.5*(VLOOKUP($CU11-CY$103,Männer!$G$9:$J$102,4)+VLOOKUP($CU11-CY$103+1,Männer!$G$9:$J$102,4))*0.5*(VLOOKUP($CU11-CY$103,Männer!$AZ$9:$BD$102,5)+VLOOKUP($CU11-CY$103+1,Männer!$AZ$9:$BD$102,5)),RundDx)))</f>
        <v>3822353378</v>
      </c>
      <c r="CZ11" s="25">
        <f>IF($CU11&gt;=RAF,"",IF($CU11-CZ$103&lt;BeginnAlter,"",ROUND(v^($CU11+FaktorAlter)*$L11*$D11*0.5*(VLOOKUP($CU11-CZ$103,Männer!$G$9:$J$102,4)+VLOOKUP($CU11-CZ$103+1,Männer!$G$9:$J$102,4))*0.5*(VLOOKUP($CU11-CZ$103,Männer!$AZ$9:$BD$102,5)+VLOOKUP($CU11-CZ$103+1,Männer!$AZ$9:$BD$102,5)),RundDx)))</f>
        <v>3873529592</v>
      </c>
      <c r="DA11" s="25">
        <f>IF($CU11&gt;=RAF,"",IF($CU11-DA$103&lt;BeginnAlter,"",ROUND(v^($CU11+FaktorAlter)*$L11*$D11*0.5*(VLOOKUP($CU11-DA$103,Männer!$G$9:$J$102,4)+VLOOKUP($CU11-DA$103+1,Männer!$G$9:$J$102,4))*0.5*(VLOOKUP($CU11-DA$103,Männer!$AZ$9:$BD$102,5)+VLOOKUP($CU11-DA$103+1,Männer!$AZ$9:$BD$102,5)),RundDx)))</f>
        <v>3923646767</v>
      </c>
      <c r="DB11" s="25">
        <f>IF($CU11&gt;=RAF,"",IF($CU11-DB$103&lt;BeginnAlter,"",ROUND(v^($CU11+FaktorAlter)*$L11*$D11*0.5*(VLOOKUP($CU11-DB$103,Männer!$G$9:$J$102,4)+VLOOKUP($CU11-DB$103+1,Männer!$G$9:$J$102,4))*0.5*(VLOOKUP($CU11-DB$103,Männer!$AZ$9:$BD$102,5)+VLOOKUP($CU11-DB$103+1,Männer!$AZ$9:$BD$102,5)),RundDx)))</f>
        <v>3972759288</v>
      </c>
      <c r="DC11" s="25">
        <f>IF($CU11&gt;=RAF,"",IF($CU11-DC$103&lt;BeginnAlter,"",ROUND(v^($CU11+FaktorAlter)*$L11*$D11*0.5*(VLOOKUP($CU11-DC$103,Männer!$G$9:$J$102,4)+VLOOKUP($CU11-DC$103+1,Männer!$G$9:$J$102,4))*0.5*(VLOOKUP($CU11-DC$103,Männer!$AZ$9:$BD$102,5)+VLOOKUP($CU11-DC$103+1,Männer!$AZ$9:$BD$102,5)),RundDx)))</f>
        <v>4020835750</v>
      </c>
      <c r="DD11" s="25">
        <f>IF($CU11&gt;=RAF,"",IF($CU11-DD$103&lt;BeginnAlter,"",ROUND(v^($CU11+FaktorAlter)*$L11*$D11*0.5*(VLOOKUP($CU11-DD$103,Männer!$G$9:$J$102,4)+VLOOKUP($CU11-DD$103+1,Männer!$G$9:$J$102,4))*0.5*(VLOOKUP($CU11-DD$103,Männer!$AZ$9:$BD$102,5)+VLOOKUP($CU11-DD$103+1,Männer!$AZ$9:$BD$102,5)),RundDx)))</f>
        <v>4068003914</v>
      </c>
      <c r="DE11" s="25">
        <f>IF($CU11&gt;=RAF,"",IF($CU11-DE$103&lt;BeginnAlter,"",ROUND(v^($CU11+FaktorAlter)*$L11*$D11*0.5*(VLOOKUP($CU11-DE$103,Männer!$G$9:$J$102,4)+VLOOKUP($CU11-DE$103+1,Männer!$G$9:$J$102,4))*0.5*(VLOOKUP($CU11-DE$103,Männer!$AZ$9:$BD$102,5)+VLOOKUP($CU11-DE$103+1,Männer!$AZ$9:$BD$102,5)),RundDx)))</f>
        <v>4114243114</v>
      </c>
      <c r="DF11" s="25">
        <f>IF($CU11&gt;=RAF,"",IF($CU11-DF$103&lt;BeginnAlter,"",ROUND(v^($CU11+FaktorAlter)*$L11*$D11*0.5*(VLOOKUP($CU11-DF$103,Männer!$G$9:$J$102,4)+VLOOKUP($CU11-DF$103+1,Männer!$G$9:$J$102,4))*0.5*(VLOOKUP($CU11-DF$103,Männer!$AZ$9:$BD$102,5)+VLOOKUP($CU11-DF$103+1,Männer!$AZ$9:$BD$102,5)),RundDx)))</f>
        <v>4159436269</v>
      </c>
      <c r="DG11" s="25">
        <f>IF($CU11&gt;=RAF,"",IF($CU11-DG$103&lt;BeginnAlter,"",ROUND(v^($CU11+FaktorAlter)*$L11*$D11*0.5*(VLOOKUP($CU11-DG$103,Männer!$G$9:$J$102,4)+VLOOKUP($CU11-DG$103+1,Männer!$G$9:$J$102,4))*0.5*(VLOOKUP($CU11-DG$103,Männer!$AZ$9:$BD$102,5)+VLOOKUP($CU11-DG$103+1,Männer!$AZ$9:$BD$102,5)),RundDx)))</f>
        <v>4203788907</v>
      </c>
      <c r="DH11" s="25">
        <f>IF($CU11&gt;=RAF,"",IF($CU11-DH$103&lt;BeginnAlter,"",ROUND(v^($CU11+FaktorAlter)*$L11*$D11*0.5*(VLOOKUP($CU11-DH$103,Männer!$G$9:$J$102,4)+VLOOKUP($CU11-DH$103+1,Männer!$G$9:$J$102,4))*0.5*(VLOOKUP($CU11-DH$103,Männer!$AZ$9:$BD$102,5)+VLOOKUP($CU11-DH$103+1,Männer!$AZ$9:$BD$102,5)),RundDx)))</f>
        <v>4247284454</v>
      </c>
      <c r="DI11" s="25">
        <f>IF($CU11&gt;=RAF,"",IF($CU11-DI$103&lt;BeginnAlter,"",ROUND(v^($CU11+FaktorAlter)*$L11*$D11*0.5*(VLOOKUP($CU11-DI$103,Männer!$G$9:$J$102,4)+VLOOKUP($CU11-DI$103+1,Männer!$G$9:$J$102,4))*0.5*(VLOOKUP($CU11-DI$103,Männer!$AZ$9:$BD$102,5)+VLOOKUP($CU11-DI$103+1,Männer!$AZ$9:$BD$102,5)),RundDx)))</f>
        <v>4289903257</v>
      </c>
      <c r="DJ11" s="25">
        <f>IF($CU11&gt;=RAF,"",IF($CU11-DJ$103&lt;BeginnAlter,"",ROUND(v^($CU11+FaktorAlter)*$L11*$D11*0.5*(VLOOKUP($CU11-DJ$103,Männer!$G$9:$J$102,4)+VLOOKUP($CU11-DJ$103+1,Männer!$G$9:$J$102,4))*0.5*(VLOOKUP($CU11-DJ$103,Männer!$AZ$9:$BD$102,5)+VLOOKUP($CU11-DJ$103+1,Männer!$AZ$9:$BD$102,5)),RundDx)))</f>
        <v>4331669859</v>
      </c>
      <c r="DK11" s="25">
        <f>IF($CU11&gt;=RAF,"",IF($CU11-DK$103&lt;BeginnAlter,"",ROUND(v^($CU11+FaktorAlter)*$L11*$D11*0.5*(VLOOKUP($CU11-DK$103,Männer!$G$9:$J$102,4)+VLOOKUP($CU11-DK$103+1,Männer!$G$9:$J$102,4))*0.5*(VLOOKUP($CU11-DK$103,Männer!$AZ$9:$BD$102,5)+VLOOKUP($CU11-DK$103+1,Männer!$AZ$9:$BD$102,5)),RundDx)))</f>
        <v>4372564835</v>
      </c>
      <c r="DL11" s="25">
        <f>IF($CU11&gt;=RAF,"",IF($CU11-DL$103&lt;BeginnAlter,"",ROUND(v^($CU11+FaktorAlter)*$L11*$D11*0.5*(VLOOKUP($CU11-DL$103,Männer!$G$9:$J$102,4)+VLOOKUP($CU11-DL$103+1,Männer!$G$9:$J$102,4))*0.5*(VLOOKUP($CU11-DL$103,Männer!$AZ$9:$BD$102,5)+VLOOKUP($CU11-DL$103+1,Männer!$AZ$9:$BD$102,5)),RundDx)))</f>
        <v>4412696772</v>
      </c>
      <c r="DM11" s="25">
        <f>IF($CU11&gt;=RAF,"",IF($CU11-DM$103&lt;BeginnAlter,"",ROUND(v^($CU11+FaktorAlter)*$L11*$D11*0.5*(VLOOKUP($CU11-DM$103,Männer!$G$9:$J$102,4)+VLOOKUP($CU11-DM$103+1,Männer!$G$9:$J$102,4))*0.5*(VLOOKUP($CU11-DM$103,Männer!$AZ$9:$BD$102,5)+VLOOKUP($CU11-DM$103+1,Männer!$AZ$9:$BD$102,5)),RundDx)))</f>
        <v>4451978883</v>
      </c>
      <c r="DN11" s="25" t="str">
        <f>IF($CU11&gt;=RAF,"",IF($CU11-DN$103&lt;BeginnAlter,"",ROUND(v^($CU11+FaktorAlter)*$L11*$D11*0.5*(VLOOKUP($CU11-DN$103,Männer!$G$9:$J$102,4)+VLOOKUP($CU11-DN$103+1,Männer!$G$9:$J$102,4))*0.5*(VLOOKUP($CU11-DN$103,Männer!$AZ$9:$BD$102,5)+VLOOKUP($CU11-DN$103+1,Männer!$AZ$9:$BD$102,5)),RundDx)))</f>
        <v/>
      </c>
      <c r="DO11" s="25" t="str">
        <f>IF($CU11&gt;=RAF,"",IF($CU11-DO$103&lt;BeginnAlter,"",ROUND(v^($CU11+FaktorAlter)*$L11*$D11*0.5*(VLOOKUP($CU11-DO$103,Männer!$G$9:$J$102,4)+VLOOKUP($CU11-DO$103+1,Männer!$G$9:$J$102,4))*0.5*(VLOOKUP($CU11-DO$103,Männer!$AZ$9:$BD$102,5)+VLOOKUP($CU11-DO$103+1,Männer!$AZ$9:$BD$102,5)),RundDx)))</f>
        <v/>
      </c>
      <c r="DP11" s="25" t="str">
        <f>IF($CU11&gt;=RAF,"",IF($CU11-DP$103&lt;BeginnAlter,"",ROUND(v^($CU11+FaktorAlter)*$L11*$D11*0.5*(VLOOKUP($CU11-DP$103,Männer!$G$9:$J$102,4)+VLOOKUP($CU11-DP$103+1,Männer!$G$9:$J$102,4))*0.5*(VLOOKUP($CU11-DP$103,Männer!$AZ$9:$BD$102,5)+VLOOKUP($CU11-DP$103+1,Männer!$AZ$9:$BD$102,5)),RundDx)))</f>
        <v/>
      </c>
      <c r="DQ11" s="25" t="str">
        <f>IF($CU11&gt;=RAF,"",IF($CU11-DQ$103&lt;BeginnAlter,"",ROUND(v^($CU11+FaktorAlter)*$L11*$D11*0.5*(VLOOKUP($CU11-DQ$103,Männer!$G$9:$J$102,4)+VLOOKUP($CU11-DQ$103+1,Männer!$G$9:$J$102,4))*0.5*(VLOOKUP($CU11-DQ$103,Männer!$AZ$9:$BD$102,5)+VLOOKUP($CU11-DQ$103+1,Männer!$AZ$9:$BD$102,5)),RundDx)))</f>
        <v/>
      </c>
      <c r="DR11" s="25" t="str">
        <f>IF($CU11&gt;=RAF,"",IF($CU11-DR$103&lt;BeginnAlter,"",ROUND(v^($CU11+FaktorAlter)*$L11*$D11*0.5*(VLOOKUP($CU11-DR$103,Männer!$G$9:$J$102,4)+VLOOKUP($CU11-DR$103+1,Männer!$G$9:$J$102,4))*0.5*(VLOOKUP($CU11-DR$103,Männer!$AZ$9:$BD$102,5)+VLOOKUP($CU11-DR$103+1,Männer!$AZ$9:$BD$102,5)),RundDx)))</f>
        <v/>
      </c>
      <c r="DS11" s="25" t="str">
        <f>IF($CU11&gt;=RAF,"",IF($CU11-DS$103&lt;BeginnAlter,"",ROUND(v^($CU11+FaktorAlter)*$L11*$D11*0.5*(VLOOKUP($CU11-DS$103,Männer!$G$9:$J$102,4)+VLOOKUP($CU11-DS$103+1,Männer!$G$9:$J$102,4))*0.5*(VLOOKUP($CU11-DS$103,Männer!$AZ$9:$BD$102,5)+VLOOKUP($CU11-DS$103+1,Männer!$AZ$9:$BD$102,5)),RundDx)))</f>
        <v/>
      </c>
      <c r="DT11" s="25" t="str">
        <f>IF($CU11&gt;=RAF,"",IF($CU11-DT$103&lt;BeginnAlter,"",ROUND(v^($CU11+FaktorAlter)*$L11*$D11*0.5*(VLOOKUP($CU11-DT$103,Männer!$G$9:$J$102,4)+VLOOKUP($CU11-DT$103+1,Männer!$G$9:$J$102,4))*0.5*(VLOOKUP($CU11-DT$103,Männer!$AZ$9:$BD$102,5)+VLOOKUP($CU11-DT$103+1,Männer!$AZ$9:$BD$102,5)),RundDx)))</f>
        <v/>
      </c>
      <c r="DU11" s="25" t="str">
        <f>IF($CU11&gt;=RAF,"",IF($CU11-DU$103&lt;BeginnAlter,"",ROUND(v^($CU11+FaktorAlter)*$L11*$D11*0.5*(VLOOKUP($CU11-DU$103,Männer!$G$9:$J$102,4)+VLOOKUP($CU11-DU$103+1,Männer!$G$9:$J$102,4))*0.5*(VLOOKUP($CU11-DU$103,Männer!$AZ$9:$BD$102,5)+VLOOKUP($CU11-DU$103+1,Männer!$AZ$9:$BD$102,5)),RundDx)))</f>
        <v/>
      </c>
      <c r="DV11" s="25" t="str">
        <f>IF($CU11&gt;=RAF,"",IF($CU11-DV$103&lt;BeginnAlter,"",ROUND(v^($CU11+FaktorAlter)*$L11*$D11*0.5*(VLOOKUP($CU11-DV$103,Männer!$G$9:$J$102,4)+VLOOKUP($CU11-DV$103+1,Männer!$G$9:$J$102,4))*0.5*(VLOOKUP($CU11-DV$103,Männer!$AZ$9:$BD$102,5)+VLOOKUP($CU11-DV$103+1,Männer!$AZ$9:$BD$102,5)),RundDx)))</f>
        <v/>
      </c>
      <c r="DW11" s="25" t="str">
        <f>IF($CU11&gt;=RAF,"",IF($CU11-DW$103&lt;BeginnAlter,"",ROUND(v^($CU11+FaktorAlter)*$L11*$D11*0.5*(VLOOKUP($CU11-DW$103,Männer!$G$9:$J$102,4)+VLOOKUP($CU11-DW$103+1,Männer!$G$9:$J$102,4))*0.5*(VLOOKUP($CU11-DW$103,Männer!$AZ$9:$BD$102,5)+VLOOKUP($CU11-DW$103+1,Männer!$AZ$9:$BD$102,5)),RundDx)))</f>
        <v/>
      </c>
      <c r="DX11" s="25" t="str">
        <f>IF($CU11&gt;=RAF,"",IF($CU11-DX$103&lt;BeginnAlter,"",ROUND(v^($CU11+FaktorAlter)*$L11*$D11*0.5*(VLOOKUP($CU11-DX$103,Männer!$G$9:$J$102,4)+VLOOKUP($CU11-DX$103+1,Männer!$G$9:$J$102,4))*0.5*(VLOOKUP($CU11-DX$103,Männer!$AZ$9:$BD$102,5)+VLOOKUP($CU11-DX$103+1,Männer!$AZ$9:$BD$102,5)),RundDx)))</f>
        <v/>
      </c>
      <c r="DY11" s="25" t="str">
        <f>IF($CU11&gt;=RAF,"",IF($CU11-DY$103&lt;BeginnAlter,"",ROUND(v^($CU11+FaktorAlter)*$L11*$D11*0.5*(VLOOKUP($CU11-DY$103,Männer!$G$9:$J$102,4)+VLOOKUP($CU11-DY$103+1,Männer!$G$9:$J$102,4))*0.5*(VLOOKUP($CU11-DY$103,Männer!$AZ$9:$BD$102,5)+VLOOKUP($CU11-DY$103+1,Männer!$AZ$9:$BD$102,5)),RundDx)))</f>
        <v/>
      </c>
      <c r="DZ11" s="25" t="str">
        <f>IF($CU11&gt;=RAF,"",IF($CU11-DZ$103&lt;BeginnAlter,"",ROUND(v^($CU11+FaktorAlter)*$L11*$D11*0.5*(VLOOKUP($CU11-DZ$103,Männer!$G$9:$J$102,4)+VLOOKUP($CU11-DZ$103+1,Männer!$G$9:$J$102,4))*0.5*(VLOOKUP($CU11-DZ$103,Männer!$AZ$9:$BD$102,5)+VLOOKUP($CU11-DZ$103+1,Männer!$AZ$9:$BD$102,5)),RundDx)))</f>
        <v/>
      </c>
      <c r="EA11" s="43">
        <f>IF($CU11&gt;=RAF,"",IF($CU11-EA$103&lt;BeginnAlter,"",ROUND((SUM(CV11:CV$56)+SUM(FN$9:FN$56))/VLOOKUP($CU11,$AH$9:$AI$102,2)/VLOOKUP($CU11-EA$103,Männer!$G$9:$J$102,4),Rundäx)))</f>
        <v>7.4580000000000002</v>
      </c>
      <c r="EB11" s="43">
        <f>IF($CU11&gt;=RAF,"",IF($CU11-EB$103&lt;BeginnAlter,"",ROUND((SUM(CW11:CW$56)+SUM(FO$9:FO$56))/VLOOKUP($CU11,$AH$9:$AI$102,2)/VLOOKUP($CU11-EB$103,Männer!$G$9:$J$102,4),Rundäx)))</f>
        <v>7.6580000000000004</v>
      </c>
      <c r="EC11" s="43">
        <f>IF($CU11&gt;=RAF,"",IF($CU11-EC$103&lt;BeginnAlter,"",ROUND((SUM(CX11:CX$56)+SUM(FP$9:FP$56))/VLOOKUP($CU11,$AH$9:$AI$102,2)/VLOOKUP($CU11-EC$103,Männer!$G$9:$J$102,4),Rundäx)))</f>
        <v>7.8570000000000002</v>
      </c>
      <c r="ED11" s="43">
        <f>IF($CU11&gt;=RAF,"",IF($CU11-ED$103&lt;BeginnAlter,"",ROUND((SUM(CY11:CY$56)+SUM(FQ$9:FQ$56))/VLOOKUP($CU11,$AH$9:$AI$102,2)/VLOOKUP($CU11-ED$103,Männer!$G$9:$J$102,4),Rundäx)))</f>
        <v>8.0549999999999997</v>
      </c>
      <c r="EE11" s="43">
        <f>IF($CU11&gt;=RAF,"",IF($CU11-EE$103&lt;BeginnAlter,"",ROUND((SUM(CZ11:CZ$56)+SUM(FR$9:FR$56))/VLOOKUP($CU11,$AH$9:$AI$102,2)/VLOOKUP($CU11-EE$103,Männer!$G$9:$J$102,4),Rundäx)))</f>
        <v>8.2520000000000007</v>
      </c>
      <c r="EF11" s="43">
        <f>IF($CU11&gt;=RAF,"",IF($CU11-EF$103&lt;BeginnAlter,"",ROUND((SUM(DA11:DA$56)+SUM(FS$9:FS$56))/VLOOKUP($CU11,$AH$9:$AI$102,2)/VLOOKUP($CU11-EF$103,Männer!$G$9:$J$102,4),Rundäx)))</f>
        <v>8.4480000000000004</v>
      </c>
      <c r="EG11" s="43">
        <f>IF($CU11&gt;=RAF,"",IF($CU11-EG$103&lt;BeginnAlter,"",ROUND((SUM(DB11:DB$56)+SUM(FT$9:FT$56))/VLOOKUP($CU11,$AH$9:$AI$102,2)/VLOOKUP($CU11-EG$103,Männer!$G$9:$J$102,4),Rundäx)))</f>
        <v>8.6430000000000007</v>
      </c>
      <c r="EH11" s="43">
        <f>IF($CU11&gt;=RAF,"",IF($CU11-EH$103&lt;BeginnAlter,"",ROUND((SUM(DC11:DC$56)+SUM(FU$9:FU$56))/VLOOKUP($CU11,$AH$9:$AI$102,2)/VLOOKUP($CU11-EH$103,Männer!$G$9:$J$102,4),Rundäx)))</f>
        <v>8.8369999999999997</v>
      </c>
      <c r="EI11" s="89"/>
      <c r="EJ11" s="9">
        <f>1+EJ10</f>
        <v>19</v>
      </c>
      <c r="EK11" s="43">
        <f>IF($CU11&gt;=RAF,"",IF($CU11-EK$103&lt;BeginnAlter,"",ROUND((SUM(DD11:DD$56)+SUM(FV$9:FV$56))/VLOOKUP($CU11,$AH$9:$AI$102,2)/VLOOKUP($CU11-EK$103,Männer!$G$9:$J$102,4),Rundäx)))</f>
        <v>9.0299999999999994</v>
      </c>
      <c r="EL11" s="43">
        <f>IF($CU11&gt;=RAF,"",IF($CU11-EL$103&lt;BeginnAlter,"",ROUND((SUM(DE11:DE$56)+SUM(FW$9:FW$56))/VLOOKUP($CU11,$AH$9:$AI$102,2)/VLOOKUP($CU11-EL$103,Männer!$G$9:$J$102,4),Rundäx)))</f>
        <v>9.2210000000000001</v>
      </c>
      <c r="EM11" s="43">
        <f>IF($CU11&gt;=RAF,"",IF($CU11-EM$103&lt;BeginnAlter,"",ROUND((SUM(DF11:DF$56)+SUM(FX$9:FX$56))/VLOOKUP($CU11,$AH$9:$AI$102,2)/VLOOKUP($CU11-EM$103,Männer!$G$9:$J$102,4),Rundäx)))</f>
        <v>9.4109999999999996</v>
      </c>
      <c r="EN11" s="43">
        <f>IF($CU11&gt;=RAF,"",IF($CU11-EN$103&lt;BeginnAlter,"",ROUND((SUM(DG11:DG$56)+SUM(FY$9:FY$56))/VLOOKUP($CU11,$AH$9:$AI$102,2)/VLOOKUP($CU11-EN$103,Männer!$G$9:$J$102,4),Rundäx)))</f>
        <v>9.6</v>
      </c>
      <c r="EO11" s="43">
        <f>IF($CU11&gt;=RAF,"",IF($CU11-EO$103&lt;BeginnAlter,"",ROUND((SUM(DH11:DH$56)+SUM(FZ$9:FZ$56))/VLOOKUP($CU11,$AH$9:$AI$102,2)/VLOOKUP($CU11-EO$103,Männer!$G$9:$J$102,4),Rundäx)))</f>
        <v>9.7880000000000003</v>
      </c>
      <c r="EP11" s="43">
        <f>IF($CU11&gt;=RAF,"",IF($CU11-EP$103&lt;BeginnAlter,"",ROUND((SUM(DI11:DI$56)+SUM(GA$9:GA$56))/VLOOKUP($CU11,$AH$9:$AI$102,2)/VLOOKUP($CU11-EP$103,Männer!$G$9:$J$102,4),Rundäx)))</f>
        <v>9.9749999999999996</v>
      </c>
      <c r="EQ11" s="43">
        <f>IF($CU11&gt;=RAF,"",IF($CU11-EQ$103&lt;BeginnAlter,"",ROUND((SUM(DJ11:DJ$56)+SUM(GB$9:GB$56))/VLOOKUP($CU11,$AH$9:$AI$102,2)/VLOOKUP($CU11-EQ$103,Männer!$G$9:$J$102,4),Rundäx)))</f>
        <v>10.162000000000001</v>
      </c>
      <c r="ER11" s="43">
        <f>IF($CU11&gt;=RAF,"",IF($CU11-ER$103&lt;BeginnAlter,"",ROUND((SUM(DK11:DK$56)+SUM(GC$9:GC$56))/VLOOKUP($CU11,$AH$9:$AI$102,2)/VLOOKUP($CU11-ER$103,Männer!$G$9:$J$102,4),Rundäx)))</f>
        <v>10.349</v>
      </c>
      <c r="ES11" s="89"/>
      <c r="ET11" s="9">
        <f>1+ET10</f>
        <v>19</v>
      </c>
      <c r="EU11" s="43">
        <f>IF($CU11&gt;=RAF,"",IF($CU11-EU$103&lt;BeginnAlter,"",ROUND((SUM(DL11:DL$56)+SUM(GD$9:GD$56))/VLOOKUP($CU11,$AH$9:$AI$102,2)/VLOOKUP($CU11-EU$103,Männer!$G$9:$J$102,4),Rundäx)))</f>
        <v>10.537000000000001</v>
      </c>
      <c r="EV11" s="43">
        <f>IF($CU11&gt;=RAF,"",IF($CU11-EV$103&lt;BeginnAlter,"",ROUND((SUM(DM11:DM$56)+SUM(GE$9:GE$56))/VLOOKUP($CU11,$AH$9:$AI$102,2)/VLOOKUP($CU11-EV$103,Männer!$G$9:$J$102,4),Rundäx)))</f>
        <v>10.725</v>
      </c>
      <c r="EW11" s="43" t="str">
        <f>IF($CU11&gt;=RAF,"",IF($CU11-EW$103&lt;BeginnAlter,"",ROUND((SUM(DN11:DN$56)+SUM(GF$9:GF$56))/VLOOKUP($CU11,$AH$9:$AI$102,2)/VLOOKUP($CU11-EW$103,Männer!$G$9:$J$102,4),Rundäx)))</f>
        <v/>
      </c>
      <c r="EX11" s="43" t="str">
        <f>IF($CU11&gt;=RAF,"",IF($CU11-EX$103&lt;BeginnAlter,"",ROUND((SUM(DO11:DO$56)+SUM(GG$9:GG$56))/VLOOKUP($CU11,$AH$9:$AI$102,2)/VLOOKUP($CU11-EX$103,Männer!$G$9:$J$102,4),Rundäx)))</f>
        <v/>
      </c>
      <c r="EY11" s="43" t="str">
        <f>IF($CU11&gt;=RAF,"",IF($CU11-EY$103&lt;BeginnAlter,"",ROUND((SUM(DP11:DP$56)+SUM(GH$9:GH$56))/VLOOKUP($CU11,$AH$9:$AI$102,2)/VLOOKUP($CU11-EY$103,Männer!$G$9:$J$102,4),Rundäx)))</f>
        <v/>
      </c>
      <c r="EZ11" s="43" t="str">
        <f>IF($CU11&gt;=RAF,"",IF($CU11-EZ$103&lt;BeginnAlter,"",ROUND((SUM(DQ11:DQ$56)+SUM(GI$9:GI$56))/VLOOKUP($CU11,$AH$9:$AI$102,2)/VLOOKUP($CU11-EZ$103,Männer!$G$9:$J$102,4),Rundäx)))</f>
        <v/>
      </c>
      <c r="FA11" s="43" t="str">
        <f>IF($CU11&gt;=RAF,"",IF($CU11-FA$103&lt;BeginnAlter,"",ROUND((SUM(DR11:DR$56)+SUM(GJ$9:GJ$56))/VLOOKUP($CU11,$AH$9:$AI$102,2)/VLOOKUP($CU11-FA$103,Männer!$G$9:$J$102,4),Rundäx)))</f>
        <v/>
      </c>
      <c r="FB11" s="43" t="str">
        <f>IF($CU11&gt;=RAF,"",IF($CU11-FB$103&lt;BeginnAlter,"",ROUND((SUM(DS11:DS$56)+SUM(GK$9:GK$56))/VLOOKUP($CU11,$AH$9:$AI$102,2)/VLOOKUP($CU11-FB$103,Männer!$G$9:$J$102,4),Rundäx)))</f>
        <v/>
      </c>
      <c r="FC11" s="89"/>
      <c r="FD11" s="9">
        <f>1+FD10</f>
        <v>19</v>
      </c>
      <c r="FE11" s="43" t="str">
        <f>IF($CU11&gt;=RAF,"",IF($CU11-FE$103&lt;BeginnAlter,"",ROUND((SUM(DT11:DT$56)+SUM(GL$9:GL$56))/VLOOKUP($CU11,$AH$9:$AI$102,2)/VLOOKUP($CU11-FE$103,Männer!$G$9:$J$102,4),Rundäx)))</f>
        <v/>
      </c>
      <c r="FF11" s="43" t="str">
        <f>IF($CU11&gt;=RAF,"",IF($CU11-FF$103&lt;BeginnAlter,"",ROUND((SUM(DU11:DU$56)+SUM(GM$9:GM$56))/VLOOKUP($CU11,$AH$9:$AI$102,2)/VLOOKUP($CU11-FF$103,Männer!$G$9:$J$102,4),Rundäx)))</f>
        <v/>
      </c>
      <c r="FG11" s="43" t="str">
        <f>IF($CU11&gt;=RAF,"",IF($CU11-FG$103&lt;BeginnAlter,"",ROUND((SUM(DV11:DV$56)+SUM(GN$9:GN$56))/VLOOKUP($CU11,$AH$9:$AI$102,2)/VLOOKUP($CU11-FG$103,Männer!$G$9:$J$102,4),Rundäx)))</f>
        <v/>
      </c>
      <c r="FH11" s="43" t="str">
        <f>IF($CU11&gt;=RAF,"",IF($CU11-FH$103&lt;BeginnAlter,"",ROUND((SUM(DW11:DW$56)+SUM(GO$9:GO$56))/VLOOKUP($CU11,$AH$9:$AI$102,2)/VLOOKUP($CU11-FH$103,Männer!$G$9:$J$102,4),Rundäx)))</f>
        <v/>
      </c>
      <c r="FI11" s="43" t="str">
        <f>IF($CU11&gt;=RAF,"",IF($CU11-FI$103&lt;BeginnAlter,"",ROUND((SUM(DX11:DX$56)+SUM(GP$9:GP$56))/VLOOKUP($CU11,$AH$9:$AI$102,2)/VLOOKUP($CU11-FI$103,Männer!$G$9:$J$102,4),Rundäx)))</f>
        <v/>
      </c>
      <c r="FJ11" s="43" t="str">
        <f>IF($CU11&gt;=RAF,"",IF($CU11-FJ$103&lt;BeginnAlter,"",ROUND((SUM(DY11:DY$56)+SUM(GQ$9:GQ$56))/VLOOKUP($CU11,$AH$9:$AI$102,2)/VLOOKUP($CU11-FJ$103,Männer!$G$9:$J$102,4),Rundäx)))</f>
        <v/>
      </c>
      <c r="FK11" s="43" t="str">
        <f>IF($CU11&gt;=RAF,"",IF($CU11-FK$103&lt;BeginnAlter,"",ROUND((SUM(DZ11:DZ$56)+SUM(GR$9:GR$56))/VLOOKUP($CU11,$AH$9:$AI$102,2)/VLOOKUP($CU11-FK$103,Männer!$G$9:$J$102,4),Rundäx)))</f>
        <v/>
      </c>
      <c r="FL11" s="89"/>
      <c r="FM11" s="9">
        <f>1+FM10</f>
        <v>66</v>
      </c>
      <c r="FN11" s="25">
        <f>ROUND(v^($FM11+FaktorAlter)*VLOOKUP($FM11,$G$9:$J$102,4)*VLOOKUP($FM11,$A$9:$E$102,5)*0.5*(VLOOKUP($FM11-FN$103,Männer!$G$9:$J$102,4)+VLOOKUP($FM11-FN$103+1,Männer!$G$9:$J$102,4))*0.5*(VLOOKUP($FM11-FN$103,Männer!$AZ$9:$BD$102,5)+VLOOKUP($FM11-FN$103+1,Männer!$AZ$9:$BD$102,5)),RundDx)</f>
        <v>75238446</v>
      </c>
      <c r="FO11" s="25">
        <f>ROUND(v^($FM11+FaktorAlter)*VLOOKUP($FM11,$G$9:$J$102,4)*VLOOKUP($FM11,$A$9:$E$102,5)*0.5*(VLOOKUP($FM11-FO$103,Männer!$G$9:$J$102,4)+VLOOKUP($FM11-FO$103+1,Männer!$G$9:$J$102,4))*0.5*(VLOOKUP($FM11-FO$103,Männer!$AZ$9:$BD$102,5)+VLOOKUP($FM11-FO$103+1,Männer!$AZ$9:$BD$102,5)),RundDx)</f>
        <v>85187943</v>
      </c>
      <c r="FP11" s="25">
        <f>ROUND(v^($FM11+FaktorAlter)*VLOOKUP($FM11,$G$9:$J$102,4)*VLOOKUP($FM11,$A$9:$E$102,5)*0.5*(VLOOKUP($FM11-FP$103,Männer!$G$9:$J$102,4)+VLOOKUP($FM11-FP$103+1,Männer!$G$9:$J$102,4))*0.5*(VLOOKUP($FM11-FP$103,Männer!$AZ$9:$BD$102,5)+VLOOKUP($FM11-FP$103+1,Männer!$AZ$9:$BD$102,5)),RundDx)</f>
        <v>95591480</v>
      </c>
      <c r="FQ11" s="25">
        <f>ROUND(v^($FM11+FaktorAlter)*VLOOKUP($FM11,$G$9:$J$102,4)*VLOOKUP($FM11,$A$9:$E$102,5)*0.5*(VLOOKUP($FM11-FQ$103,Männer!$G$9:$J$102,4)+VLOOKUP($FM11-FQ$103+1,Männer!$G$9:$J$102,4))*0.5*(VLOOKUP($FM11-FQ$103,Männer!$AZ$9:$BD$102,5)+VLOOKUP($FM11-FQ$103+1,Männer!$AZ$9:$BD$102,5)),RundDx)</f>
        <v>106398885</v>
      </c>
      <c r="FR11" s="25">
        <f>ROUND(v^($FM11+FaktorAlter)*VLOOKUP($FM11,$G$9:$J$102,4)*VLOOKUP($FM11,$A$9:$E$102,5)*0.5*(VLOOKUP($FM11-FR$103,Männer!$G$9:$J$102,4)+VLOOKUP($FM11-FR$103+1,Männer!$G$9:$J$102,4))*0.5*(VLOOKUP($FM11-FR$103,Männer!$AZ$9:$BD$102,5)+VLOOKUP($FM11-FR$103+1,Männer!$AZ$9:$BD$102,5)),RundDx)</f>
        <v>117556185</v>
      </c>
      <c r="FS11" s="25">
        <f>ROUND(v^($FM11+FaktorAlter)*VLOOKUP($FM11,$G$9:$J$102,4)*VLOOKUP($FM11,$A$9:$E$102,5)*0.5*(VLOOKUP($FM11-FS$103,Männer!$G$9:$J$102,4)+VLOOKUP($FM11-FS$103+1,Männer!$G$9:$J$102,4))*0.5*(VLOOKUP($FM11-FS$103,Männer!$AZ$9:$BD$102,5)+VLOOKUP($FM11-FS$103+1,Männer!$AZ$9:$BD$102,5)),RundDx)</f>
        <v>129003383</v>
      </c>
      <c r="FT11" s="25">
        <f>ROUND(v^($FM11+FaktorAlter)*VLOOKUP($FM11,$G$9:$J$102,4)*VLOOKUP($FM11,$A$9:$E$102,5)*0.5*(VLOOKUP($FM11-FT$103,Männer!$G$9:$J$102,4)+VLOOKUP($FM11-FT$103+1,Männer!$G$9:$J$102,4))*0.5*(VLOOKUP($FM11-FT$103,Männer!$AZ$9:$BD$102,5)+VLOOKUP($FM11-FT$103+1,Männer!$AZ$9:$BD$102,5)),RundDx)</f>
        <v>140667380</v>
      </c>
      <c r="FU11" s="25">
        <f>ROUND(v^($FM11+FaktorAlter)*VLOOKUP($FM11,$G$9:$J$102,4)*VLOOKUP($FM11,$A$9:$E$102,5)*0.5*(VLOOKUP($FM11-FU$103,Männer!$G$9:$J$102,4)+VLOOKUP($FM11-FU$103+1,Männer!$G$9:$J$102,4))*0.5*(VLOOKUP($FM11-FU$103,Männer!$AZ$9:$BD$102,5)+VLOOKUP($FM11-FU$103+1,Männer!$AZ$9:$BD$102,5)),RundDx)</f>
        <v>152493752</v>
      </c>
      <c r="FV11" s="25">
        <f>ROUND(v^($FM11+FaktorAlter)*VLOOKUP($FM11,$G$9:$J$102,4)*VLOOKUP($FM11,$A$9:$E$102,5)*0.5*(VLOOKUP($FM11-FV$103,Männer!$G$9:$J$102,4)+VLOOKUP($FM11-FV$103+1,Männer!$G$9:$J$102,4))*0.5*(VLOOKUP($FM11-FV$103,Männer!$AZ$9:$BD$102,5)+VLOOKUP($FM11-FV$103+1,Männer!$AZ$9:$BD$102,5)),RundDx)</f>
        <v>164415039</v>
      </c>
      <c r="FW11" s="25">
        <f>ROUND(v^($FM11+FaktorAlter)*VLOOKUP($FM11,$G$9:$J$102,4)*VLOOKUP($FM11,$A$9:$E$102,5)*0.5*(VLOOKUP($FM11-FW$103,Männer!$G$9:$J$102,4)+VLOOKUP($FM11-FW$103+1,Männer!$G$9:$J$102,4))*0.5*(VLOOKUP($FM11-FW$103,Männer!$AZ$9:$BD$102,5)+VLOOKUP($FM11-FW$103+1,Männer!$AZ$9:$BD$102,5)),RundDx)</f>
        <v>176425098</v>
      </c>
      <c r="FX11" s="25">
        <f>ROUND(v^($FM11+FaktorAlter)*VLOOKUP($FM11,$G$9:$J$102,4)*VLOOKUP($FM11,$A$9:$E$102,5)*0.5*(VLOOKUP($FM11-FX$103,Männer!$G$9:$J$102,4)+VLOOKUP($FM11-FX$103+1,Männer!$G$9:$J$102,4))*0.5*(VLOOKUP($FM11-FX$103,Männer!$AZ$9:$BD$102,5)+VLOOKUP($FM11-FX$103+1,Männer!$AZ$9:$BD$102,5)),RundDx)</f>
        <v>188509081</v>
      </c>
      <c r="FY11" s="25">
        <f>ROUND(v^($FM11+FaktorAlter)*VLOOKUP($FM11,$G$9:$J$102,4)*VLOOKUP($FM11,$A$9:$E$102,5)*0.5*(VLOOKUP($FM11-FY$103,Männer!$G$9:$J$102,4)+VLOOKUP($FM11-FY$103+1,Männer!$G$9:$J$102,4))*0.5*(VLOOKUP($FM11-FY$103,Männer!$AZ$9:$BD$102,5)+VLOOKUP($FM11-FY$103+1,Männer!$AZ$9:$BD$102,5)),RundDx)</f>
        <v>200609911</v>
      </c>
      <c r="FZ11" s="25">
        <f>ROUND(v^($FM11+FaktorAlter)*VLOOKUP($FM11,$G$9:$J$102,4)*VLOOKUP($FM11,$A$9:$E$102,5)*0.5*(VLOOKUP($FM11-FZ$103,Männer!$G$9:$J$102,4)+VLOOKUP($FM11-FZ$103+1,Männer!$G$9:$J$102,4))*0.5*(VLOOKUP($FM11-FZ$103,Männer!$AZ$9:$BD$102,5)+VLOOKUP($FM11-FZ$103+1,Männer!$AZ$9:$BD$102,5)),RundDx)</f>
        <v>212720345</v>
      </c>
      <c r="GA11" s="25">
        <f>ROUND(v^($FM11+FaktorAlter)*VLOOKUP($FM11,$G$9:$J$102,4)*VLOOKUP($FM11,$A$9:$E$102,5)*0.5*(VLOOKUP($FM11-GA$103,Männer!$G$9:$J$102,4)+VLOOKUP($FM11-GA$103+1,Männer!$G$9:$J$102,4))*0.5*(VLOOKUP($FM11-GA$103,Männer!$AZ$9:$BD$102,5)+VLOOKUP($FM11-GA$103+1,Männer!$AZ$9:$BD$102,5)),RundDx)</f>
        <v>224883335</v>
      </c>
      <c r="GB11" s="25">
        <f>ROUND(v^($FM11+FaktorAlter)*VLOOKUP($FM11,$G$9:$J$102,4)*VLOOKUP($FM11,$A$9:$E$102,5)*0.5*(VLOOKUP($FM11-GB$103,Männer!$G$9:$J$102,4)+VLOOKUP($FM11-GB$103+1,Männer!$G$9:$J$102,4))*0.5*(VLOOKUP($FM11-GB$103,Männer!$AZ$9:$BD$102,5)+VLOOKUP($FM11-GB$103+1,Männer!$AZ$9:$BD$102,5)),RundDx)</f>
        <v>237133960</v>
      </c>
      <c r="GC11" s="25">
        <f>ROUND(v^($FM11+FaktorAlter)*VLOOKUP($FM11,$G$9:$J$102,4)*VLOOKUP($FM11,$A$9:$E$102,5)*0.5*(VLOOKUP($FM11-GC$103,Männer!$G$9:$J$102,4)+VLOOKUP($FM11-GC$103+1,Männer!$G$9:$J$102,4))*0.5*(VLOOKUP($FM11-GC$103,Männer!$AZ$9:$BD$102,5)+VLOOKUP($FM11-GC$103+1,Männer!$AZ$9:$BD$102,5)),RundDx)</f>
        <v>249441978</v>
      </c>
      <c r="GD11" s="25">
        <f>ROUND(v^($FM11+FaktorAlter)*VLOOKUP($FM11,$G$9:$J$102,4)*VLOOKUP($FM11,$A$9:$E$102,5)*0.5*(VLOOKUP($FM11-GD$103,Männer!$G$9:$J$102,4)+VLOOKUP($FM11-GD$103+1,Männer!$G$9:$J$102,4))*0.5*(VLOOKUP($FM11-GD$103,Männer!$AZ$9:$BD$102,5)+VLOOKUP($FM11-GD$103+1,Männer!$AZ$9:$BD$102,5)),RundDx)</f>
        <v>261837365</v>
      </c>
      <c r="GE11" s="25">
        <f>ROUND(v^($FM11+FaktorAlter)*VLOOKUP($FM11,$G$9:$J$102,4)*VLOOKUP($FM11,$A$9:$E$102,5)*0.5*(VLOOKUP($FM11-GE$103,Männer!$G$9:$J$102,4)+VLOOKUP($FM11-GE$103+1,Männer!$G$9:$J$102,4))*0.5*(VLOOKUP($FM11-GE$103,Männer!$AZ$9:$BD$102,5)+VLOOKUP($FM11-GE$103+1,Männer!$AZ$9:$BD$102,5)),RundDx)</f>
        <v>274383386</v>
      </c>
      <c r="GF11" s="25">
        <f>ROUND(v^($FM11+FaktorAlter)*VLOOKUP($FM11,$G$9:$J$102,4)*VLOOKUP($FM11,$A$9:$E$102,5)*0.5*(VLOOKUP($FM11-GF$103,Männer!$G$9:$J$102,4)+VLOOKUP($FM11-GF$103+1,Männer!$G$9:$J$102,4))*0.5*(VLOOKUP($FM11-GF$103,Männer!$AZ$9:$BD$102,5)+VLOOKUP($FM11-GF$103+1,Männer!$AZ$9:$BD$102,5)),RundDx)</f>
        <v>287103825</v>
      </c>
      <c r="GG11" s="25">
        <f>ROUND(v^($FM11+FaktorAlter)*VLOOKUP($FM11,$G$9:$J$102,4)*VLOOKUP($FM11,$A$9:$E$102,5)*0.5*(VLOOKUP($FM11-GG$103,Männer!$G$9:$J$102,4)+VLOOKUP($FM11-GG$103+1,Männer!$G$9:$J$102,4))*0.5*(VLOOKUP($FM11-GG$103,Männer!$AZ$9:$BD$102,5)+VLOOKUP($FM11-GG$103+1,Männer!$AZ$9:$BD$102,5)),RundDx)</f>
        <v>300029353</v>
      </c>
      <c r="GH11" s="25">
        <f>ROUND(v^($FM11+FaktorAlter)*VLOOKUP($FM11,$G$9:$J$102,4)*VLOOKUP($FM11,$A$9:$E$102,5)*0.5*(VLOOKUP($FM11-GH$103,Männer!$G$9:$J$102,4)+VLOOKUP($FM11-GH$103+1,Männer!$G$9:$J$102,4))*0.5*(VLOOKUP($FM11-GH$103,Männer!$AZ$9:$BD$102,5)+VLOOKUP($FM11-GH$103+1,Männer!$AZ$9:$BD$102,5)),RundDx)</f>
        <v>313179238</v>
      </c>
      <c r="GI11" s="25">
        <f>ROUND(v^($FM11+FaktorAlter)*VLOOKUP($FM11,$G$9:$J$102,4)*VLOOKUP($FM11,$A$9:$E$102,5)*0.5*(VLOOKUP($FM11-GI$103,Männer!$G$9:$J$102,4)+VLOOKUP($FM11-GI$103+1,Männer!$G$9:$J$102,4))*0.5*(VLOOKUP($FM11-GI$103,Männer!$AZ$9:$BD$102,5)+VLOOKUP($FM11-GI$103+1,Männer!$AZ$9:$BD$102,5)),RundDx)</f>
        <v>326564064</v>
      </c>
      <c r="GJ11" s="25">
        <f>ROUND(v^($FM11+FaktorAlter)*VLOOKUP($FM11,$G$9:$J$102,4)*VLOOKUP($FM11,$A$9:$E$102,5)*0.5*(VLOOKUP($FM11-GJ$103,Männer!$G$9:$J$102,4)+VLOOKUP($FM11-GJ$103+1,Männer!$G$9:$J$102,4))*0.5*(VLOOKUP($FM11-GJ$103,Männer!$AZ$9:$BD$102,5)+VLOOKUP($FM11-GJ$103+1,Männer!$AZ$9:$BD$102,5)),RundDx)</f>
        <v>340207750</v>
      </c>
      <c r="GK11" s="25">
        <f>ROUND(v^($FM11+FaktorAlter)*VLOOKUP($FM11,$G$9:$J$102,4)*VLOOKUP($FM11,$A$9:$E$102,5)*0.5*(VLOOKUP($FM11-GK$103,Männer!$G$9:$J$102,4)+VLOOKUP($FM11-GK$103+1,Männer!$G$9:$J$102,4))*0.5*(VLOOKUP($FM11-GK$103,Männer!$AZ$9:$BD$102,5)+VLOOKUP($FM11-GK$103+1,Männer!$AZ$9:$BD$102,5)),RundDx)</f>
        <v>354094150</v>
      </c>
      <c r="GL11" s="25">
        <f>ROUND(v^($FM11+FaktorAlter)*VLOOKUP($FM11,$G$9:$J$102,4)*VLOOKUP($FM11,$A$9:$E$102,5)*0.5*(VLOOKUP($FM11-GL$103,Männer!$G$9:$J$102,4)+VLOOKUP($FM11-GL$103+1,Männer!$G$9:$J$102,4))*0.5*(VLOOKUP($FM11-GL$103,Männer!$AZ$9:$BD$102,5)+VLOOKUP($FM11-GL$103+1,Männer!$AZ$9:$BD$102,5)),RundDx)</f>
        <v>368202892</v>
      </c>
      <c r="GM11" s="25">
        <f>ROUND(v^($FM11+FaktorAlter)*VLOOKUP($FM11,$G$9:$J$102,4)*VLOOKUP($FM11,$A$9:$E$102,5)*0.5*(VLOOKUP($FM11-GM$103,Männer!$G$9:$J$102,4)+VLOOKUP($FM11-GM$103+1,Männer!$G$9:$J$102,4))*0.5*(VLOOKUP($FM11-GM$103,Männer!$AZ$9:$BD$102,5)+VLOOKUP($FM11-GM$103+1,Männer!$AZ$9:$BD$102,5)),RundDx)</f>
        <v>382530044</v>
      </c>
      <c r="GN11" s="25">
        <f>ROUND(v^($FM11+FaktorAlter)*VLOOKUP($FM11,$G$9:$J$102,4)*VLOOKUP($FM11,$A$9:$E$102,5)*0.5*(VLOOKUP($FM11-GN$103,Männer!$G$9:$J$102,4)+VLOOKUP($FM11-GN$103+1,Männer!$G$9:$J$102,4))*0.5*(VLOOKUP($FM11-GN$103,Männer!$AZ$9:$BD$102,5)+VLOOKUP($FM11-GN$103+1,Männer!$AZ$9:$BD$102,5)),RundDx)</f>
        <v>396865505</v>
      </c>
      <c r="GO11" s="25">
        <f>ROUND(v^($FM11+FaktorAlter)*VLOOKUP($FM11,$G$9:$J$102,4)*VLOOKUP($FM11,$A$9:$E$102,5)*0.5*(VLOOKUP($FM11-GO$103,Männer!$G$9:$J$102,4)+VLOOKUP($FM11-GO$103+1,Männer!$G$9:$J$102,4))*0.5*(VLOOKUP($FM11-GO$103,Männer!$AZ$9:$BD$102,5)+VLOOKUP($FM11-GO$103+1,Männer!$AZ$9:$BD$102,5)),RundDx)</f>
        <v>410985289</v>
      </c>
      <c r="GP11" s="25">
        <f>ROUND(v^($FM11+FaktorAlter)*VLOOKUP($FM11,$G$9:$J$102,4)*VLOOKUP($FM11,$A$9:$E$102,5)*0.5*(VLOOKUP($FM11-GP$103,Männer!$G$9:$J$102,4)+VLOOKUP($FM11-GP$103+1,Männer!$G$9:$J$102,4))*0.5*(VLOOKUP($FM11-GP$103,Männer!$AZ$9:$BD$102,5)+VLOOKUP($FM11-GP$103+1,Männer!$AZ$9:$BD$102,5)),RundDx)</f>
        <v>424891775</v>
      </c>
      <c r="GQ11" s="25">
        <f>ROUND(v^($FM11+FaktorAlter)*VLOOKUP($FM11,$G$9:$J$102,4)*VLOOKUP($FM11,$A$9:$E$102,5)*0.5*(VLOOKUP($FM11-GQ$103,Männer!$G$9:$J$102,4)+VLOOKUP($FM11-GQ$103+1,Männer!$G$9:$J$102,4))*0.5*(VLOOKUP($FM11-GQ$103,Männer!$AZ$9:$BD$102,5)+VLOOKUP($FM11-GQ$103+1,Männer!$AZ$9:$BD$102,5)),RundDx)</f>
        <v>438587061</v>
      </c>
      <c r="GR11" s="25">
        <f>ROUND(v^($FM11+FaktorAlter)*VLOOKUP($FM11,$G$9:$J$102,4)*VLOOKUP($FM11,$A$9:$E$102,5)*0.5*(VLOOKUP($FM11-GR$103,Männer!$G$9:$J$102,4)+VLOOKUP($FM11-GR$103+1,Männer!$G$9:$J$102,4))*0.5*(VLOOKUP($FM11-GR$103,Männer!$AZ$9:$BD$102,5)+VLOOKUP($FM11-GR$103+1,Männer!$AZ$9:$BD$102,5)),RundDx)</f>
        <v>452046540</v>
      </c>
      <c r="GS11" s="24">
        <f>ROUND(SUM(FN11:FN$56)/VLOOKUP($FM11,$AQ$9:$AR$102,2)/VLOOKUP($FM11-GS$103,Männer!$G$9:$J$102,4),Rundäx)</f>
        <v>0.45400000000000001</v>
      </c>
      <c r="GT11" s="24">
        <f>ROUND(SUM(FO11:FO$56)/VLOOKUP($FM11,$AQ$9:$AR$102,2)/VLOOKUP($FM11-GT$103,Männer!$G$9:$J$102,4),Rundäx)</f>
        <v>0.51600000000000001</v>
      </c>
      <c r="GU11" s="24">
        <f>ROUND(SUM(FP11:FP$56)/VLOOKUP($FM11,$AQ$9:$AR$102,2)/VLOOKUP($FM11-GU$103,Männer!$G$9:$J$102,4),Rundäx)</f>
        <v>0.58299999999999996</v>
      </c>
      <c r="GV11" s="24">
        <f>ROUND(SUM(FQ11:FQ$56)/VLOOKUP($FM11,$AQ$9:$AR$102,2)/VLOOKUP($FM11-GV$103,Männer!$G$9:$J$102,4),Rundäx)</f>
        <v>0.65700000000000003</v>
      </c>
      <c r="GW11" s="24">
        <f>ROUND(SUM(FR11:FR$56)/VLOOKUP($FM11,$AQ$9:$AR$102,2)/VLOOKUP($FM11-GW$103,Männer!$G$9:$J$102,4),Rundäx)</f>
        <v>0.73799999999999999</v>
      </c>
      <c r="GX11" s="24">
        <f>ROUND(SUM(FS11:FS$56)/VLOOKUP($FM11,$AQ$9:$AR$102,2)/VLOOKUP($FM11-GX$103,Männer!$G$9:$J$102,4),Rundäx)</f>
        <v>0.82599999999999996</v>
      </c>
      <c r="GY11" s="24">
        <f>ROUND(SUM(FT11:FT$56)/VLOOKUP($FM11,$AQ$9:$AR$102,2)/VLOOKUP($FM11-GY$103,Männer!$G$9:$J$102,4),Rundäx)</f>
        <v>0.92300000000000004</v>
      </c>
      <c r="GZ11" s="24">
        <f>ROUND(SUM(FU11:FU$56)/VLOOKUP($FM11,$AQ$9:$AR$102,2)/VLOOKUP($FM11-GZ$103,Männer!$G$9:$J$102,4),Rundäx)</f>
        <v>1.028</v>
      </c>
      <c r="HA11" s="89"/>
      <c r="HB11" s="9">
        <f>1+HB10</f>
        <v>66</v>
      </c>
      <c r="HC11" s="24">
        <f>ROUND(SUM(FV11:FV$56)/VLOOKUP($FM11,$AQ$9:$AR$102,2)/VLOOKUP($FM11-HC$103,Männer!$G$9:$J$102,4),Rundäx)</f>
        <v>1.1419999999999999</v>
      </c>
      <c r="HD11" s="24">
        <f>ROUND(SUM(FW11:FW$56)/VLOOKUP($FM11,$AQ$9:$AR$102,2)/VLOOKUP($FM11-HD$103,Männer!$G$9:$J$102,4),Rundäx)</f>
        <v>1.266</v>
      </c>
      <c r="HE11" s="24">
        <f>ROUND(SUM(FX11:FX$56)/VLOOKUP($FM11,$AQ$9:$AR$102,2)/VLOOKUP($FM11-HE$103,Männer!$G$9:$J$102,4),Rundäx)</f>
        <v>1.4</v>
      </c>
      <c r="HF11" s="24">
        <f>ROUND(SUM(FY11:FY$56)/VLOOKUP($FM11,$AQ$9:$AR$102,2)/VLOOKUP($FM11-HF$103,Männer!$G$9:$J$102,4),Rundäx)</f>
        <v>1.544</v>
      </c>
      <c r="HG11" s="24">
        <f>ROUND(SUM(FZ11:FZ$56)/VLOOKUP($FM11,$AQ$9:$AR$102,2)/VLOOKUP($FM11-HG$103,Männer!$G$9:$J$102,4),Rundäx)</f>
        <v>1.6990000000000001</v>
      </c>
      <c r="HH11" s="24">
        <f>ROUND(SUM(GA11:GA$56)/VLOOKUP($FM11,$AQ$9:$AR$102,2)/VLOOKUP($FM11-HH$103,Männer!$G$9:$J$102,4),Rundäx)</f>
        <v>1.865</v>
      </c>
      <c r="HI11" s="24">
        <f>ROUND(SUM(GB11:GB$56)/VLOOKUP($FM11,$AQ$9:$AR$102,2)/VLOOKUP($FM11-HI$103,Männer!$G$9:$J$102,4),Rundäx)</f>
        <v>2.0409999999999999</v>
      </c>
      <c r="HJ11" s="24">
        <f>ROUND(SUM(GC11:GC$56)/VLOOKUP($FM11,$AQ$9:$AR$102,2)/VLOOKUP($FM11-HJ$103,Männer!$G$9:$J$102,4),Rundäx)</f>
        <v>2.2290000000000001</v>
      </c>
      <c r="HK11" s="89"/>
      <c r="HL11" s="9">
        <f>1+HL10</f>
        <v>66</v>
      </c>
      <c r="HM11" s="24">
        <f>ROUND(SUM(GD11:GD$56)/VLOOKUP($FM11,$AQ$9:$AR$102,2)/VLOOKUP($FM11-HM$103,Männer!$G$9:$J$102,4),Rundäx)</f>
        <v>2.427</v>
      </c>
      <c r="HN11" s="24">
        <f>ROUND(SUM(GE11:GE$56)/VLOOKUP($FM11,$AQ$9:$AR$102,2)/VLOOKUP($FM11-HN$103,Männer!$G$9:$J$102,4),Rundäx)</f>
        <v>2.637</v>
      </c>
      <c r="HO11" s="24">
        <f>ROUND(SUM(GF11:GF$56)/VLOOKUP($FM11,$AQ$9:$AR$102,2)/VLOOKUP($FM11-HO$103,Männer!$G$9:$J$102,4),Rundäx)</f>
        <v>2.8570000000000002</v>
      </c>
      <c r="HP11" s="24">
        <f>ROUND(SUM(GG11:GG$56)/VLOOKUP($FM11,$AQ$9:$AR$102,2)/VLOOKUP($FM11-HP$103,Männer!$G$9:$J$102,4),Rundäx)</f>
        <v>3.0880000000000001</v>
      </c>
      <c r="HQ11" s="24">
        <f>ROUND(SUM(GH11:GH$56)/VLOOKUP($FM11,$AQ$9:$AR$102,2)/VLOOKUP($FM11-HQ$103,Männer!$G$9:$J$102,4),Rundäx)</f>
        <v>3.3290000000000002</v>
      </c>
      <c r="HR11" s="24">
        <f>ROUND(SUM(GI11:GI$56)/VLOOKUP($FM11,$AQ$9:$AR$102,2)/VLOOKUP($FM11-HR$103,Männer!$G$9:$J$102,4),Rundäx)</f>
        <v>3.5819999999999999</v>
      </c>
      <c r="HS11" s="24">
        <f>ROUND(SUM(GJ11:GJ$56)/VLOOKUP($FM11,$AQ$9:$AR$102,2)/VLOOKUP($FM11-HS$103,Männer!$G$9:$J$102,4),Rundäx)</f>
        <v>3.8439999999999999</v>
      </c>
      <c r="HT11" s="24">
        <f>ROUND(SUM(GK11:GK$56)/VLOOKUP($FM11,$AQ$9:$AR$102,2)/VLOOKUP($FM11-HT$103,Männer!$G$9:$J$102,4),Rundäx)</f>
        <v>4.1159999999999997</v>
      </c>
      <c r="HU11" s="89"/>
      <c r="HV11" s="9">
        <f>1+HV10</f>
        <v>66</v>
      </c>
      <c r="HW11" s="24">
        <f>ROUND(SUM(GL11:GL$56)/VLOOKUP($FM11,$AQ$9:$AR$102,2)/VLOOKUP($FM11-HW$103,Männer!$G$9:$J$102,4),Rundäx)</f>
        <v>4.3979999999999997</v>
      </c>
      <c r="HX11" s="24">
        <f>ROUND(SUM(GM11:GM$56)/VLOOKUP($FM11,$AQ$9:$AR$102,2)/VLOOKUP($FM11-HX$103,Männer!$G$9:$J$102,4),Rundäx)</f>
        <v>4.6890000000000001</v>
      </c>
      <c r="HY11" s="24">
        <f>ROUND(SUM(GN11:GN$56)/VLOOKUP($FM11,$AQ$9:$AR$102,2)/VLOOKUP($FM11-HY$103,Männer!$G$9:$J$102,4),Rundäx)</f>
        <v>4.9870000000000001</v>
      </c>
      <c r="HZ11" s="24">
        <f>ROUND(SUM(GO11:GO$56)/VLOOKUP($FM11,$AQ$9:$AR$102,2)/VLOOKUP($FM11-HZ$103,Männer!$G$9:$J$102,4),Rundäx)</f>
        <v>5.2930000000000001</v>
      </c>
      <c r="IA11" s="24">
        <f>ROUND(SUM(GP11:GP$56)/VLOOKUP($FM11,$AQ$9:$AR$102,2)/VLOOKUP($FM11-IA$103,Männer!$G$9:$J$102,4),Rundäx)</f>
        <v>5.6040000000000001</v>
      </c>
      <c r="IB11" s="24">
        <f>ROUND(SUM(GQ11:GQ$56)/VLOOKUP($FM11,$AQ$9:$AR$102,2)/VLOOKUP($FM11-IB$103,Männer!$G$9:$J$102,4),Rundäx)</f>
        <v>5.9210000000000003</v>
      </c>
      <c r="IC11" s="24">
        <f>ROUND(SUM(GR11:GR$56)/VLOOKUP($FM11,$AQ$9:$AR$102,2)/VLOOKUP($FM11-IC$103,Männer!$G$9:$J$102,4),Rundäx)</f>
        <v>6.242</v>
      </c>
      <c r="ID11" s="89"/>
      <c r="IE11" s="9">
        <f>1+IE10</f>
        <v>19</v>
      </c>
      <c r="IF11" s="11">
        <f t="shared" si="25"/>
        <v>10</v>
      </c>
      <c r="IG11" s="11">
        <f>IF($IE11&lt;RAF,IF(S12&lt;=RAK,ROUND(SUM(IF11:INDEX(Daky,RAF-BeginnAlter))+INDEX(Day,RAF-BeginnAlter+1)*INDEX(äky,1),RundDx),0),"")</f>
        <v>6430</v>
      </c>
      <c r="IH11" s="11">
        <f>IF($IE11&lt;RAF,IF(S12&lt;=RAK,ROUND(SUM(IG11:INDEX(Naky,RAF-BeginnAlter))+INDEX(Day,RAF-BeginnAlter+1)*INDEX(äky,1),RundDx),0),"")</f>
        <v>121032</v>
      </c>
      <c r="II11" s="10">
        <f t="shared" si="26"/>
        <v>9.8000000000000004E-2</v>
      </c>
      <c r="IJ11" s="11">
        <f t="shared" si="27"/>
        <v>144</v>
      </c>
      <c r="IK11" s="11">
        <f>IF($IE11&lt;RAF,IF(S12&lt;=RAK,SUM(IJ11:INDEX(Diky,RAF-BeginnAlter))+INDEX(Diy,RAF-BeginnAlter+1)*INDEX(äky,1),0),"")</f>
        <v>233540</v>
      </c>
      <c r="IL11" s="10">
        <f t="shared" si="28"/>
        <v>1.591</v>
      </c>
      <c r="IM11" s="89"/>
      <c r="IN11" s="9">
        <f t="shared" si="29"/>
        <v>66</v>
      </c>
      <c r="IO11" s="25">
        <f t="shared" si="2"/>
        <v>1</v>
      </c>
      <c r="IP11" s="11">
        <f>IF(AND(VLOOKUP(IN11+1,O$9:S$102,5)&lt;=RAK,VLOOKUP(IN11+1,O$9:S$102,5)&lt;&gt;""),SUM(IO11:IO$102),0)</f>
        <v>2</v>
      </c>
      <c r="IQ11" s="10">
        <f t="shared" si="3"/>
        <v>0</v>
      </c>
      <c r="IR11" s="86"/>
    </row>
    <row r="12" spans="1:252" ht="15.75" customHeight="1" x14ac:dyDescent="0.25">
      <c r="A12" s="9">
        <f t="shared" si="4"/>
        <v>20</v>
      </c>
      <c r="B12" s="93">
        <v>1.6220083205984611E-4</v>
      </c>
      <c r="C12" s="93">
        <v>1.0998959028340705E-4</v>
      </c>
      <c r="D12" s="93">
        <v>1.1499831612048823E-2</v>
      </c>
      <c r="E12" s="93">
        <v>1.6004961538074181E-4</v>
      </c>
      <c r="F12" s="89"/>
      <c r="G12" s="9">
        <f t="shared" si="5"/>
        <v>20</v>
      </c>
      <c r="H12" s="11">
        <f t="shared" si="30"/>
        <v>99948</v>
      </c>
      <c r="I12" s="25">
        <f t="shared" si="31"/>
        <v>21</v>
      </c>
      <c r="J12" s="25">
        <f t="shared" si="32"/>
        <v>99969</v>
      </c>
      <c r="K12" s="30">
        <f>IF(J12&gt;0,ROUND(SUM(J12:J$102)/J12-0.5,Rundex),"")</f>
        <v>62.1</v>
      </c>
      <c r="L12" s="25">
        <f t="shared" si="6"/>
        <v>221940</v>
      </c>
      <c r="M12" s="30">
        <f>IF(L12&gt;0,ROUND(SUM(L12:L$102)/L12-0.5,Rundex),"")</f>
        <v>38.1</v>
      </c>
      <c r="N12" s="89"/>
      <c r="O12" s="9">
        <f>1+O11</f>
        <v>20</v>
      </c>
      <c r="P12" s="94">
        <v>6.2497547090717663E-2</v>
      </c>
      <c r="Q12" s="95">
        <v>24.454218587653745</v>
      </c>
      <c r="R12" s="94">
        <v>1.0459999999999999E-2</v>
      </c>
      <c r="S12" s="95">
        <v>0.04</v>
      </c>
      <c r="T12" s="28">
        <v>1.6004961538074181E-4</v>
      </c>
      <c r="U12" s="11">
        <f t="shared" si="33"/>
        <v>99969</v>
      </c>
      <c r="V12" s="30">
        <f>IF(U12&gt;0,ROUND(SUM(U12:U$102)/U12-0.5,Rundex),"")</f>
        <v>63.39</v>
      </c>
      <c r="W12" s="89"/>
      <c r="X12" s="9">
        <f>1+X11</f>
        <v>20</v>
      </c>
      <c r="Y12" s="11">
        <f t="shared" si="34"/>
        <v>64048</v>
      </c>
      <c r="Z12" s="11">
        <f>IF($X12&lt;RAF,SUM(Y12:INDEX(Day,RAF-BeginnAlter))," ")</f>
        <v>1718680</v>
      </c>
      <c r="AA12" s="11">
        <f t="shared" si="0"/>
        <v>10</v>
      </c>
      <c r="AB12" s="11">
        <f>IF($X12&lt;RAF,SUM(AA12:INDEX(Cay,RAF-BeginnAlter))," ")</f>
        <v>1466</v>
      </c>
      <c r="AC12" s="11">
        <f t="shared" si="1"/>
        <v>7</v>
      </c>
      <c r="AD12" s="11">
        <f>IF($X12&lt;RAF,SUM(AC12:INDEX(Caiy,RAF-BeginnAlter))," ")</f>
        <v>8500</v>
      </c>
      <c r="AE12" s="10">
        <f t="shared" si="35"/>
        <v>26.834</v>
      </c>
      <c r="AF12" s="10">
        <f t="shared" si="36"/>
        <v>26.492999999999999</v>
      </c>
      <c r="AG12" s="89"/>
      <c r="AH12" s="9">
        <f>1+AH11</f>
        <v>20</v>
      </c>
      <c r="AI12" s="11">
        <f t="shared" si="37"/>
        <v>142223</v>
      </c>
      <c r="AJ12" s="11">
        <f>IF($AH12&gt;RAF," ",IF($AH12&lt;RAF,SUM(AI12:INDEX(Diy,RAF-BeginnAlter))+INDEX(Ny,RAF-BeginnAlter+1),INDEX(Ny,RAF-BeginnAlter+1)))</f>
        <v>3297466</v>
      </c>
      <c r="AK12" s="11">
        <f>IF($AH12&lt;RAF,SUM(AI12:INDEX(Diy,RAF-BeginnAlter))," ")</f>
        <v>2931372</v>
      </c>
      <c r="AL12" s="10">
        <f t="shared" si="38"/>
        <v>23.184999999999999</v>
      </c>
      <c r="AM12" s="10">
        <f t="shared" si="39"/>
        <v>22.727</v>
      </c>
      <c r="AN12" s="10">
        <f t="shared" si="40"/>
        <v>20.611000000000001</v>
      </c>
      <c r="AO12" s="10">
        <f t="shared" si="41"/>
        <v>20.222999999999999</v>
      </c>
      <c r="AP12" s="89"/>
      <c r="AQ12" s="9">
        <f>1+AQ11</f>
        <v>20</v>
      </c>
      <c r="AR12" s="11">
        <f t="shared" si="42"/>
        <v>64062</v>
      </c>
      <c r="AS12" s="11">
        <f>SUM(AR12:AR$96)</f>
        <v>2154052</v>
      </c>
      <c r="AT12" s="25">
        <f>IF($AQ12&lt;RAF,SUM(AR12:INDEX(Dy,RAF-BeginnAlter))," ")</f>
        <v>1787958</v>
      </c>
      <c r="AU12" s="24">
        <f t="shared" si="43"/>
        <v>33.624000000000002</v>
      </c>
      <c r="AV12" s="24">
        <f t="shared" si="44"/>
        <v>33.165999999999997</v>
      </c>
      <c r="AW12" s="24">
        <f t="shared" si="45"/>
        <v>27.91</v>
      </c>
      <c r="AX12" s="24">
        <f t="shared" si="46"/>
        <v>27.606999999999999</v>
      </c>
      <c r="AY12" s="89"/>
      <c r="AZ12" s="9">
        <f>1+AZ11</f>
        <v>20</v>
      </c>
      <c r="BA12" s="11">
        <f t="shared" si="47"/>
        <v>64062</v>
      </c>
      <c r="BB12" s="11">
        <f>SUM(BA12:BA$96)</f>
        <v>2176841</v>
      </c>
      <c r="BC12" s="10">
        <f t="shared" si="48"/>
        <v>33.979999999999997</v>
      </c>
      <c r="BD12" s="10">
        <f t="shared" si="7"/>
        <v>33.521999999999998</v>
      </c>
      <c r="BE12" s="89"/>
      <c r="BF12" s="9">
        <f>1+BF11</f>
        <v>3</v>
      </c>
      <c r="BG12" s="10">
        <f t="shared" si="8"/>
        <v>17.59</v>
      </c>
      <c r="BH12" s="10">
        <f t="shared" si="9"/>
        <v>17.413</v>
      </c>
      <c r="BI12" s="89"/>
      <c r="BJ12" s="9">
        <f>1+BJ11</f>
        <v>20</v>
      </c>
      <c r="BK12" s="11">
        <f t="shared" si="10"/>
        <v>158</v>
      </c>
      <c r="BL12" s="11">
        <f>IF(BJ12&lt;RAF,SUM(BK12:INDEX(Daiy,RAF-BeginnAlter))," ")</f>
        <v>159792</v>
      </c>
      <c r="BM12" s="11">
        <f>IF(BJ12&lt;RAF,SUM(BL12:INDEX(Naiy,RAF-BeginnAlter))," ")</f>
        <v>4976997</v>
      </c>
      <c r="BN12" s="10">
        <f t="shared" si="11"/>
        <v>4.1870000000000003</v>
      </c>
      <c r="BO12" s="10">
        <f t="shared" si="12"/>
        <v>2.4950000000000001</v>
      </c>
      <c r="BP12" s="89"/>
      <c r="BQ12" s="9">
        <f>1+BQ11</f>
        <v>20</v>
      </c>
      <c r="BR12" s="11">
        <f t="shared" si="13"/>
        <v>140</v>
      </c>
      <c r="BS12" s="11">
        <f>IF(BQ12&lt;RAF,SUM(BR12:INDEX(Daiys,RAF-BeginnAlter))," ")</f>
        <v>71879</v>
      </c>
      <c r="BT12" s="11">
        <f>IF(BQ12&lt;RAF,SUM(BS12:INDEX(Naiys,RAF-BeginnAlter))," ")</f>
        <v>1836585</v>
      </c>
      <c r="BU12" s="10">
        <f t="shared" si="14"/>
        <v>5.56</v>
      </c>
      <c r="BV12" s="10">
        <f t="shared" si="15"/>
        <v>1.1220000000000001</v>
      </c>
      <c r="BW12" s="89"/>
      <c r="BX12" s="9">
        <f>1+BX11</f>
        <v>20</v>
      </c>
      <c r="BY12" s="10">
        <f t="shared" si="16"/>
        <v>15.446777167444207</v>
      </c>
      <c r="BZ12" s="11">
        <f t="shared" si="17"/>
        <v>2</v>
      </c>
      <c r="CA12" s="11">
        <f>IF(S13&lt;=RAK,IF($BX12&lt;RAF,SUM(BZ12:INDEX(Dazy,RAF-BeginnAlter)),""),"")</f>
        <v>16256</v>
      </c>
      <c r="CB12" s="10">
        <f t="shared" si="18"/>
        <v>0.254</v>
      </c>
      <c r="CC12" s="11">
        <f t="shared" si="19"/>
        <v>36145</v>
      </c>
      <c r="CD12" s="10">
        <f t="shared" si="20"/>
        <v>24.981999999999999</v>
      </c>
      <c r="CE12" s="10">
        <f t="shared" si="21"/>
        <v>2E-3</v>
      </c>
      <c r="CF12" s="89"/>
      <c r="CG12" s="9">
        <f>1+CG11</f>
        <v>20</v>
      </c>
      <c r="CH12" s="11">
        <f>IF(CG12&lt;RAF,ROUND(v^($CG12+FaktorAlter)*$H12*($B12*0.5*($P12+$P13)*(VLOOKUP(TRUNC(0.5*($Q12+$Q13),0),Männer!$AZ$9:$BD$95,5)+(0.5*($Q12+$Q13)-TRUNC(0.5*($Q12+$Q13),0))*(VLOOKUP(TRUNC(0.5*($Q12+$Q13)+1,0),Männer!$AZ$9:$BD$95,5)-VLOOKUP(TRUNC(0.5*($Q12+$Q13),0),Männer!$AZ$9:$BD$95,5)))+$C12*0.5*($CN12+$CN13)),RundDx),"")</f>
        <v>33</v>
      </c>
      <c r="CI12" s="11">
        <f>IF(CG12&lt;RAF,ROUND(SUM(CH12:INDEX(Dawy,RAF-BeginnAlter))+INDEX(Day,RAF-BeginnAlter+1)*INDEX(äwy,1),RundDx),"")</f>
        <v>14455</v>
      </c>
      <c r="CJ12" s="11">
        <f>IF(CG12&lt;RAF,ROUND(SUM(CI12:INDEX(Nawy,RAF-BeginnAlter))+INDEX(Day,RAF-BeginnAlter+1)*INDEX(äwy,1),RundDx),"")</f>
        <v>410650</v>
      </c>
      <c r="CK12" s="10">
        <f t="shared" si="22"/>
        <v>0.22600000000000001</v>
      </c>
      <c r="CL12" s="11">
        <f>IF(CG12&lt;RAF,ROUND(v^($CG12+FaktorAlter)*$L12*$D12*0.5*($P12+$P13)*(VLOOKUP(TRUNC(0.5*($Q12+$Q13),0),Männer!$AZ$9:$BD$95,5)+(0.5*($Q12+$Q13)-TRUNC(0.5*($Q12+$Q13),0))*(VLOOKUP(TRUNC(0.5*($Q12+$Q13)+1,0),Männer!$AZ$9:$BD$95,5)-VLOOKUP(TRUNC(0.5*($Q12+$Q13),0),Männer!$AZ$9:$BD$95,5))),RundDx),"")</f>
        <v>3247</v>
      </c>
      <c r="CM12" s="11">
        <f>IF(CG12&lt;RAF,SUM(CL12:INDEX(Diwy,RAF-BeginnAlter))+INDEX(Diy,RAF-BeginnAlter+1)*INDEX(äwy,1),"")</f>
        <v>248212.304</v>
      </c>
      <c r="CN12" s="10">
        <f t="shared" si="23"/>
        <v>1.7450000000000001</v>
      </c>
      <c r="CO12" s="89"/>
      <c r="CP12" s="9">
        <f>1+CP11</f>
        <v>67</v>
      </c>
      <c r="CQ12" s="11">
        <f>ROUND(v^($CP12+FaktorAlter)*VLOOKUP(CP12,G$9:J$102,4)*VLOOKUP(CP12,A$9:E$102,5)*0.5*(VLOOKUP(CP12,O$9:P$102,2)+VLOOKUP(CP12+1,O$9:P$102,2))*(VLOOKUP(TRUNC(0.5*(VLOOKUP(CP12,O$9:Q$102,3)+VLOOKUP(CP12+1,O$9:Q$102,3)),0),Männer!$AZ$9:$BD$95,5)+(0.5*(VLOOKUP(CP12,O$9:Q$102,3)+VLOOKUP(CP12+1,O$9:Q$102,3))-TRUNC(0.5*(VLOOKUP(CP12,O$9:Q$102,3)+VLOOKUP(CP12+1,O$9:Q$102,3)),0))*(VLOOKUP(TRUNC(0.5*(VLOOKUP(CP12,O$9:Q$102,3)+VLOOKUP(CP12+1,O$9:Q$102,3))+1,0),Männer!$AZ$9:$BD$95,5)-VLOOKUP(TRUNC(0.5*(VLOOKUP(CP12,O$9:Q$102,3)+VLOOKUP(CP12+1,O$9:Q$102,3)),0),Männer!$AZ$9:$BD$95,5))),RundDx)</f>
        <v>247</v>
      </c>
      <c r="CR12" s="11">
        <f>SUM(CQ12:CQ$56)</f>
        <v>1594</v>
      </c>
      <c r="CS12" s="24">
        <f t="shared" si="24"/>
        <v>8.1000000000000003E-2</v>
      </c>
      <c r="CT12" s="89"/>
      <c r="CU12" s="9">
        <f>1+CU11</f>
        <v>20</v>
      </c>
      <c r="CV12" s="25">
        <f>IF($CU12&gt;=RAF,"",IF($CU12-CV$103&lt;BeginnAlter,"",ROUND(v^($CU12+FaktorAlter)*$L12*$D12*0.5*(VLOOKUP($CU12-CV$103,Männer!$G$9:$J$102,4)+VLOOKUP($CU12-CV$103+1,Männer!$G$9:$J$102,4))*0.5*(VLOOKUP($CU12-CV$103,Männer!$AZ$9:$BD$102,5)+VLOOKUP($CU12-CV$103+1,Männer!$AZ$9:$BD$102,5)),RundDx)))</f>
        <v>4234943000</v>
      </c>
      <c r="CW12" s="25">
        <f>IF($CU12&gt;=RAF,"",IF($CU12-CW$103&lt;BeginnAlter,"",ROUND(v^($CU12+FaktorAlter)*$L12*$D12*0.5*(VLOOKUP($CU12-CW$103,Männer!$G$9:$J$102,4)+VLOOKUP($CU12-CW$103+1,Männer!$G$9:$J$102,4))*0.5*(VLOOKUP($CU12-CW$103,Männer!$AZ$9:$BD$102,5)+VLOOKUP($CU12-CW$103+1,Männer!$AZ$9:$BD$102,5)),RundDx)))</f>
        <v>4300076906</v>
      </c>
      <c r="CX12" s="25">
        <f>IF($CU12&gt;=RAF,"",IF($CU12-CX$103&lt;BeginnAlter,"",ROUND(v^($CU12+FaktorAlter)*$L12*$D12*0.5*(VLOOKUP($CU12-CX$103,Männer!$G$9:$J$102,4)+VLOOKUP($CU12-CX$103+1,Männer!$G$9:$J$102,4))*0.5*(VLOOKUP($CU12-CX$103,Männer!$AZ$9:$BD$102,5)+VLOOKUP($CU12-CX$103+1,Männer!$AZ$9:$BD$102,5)),RundDx)))</f>
        <v>4363890392</v>
      </c>
      <c r="CY12" s="25">
        <f>IF($CU12&gt;=RAF,"",IF($CU12-CY$103&lt;BeginnAlter,"",ROUND(v^($CU12+FaktorAlter)*$L12*$D12*0.5*(VLOOKUP($CU12-CY$103,Männer!$G$9:$J$102,4)+VLOOKUP($CU12-CY$103+1,Männer!$G$9:$J$102,4))*0.5*(VLOOKUP($CU12-CY$103,Männer!$AZ$9:$BD$102,5)+VLOOKUP($CU12-CY$103+1,Männer!$AZ$9:$BD$102,5)),RundDx)))</f>
        <v>4426434929</v>
      </c>
      <c r="CZ12" s="25">
        <f>IF($CU12&gt;=RAF,"",IF($CU12-CZ$103&lt;BeginnAlter,"",ROUND(v^($CU12+FaktorAlter)*$L12*$D12*0.5*(VLOOKUP($CU12-CZ$103,Männer!$G$9:$J$102,4)+VLOOKUP($CU12-CZ$103+1,Männer!$G$9:$J$102,4))*0.5*(VLOOKUP($CU12-CZ$103,Männer!$AZ$9:$BD$102,5)+VLOOKUP($CU12-CZ$103+1,Männer!$AZ$9:$BD$102,5)),RundDx)))</f>
        <v>4487743352</v>
      </c>
      <c r="DA12" s="25">
        <f>IF($CU12&gt;=RAF,"",IF($CU12-DA$103&lt;BeginnAlter,"",ROUND(v^($CU12+FaktorAlter)*$L12*$D12*0.5*(VLOOKUP($CU12-DA$103,Männer!$G$9:$J$102,4)+VLOOKUP($CU12-DA$103+1,Männer!$G$9:$J$102,4))*0.5*(VLOOKUP($CU12-DA$103,Männer!$AZ$9:$BD$102,5)+VLOOKUP($CU12-DA$103+1,Männer!$AZ$9:$BD$102,5)),RundDx)))</f>
        <v>4547828251</v>
      </c>
      <c r="DB12" s="25">
        <f>IF($CU12&gt;=RAF,"",IF($CU12-DB$103&lt;BeginnAlter,"",ROUND(v^($CU12+FaktorAlter)*$L12*$D12*0.5*(VLOOKUP($CU12-DB$103,Männer!$G$9:$J$102,4)+VLOOKUP($CU12-DB$103+1,Männer!$G$9:$J$102,4))*0.5*(VLOOKUP($CU12-DB$103,Männer!$AZ$9:$BD$102,5)+VLOOKUP($CU12-DB$103+1,Männer!$AZ$9:$BD$102,5)),RundDx)))</f>
        <v>4606669754</v>
      </c>
      <c r="DC12" s="25">
        <f>IF($CU12&gt;=RAF,"",IF($CU12-DC$103&lt;BeginnAlter,"",ROUND(v^($CU12+FaktorAlter)*$L12*$D12*0.5*(VLOOKUP($CU12-DC$103,Männer!$G$9:$J$102,4)+VLOOKUP($CU12-DC$103+1,Männer!$G$9:$J$102,4))*0.5*(VLOOKUP($CU12-DC$103,Männer!$AZ$9:$BD$102,5)+VLOOKUP($CU12-DC$103+1,Männer!$AZ$9:$BD$102,5)),RundDx)))</f>
        <v>4664331715</v>
      </c>
      <c r="DD12" s="25">
        <f>IF($CU12&gt;=RAF,"",IF($CU12-DD$103&lt;BeginnAlter,"",ROUND(v^($CU12+FaktorAlter)*$L12*$D12*0.5*(VLOOKUP($CU12-DD$103,Männer!$G$9:$J$102,4)+VLOOKUP($CU12-DD$103+1,Männer!$G$9:$J$102,4))*0.5*(VLOOKUP($CU12-DD$103,Männer!$AZ$9:$BD$102,5)+VLOOKUP($CU12-DD$103+1,Männer!$AZ$9:$BD$102,5)),RundDx)))</f>
        <v>4720777260</v>
      </c>
      <c r="DE12" s="25">
        <f>IF($CU12&gt;=RAF,"",IF($CU12-DE$103&lt;BeginnAlter,"",ROUND(v^($CU12+FaktorAlter)*$L12*$D12*0.5*(VLOOKUP($CU12-DE$103,Männer!$G$9:$J$102,4)+VLOOKUP($CU12-DE$103+1,Männer!$G$9:$J$102,4))*0.5*(VLOOKUP($CU12-DE$103,Männer!$AZ$9:$BD$102,5)+VLOOKUP($CU12-DE$103+1,Männer!$AZ$9:$BD$102,5)),RundDx)))</f>
        <v>4776156393</v>
      </c>
      <c r="DF12" s="25">
        <f>IF($CU12&gt;=RAF,"",IF($CU12-DF$103&lt;BeginnAlter,"",ROUND(v^($CU12+FaktorAlter)*$L12*$D12*0.5*(VLOOKUP($CU12-DF$103,Männer!$G$9:$J$102,4)+VLOOKUP($CU12-DF$103+1,Männer!$G$9:$J$102,4))*0.5*(VLOOKUP($CU12-DF$103,Männer!$AZ$9:$BD$102,5)+VLOOKUP($CU12-DF$103+1,Männer!$AZ$9:$BD$102,5)),RundDx)))</f>
        <v>4830444849</v>
      </c>
      <c r="DG12" s="25">
        <f>IF($CU12&gt;=RAF,"",IF($CU12-DG$103&lt;BeginnAlter,"",ROUND(v^($CU12+FaktorAlter)*$L12*$D12*0.5*(VLOOKUP($CU12-DG$103,Männer!$G$9:$J$102,4)+VLOOKUP($CU12-DG$103+1,Männer!$G$9:$J$102,4))*0.5*(VLOOKUP($CU12-DG$103,Männer!$AZ$9:$BD$102,5)+VLOOKUP($CU12-DG$103+1,Männer!$AZ$9:$BD$102,5)),RundDx)))</f>
        <v>4883505166</v>
      </c>
      <c r="DH12" s="25">
        <f>IF($CU12&gt;=RAF,"",IF($CU12-DH$103&lt;BeginnAlter,"",ROUND(v^($CU12+FaktorAlter)*$L12*$D12*0.5*(VLOOKUP($CU12-DH$103,Männer!$G$9:$J$102,4)+VLOOKUP($CU12-DH$103+1,Männer!$G$9:$J$102,4))*0.5*(VLOOKUP($CU12-DH$103,Männer!$AZ$9:$BD$102,5)+VLOOKUP($CU12-DH$103+1,Männer!$AZ$9:$BD$102,5)),RundDx)))</f>
        <v>4935578649</v>
      </c>
      <c r="DI12" s="25">
        <f>IF($CU12&gt;=RAF,"",IF($CU12-DI$103&lt;BeginnAlter,"",ROUND(v^($CU12+FaktorAlter)*$L12*$D12*0.5*(VLOOKUP($CU12-DI$103,Männer!$G$9:$J$102,4)+VLOOKUP($CU12-DI$103+1,Männer!$G$9:$J$102,4))*0.5*(VLOOKUP($CU12-DI$103,Männer!$AZ$9:$BD$102,5)+VLOOKUP($CU12-DI$103+1,Männer!$AZ$9:$BD$102,5)),RundDx)))</f>
        <v>4986645841</v>
      </c>
      <c r="DJ12" s="25">
        <f>IF($CU12&gt;=RAF,"",IF($CU12-DJ$103&lt;BeginnAlter,"",ROUND(v^($CU12+FaktorAlter)*$L12*$D12*0.5*(VLOOKUP($CU12-DJ$103,Männer!$G$9:$J$102,4)+VLOOKUP($CU12-DJ$103+1,Männer!$G$9:$J$102,4))*0.5*(VLOOKUP($CU12-DJ$103,Männer!$AZ$9:$BD$102,5)+VLOOKUP($CU12-DJ$103+1,Männer!$AZ$9:$BD$102,5)),RundDx)))</f>
        <v>5036683666</v>
      </c>
      <c r="DK12" s="25">
        <f>IF($CU12&gt;=RAF,"",IF($CU12-DK$103&lt;BeginnAlter,"",ROUND(v^($CU12+FaktorAlter)*$L12*$D12*0.5*(VLOOKUP($CU12-DK$103,Männer!$G$9:$J$102,4)+VLOOKUP($CU12-DK$103+1,Männer!$G$9:$J$102,4))*0.5*(VLOOKUP($CU12-DK$103,Männer!$AZ$9:$BD$102,5)+VLOOKUP($CU12-DK$103+1,Männer!$AZ$9:$BD$102,5)),RundDx)))</f>
        <v>5085720940</v>
      </c>
      <c r="DL12" s="25">
        <f>IF($CU12&gt;=RAF,"",IF($CU12-DL$103&lt;BeginnAlter,"",ROUND(v^($CU12+FaktorAlter)*$L12*$D12*0.5*(VLOOKUP($CU12-DL$103,Männer!$G$9:$J$102,4)+VLOOKUP($CU12-DL$103+1,Männer!$G$9:$J$102,4))*0.5*(VLOOKUP($CU12-DL$103,Männer!$AZ$9:$BD$102,5)+VLOOKUP($CU12-DL$103+1,Männer!$AZ$9:$BD$102,5)),RundDx)))</f>
        <v>5133734857</v>
      </c>
      <c r="DM12" s="25">
        <f>IF($CU12&gt;=RAF,"",IF($CU12-DM$103&lt;BeginnAlter,"",ROUND(v^($CU12+FaktorAlter)*$L12*$D12*0.5*(VLOOKUP($CU12-DM$103,Männer!$G$9:$J$102,4)+VLOOKUP($CU12-DM$103+1,Männer!$G$9:$J$102,4))*0.5*(VLOOKUP($CU12-DM$103,Männer!$AZ$9:$BD$102,5)+VLOOKUP($CU12-DM$103+1,Männer!$AZ$9:$BD$102,5)),RundDx)))</f>
        <v>5180852906</v>
      </c>
      <c r="DN12" s="25">
        <f>IF($CU12&gt;=RAF,"",IF($CU12-DN$103&lt;BeginnAlter,"",ROUND(v^($CU12+FaktorAlter)*$L12*$D12*0.5*(VLOOKUP($CU12-DN$103,Männer!$G$9:$J$102,4)+VLOOKUP($CU12-DN$103+1,Männer!$G$9:$J$102,4))*0.5*(VLOOKUP($CU12-DN$103,Männer!$AZ$9:$BD$102,5)+VLOOKUP($CU12-DN$103+1,Männer!$AZ$9:$BD$102,5)),RundDx)))</f>
        <v>5226973192</v>
      </c>
      <c r="DO12" s="25" t="str">
        <f>IF($CU12&gt;=RAF,"",IF($CU12-DO$103&lt;BeginnAlter,"",ROUND(v^($CU12+FaktorAlter)*$L12*$D12*0.5*(VLOOKUP($CU12-DO$103,Männer!$G$9:$J$102,4)+VLOOKUP($CU12-DO$103+1,Männer!$G$9:$J$102,4))*0.5*(VLOOKUP($CU12-DO$103,Männer!$AZ$9:$BD$102,5)+VLOOKUP($CU12-DO$103+1,Männer!$AZ$9:$BD$102,5)),RundDx)))</f>
        <v/>
      </c>
      <c r="DP12" s="25" t="str">
        <f>IF($CU12&gt;=RAF,"",IF($CU12-DP$103&lt;BeginnAlter,"",ROUND(v^($CU12+FaktorAlter)*$L12*$D12*0.5*(VLOOKUP($CU12-DP$103,Männer!$G$9:$J$102,4)+VLOOKUP($CU12-DP$103+1,Männer!$G$9:$J$102,4))*0.5*(VLOOKUP($CU12-DP$103,Männer!$AZ$9:$BD$102,5)+VLOOKUP($CU12-DP$103+1,Männer!$AZ$9:$BD$102,5)),RundDx)))</f>
        <v/>
      </c>
      <c r="DQ12" s="25" t="str">
        <f>IF($CU12&gt;=RAF,"",IF($CU12-DQ$103&lt;BeginnAlter,"",ROUND(v^($CU12+FaktorAlter)*$L12*$D12*0.5*(VLOOKUP($CU12-DQ$103,Männer!$G$9:$J$102,4)+VLOOKUP($CU12-DQ$103+1,Männer!$G$9:$J$102,4))*0.5*(VLOOKUP($CU12-DQ$103,Männer!$AZ$9:$BD$102,5)+VLOOKUP($CU12-DQ$103+1,Männer!$AZ$9:$BD$102,5)),RundDx)))</f>
        <v/>
      </c>
      <c r="DR12" s="25" t="str">
        <f>IF($CU12&gt;=RAF,"",IF($CU12-DR$103&lt;BeginnAlter,"",ROUND(v^($CU12+FaktorAlter)*$L12*$D12*0.5*(VLOOKUP($CU12-DR$103,Männer!$G$9:$J$102,4)+VLOOKUP($CU12-DR$103+1,Männer!$G$9:$J$102,4))*0.5*(VLOOKUP($CU12-DR$103,Männer!$AZ$9:$BD$102,5)+VLOOKUP($CU12-DR$103+1,Männer!$AZ$9:$BD$102,5)),RundDx)))</f>
        <v/>
      </c>
      <c r="DS12" s="25" t="str">
        <f>IF($CU12&gt;=RAF,"",IF($CU12-DS$103&lt;BeginnAlter,"",ROUND(v^($CU12+FaktorAlter)*$L12*$D12*0.5*(VLOOKUP($CU12-DS$103,Männer!$G$9:$J$102,4)+VLOOKUP($CU12-DS$103+1,Männer!$G$9:$J$102,4))*0.5*(VLOOKUP($CU12-DS$103,Männer!$AZ$9:$BD$102,5)+VLOOKUP($CU12-DS$103+1,Männer!$AZ$9:$BD$102,5)),RundDx)))</f>
        <v/>
      </c>
      <c r="DT12" s="25" t="str">
        <f>IF($CU12&gt;=RAF,"",IF($CU12-DT$103&lt;BeginnAlter,"",ROUND(v^($CU12+FaktorAlter)*$L12*$D12*0.5*(VLOOKUP($CU12-DT$103,Männer!$G$9:$J$102,4)+VLOOKUP($CU12-DT$103+1,Männer!$G$9:$J$102,4))*0.5*(VLOOKUP($CU12-DT$103,Männer!$AZ$9:$BD$102,5)+VLOOKUP($CU12-DT$103+1,Männer!$AZ$9:$BD$102,5)),RundDx)))</f>
        <v/>
      </c>
      <c r="DU12" s="25" t="str">
        <f>IF($CU12&gt;=RAF,"",IF($CU12-DU$103&lt;BeginnAlter,"",ROUND(v^($CU12+FaktorAlter)*$L12*$D12*0.5*(VLOOKUP($CU12-DU$103,Männer!$G$9:$J$102,4)+VLOOKUP($CU12-DU$103+1,Männer!$G$9:$J$102,4))*0.5*(VLOOKUP($CU12-DU$103,Männer!$AZ$9:$BD$102,5)+VLOOKUP($CU12-DU$103+1,Männer!$AZ$9:$BD$102,5)),RundDx)))</f>
        <v/>
      </c>
      <c r="DV12" s="25" t="str">
        <f>IF($CU12&gt;=RAF,"",IF($CU12-DV$103&lt;BeginnAlter,"",ROUND(v^($CU12+FaktorAlter)*$L12*$D12*0.5*(VLOOKUP($CU12-DV$103,Männer!$G$9:$J$102,4)+VLOOKUP($CU12-DV$103+1,Männer!$G$9:$J$102,4))*0.5*(VLOOKUP($CU12-DV$103,Männer!$AZ$9:$BD$102,5)+VLOOKUP($CU12-DV$103+1,Männer!$AZ$9:$BD$102,5)),RundDx)))</f>
        <v/>
      </c>
      <c r="DW12" s="25" t="str">
        <f>IF($CU12&gt;=RAF,"",IF($CU12-DW$103&lt;BeginnAlter,"",ROUND(v^($CU12+FaktorAlter)*$L12*$D12*0.5*(VLOOKUP($CU12-DW$103,Männer!$G$9:$J$102,4)+VLOOKUP($CU12-DW$103+1,Männer!$G$9:$J$102,4))*0.5*(VLOOKUP($CU12-DW$103,Männer!$AZ$9:$BD$102,5)+VLOOKUP($CU12-DW$103+1,Männer!$AZ$9:$BD$102,5)),RundDx)))</f>
        <v/>
      </c>
      <c r="DX12" s="25" t="str">
        <f>IF($CU12&gt;=RAF,"",IF($CU12-DX$103&lt;BeginnAlter,"",ROUND(v^($CU12+FaktorAlter)*$L12*$D12*0.5*(VLOOKUP($CU12-DX$103,Männer!$G$9:$J$102,4)+VLOOKUP($CU12-DX$103+1,Männer!$G$9:$J$102,4))*0.5*(VLOOKUP($CU12-DX$103,Männer!$AZ$9:$BD$102,5)+VLOOKUP($CU12-DX$103+1,Männer!$AZ$9:$BD$102,5)),RundDx)))</f>
        <v/>
      </c>
      <c r="DY12" s="25" t="str">
        <f>IF($CU12&gt;=RAF,"",IF($CU12-DY$103&lt;BeginnAlter,"",ROUND(v^($CU12+FaktorAlter)*$L12*$D12*0.5*(VLOOKUP($CU12-DY$103,Männer!$G$9:$J$102,4)+VLOOKUP($CU12-DY$103+1,Männer!$G$9:$J$102,4))*0.5*(VLOOKUP($CU12-DY$103,Männer!$AZ$9:$BD$102,5)+VLOOKUP($CU12-DY$103+1,Männer!$AZ$9:$BD$102,5)),RundDx)))</f>
        <v/>
      </c>
      <c r="DZ12" s="25" t="str">
        <f>IF($CU12&gt;=RAF,"",IF($CU12-DZ$103&lt;BeginnAlter,"",ROUND(v^($CU12+FaktorAlter)*$L12*$D12*0.5*(VLOOKUP($CU12-DZ$103,Männer!$G$9:$J$102,4)+VLOOKUP($CU12-DZ$103+1,Männer!$G$9:$J$102,4))*0.5*(VLOOKUP($CU12-DZ$103,Männer!$AZ$9:$BD$102,5)+VLOOKUP($CU12-DZ$103+1,Männer!$AZ$9:$BD$102,5)),RundDx)))</f>
        <v/>
      </c>
      <c r="EA12" s="43">
        <f>IF($CU12&gt;=RAF,"",IF($CU12-EA$103&lt;BeginnAlter,"",ROUND((SUM(CV12:CV$56)+SUM(FN$9:FN$56))/VLOOKUP($CU12,$AH$9:$AI$102,2)/VLOOKUP($CU12-EA$103,Männer!$G$9:$J$102,4),Rundäx)))</f>
        <v>7.4450000000000003</v>
      </c>
      <c r="EB12" s="43">
        <f>IF($CU12&gt;=RAF,"",IF($CU12-EB$103&lt;BeginnAlter,"",ROUND((SUM(CW12:CW$56)+SUM(FO$9:FO$56))/VLOOKUP($CU12,$AH$9:$AI$102,2)/VLOOKUP($CU12-EB$103,Männer!$G$9:$J$102,4),Rundäx)))</f>
        <v>7.6470000000000002</v>
      </c>
      <c r="EC12" s="43">
        <f>IF($CU12&gt;=RAF,"",IF($CU12-EC$103&lt;BeginnAlter,"",ROUND((SUM(CX12:CX$56)+SUM(FP$9:FP$56))/VLOOKUP($CU12,$AH$9:$AI$102,2)/VLOOKUP($CU12-EC$103,Männer!$G$9:$J$102,4),Rundäx)))</f>
        <v>7.8490000000000002</v>
      </c>
      <c r="ED12" s="43">
        <f>IF($CU12&gt;=RAF,"",IF($CU12-ED$103&lt;BeginnAlter,"",ROUND((SUM(CY12:CY$56)+SUM(FQ$9:FQ$56))/VLOOKUP($CU12,$AH$9:$AI$102,2)/VLOOKUP($CU12-ED$103,Männer!$G$9:$J$102,4),Rundäx)))</f>
        <v>8.0500000000000007</v>
      </c>
      <c r="EE12" s="43">
        <f>IF($CU12&gt;=RAF,"",IF($CU12-EE$103&lt;BeginnAlter,"",ROUND((SUM(CZ12:CZ$56)+SUM(FR$9:FR$56))/VLOOKUP($CU12,$AH$9:$AI$102,2)/VLOOKUP($CU12-EE$103,Männer!$G$9:$J$102,4),Rundäx)))</f>
        <v>8.25</v>
      </c>
      <c r="EF12" s="43">
        <f>IF($CU12&gt;=RAF,"",IF($CU12-EF$103&lt;BeginnAlter,"",ROUND((SUM(DA12:DA$56)+SUM(FS$9:FS$56))/VLOOKUP($CU12,$AH$9:$AI$102,2)/VLOOKUP($CU12-EF$103,Männer!$G$9:$J$102,4),Rundäx)))</f>
        <v>8.4489999999999998</v>
      </c>
      <c r="EG12" s="43">
        <f>IF($CU12&gt;=RAF,"",IF($CU12-EG$103&lt;BeginnAlter,"",ROUND((SUM(DB12:DB$56)+SUM(FT$9:FT$56))/VLOOKUP($CU12,$AH$9:$AI$102,2)/VLOOKUP($CU12-EG$103,Männer!$G$9:$J$102,4),Rundäx)))</f>
        <v>8.6470000000000002</v>
      </c>
      <c r="EH12" s="43">
        <f>IF($CU12&gt;=RAF,"",IF($CU12-EH$103&lt;BeginnAlter,"",ROUND((SUM(DC12:DC$56)+SUM(FU$9:FU$56))/VLOOKUP($CU12,$AH$9:$AI$102,2)/VLOOKUP($CU12-EH$103,Männer!$G$9:$J$102,4),Rundäx)))</f>
        <v>8.8439999999999994</v>
      </c>
      <c r="EI12" s="89"/>
      <c r="EJ12" s="9">
        <f>1+EJ11</f>
        <v>20</v>
      </c>
      <c r="EK12" s="43">
        <f>IF($CU12&gt;=RAF,"",IF($CU12-EK$103&lt;BeginnAlter,"",ROUND((SUM(DD12:DD$56)+SUM(FV$9:FV$56))/VLOOKUP($CU12,$AH$9:$AI$102,2)/VLOOKUP($CU12-EK$103,Männer!$G$9:$J$102,4),Rundäx)))</f>
        <v>9.0399999999999991</v>
      </c>
      <c r="EL12" s="43">
        <f>IF($CU12&gt;=RAF,"",IF($CU12-EL$103&lt;BeginnAlter,"",ROUND((SUM(DE12:DE$56)+SUM(FW$9:FW$56))/VLOOKUP($CU12,$AH$9:$AI$102,2)/VLOOKUP($CU12-EL$103,Männer!$G$9:$J$102,4),Rundäx)))</f>
        <v>9.234</v>
      </c>
      <c r="EM12" s="43">
        <f>IF($CU12&gt;=RAF,"",IF($CU12-EM$103&lt;BeginnAlter,"",ROUND((SUM(DF12:DF$56)+SUM(FX$9:FX$56))/VLOOKUP($CU12,$AH$9:$AI$102,2)/VLOOKUP($CU12-EM$103,Männer!$G$9:$J$102,4),Rundäx)))</f>
        <v>9.4280000000000008</v>
      </c>
      <c r="EN12" s="43">
        <f>IF($CU12&gt;=RAF,"",IF($CU12-EN$103&lt;BeginnAlter,"",ROUND((SUM(DG12:DG$56)+SUM(FY$9:FY$56))/VLOOKUP($CU12,$AH$9:$AI$102,2)/VLOOKUP($CU12-EN$103,Männer!$G$9:$J$102,4),Rundäx)))</f>
        <v>9.6199999999999992</v>
      </c>
      <c r="EO12" s="43">
        <f>IF($CU12&gt;=RAF,"",IF($CU12-EO$103&lt;BeginnAlter,"",ROUND((SUM(DH12:DH$56)+SUM(FZ$9:FZ$56))/VLOOKUP($CU12,$AH$9:$AI$102,2)/VLOOKUP($CU12-EO$103,Männer!$G$9:$J$102,4),Rundäx)))</f>
        <v>9.8109999999999999</v>
      </c>
      <c r="EP12" s="43">
        <f>IF($CU12&gt;=RAF,"",IF($CU12-EP$103&lt;BeginnAlter,"",ROUND((SUM(DI12:DI$56)+SUM(GA$9:GA$56))/VLOOKUP($CU12,$AH$9:$AI$102,2)/VLOOKUP($CU12-EP$103,Männer!$G$9:$J$102,4),Rundäx)))</f>
        <v>10.000999999999999</v>
      </c>
      <c r="EQ12" s="43">
        <f>IF($CU12&gt;=RAF,"",IF($CU12-EQ$103&lt;BeginnAlter,"",ROUND((SUM(DJ12:DJ$56)+SUM(GB$9:GB$56))/VLOOKUP($CU12,$AH$9:$AI$102,2)/VLOOKUP($CU12-EQ$103,Männer!$G$9:$J$102,4),Rundäx)))</f>
        <v>10.191000000000001</v>
      </c>
      <c r="ER12" s="43">
        <f>IF($CU12&gt;=RAF,"",IF($CU12-ER$103&lt;BeginnAlter,"",ROUND((SUM(DK12:DK$56)+SUM(GC$9:GC$56))/VLOOKUP($CU12,$AH$9:$AI$102,2)/VLOOKUP($CU12-ER$103,Männer!$G$9:$J$102,4),Rundäx)))</f>
        <v>10.381</v>
      </c>
      <c r="ES12" s="89"/>
      <c r="ET12" s="9">
        <f>1+ET11</f>
        <v>20</v>
      </c>
      <c r="EU12" s="43">
        <f>IF($CU12&gt;=RAF,"",IF($CU12-EU$103&lt;BeginnAlter,"",ROUND((SUM(DL12:DL$56)+SUM(GD$9:GD$56))/VLOOKUP($CU12,$AH$9:$AI$102,2)/VLOOKUP($CU12-EU$103,Männer!$G$9:$J$102,4),Rundäx)))</f>
        <v>10.57</v>
      </c>
      <c r="EV12" s="43">
        <f>IF($CU12&gt;=RAF,"",IF($CU12-EV$103&lt;BeginnAlter,"",ROUND((SUM(DM12:DM$56)+SUM(GE$9:GE$56))/VLOOKUP($CU12,$AH$9:$AI$102,2)/VLOOKUP($CU12-EV$103,Männer!$G$9:$J$102,4),Rundäx)))</f>
        <v>10.760999999999999</v>
      </c>
      <c r="EW12" s="43">
        <f>IF($CU12&gt;=RAF,"",IF($CU12-EW$103&lt;BeginnAlter,"",ROUND((SUM(DN12:DN$56)+SUM(GF$9:GF$56))/VLOOKUP($CU12,$AH$9:$AI$102,2)/VLOOKUP($CU12-EW$103,Männer!$G$9:$J$102,4),Rundäx)))</f>
        <v>10.951000000000001</v>
      </c>
      <c r="EX12" s="43" t="str">
        <f>IF($CU12&gt;=RAF,"",IF($CU12-EX$103&lt;BeginnAlter,"",ROUND((SUM(DO12:DO$56)+SUM(GG$9:GG$56))/VLOOKUP($CU12,$AH$9:$AI$102,2)/VLOOKUP($CU12-EX$103,Männer!$G$9:$J$102,4),Rundäx)))</f>
        <v/>
      </c>
      <c r="EY12" s="43" t="str">
        <f>IF($CU12&gt;=RAF,"",IF($CU12-EY$103&lt;BeginnAlter,"",ROUND((SUM(DP12:DP$56)+SUM(GH$9:GH$56))/VLOOKUP($CU12,$AH$9:$AI$102,2)/VLOOKUP($CU12-EY$103,Männer!$G$9:$J$102,4),Rundäx)))</f>
        <v/>
      </c>
      <c r="EZ12" s="43" t="str">
        <f>IF($CU12&gt;=RAF,"",IF($CU12-EZ$103&lt;BeginnAlter,"",ROUND((SUM(DQ12:DQ$56)+SUM(GI$9:GI$56))/VLOOKUP($CU12,$AH$9:$AI$102,2)/VLOOKUP($CU12-EZ$103,Männer!$G$9:$J$102,4),Rundäx)))</f>
        <v/>
      </c>
      <c r="FA12" s="43" t="str">
        <f>IF($CU12&gt;=RAF,"",IF($CU12-FA$103&lt;BeginnAlter,"",ROUND((SUM(DR12:DR$56)+SUM(GJ$9:GJ$56))/VLOOKUP($CU12,$AH$9:$AI$102,2)/VLOOKUP($CU12-FA$103,Männer!$G$9:$J$102,4),Rundäx)))</f>
        <v/>
      </c>
      <c r="FB12" s="43" t="str">
        <f>IF($CU12&gt;=RAF,"",IF($CU12-FB$103&lt;BeginnAlter,"",ROUND((SUM(DS12:DS$56)+SUM(GK$9:GK$56))/VLOOKUP($CU12,$AH$9:$AI$102,2)/VLOOKUP($CU12-FB$103,Männer!$G$9:$J$102,4),Rundäx)))</f>
        <v/>
      </c>
      <c r="FC12" s="89"/>
      <c r="FD12" s="9">
        <f>1+FD11</f>
        <v>20</v>
      </c>
      <c r="FE12" s="43" t="str">
        <f>IF($CU12&gt;=RAF,"",IF($CU12-FE$103&lt;BeginnAlter,"",ROUND((SUM(DT12:DT$56)+SUM(GL$9:GL$56))/VLOOKUP($CU12,$AH$9:$AI$102,2)/VLOOKUP($CU12-FE$103,Männer!$G$9:$J$102,4),Rundäx)))</f>
        <v/>
      </c>
      <c r="FF12" s="43" t="str">
        <f>IF($CU12&gt;=RAF,"",IF($CU12-FF$103&lt;BeginnAlter,"",ROUND((SUM(DU12:DU$56)+SUM(GM$9:GM$56))/VLOOKUP($CU12,$AH$9:$AI$102,2)/VLOOKUP($CU12-FF$103,Männer!$G$9:$J$102,4),Rundäx)))</f>
        <v/>
      </c>
      <c r="FG12" s="43" t="str">
        <f>IF($CU12&gt;=RAF,"",IF($CU12-FG$103&lt;BeginnAlter,"",ROUND((SUM(DV12:DV$56)+SUM(GN$9:GN$56))/VLOOKUP($CU12,$AH$9:$AI$102,2)/VLOOKUP($CU12-FG$103,Männer!$G$9:$J$102,4),Rundäx)))</f>
        <v/>
      </c>
      <c r="FH12" s="43" t="str">
        <f>IF($CU12&gt;=RAF,"",IF($CU12-FH$103&lt;BeginnAlter,"",ROUND((SUM(DW12:DW$56)+SUM(GO$9:GO$56))/VLOOKUP($CU12,$AH$9:$AI$102,2)/VLOOKUP($CU12-FH$103,Männer!$G$9:$J$102,4),Rundäx)))</f>
        <v/>
      </c>
      <c r="FI12" s="43" t="str">
        <f>IF($CU12&gt;=RAF,"",IF($CU12-FI$103&lt;BeginnAlter,"",ROUND((SUM(DX12:DX$56)+SUM(GP$9:GP$56))/VLOOKUP($CU12,$AH$9:$AI$102,2)/VLOOKUP($CU12-FI$103,Männer!$G$9:$J$102,4),Rundäx)))</f>
        <v/>
      </c>
      <c r="FJ12" s="43" t="str">
        <f>IF($CU12&gt;=RAF,"",IF($CU12-FJ$103&lt;BeginnAlter,"",ROUND((SUM(DY12:DY$56)+SUM(GQ$9:GQ$56))/VLOOKUP($CU12,$AH$9:$AI$102,2)/VLOOKUP($CU12-FJ$103,Männer!$G$9:$J$102,4),Rundäx)))</f>
        <v/>
      </c>
      <c r="FK12" s="43" t="str">
        <f>IF($CU12&gt;=RAF,"",IF($CU12-FK$103&lt;BeginnAlter,"",ROUND((SUM(DZ12:DZ$56)+SUM(GR$9:GR$56))/VLOOKUP($CU12,$AH$9:$AI$102,2)/VLOOKUP($CU12-FK$103,Männer!$G$9:$J$102,4),Rundäx)))</f>
        <v/>
      </c>
      <c r="FL12" s="89"/>
      <c r="FM12" s="9">
        <f>1+FM11</f>
        <v>67</v>
      </c>
      <c r="FN12" s="25">
        <f>ROUND(v^($FM12+FaktorAlter)*VLOOKUP($FM12,$G$9:$J$102,4)*VLOOKUP($FM12,$A$9:$E$102,5)*0.5*(VLOOKUP($FM12-FN$103,Männer!$G$9:$J$102,4)+VLOOKUP($FM12-FN$103+1,Männer!$G$9:$J$102,4))*0.5*(VLOOKUP($FM12-FN$103,Männer!$AZ$9:$BD$102,5)+VLOOKUP($FM12-FN$103+1,Männer!$AZ$9:$BD$102,5)),RundDx)</f>
        <v>68292490</v>
      </c>
      <c r="FO12" s="25">
        <f>ROUND(v^($FM12+FaktorAlter)*VLOOKUP($FM12,$G$9:$J$102,4)*VLOOKUP($FM12,$A$9:$E$102,5)*0.5*(VLOOKUP($FM12-FO$103,Männer!$G$9:$J$102,4)+VLOOKUP($FM12-FO$103+1,Männer!$G$9:$J$102,4))*0.5*(VLOOKUP($FM12-FO$103,Männer!$AZ$9:$BD$102,5)+VLOOKUP($FM12-FO$103+1,Männer!$AZ$9:$BD$102,5)),RundDx)</f>
        <v>78099411</v>
      </c>
      <c r="FP12" s="25">
        <f>ROUND(v^($FM12+FaktorAlter)*VLOOKUP($FM12,$G$9:$J$102,4)*VLOOKUP($FM12,$A$9:$E$102,5)*0.5*(VLOOKUP($FM12-FP$103,Männer!$G$9:$J$102,4)+VLOOKUP($FM12-FP$103+1,Männer!$G$9:$J$102,4))*0.5*(VLOOKUP($FM12-FP$103,Männer!$AZ$9:$BD$102,5)+VLOOKUP($FM12-FP$103+1,Männer!$AZ$9:$BD$102,5)),RundDx)</f>
        <v>88427241</v>
      </c>
      <c r="FQ12" s="25">
        <f>ROUND(v^($FM12+FaktorAlter)*VLOOKUP($FM12,$G$9:$J$102,4)*VLOOKUP($FM12,$A$9:$E$102,5)*0.5*(VLOOKUP($FM12-FQ$103,Männer!$G$9:$J$102,4)+VLOOKUP($FM12-FQ$103+1,Männer!$G$9:$J$102,4))*0.5*(VLOOKUP($FM12-FQ$103,Männer!$AZ$9:$BD$102,5)+VLOOKUP($FM12-FQ$103+1,Männer!$AZ$9:$BD$102,5)),RundDx)</f>
        <v>99226376</v>
      </c>
      <c r="FR12" s="25">
        <f>ROUND(v^($FM12+FaktorAlter)*VLOOKUP($FM12,$G$9:$J$102,4)*VLOOKUP($FM12,$A$9:$E$102,5)*0.5*(VLOOKUP($FM12-FR$103,Männer!$G$9:$J$102,4)+VLOOKUP($FM12-FR$103+1,Männer!$G$9:$J$102,4))*0.5*(VLOOKUP($FM12-FR$103,Männer!$AZ$9:$BD$102,5)+VLOOKUP($FM12-FR$103+1,Männer!$AZ$9:$BD$102,5)),RundDx)</f>
        <v>110444736</v>
      </c>
      <c r="FS12" s="25">
        <f>ROUND(v^($FM12+FaktorAlter)*VLOOKUP($FM12,$G$9:$J$102,4)*VLOOKUP($FM12,$A$9:$E$102,5)*0.5*(VLOOKUP($FM12-FS$103,Männer!$G$9:$J$102,4)+VLOOKUP($FM12-FS$103+1,Männer!$G$9:$J$102,4))*0.5*(VLOOKUP($FM12-FS$103,Männer!$AZ$9:$BD$102,5)+VLOOKUP($FM12-FS$103+1,Männer!$AZ$9:$BD$102,5)),RundDx)</f>
        <v>122026296</v>
      </c>
      <c r="FT12" s="25">
        <f>ROUND(v^($FM12+FaktorAlter)*VLOOKUP($FM12,$G$9:$J$102,4)*VLOOKUP($FM12,$A$9:$E$102,5)*0.5*(VLOOKUP($FM12-FT$103,Männer!$G$9:$J$102,4)+VLOOKUP($FM12-FT$103+1,Männer!$G$9:$J$102,4))*0.5*(VLOOKUP($FM12-FT$103,Männer!$AZ$9:$BD$102,5)+VLOOKUP($FM12-FT$103+1,Männer!$AZ$9:$BD$102,5)),RundDx)</f>
        <v>133908777</v>
      </c>
      <c r="FU12" s="25">
        <f>ROUND(v^($FM12+FaktorAlter)*VLOOKUP($FM12,$G$9:$J$102,4)*VLOOKUP($FM12,$A$9:$E$102,5)*0.5*(VLOOKUP($FM12-FU$103,Männer!$G$9:$J$102,4)+VLOOKUP($FM12-FU$103+1,Männer!$G$9:$J$102,4))*0.5*(VLOOKUP($FM12-FU$103,Männer!$AZ$9:$BD$102,5)+VLOOKUP($FM12-FU$103+1,Männer!$AZ$9:$BD$102,5)),RundDx)</f>
        <v>146016301</v>
      </c>
      <c r="FV12" s="25">
        <f>ROUND(v^($FM12+FaktorAlter)*VLOOKUP($FM12,$G$9:$J$102,4)*VLOOKUP($FM12,$A$9:$E$102,5)*0.5*(VLOOKUP($FM12-FV$103,Männer!$G$9:$J$102,4)+VLOOKUP($FM12-FV$103+1,Männer!$G$9:$J$102,4))*0.5*(VLOOKUP($FM12-FV$103,Männer!$AZ$9:$BD$102,5)+VLOOKUP($FM12-FV$103+1,Männer!$AZ$9:$BD$102,5)),RundDx)</f>
        <v>158292375</v>
      </c>
      <c r="FW12" s="25">
        <f>ROUND(v^($FM12+FaktorAlter)*VLOOKUP($FM12,$G$9:$J$102,4)*VLOOKUP($FM12,$A$9:$E$102,5)*0.5*(VLOOKUP($FM12-FW$103,Männer!$G$9:$J$102,4)+VLOOKUP($FM12-FW$103+1,Männer!$G$9:$J$102,4))*0.5*(VLOOKUP($FM12-FW$103,Männer!$AZ$9:$BD$102,5)+VLOOKUP($FM12-FW$103+1,Männer!$AZ$9:$BD$102,5)),RundDx)</f>
        <v>170666972</v>
      </c>
      <c r="FX12" s="25">
        <f>ROUND(v^($FM12+FaktorAlter)*VLOOKUP($FM12,$G$9:$J$102,4)*VLOOKUP($FM12,$A$9:$E$102,5)*0.5*(VLOOKUP($FM12-FX$103,Männer!$G$9:$J$102,4)+VLOOKUP($FM12-FX$103+1,Männer!$G$9:$J$102,4))*0.5*(VLOOKUP($FM12-FX$103,Männer!$AZ$9:$BD$102,5)+VLOOKUP($FM12-FX$103+1,Männer!$AZ$9:$BD$102,5)),RundDx)</f>
        <v>183133718</v>
      </c>
      <c r="FY12" s="25">
        <f>ROUND(v^($FM12+FaktorAlter)*VLOOKUP($FM12,$G$9:$J$102,4)*VLOOKUP($FM12,$A$9:$E$102,5)*0.5*(VLOOKUP($FM12-FY$103,Männer!$G$9:$J$102,4)+VLOOKUP($FM12-FY$103+1,Männer!$G$9:$J$102,4))*0.5*(VLOOKUP($FM12-FY$103,Männer!$AZ$9:$BD$102,5)+VLOOKUP($FM12-FY$103+1,Männer!$AZ$9:$BD$102,5)),RundDx)</f>
        <v>195677198</v>
      </c>
      <c r="FZ12" s="25">
        <f>ROUND(v^($FM12+FaktorAlter)*VLOOKUP($FM12,$G$9:$J$102,4)*VLOOKUP($FM12,$A$9:$E$102,5)*0.5*(VLOOKUP($FM12-FZ$103,Männer!$G$9:$J$102,4)+VLOOKUP($FM12-FZ$103+1,Männer!$G$9:$J$102,4))*0.5*(VLOOKUP($FM12-FZ$103,Männer!$AZ$9:$BD$102,5)+VLOOKUP($FM12-FZ$103+1,Männer!$AZ$9:$BD$102,5)),RundDx)</f>
        <v>208238166</v>
      </c>
      <c r="GA12" s="25">
        <f>ROUND(v^($FM12+FaktorAlter)*VLOOKUP($FM12,$G$9:$J$102,4)*VLOOKUP($FM12,$A$9:$E$102,5)*0.5*(VLOOKUP($FM12-GA$103,Männer!$G$9:$J$102,4)+VLOOKUP($FM12-GA$103+1,Männer!$G$9:$J$102,4))*0.5*(VLOOKUP($FM12-GA$103,Männer!$AZ$9:$BD$102,5)+VLOOKUP($FM12-GA$103+1,Männer!$AZ$9:$BD$102,5)),RundDx)</f>
        <v>220809103</v>
      </c>
      <c r="GB12" s="25">
        <f>ROUND(v^($FM12+FaktorAlter)*VLOOKUP($FM12,$G$9:$J$102,4)*VLOOKUP($FM12,$A$9:$E$102,5)*0.5*(VLOOKUP($FM12-GB$103,Männer!$G$9:$J$102,4)+VLOOKUP($FM12-GB$103+1,Männer!$G$9:$J$102,4))*0.5*(VLOOKUP($FM12-GB$103,Männer!$AZ$9:$BD$102,5)+VLOOKUP($FM12-GB$103+1,Männer!$AZ$9:$BD$102,5)),RundDx)</f>
        <v>233434595</v>
      </c>
      <c r="GC12" s="25">
        <f>ROUND(v^($FM12+FaktorAlter)*VLOOKUP($FM12,$G$9:$J$102,4)*VLOOKUP($FM12,$A$9:$E$102,5)*0.5*(VLOOKUP($FM12-GC$103,Männer!$G$9:$J$102,4)+VLOOKUP($FM12-GC$103+1,Männer!$G$9:$J$102,4))*0.5*(VLOOKUP($FM12-GC$103,Männer!$AZ$9:$BD$102,5)+VLOOKUP($FM12-GC$103+1,Männer!$AZ$9:$BD$102,5)),RundDx)</f>
        <v>246151054</v>
      </c>
      <c r="GD12" s="25">
        <f>ROUND(v^($FM12+FaktorAlter)*VLOOKUP($FM12,$G$9:$J$102,4)*VLOOKUP($FM12,$A$9:$E$102,5)*0.5*(VLOOKUP($FM12-GD$103,Männer!$G$9:$J$102,4)+VLOOKUP($FM12-GD$103+1,Männer!$G$9:$J$102,4))*0.5*(VLOOKUP($FM12-GD$103,Männer!$AZ$9:$BD$102,5)+VLOOKUP($FM12-GD$103+1,Männer!$AZ$9:$BD$102,5)),RundDx)</f>
        <v>258927088</v>
      </c>
      <c r="GE12" s="25">
        <f>ROUND(v^($FM12+FaktorAlter)*VLOOKUP($FM12,$G$9:$J$102,4)*VLOOKUP($FM12,$A$9:$E$102,5)*0.5*(VLOOKUP($FM12-GE$103,Männer!$G$9:$J$102,4)+VLOOKUP($FM12-GE$103+1,Männer!$G$9:$J$102,4))*0.5*(VLOOKUP($FM12-GE$103,Männer!$AZ$9:$BD$102,5)+VLOOKUP($FM12-GE$103+1,Männer!$AZ$9:$BD$102,5)),RundDx)</f>
        <v>271793813</v>
      </c>
      <c r="GF12" s="25">
        <f>ROUND(v^($FM12+FaktorAlter)*VLOOKUP($FM12,$G$9:$J$102,4)*VLOOKUP($FM12,$A$9:$E$102,5)*0.5*(VLOOKUP($FM12-GF$103,Männer!$G$9:$J$102,4)+VLOOKUP($FM12-GF$103+1,Männer!$G$9:$J$102,4))*0.5*(VLOOKUP($FM12-GF$103,Männer!$AZ$9:$BD$102,5)+VLOOKUP($FM12-GF$103+1,Männer!$AZ$9:$BD$102,5)),RundDx)</f>
        <v>284816901</v>
      </c>
      <c r="GG12" s="25">
        <f>ROUND(v^($FM12+FaktorAlter)*VLOOKUP($FM12,$G$9:$J$102,4)*VLOOKUP($FM12,$A$9:$E$102,5)*0.5*(VLOOKUP($FM12-GG$103,Männer!$G$9:$J$102,4)+VLOOKUP($FM12-GG$103+1,Männer!$G$9:$J$102,4))*0.5*(VLOOKUP($FM12-GG$103,Männer!$AZ$9:$BD$102,5)+VLOOKUP($FM12-GG$103+1,Männer!$AZ$9:$BD$102,5)),RundDx)</f>
        <v>298021038</v>
      </c>
      <c r="GH12" s="25">
        <f>ROUND(v^($FM12+FaktorAlter)*VLOOKUP($FM12,$G$9:$J$102,4)*VLOOKUP($FM12,$A$9:$E$102,5)*0.5*(VLOOKUP($FM12-GH$103,Männer!$G$9:$J$102,4)+VLOOKUP($FM12-GH$103+1,Männer!$G$9:$J$102,4))*0.5*(VLOOKUP($FM12-GH$103,Männer!$AZ$9:$BD$102,5)+VLOOKUP($FM12-GH$103+1,Männer!$AZ$9:$BD$102,5)),RundDx)</f>
        <v>311438064</v>
      </c>
      <c r="GI12" s="25">
        <f>ROUND(v^($FM12+FaktorAlter)*VLOOKUP($FM12,$G$9:$J$102,4)*VLOOKUP($FM12,$A$9:$E$102,5)*0.5*(VLOOKUP($FM12-GI$103,Männer!$G$9:$J$102,4)+VLOOKUP($FM12-GI$103+1,Männer!$G$9:$J$102,4))*0.5*(VLOOKUP($FM12-GI$103,Männer!$AZ$9:$BD$102,5)+VLOOKUP($FM12-GI$103+1,Männer!$AZ$9:$BD$102,5)),RundDx)</f>
        <v>325087977</v>
      </c>
      <c r="GJ12" s="25">
        <f>ROUND(v^($FM12+FaktorAlter)*VLOOKUP($FM12,$G$9:$J$102,4)*VLOOKUP($FM12,$A$9:$E$102,5)*0.5*(VLOOKUP($FM12-GJ$103,Männer!$G$9:$J$102,4)+VLOOKUP($FM12-GJ$103+1,Männer!$G$9:$J$102,4))*0.5*(VLOOKUP($FM12-GJ$103,Männer!$AZ$9:$BD$102,5)+VLOOKUP($FM12-GJ$103+1,Männer!$AZ$9:$BD$102,5)),RundDx)</f>
        <v>338981766</v>
      </c>
      <c r="GK12" s="25">
        <f>ROUND(v^($FM12+FaktorAlter)*VLOOKUP($FM12,$G$9:$J$102,4)*VLOOKUP($FM12,$A$9:$E$102,5)*0.5*(VLOOKUP($FM12-GK$103,Männer!$G$9:$J$102,4)+VLOOKUP($FM12-GK$103+1,Männer!$G$9:$J$102,4))*0.5*(VLOOKUP($FM12-GK$103,Männer!$AZ$9:$BD$102,5)+VLOOKUP($FM12-GK$103+1,Männer!$AZ$9:$BD$102,5)),RundDx)</f>
        <v>353144257</v>
      </c>
      <c r="GL12" s="25">
        <f>ROUND(v^($FM12+FaktorAlter)*VLOOKUP($FM12,$G$9:$J$102,4)*VLOOKUP($FM12,$A$9:$E$102,5)*0.5*(VLOOKUP($FM12-GL$103,Männer!$G$9:$J$102,4)+VLOOKUP($FM12-GL$103+1,Männer!$G$9:$J$102,4))*0.5*(VLOOKUP($FM12-GL$103,Männer!$AZ$9:$BD$102,5)+VLOOKUP($FM12-GL$103+1,Männer!$AZ$9:$BD$102,5)),RundDx)</f>
        <v>367558692</v>
      </c>
      <c r="GM12" s="25">
        <f>ROUND(v^($FM12+FaktorAlter)*VLOOKUP($FM12,$G$9:$J$102,4)*VLOOKUP($FM12,$A$9:$E$102,5)*0.5*(VLOOKUP($FM12-GM$103,Männer!$G$9:$J$102,4)+VLOOKUP($FM12-GM$103+1,Männer!$G$9:$J$102,4))*0.5*(VLOOKUP($FM12-GM$103,Männer!$AZ$9:$BD$102,5)+VLOOKUP($FM12-GM$103+1,Männer!$AZ$9:$BD$102,5)),RundDx)</f>
        <v>382203923</v>
      </c>
      <c r="GN12" s="25">
        <f>ROUND(v^($FM12+FaktorAlter)*VLOOKUP($FM12,$G$9:$J$102,4)*VLOOKUP($FM12,$A$9:$E$102,5)*0.5*(VLOOKUP($FM12-GN$103,Männer!$G$9:$J$102,4)+VLOOKUP($FM12-GN$103+1,Männer!$G$9:$J$102,4))*0.5*(VLOOKUP($FM12-GN$103,Männer!$AZ$9:$BD$102,5)+VLOOKUP($FM12-GN$103+1,Männer!$AZ$9:$BD$102,5)),RundDx)</f>
        <v>397075870</v>
      </c>
      <c r="GO12" s="25">
        <f>ROUND(v^($FM12+FaktorAlter)*VLOOKUP($FM12,$G$9:$J$102,4)*VLOOKUP($FM12,$A$9:$E$102,5)*0.5*(VLOOKUP($FM12-GO$103,Männer!$G$9:$J$102,4)+VLOOKUP($FM12-GO$103+1,Männer!$G$9:$J$102,4))*0.5*(VLOOKUP($FM12-GO$103,Männer!$AZ$9:$BD$102,5)+VLOOKUP($FM12-GO$103+1,Männer!$AZ$9:$BD$102,5)),RundDx)</f>
        <v>411956441</v>
      </c>
      <c r="GP12" s="25">
        <f>ROUND(v^($FM12+FaktorAlter)*VLOOKUP($FM12,$G$9:$J$102,4)*VLOOKUP($FM12,$A$9:$E$102,5)*0.5*(VLOOKUP($FM12-GP$103,Männer!$G$9:$J$102,4)+VLOOKUP($FM12-GP$103+1,Männer!$G$9:$J$102,4))*0.5*(VLOOKUP($FM12-GP$103,Männer!$AZ$9:$BD$102,5)+VLOOKUP($FM12-GP$103+1,Männer!$AZ$9:$BD$102,5)),RundDx)</f>
        <v>426613135</v>
      </c>
      <c r="GQ12" s="25">
        <f>ROUND(v^($FM12+FaktorAlter)*VLOOKUP($FM12,$G$9:$J$102,4)*VLOOKUP($FM12,$A$9:$E$102,5)*0.5*(VLOOKUP($FM12-GQ$103,Männer!$G$9:$J$102,4)+VLOOKUP($FM12-GQ$103+1,Männer!$G$9:$J$102,4))*0.5*(VLOOKUP($FM12-GQ$103,Männer!$AZ$9:$BD$102,5)+VLOOKUP($FM12-GQ$103+1,Männer!$AZ$9:$BD$102,5)),RundDx)</f>
        <v>441048419</v>
      </c>
      <c r="GR12" s="25">
        <f>ROUND(v^($FM12+FaktorAlter)*VLOOKUP($FM12,$G$9:$J$102,4)*VLOOKUP($FM12,$A$9:$E$102,5)*0.5*(VLOOKUP($FM12-GR$103,Männer!$G$9:$J$102,4)+VLOOKUP($FM12-GR$103+1,Männer!$G$9:$J$102,4))*0.5*(VLOOKUP($FM12-GR$103,Männer!$AZ$9:$BD$102,5)+VLOOKUP($FM12-GR$103+1,Männer!$AZ$9:$BD$102,5)),RundDx)</f>
        <v>455264473</v>
      </c>
      <c r="GS12" s="24">
        <f>ROUND(SUM(FN12:FN$56)/VLOOKUP($FM12,$AQ$9:$AR$102,2)/VLOOKUP($FM12-GS$103,Männer!$G$9:$J$102,4),Rundäx)</f>
        <v>0.42299999999999999</v>
      </c>
      <c r="GT12" s="24">
        <f>ROUND(SUM(FO12:FO$56)/VLOOKUP($FM12,$AQ$9:$AR$102,2)/VLOOKUP($FM12-GT$103,Männer!$G$9:$J$102,4),Rundäx)</f>
        <v>0.48299999999999998</v>
      </c>
      <c r="GU12" s="24">
        <f>ROUND(SUM(FP12:FP$56)/VLOOKUP($FM12,$AQ$9:$AR$102,2)/VLOOKUP($FM12-GU$103,Männer!$G$9:$J$102,4),Rundäx)</f>
        <v>0.54900000000000004</v>
      </c>
      <c r="GV12" s="24">
        <f>ROUND(SUM(FQ12:FQ$56)/VLOOKUP($FM12,$AQ$9:$AR$102,2)/VLOOKUP($FM12-GV$103,Männer!$G$9:$J$102,4),Rundäx)</f>
        <v>0.622</v>
      </c>
      <c r="GW12" s="24">
        <f>ROUND(SUM(FR12:FR$56)/VLOOKUP($FM12,$AQ$9:$AR$102,2)/VLOOKUP($FM12-GW$103,Männer!$G$9:$J$102,4),Rundäx)</f>
        <v>0.70099999999999996</v>
      </c>
      <c r="GX12" s="24">
        <f>ROUND(SUM(FS12:FS$56)/VLOOKUP($FM12,$AQ$9:$AR$102,2)/VLOOKUP($FM12-GX$103,Männer!$G$9:$J$102,4),Rundäx)</f>
        <v>0.78900000000000003</v>
      </c>
      <c r="GY12" s="24">
        <f>ROUND(SUM(FT12:FT$56)/VLOOKUP($FM12,$AQ$9:$AR$102,2)/VLOOKUP($FM12-GY$103,Männer!$G$9:$J$102,4),Rundäx)</f>
        <v>0.88400000000000001</v>
      </c>
      <c r="GZ12" s="24">
        <f>ROUND(SUM(FU12:FU$56)/VLOOKUP($FM12,$AQ$9:$AR$102,2)/VLOOKUP($FM12-GZ$103,Männer!$G$9:$J$102,4),Rundäx)</f>
        <v>0.98899999999999999</v>
      </c>
      <c r="HA12" s="89"/>
      <c r="HB12" s="9">
        <f>1+HB11</f>
        <v>67</v>
      </c>
      <c r="HC12" s="24">
        <f>ROUND(SUM(FV12:FV$56)/VLOOKUP($FM12,$AQ$9:$AR$102,2)/VLOOKUP($FM12-HC$103,Männer!$G$9:$J$102,4),Rundäx)</f>
        <v>1.103</v>
      </c>
      <c r="HD12" s="24">
        <f>ROUND(SUM(FW12:FW$56)/VLOOKUP($FM12,$AQ$9:$AR$102,2)/VLOOKUP($FM12-HD$103,Männer!$G$9:$J$102,4),Rundäx)</f>
        <v>1.2270000000000001</v>
      </c>
      <c r="HE12" s="24">
        <f>ROUND(SUM(FX12:FX$56)/VLOOKUP($FM12,$AQ$9:$AR$102,2)/VLOOKUP($FM12-HE$103,Männer!$G$9:$J$102,4),Rundäx)</f>
        <v>1.361</v>
      </c>
      <c r="HF12" s="24">
        <f>ROUND(SUM(FY12:FY$56)/VLOOKUP($FM12,$AQ$9:$AR$102,2)/VLOOKUP($FM12-HF$103,Männer!$G$9:$J$102,4),Rundäx)</f>
        <v>1.5049999999999999</v>
      </c>
      <c r="HG12" s="24">
        <f>ROUND(SUM(FZ12:FZ$56)/VLOOKUP($FM12,$AQ$9:$AR$102,2)/VLOOKUP($FM12-HG$103,Männer!$G$9:$J$102,4),Rundäx)</f>
        <v>1.661</v>
      </c>
      <c r="HH12" s="24">
        <f>ROUND(SUM(GA12:GA$56)/VLOOKUP($FM12,$AQ$9:$AR$102,2)/VLOOKUP($FM12-HH$103,Männer!$G$9:$J$102,4),Rundäx)</f>
        <v>1.8280000000000001</v>
      </c>
      <c r="HI12" s="24">
        <f>ROUND(SUM(GB12:GB$56)/VLOOKUP($FM12,$AQ$9:$AR$102,2)/VLOOKUP($FM12-HI$103,Männer!$G$9:$J$102,4),Rundäx)</f>
        <v>2.0059999999999998</v>
      </c>
      <c r="HJ12" s="24">
        <f>ROUND(SUM(GC12:GC$56)/VLOOKUP($FM12,$AQ$9:$AR$102,2)/VLOOKUP($FM12-HJ$103,Männer!$G$9:$J$102,4),Rundäx)</f>
        <v>2.194</v>
      </c>
      <c r="HK12" s="89"/>
      <c r="HL12" s="9">
        <f>1+HL11</f>
        <v>67</v>
      </c>
      <c r="HM12" s="24">
        <f>ROUND(SUM(GD12:GD$56)/VLOOKUP($FM12,$AQ$9:$AR$102,2)/VLOOKUP($FM12-HM$103,Männer!$G$9:$J$102,4),Rundäx)</f>
        <v>2.395</v>
      </c>
      <c r="HN12" s="24">
        <f>ROUND(SUM(GE12:GE$56)/VLOOKUP($FM12,$AQ$9:$AR$102,2)/VLOOKUP($FM12-HN$103,Männer!$G$9:$J$102,4),Rundäx)</f>
        <v>2.6059999999999999</v>
      </c>
      <c r="HO12" s="24">
        <f>ROUND(SUM(GF12:GF$56)/VLOOKUP($FM12,$AQ$9:$AR$102,2)/VLOOKUP($FM12-HO$103,Männer!$G$9:$J$102,4),Rundäx)</f>
        <v>2.8279999999999998</v>
      </c>
      <c r="HP12" s="24">
        <f>ROUND(SUM(GG12:GG$56)/VLOOKUP($FM12,$AQ$9:$AR$102,2)/VLOOKUP($FM12-HP$103,Männer!$G$9:$J$102,4),Rundäx)</f>
        <v>3.0609999999999999</v>
      </c>
      <c r="HQ12" s="24">
        <f>ROUND(SUM(GH12:GH$56)/VLOOKUP($FM12,$AQ$9:$AR$102,2)/VLOOKUP($FM12-HQ$103,Männer!$G$9:$J$102,4),Rundäx)</f>
        <v>3.3039999999999998</v>
      </c>
      <c r="HR12" s="24">
        <f>ROUND(SUM(GI12:GI$56)/VLOOKUP($FM12,$AQ$9:$AR$102,2)/VLOOKUP($FM12-HR$103,Männer!$G$9:$J$102,4),Rundäx)</f>
        <v>3.5579999999999998</v>
      </c>
      <c r="HS12" s="24">
        <f>ROUND(SUM(GJ12:GJ$56)/VLOOKUP($FM12,$AQ$9:$AR$102,2)/VLOOKUP($FM12-HS$103,Männer!$G$9:$J$102,4),Rundäx)</f>
        <v>3.8220000000000001</v>
      </c>
      <c r="HT12" s="24">
        <f>ROUND(SUM(GK12:GK$56)/VLOOKUP($FM12,$AQ$9:$AR$102,2)/VLOOKUP($FM12-HT$103,Männer!$G$9:$J$102,4),Rundäx)</f>
        <v>4.0960000000000001</v>
      </c>
      <c r="HU12" s="89"/>
      <c r="HV12" s="9">
        <f>1+HV11</f>
        <v>67</v>
      </c>
      <c r="HW12" s="24">
        <f>ROUND(SUM(GL12:GL$56)/VLOOKUP($FM12,$AQ$9:$AR$102,2)/VLOOKUP($FM12-HW$103,Männer!$G$9:$J$102,4),Rundäx)</f>
        <v>4.3789999999999996</v>
      </c>
      <c r="HX12" s="24">
        <f>ROUND(SUM(GM12:GM$56)/VLOOKUP($FM12,$AQ$9:$AR$102,2)/VLOOKUP($FM12-HX$103,Männer!$G$9:$J$102,4),Rundäx)</f>
        <v>4.6710000000000003</v>
      </c>
      <c r="HY12" s="24">
        <f>ROUND(SUM(GN12:GN$56)/VLOOKUP($FM12,$AQ$9:$AR$102,2)/VLOOKUP($FM12-HY$103,Männer!$G$9:$J$102,4),Rundäx)</f>
        <v>4.9720000000000004</v>
      </c>
      <c r="HZ12" s="24">
        <f>ROUND(SUM(GO12:GO$56)/VLOOKUP($FM12,$AQ$9:$AR$102,2)/VLOOKUP($FM12-HZ$103,Männer!$G$9:$J$102,4),Rundäx)</f>
        <v>5.28</v>
      </c>
      <c r="IA12" s="24">
        <f>ROUND(SUM(GP12:GP$56)/VLOOKUP($FM12,$AQ$9:$AR$102,2)/VLOOKUP($FM12-IA$103,Männer!$G$9:$J$102,4),Rundäx)</f>
        <v>5.5949999999999998</v>
      </c>
      <c r="IB12" s="24">
        <f>ROUND(SUM(GQ12:GQ$56)/VLOOKUP($FM12,$AQ$9:$AR$102,2)/VLOOKUP($FM12-IB$103,Männer!$G$9:$J$102,4),Rundäx)</f>
        <v>5.9160000000000004</v>
      </c>
      <c r="IC12" s="24">
        <f>ROUND(SUM(GR12:GR$56)/VLOOKUP($FM12,$AQ$9:$AR$102,2)/VLOOKUP($FM12-IC$103,Männer!$G$9:$J$102,4),Rundäx)</f>
        <v>6.2409999999999997</v>
      </c>
      <c r="ID12" s="89"/>
      <c r="IE12" s="9">
        <f>1+IE11</f>
        <v>20</v>
      </c>
      <c r="IF12" s="11">
        <f t="shared" si="25"/>
        <v>15</v>
      </c>
      <c r="IG12" s="11">
        <f>IF($IE12&lt;RAF,IF(S13&lt;=RAK,ROUND(SUM(IF12:INDEX(Daky,RAF-BeginnAlter))+INDEX(Day,RAF-BeginnAlter+1)*INDEX(äky,1),RundDx),0),"")</f>
        <v>6420</v>
      </c>
      <c r="IH12" s="11">
        <f>IF($IE12&lt;RAF,IF(S13&lt;=RAK,ROUND(SUM(IG12:INDEX(Naky,RAF-BeginnAlter))+INDEX(Day,RAF-BeginnAlter+1)*INDEX(äky,1),RundDx),0),"")</f>
        <v>114602</v>
      </c>
      <c r="II12" s="10">
        <f t="shared" si="26"/>
        <v>0.1</v>
      </c>
      <c r="IJ12" s="11">
        <f t="shared" si="27"/>
        <v>479</v>
      </c>
      <c r="IK12" s="11">
        <f>IF($IE12&lt;RAF,IF(S13&lt;=RAK,SUM(IJ12:INDEX(Diky,RAF-BeginnAlter))+INDEX(Diy,RAF-BeginnAlter+1)*INDEX(äky,1),0),"")</f>
        <v>233396</v>
      </c>
      <c r="IL12" s="10">
        <f t="shared" si="28"/>
        <v>1.641</v>
      </c>
      <c r="IM12" s="89"/>
      <c r="IN12" s="9">
        <f t="shared" si="29"/>
        <v>67</v>
      </c>
      <c r="IO12" s="25">
        <f t="shared" si="2"/>
        <v>1</v>
      </c>
      <c r="IP12" s="11">
        <f>IF(AND(VLOOKUP(IN12+1,O$9:S$102,5)&lt;=RAK,VLOOKUP(IN12+1,O$9:S$102,5)&lt;&gt;""),SUM(IO12:IO$102),0)</f>
        <v>1</v>
      </c>
      <c r="IQ12" s="10">
        <f t="shared" si="3"/>
        <v>0</v>
      </c>
      <c r="IR12" s="86"/>
    </row>
    <row r="13" spans="1:252" ht="15.75" customHeight="1" x14ac:dyDescent="0.25">
      <c r="A13" s="9">
        <f t="shared" si="4"/>
        <v>21</v>
      </c>
      <c r="B13" s="93">
        <v>2.0622884845939305E-4</v>
      </c>
      <c r="C13" s="93">
        <v>2.1466582488845534E-4</v>
      </c>
      <c r="D13" s="93">
        <v>1.33093786362171E-2</v>
      </c>
      <c r="E13" s="93">
        <v>2.1009874641075843E-4</v>
      </c>
      <c r="F13" s="89"/>
      <c r="G13" s="9">
        <f t="shared" si="5"/>
        <v>21</v>
      </c>
      <c r="H13" s="11">
        <f t="shared" si="30"/>
        <v>99921</v>
      </c>
      <c r="I13" s="25">
        <f t="shared" si="31"/>
        <v>32</v>
      </c>
      <c r="J13" s="25">
        <f t="shared" si="32"/>
        <v>99953</v>
      </c>
      <c r="K13" s="30">
        <f>IF(J13&gt;0,ROUND(SUM(J13:J$102)/J13-0.5,Rundex),"")</f>
        <v>61.11</v>
      </c>
      <c r="L13" s="25">
        <f t="shared" si="6"/>
        <v>219388</v>
      </c>
      <c r="M13" s="30">
        <f>IF(L13&gt;0,ROUND(SUM(L13:L$102)/L13-0.5,Rundex),"")</f>
        <v>37.53</v>
      </c>
      <c r="N13" s="89"/>
      <c r="O13" s="9">
        <f>1+O12</f>
        <v>21</v>
      </c>
      <c r="P13" s="94">
        <v>7.0523262240409085E-2</v>
      </c>
      <c r="Q13" s="95">
        <v>25.391749668393622</v>
      </c>
      <c r="R13" s="94">
        <v>2.0459999999999999E-2</v>
      </c>
      <c r="S13" s="95">
        <v>0.05</v>
      </c>
      <c r="T13" s="28">
        <v>2.1009874641075843E-4</v>
      </c>
      <c r="U13" s="11">
        <f t="shared" si="33"/>
        <v>99953</v>
      </c>
      <c r="V13" s="30">
        <f>IF(U13&gt;0,ROUND(SUM(U13:U$102)/U13-0.5,Rundex),"")</f>
        <v>62.4</v>
      </c>
      <c r="W13" s="89"/>
      <c r="X13" s="9">
        <f>1+X12</f>
        <v>21</v>
      </c>
      <c r="Y13" s="11">
        <f t="shared" si="34"/>
        <v>62622</v>
      </c>
      <c r="Z13" s="11">
        <f>IF($X13&lt;RAF,SUM(Y13:INDEX(Day,RAF-BeginnAlter))," ")</f>
        <v>1654632</v>
      </c>
      <c r="AA13" s="11">
        <f t="shared" si="0"/>
        <v>13</v>
      </c>
      <c r="AB13" s="11">
        <f>IF($X13&lt;RAF,SUM(AA13:INDEX(Cay,RAF-BeginnAlter))," ")</f>
        <v>1456</v>
      </c>
      <c r="AC13" s="11">
        <f t="shared" si="1"/>
        <v>13</v>
      </c>
      <c r="AD13" s="11">
        <f>IF($X13&lt;RAF,SUM(AC13:INDEX(Caiy,RAF-BeginnAlter))," ")</f>
        <v>8493</v>
      </c>
      <c r="AE13" s="10">
        <f t="shared" si="35"/>
        <v>26.422999999999998</v>
      </c>
      <c r="AF13" s="10">
        <f t="shared" si="36"/>
        <v>26.085000000000001</v>
      </c>
      <c r="AG13" s="89"/>
      <c r="AH13" s="9">
        <f>1+AH12</f>
        <v>21</v>
      </c>
      <c r="AI13" s="11">
        <f t="shared" si="37"/>
        <v>137494</v>
      </c>
      <c r="AJ13" s="11">
        <f>IF($AH13&gt;RAF," ",IF($AH13&lt;RAF,SUM(AI13:INDEX(Diy,RAF-BeginnAlter))+INDEX(Ny,RAF-BeginnAlter+1),INDEX(Ny,RAF-BeginnAlter+1)))</f>
        <v>3155243</v>
      </c>
      <c r="AK13" s="11">
        <f>IF($AH13&lt;RAF,SUM(AI13:INDEX(Diy,RAF-BeginnAlter))," ")</f>
        <v>2789149</v>
      </c>
      <c r="AL13" s="10">
        <f t="shared" si="38"/>
        <v>22.948</v>
      </c>
      <c r="AM13" s="10">
        <f t="shared" si="39"/>
        <v>22.49</v>
      </c>
      <c r="AN13" s="10">
        <f t="shared" si="40"/>
        <v>20.286000000000001</v>
      </c>
      <c r="AO13" s="10">
        <f t="shared" si="41"/>
        <v>19.899999999999999</v>
      </c>
      <c r="AP13" s="89"/>
      <c r="AQ13" s="9">
        <f>1+AQ12</f>
        <v>21</v>
      </c>
      <c r="AR13" s="11">
        <f t="shared" si="42"/>
        <v>62642</v>
      </c>
      <c r="AS13" s="11">
        <f>SUM(AR13:AR$96)</f>
        <v>2089990</v>
      </c>
      <c r="AT13" s="25">
        <f>IF($AQ13&lt;RAF,SUM(AR13:INDEX(Dy,RAF-BeginnAlter))," ")</f>
        <v>1723896</v>
      </c>
      <c r="AU13" s="24">
        <f t="shared" si="43"/>
        <v>33.363999999999997</v>
      </c>
      <c r="AV13" s="24">
        <f t="shared" si="44"/>
        <v>32.905999999999999</v>
      </c>
      <c r="AW13" s="24">
        <f t="shared" si="45"/>
        <v>27.52</v>
      </c>
      <c r="AX13" s="24">
        <f t="shared" si="46"/>
        <v>27.221</v>
      </c>
      <c r="AY13" s="89"/>
      <c r="AZ13" s="9">
        <f>1+AZ12</f>
        <v>21</v>
      </c>
      <c r="BA13" s="11">
        <f t="shared" si="47"/>
        <v>62642</v>
      </c>
      <c r="BB13" s="11">
        <f>SUM(BA13:BA$96)</f>
        <v>2112779</v>
      </c>
      <c r="BC13" s="10">
        <f t="shared" si="48"/>
        <v>33.728000000000002</v>
      </c>
      <c r="BD13" s="10">
        <f t="shared" si="7"/>
        <v>33.270000000000003</v>
      </c>
      <c r="BE13" s="89"/>
      <c r="BF13" s="9">
        <f>1+BF12</f>
        <v>4</v>
      </c>
      <c r="BG13" s="10">
        <f t="shared" si="8"/>
        <v>16.963999999999999</v>
      </c>
      <c r="BH13" s="10">
        <f t="shared" si="9"/>
        <v>16.792999999999999</v>
      </c>
      <c r="BI13" s="89"/>
      <c r="BJ13" s="9">
        <f>1+BJ12</f>
        <v>21</v>
      </c>
      <c r="BK13" s="11">
        <f t="shared" si="10"/>
        <v>298</v>
      </c>
      <c r="BL13" s="11">
        <f>IF(BJ13&lt;RAF,SUM(BK13:INDEX(Daiy,RAF-BeginnAlter))," ")</f>
        <v>159634</v>
      </c>
      <c r="BM13" s="11">
        <f>IF(BJ13&lt;RAF,SUM(BL13:INDEX(Naiy,RAF-BeginnAlter))," ")</f>
        <v>4817205</v>
      </c>
      <c r="BN13" s="10">
        <f t="shared" si="11"/>
        <v>4.282</v>
      </c>
      <c r="BO13" s="10">
        <f t="shared" si="12"/>
        <v>2.5489999999999999</v>
      </c>
      <c r="BP13" s="89"/>
      <c r="BQ13" s="9">
        <f>1+BQ12</f>
        <v>21</v>
      </c>
      <c r="BR13" s="11">
        <f t="shared" si="13"/>
        <v>263</v>
      </c>
      <c r="BS13" s="11">
        <f>IF(BQ13&lt;RAF,SUM(BR13:INDEX(Daiys,RAF-BeginnAlter))," ")</f>
        <v>71739</v>
      </c>
      <c r="BT13" s="11">
        <f>IF(BQ13&lt;RAF,SUM(BS13:INDEX(Naiys,RAF-BeginnAlter))," ")</f>
        <v>1764706</v>
      </c>
      <c r="BU13" s="10">
        <f t="shared" si="14"/>
        <v>5.6859999999999999</v>
      </c>
      <c r="BV13" s="10">
        <f t="shared" si="15"/>
        <v>1.1459999999999999</v>
      </c>
      <c r="BW13" s="89"/>
      <c r="BX13" s="9">
        <f>1+BX12</f>
        <v>21</v>
      </c>
      <c r="BY13" s="10">
        <f t="shared" si="16"/>
        <v>15.330149775080688</v>
      </c>
      <c r="BZ13" s="11">
        <f t="shared" si="17"/>
        <v>5</v>
      </c>
      <c r="CA13" s="11">
        <f>IF(S14&lt;=RAK,IF($BX13&lt;RAF,SUM(BZ13:INDEX(Dazy,RAF-BeginnAlter)),""),"")</f>
        <v>16254</v>
      </c>
      <c r="CB13" s="10">
        <f t="shared" si="18"/>
        <v>0.26</v>
      </c>
      <c r="CC13" s="11">
        <f t="shared" si="19"/>
        <v>35299</v>
      </c>
      <c r="CD13" s="10">
        <f t="shared" si="20"/>
        <v>24.577000000000002</v>
      </c>
      <c r="CE13" s="10">
        <f t="shared" si="21"/>
        <v>2E-3</v>
      </c>
      <c r="CF13" s="89"/>
      <c r="CG13" s="9">
        <f>1+CG12</f>
        <v>21</v>
      </c>
      <c r="CH13" s="11">
        <f>IF(CG13&lt;RAF,ROUND(v^($CG13+FaktorAlter)*$H13*($B13*0.5*($P13+$P14)*(VLOOKUP(TRUNC(0.5*($Q13+$Q14),0),Männer!$AZ$9:$BD$95,5)+(0.5*($Q13+$Q14)-TRUNC(0.5*($Q13+$Q14),0))*(VLOOKUP(TRUNC(0.5*($Q13+$Q14)+1,0),Männer!$AZ$9:$BD$95,5)-VLOOKUP(TRUNC(0.5*($Q13+$Q14),0),Männer!$AZ$9:$BD$95,5)))+$C13*0.5*($CN13+$CN14)),RundDx),"")</f>
        <v>52</v>
      </c>
      <c r="CI13" s="11">
        <f>IF(CG13&lt;RAF,ROUND(SUM(CH13:INDEX(Dawy,RAF-BeginnAlter))+INDEX(Day,RAF-BeginnAlter+1)*INDEX(äwy,1),RundDx),"")</f>
        <v>14422</v>
      </c>
      <c r="CJ13" s="11">
        <f>IF(CG13&lt;RAF,ROUND(SUM(CI13:INDEX(Nawy,RAF-BeginnAlter))+INDEX(Day,RAF-BeginnAlter+1)*INDEX(äwy,1),RundDx),"")</f>
        <v>396195</v>
      </c>
      <c r="CK13" s="10">
        <f t="shared" si="22"/>
        <v>0.23</v>
      </c>
      <c r="CL13" s="11">
        <f>IF(CG13&lt;RAF,ROUND(v^($CG13+FaktorAlter)*$L13*$D13*0.5*($P13+$P14)*(VLOOKUP(TRUNC(0.5*($Q13+$Q14),0),Männer!$AZ$9:$BD$95,5)+(0.5*($Q13+$Q14)-TRUNC(0.5*($Q13+$Q14),0))*(VLOOKUP(TRUNC(0.5*($Q13+$Q14)+1,0),Männer!$AZ$9:$BD$95,5)-VLOOKUP(TRUNC(0.5*($Q13+$Q14),0),Männer!$AZ$9:$BD$95,5))),RundDx),"")</f>
        <v>4025</v>
      </c>
      <c r="CM13" s="11">
        <f>IF(CG13&lt;RAF,SUM(CL13:INDEX(Diwy,RAF-BeginnAlter))+INDEX(Diy,RAF-BeginnAlter+1)*INDEX(äwy,1),"")</f>
        <v>244965.304</v>
      </c>
      <c r="CN13" s="10">
        <f t="shared" si="23"/>
        <v>1.782</v>
      </c>
      <c r="CO13" s="89"/>
      <c r="CP13" s="9">
        <f>1+CP12</f>
        <v>68</v>
      </c>
      <c r="CQ13" s="11">
        <f>ROUND(v^($CP13+FaktorAlter)*VLOOKUP(CP13,G$9:J$102,4)*VLOOKUP(CP13,A$9:E$102,5)*0.5*(VLOOKUP(CP13,O$9:P$102,2)+VLOOKUP(CP13+1,O$9:P$102,2))*(VLOOKUP(TRUNC(0.5*(VLOOKUP(CP13,O$9:Q$102,3)+VLOOKUP(CP13+1,O$9:Q$102,3)),0),Männer!$AZ$9:$BD$95,5)+(0.5*(VLOOKUP(CP13,O$9:Q$102,3)+VLOOKUP(CP13+1,O$9:Q$102,3))-TRUNC(0.5*(VLOOKUP(CP13,O$9:Q$102,3)+VLOOKUP(CP13+1,O$9:Q$102,3)),0))*(VLOOKUP(TRUNC(0.5*(VLOOKUP(CP13,O$9:Q$102,3)+VLOOKUP(CP13+1,O$9:Q$102,3))+1,0),Männer!$AZ$9:$BD$95,5)-VLOOKUP(TRUNC(0.5*(VLOOKUP(CP13,O$9:Q$102,3)+VLOOKUP(CP13+1,O$9:Q$102,3)),0),Männer!$AZ$9:$BD$95,5))),RundDx)</f>
        <v>219</v>
      </c>
      <c r="CR13" s="11">
        <f>SUM(CQ13:CQ$56)</f>
        <v>1347</v>
      </c>
      <c r="CS13" s="24">
        <f t="shared" si="24"/>
        <v>7.0999999999999994E-2</v>
      </c>
      <c r="CT13" s="89"/>
      <c r="CU13" s="9">
        <f>1+CU12</f>
        <v>21</v>
      </c>
      <c r="CV13" s="25">
        <f>IF($CU13&gt;=RAF,"",IF($CU13-CV$103&lt;BeginnAlter,"",ROUND(v^($CU13+FaktorAlter)*$L13*$D13*0.5*(VLOOKUP($CU13-CV$103,Männer!$G$9:$J$102,4)+VLOOKUP($CU13-CV$103+1,Männer!$G$9:$J$102,4))*0.5*(VLOOKUP($CU13-CV$103,Männer!$AZ$9:$BD$102,5)+VLOOKUP($CU13-CV$103+1,Männer!$AZ$9:$BD$102,5)),RundDx)))</f>
        <v>4663950869</v>
      </c>
      <c r="CW13" s="25">
        <f>IF($CU13&gt;=RAF,"",IF($CU13-CW$103&lt;BeginnAlter,"",ROUND(v^($CU13+FaktorAlter)*$L13*$D13*0.5*(VLOOKUP($CU13-CW$103,Männer!$G$9:$J$102,4)+VLOOKUP($CU13-CW$103+1,Männer!$G$9:$J$102,4))*0.5*(VLOOKUP($CU13-CW$103,Männer!$AZ$9:$BD$102,5)+VLOOKUP($CU13-CW$103+1,Männer!$AZ$9:$BD$102,5)),RundDx)))</f>
        <v>4738357662</v>
      </c>
      <c r="CX13" s="25">
        <f>IF($CU13&gt;=RAF,"",IF($CU13-CX$103&lt;BeginnAlter,"",ROUND(v^($CU13+FaktorAlter)*$L13*$D13*0.5*(VLOOKUP($CU13-CX$103,Männer!$G$9:$J$102,4)+VLOOKUP($CU13-CX$103+1,Männer!$G$9:$J$102,4))*0.5*(VLOOKUP($CU13-CX$103,Männer!$AZ$9:$BD$102,5)+VLOOKUP($CU13-CX$103+1,Männer!$AZ$9:$BD$102,5)),RundDx)))</f>
        <v>4811234143</v>
      </c>
      <c r="CY13" s="25">
        <f>IF($CU13&gt;=RAF,"",IF($CU13-CY$103&lt;BeginnAlter,"",ROUND(v^($CU13+FaktorAlter)*$L13*$D13*0.5*(VLOOKUP($CU13-CY$103,Männer!$G$9:$J$102,4)+VLOOKUP($CU13-CY$103+1,Männer!$G$9:$J$102,4))*0.5*(VLOOKUP($CU13-CY$103,Männer!$AZ$9:$BD$102,5)+VLOOKUP($CU13-CY$103+1,Männer!$AZ$9:$BD$102,5)),RundDx)))</f>
        <v>4882633244</v>
      </c>
      <c r="CZ13" s="25">
        <f>IF($CU13&gt;=RAF,"",IF($CU13-CZ$103&lt;BeginnAlter,"",ROUND(v^($CU13+FaktorAlter)*$L13*$D13*0.5*(VLOOKUP($CU13-CZ$103,Männer!$G$9:$J$102,4)+VLOOKUP($CU13-CZ$103+1,Männer!$G$9:$J$102,4))*0.5*(VLOOKUP($CU13-CZ$103,Männer!$AZ$9:$BD$102,5)+VLOOKUP($CU13-CZ$103+1,Männer!$AZ$9:$BD$102,5)),RundDx)))</f>
        <v>4952612554</v>
      </c>
      <c r="DA13" s="25">
        <f>IF($CU13&gt;=RAF,"",IF($CU13-DA$103&lt;BeginnAlter,"",ROUND(v^($CU13+FaktorAlter)*$L13*$D13*0.5*(VLOOKUP($CU13-DA$103,Männer!$G$9:$J$102,4)+VLOOKUP($CU13-DA$103+1,Männer!$G$9:$J$102,4))*0.5*(VLOOKUP($CU13-DA$103,Männer!$AZ$9:$BD$102,5)+VLOOKUP($CU13-DA$103+1,Männer!$AZ$9:$BD$102,5)),RundDx)))</f>
        <v>5021208810</v>
      </c>
      <c r="DB13" s="25">
        <f>IF($CU13&gt;=RAF,"",IF($CU13-DB$103&lt;BeginnAlter,"",ROUND(v^($CU13+FaktorAlter)*$L13*$D13*0.5*(VLOOKUP($CU13-DB$103,Männer!$G$9:$J$102,4)+VLOOKUP($CU13-DB$103+1,Männer!$G$9:$J$102,4))*0.5*(VLOOKUP($CU13-DB$103,Männer!$AZ$9:$BD$102,5)+VLOOKUP($CU13-DB$103+1,Männer!$AZ$9:$BD$102,5)),RundDx)))</f>
        <v>5088436100</v>
      </c>
      <c r="DC13" s="25">
        <f>IF($CU13&gt;=RAF,"",IF($CU13-DC$103&lt;BeginnAlter,"",ROUND(v^($CU13+FaktorAlter)*$L13*$D13*0.5*(VLOOKUP($CU13-DC$103,Männer!$G$9:$J$102,4)+VLOOKUP($CU13-DC$103+1,Männer!$G$9:$J$102,4))*0.5*(VLOOKUP($CU13-DC$103,Männer!$AZ$9:$BD$102,5)+VLOOKUP($CU13-DC$103+1,Männer!$AZ$9:$BD$102,5)),RundDx)))</f>
        <v>5154272189</v>
      </c>
      <c r="DD13" s="25">
        <f>IF($CU13&gt;=RAF,"",IF($CU13-DD$103&lt;BeginnAlter,"",ROUND(v^($CU13+FaktorAlter)*$L13*$D13*0.5*(VLOOKUP($CU13-DD$103,Männer!$G$9:$J$102,4)+VLOOKUP($CU13-DD$103+1,Männer!$G$9:$J$102,4))*0.5*(VLOOKUP($CU13-DD$103,Männer!$AZ$9:$BD$102,5)+VLOOKUP($CU13-DD$103+1,Männer!$AZ$9:$BD$102,5)),RundDx)))</f>
        <v>5218788522</v>
      </c>
      <c r="DE13" s="25">
        <f>IF($CU13&gt;=RAF,"",IF($CU13-DE$103&lt;BeginnAlter,"",ROUND(v^($CU13+FaktorAlter)*$L13*$D13*0.5*(VLOOKUP($CU13-DE$103,Männer!$G$9:$J$102,4)+VLOOKUP($CU13-DE$103+1,Männer!$G$9:$J$102,4))*0.5*(VLOOKUP($CU13-DE$103,Männer!$AZ$9:$BD$102,5)+VLOOKUP($CU13-DE$103+1,Männer!$AZ$9:$BD$102,5)),RundDx)))</f>
        <v>5281943843</v>
      </c>
      <c r="DF13" s="25">
        <f>IF($CU13&gt;=RAF,"",IF($CU13-DF$103&lt;BeginnAlter,"",ROUND(v^($CU13+FaktorAlter)*$L13*$D13*0.5*(VLOOKUP($CU13-DF$103,Männer!$G$9:$J$102,4)+VLOOKUP($CU13-DF$103+1,Männer!$G$9:$J$102,4))*0.5*(VLOOKUP($CU13-DF$103,Männer!$AZ$9:$BD$102,5)+VLOOKUP($CU13-DF$103+1,Männer!$AZ$9:$BD$102,5)),RundDx)))</f>
        <v>5343905984</v>
      </c>
      <c r="DG13" s="25">
        <f>IF($CU13&gt;=RAF,"",IF($CU13-DG$103&lt;BeginnAlter,"",ROUND(v^($CU13+FaktorAlter)*$L13*$D13*0.5*(VLOOKUP($CU13-DG$103,Männer!$G$9:$J$102,4)+VLOOKUP($CU13-DG$103+1,Männer!$G$9:$J$102,4))*0.5*(VLOOKUP($CU13-DG$103,Männer!$AZ$9:$BD$102,5)+VLOOKUP($CU13-DG$103+1,Männer!$AZ$9:$BD$102,5)),RundDx)))</f>
        <v>5404647799</v>
      </c>
      <c r="DH13" s="25">
        <f>IF($CU13&gt;=RAF,"",IF($CU13-DH$103&lt;BeginnAlter,"",ROUND(v^($CU13+FaktorAlter)*$L13*$D13*0.5*(VLOOKUP($CU13-DH$103,Männer!$G$9:$J$102,4)+VLOOKUP($CU13-DH$103+1,Männer!$G$9:$J$102,4))*0.5*(VLOOKUP($CU13-DH$103,Männer!$AZ$9:$BD$102,5)+VLOOKUP($CU13-DH$103+1,Männer!$AZ$9:$BD$102,5)),RundDx)))</f>
        <v>5464015483</v>
      </c>
      <c r="DI13" s="25">
        <f>IF($CU13&gt;=RAF,"",IF($CU13-DI$103&lt;BeginnAlter,"",ROUND(v^($CU13+FaktorAlter)*$L13*$D13*0.5*(VLOOKUP($CU13-DI$103,Männer!$G$9:$J$102,4)+VLOOKUP($CU13-DI$103+1,Männer!$G$9:$J$102,4))*0.5*(VLOOKUP($CU13-DI$103,Männer!$AZ$9:$BD$102,5)+VLOOKUP($CU13-DI$103+1,Männer!$AZ$9:$BD$102,5)),RundDx)))</f>
        <v>5522279027</v>
      </c>
      <c r="DJ13" s="25">
        <f>IF($CU13&gt;=RAF,"",IF($CU13-DJ$103&lt;BeginnAlter,"",ROUND(v^($CU13+FaktorAlter)*$L13*$D13*0.5*(VLOOKUP($CU13-DJ$103,Männer!$G$9:$J$102,4)+VLOOKUP($CU13-DJ$103+1,Männer!$G$9:$J$102,4))*0.5*(VLOOKUP($CU13-DJ$103,Männer!$AZ$9:$BD$102,5)+VLOOKUP($CU13-DJ$103+1,Männer!$AZ$9:$BD$102,5)),RundDx)))</f>
        <v>5579416660</v>
      </c>
      <c r="DK13" s="25">
        <f>IF($CU13&gt;=RAF,"",IF($CU13-DK$103&lt;BeginnAlter,"",ROUND(v^($CU13+FaktorAlter)*$L13*$D13*0.5*(VLOOKUP($CU13-DK$103,Männer!$G$9:$J$102,4)+VLOOKUP($CU13-DK$103+1,Männer!$G$9:$J$102,4))*0.5*(VLOOKUP($CU13-DK$103,Männer!$AZ$9:$BD$102,5)+VLOOKUP($CU13-DK$103+1,Männer!$AZ$9:$BD$102,5)),RundDx)))</f>
        <v>5635402565</v>
      </c>
      <c r="DL13" s="25">
        <f>IF($CU13&gt;=RAF,"",IF($CU13-DL$103&lt;BeginnAlter,"",ROUND(v^($CU13+FaktorAlter)*$L13*$D13*0.5*(VLOOKUP($CU13-DL$103,Männer!$G$9:$J$102,4)+VLOOKUP($CU13-DL$103+1,Männer!$G$9:$J$102,4))*0.5*(VLOOKUP($CU13-DL$103,Männer!$AZ$9:$BD$102,5)+VLOOKUP($CU13-DL$103+1,Männer!$AZ$9:$BD$102,5)),RundDx)))</f>
        <v>5690268980</v>
      </c>
      <c r="DM13" s="25">
        <f>IF($CU13&gt;=RAF,"",IF($CU13-DM$103&lt;BeginnAlter,"",ROUND(v^($CU13+FaktorAlter)*$L13*$D13*0.5*(VLOOKUP($CU13-DM$103,Männer!$G$9:$J$102,4)+VLOOKUP($CU13-DM$103+1,Männer!$G$9:$J$102,4))*0.5*(VLOOKUP($CU13-DM$103,Männer!$AZ$9:$BD$102,5)+VLOOKUP($CU13-DM$103+1,Männer!$AZ$9:$BD$102,5)),RundDx)))</f>
        <v>5743990390</v>
      </c>
      <c r="DN13" s="25">
        <f>IF($CU13&gt;=RAF,"",IF($CU13-DN$103&lt;BeginnAlter,"",ROUND(v^($CU13+FaktorAlter)*$L13*$D13*0.5*(VLOOKUP($CU13-DN$103,Männer!$G$9:$J$102,4)+VLOOKUP($CU13-DN$103+1,Männer!$G$9:$J$102,4))*0.5*(VLOOKUP($CU13-DN$103,Männer!$AZ$9:$BD$102,5)+VLOOKUP($CU13-DN$103+1,Männer!$AZ$9:$BD$102,5)),RundDx)))</f>
        <v>5796709440</v>
      </c>
      <c r="DO13" s="25">
        <f>IF($CU13&gt;=RAF,"",IF($CU13-DO$103&lt;BeginnAlter,"",ROUND(v^($CU13+FaktorAlter)*$L13*$D13*0.5*(VLOOKUP($CU13-DO$103,Männer!$G$9:$J$102,4)+VLOOKUP($CU13-DO$103+1,Männer!$G$9:$J$102,4))*0.5*(VLOOKUP($CU13-DO$103,Männer!$AZ$9:$BD$102,5)+VLOOKUP($CU13-DO$103+1,Männer!$AZ$9:$BD$102,5)),RundDx)))</f>
        <v>5848312121</v>
      </c>
      <c r="DP13" s="25" t="str">
        <f>IF($CU13&gt;=RAF,"",IF($CU13-DP$103&lt;BeginnAlter,"",ROUND(v^($CU13+FaktorAlter)*$L13*$D13*0.5*(VLOOKUP($CU13-DP$103,Männer!$G$9:$J$102,4)+VLOOKUP($CU13-DP$103+1,Männer!$G$9:$J$102,4))*0.5*(VLOOKUP($CU13-DP$103,Männer!$AZ$9:$BD$102,5)+VLOOKUP($CU13-DP$103+1,Männer!$AZ$9:$BD$102,5)),RundDx)))</f>
        <v/>
      </c>
      <c r="DQ13" s="25" t="str">
        <f>IF($CU13&gt;=RAF,"",IF($CU13-DQ$103&lt;BeginnAlter,"",ROUND(v^($CU13+FaktorAlter)*$L13*$D13*0.5*(VLOOKUP($CU13-DQ$103,Männer!$G$9:$J$102,4)+VLOOKUP($CU13-DQ$103+1,Männer!$G$9:$J$102,4))*0.5*(VLOOKUP($CU13-DQ$103,Männer!$AZ$9:$BD$102,5)+VLOOKUP($CU13-DQ$103+1,Männer!$AZ$9:$BD$102,5)),RundDx)))</f>
        <v/>
      </c>
      <c r="DR13" s="25" t="str">
        <f>IF($CU13&gt;=RAF,"",IF($CU13-DR$103&lt;BeginnAlter,"",ROUND(v^($CU13+FaktorAlter)*$L13*$D13*0.5*(VLOOKUP($CU13-DR$103,Männer!$G$9:$J$102,4)+VLOOKUP($CU13-DR$103+1,Männer!$G$9:$J$102,4))*0.5*(VLOOKUP($CU13-DR$103,Männer!$AZ$9:$BD$102,5)+VLOOKUP($CU13-DR$103+1,Männer!$AZ$9:$BD$102,5)),RundDx)))</f>
        <v/>
      </c>
      <c r="DS13" s="25" t="str">
        <f>IF($CU13&gt;=RAF,"",IF($CU13-DS$103&lt;BeginnAlter,"",ROUND(v^($CU13+FaktorAlter)*$L13*$D13*0.5*(VLOOKUP($CU13-DS$103,Männer!$G$9:$J$102,4)+VLOOKUP($CU13-DS$103+1,Männer!$G$9:$J$102,4))*0.5*(VLOOKUP($CU13-DS$103,Männer!$AZ$9:$BD$102,5)+VLOOKUP($CU13-DS$103+1,Männer!$AZ$9:$BD$102,5)),RundDx)))</f>
        <v/>
      </c>
      <c r="DT13" s="25" t="str">
        <f>IF($CU13&gt;=RAF,"",IF($CU13-DT$103&lt;BeginnAlter,"",ROUND(v^($CU13+FaktorAlter)*$L13*$D13*0.5*(VLOOKUP($CU13-DT$103,Männer!$G$9:$J$102,4)+VLOOKUP($CU13-DT$103+1,Männer!$G$9:$J$102,4))*0.5*(VLOOKUP($CU13-DT$103,Männer!$AZ$9:$BD$102,5)+VLOOKUP($CU13-DT$103+1,Männer!$AZ$9:$BD$102,5)),RundDx)))</f>
        <v/>
      </c>
      <c r="DU13" s="25" t="str">
        <f>IF($CU13&gt;=RAF,"",IF($CU13-DU$103&lt;BeginnAlter,"",ROUND(v^($CU13+FaktorAlter)*$L13*$D13*0.5*(VLOOKUP($CU13-DU$103,Männer!$G$9:$J$102,4)+VLOOKUP($CU13-DU$103+1,Männer!$G$9:$J$102,4))*0.5*(VLOOKUP($CU13-DU$103,Männer!$AZ$9:$BD$102,5)+VLOOKUP($CU13-DU$103+1,Männer!$AZ$9:$BD$102,5)),RundDx)))</f>
        <v/>
      </c>
      <c r="DV13" s="25" t="str">
        <f>IF($CU13&gt;=RAF,"",IF($CU13-DV$103&lt;BeginnAlter,"",ROUND(v^($CU13+FaktorAlter)*$L13*$D13*0.5*(VLOOKUP($CU13-DV$103,Männer!$G$9:$J$102,4)+VLOOKUP($CU13-DV$103+1,Männer!$G$9:$J$102,4))*0.5*(VLOOKUP($CU13-DV$103,Männer!$AZ$9:$BD$102,5)+VLOOKUP($CU13-DV$103+1,Männer!$AZ$9:$BD$102,5)),RundDx)))</f>
        <v/>
      </c>
      <c r="DW13" s="25" t="str">
        <f>IF($CU13&gt;=RAF,"",IF($CU13-DW$103&lt;BeginnAlter,"",ROUND(v^($CU13+FaktorAlter)*$L13*$D13*0.5*(VLOOKUP($CU13-DW$103,Männer!$G$9:$J$102,4)+VLOOKUP($CU13-DW$103+1,Männer!$G$9:$J$102,4))*0.5*(VLOOKUP($CU13-DW$103,Männer!$AZ$9:$BD$102,5)+VLOOKUP($CU13-DW$103+1,Männer!$AZ$9:$BD$102,5)),RundDx)))</f>
        <v/>
      </c>
      <c r="DX13" s="25" t="str">
        <f>IF($CU13&gt;=RAF,"",IF($CU13-DX$103&lt;BeginnAlter,"",ROUND(v^($CU13+FaktorAlter)*$L13*$D13*0.5*(VLOOKUP($CU13-DX$103,Männer!$G$9:$J$102,4)+VLOOKUP($CU13-DX$103+1,Männer!$G$9:$J$102,4))*0.5*(VLOOKUP($CU13-DX$103,Männer!$AZ$9:$BD$102,5)+VLOOKUP($CU13-DX$103+1,Männer!$AZ$9:$BD$102,5)),RundDx)))</f>
        <v/>
      </c>
      <c r="DY13" s="25" t="str">
        <f>IF($CU13&gt;=RAF,"",IF($CU13-DY$103&lt;BeginnAlter,"",ROUND(v^($CU13+FaktorAlter)*$L13*$D13*0.5*(VLOOKUP($CU13-DY$103,Männer!$G$9:$J$102,4)+VLOOKUP($CU13-DY$103+1,Männer!$G$9:$J$102,4))*0.5*(VLOOKUP($CU13-DY$103,Männer!$AZ$9:$BD$102,5)+VLOOKUP($CU13-DY$103+1,Männer!$AZ$9:$BD$102,5)),RundDx)))</f>
        <v/>
      </c>
      <c r="DZ13" s="25" t="str">
        <f>IF($CU13&gt;=RAF,"",IF($CU13-DZ$103&lt;BeginnAlter,"",ROUND(v^($CU13+FaktorAlter)*$L13*$D13*0.5*(VLOOKUP($CU13-DZ$103,Männer!$G$9:$J$102,4)+VLOOKUP($CU13-DZ$103+1,Männer!$G$9:$J$102,4))*0.5*(VLOOKUP($CU13-DZ$103,Männer!$AZ$9:$BD$102,5)+VLOOKUP($CU13-DZ$103+1,Männer!$AZ$9:$BD$102,5)),RundDx)))</f>
        <v/>
      </c>
      <c r="EA13" s="43">
        <f>IF($CU13&gt;=RAF,"",IF($CU13-EA$103&lt;BeginnAlter,"",ROUND((SUM(CV13:CV$56)+SUM(FN$9:FN$56))/VLOOKUP($CU13,$AH$9:$AI$102,2)/VLOOKUP($CU13-EA$103,Männer!$G$9:$J$102,4),Rundäx)))</f>
        <v>7.3959999999999999</v>
      </c>
      <c r="EB13" s="43">
        <f>IF($CU13&gt;=RAF,"",IF($CU13-EB$103&lt;BeginnAlter,"",ROUND((SUM(CW13:CW$56)+SUM(FO$9:FO$56))/VLOOKUP($CU13,$AH$9:$AI$102,2)/VLOOKUP($CU13-EB$103,Männer!$G$9:$J$102,4),Rundäx)))</f>
        <v>7.601</v>
      </c>
      <c r="EC13" s="43">
        <f>IF($CU13&gt;=RAF,"",IF($CU13-EC$103&lt;BeginnAlter,"",ROUND((SUM(CX13:CX$56)+SUM(FP$9:FP$56))/VLOOKUP($CU13,$AH$9:$AI$102,2)/VLOOKUP($CU13-EC$103,Männer!$G$9:$J$102,4),Rundäx)))</f>
        <v>7.8040000000000003</v>
      </c>
      <c r="ED13" s="43">
        <f>IF($CU13&gt;=RAF,"",IF($CU13-ED$103&lt;BeginnAlter,"",ROUND((SUM(CY13:CY$56)+SUM(FQ$9:FQ$56))/VLOOKUP($CU13,$AH$9:$AI$102,2)/VLOOKUP($CU13-ED$103,Männer!$G$9:$J$102,4),Rundäx)))</f>
        <v>8.0079999999999991</v>
      </c>
      <c r="EE13" s="43">
        <f>IF($CU13&gt;=RAF,"",IF($CU13-EE$103&lt;BeginnAlter,"",ROUND((SUM(CZ13:CZ$56)+SUM(FR$9:FR$56))/VLOOKUP($CU13,$AH$9:$AI$102,2)/VLOOKUP($CU13-EE$103,Männer!$G$9:$J$102,4),Rundäx)))</f>
        <v>8.2100000000000009</v>
      </c>
      <c r="EF13" s="43">
        <f>IF($CU13&gt;=RAF,"",IF($CU13-EF$103&lt;BeginnAlter,"",ROUND((SUM(DA13:DA$56)+SUM(FS$9:FS$56))/VLOOKUP($CU13,$AH$9:$AI$102,2)/VLOOKUP($CU13-EF$103,Männer!$G$9:$J$102,4),Rundäx)))</f>
        <v>8.4120000000000008</v>
      </c>
      <c r="EG13" s="43">
        <f>IF($CU13&gt;=RAF,"",IF($CU13-EG$103&lt;BeginnAlter,"",ROUND((SUM(DB13:DB$56)+SUM(FT$9:FT$56))/VLOOKUP($CU13,$AH$9:$AI$102,2)/VLOOKUP($CU13-EG$103,Männer!$G$9:$J$102,4),Rundäx)))</f>
        <v>8.6120000000000001</v>
      </c>
      <c r="EH13" s="43">
        <f>IF($CU13&gt;=RAF,"",IF($CU13-EH$103&lt;BeginnAlter,"",ROUND((SUM(DC13:DC$56)+SUM(FU$9:FU$56))/VLOOKUP($CU13,$AH$9:$AI$102,2)/VLOOKUP($CU13-EH$103,Männer!$G$9:$J$102,4),Rundäx)))</f>
        <v>8.8119999999999994</v>
      </c>
      <c r="EI13" s="89"/>
      <c r="EJ13" s="9">
        <f>1+EJ12</f>
        <v>21</v>
      </c>
      <c r="EK13" s="43">
        <f>IF($CU13&gt;=RAF,"",IF($CU13-EK$103&lt;BeginnAlter,"",ROUND((SUM(DD13:DD$56)+SUM(FV$9:FV$56))/VLOOKUP($CU13,$AH$9:$AI$102,2)/VLOOKUP($CU13-EK$103,Männer!$G$9:$J$102,4),Rundäx)))</f>
        <v>9.0109999999999992</v>
      </c>
      <c r="EL13" s="43">
        <f>IF($CU13&gt;=RAF,"",IF($CU13-EL$103&lt;BeginnAlter,"",ROUND((SUM(DE13:DE$56)+SUM(FW$9:FW$56))/VLOOKUP($CU13,$AH$9:$AI$102,2)/VLOOKUP($CU13-EL$103,Männer!$G$9:$J$102,4),Rundäx)))</f>
        <v>9.2089999999999996</v>
      </c>
      <c r="EM13" s="43">
        <f>IF($CU13&gt;=RAF,"",IF($CU13-EM$103&lt;BeginnAlter,"",ROUND((SUM(DF13:DF$56)+SUM(FX$9:FX$56))/VLOOKUP($CU13,$AH$9:$AI$102,2)/VLOOKUP($CU13-EM$103,Männer!$G$9:$J$102,4),Rundäx)))</f>
        <v>9.4049999999999994</v>
      </c>
      <c r="EN13" s="43">
        <f>IF($CU13&gt;=RAF,"",IF($CU13-EN$103&lt;BeginnAlter,"",ROUND((SUM(DG13:DG$56)+SUM(FY$9:FY$56))/VLOOKUP($CU13,$AH$9:$AI$102,2)/VLOOKUP($CU13-EN$103,Männer!$G$9:$J$102,4),Rundäx)))</f>
        <v>9.6010000000000009</v>
      </c>
      <c r="EO13" s="43">
        <f>IF($CU13&gt;=RAF,"",IF($CU13-EO$103&lt;BeginnAlter,"",ROUND((SUM(DH13:DH$56)+SUM(FZ$9:FZ$56))/VLOOKUP($CU13,$AH$9:$AI$102,2)/VLOOKUP($CU13-EO$103,Männer!$G$9:$J$102,4),Rundäx)))</f>
        <v>9.7949999999999999</v>
      </c>
      <c r="EP13" s="43">
        <f>IF($CU13&gt;=RAF,"",IF($CU13-EP$103&lt;BeginnAlter,"",ROUND((SUM(DI13:DI$56)+SUM(GA$9:GA$56))/VLOOKUP($CU13,$AH$9:$AI$102,2)/VLOOKUP($CU13-EP$103,Männer!$G$9:$J$102,4),Rundäx)))</f>
        <v>9.9890000000000008</v>
      </c>
      <c r="EQ13" s="43">
        <f>IF($CU13&gt;=RAF,"",IF($CU13-EQ$103&lt;BeginnAlter,"",ROUND((SUM(DJ13:DJ$56)+SUM(GB$9:GB$56))/VLOOKUP($CU13,$AH$9:$AI$102,2)/VLOOKUP($CU13-EQ$103,Männer!$G$9:$J$102,4),Rundäx)))</f>
        <v>10.180999999999999</v>
      </c>
      <c r="ER13" s="43">
        <f>IF($CU13&gt;=RAF,"",IF($CU13-ER$103&lt;BeginnAlter,"",ROUND((SUM(DK13:DK$56)+SUM(GC$9:GC$56))/VLOOKUP($CU13,$AH$9:$AI$102,2)/VLOOKUP($CU13-ER$103,Männer!$G$9:$J$102,4),Rundäx)))</f>
        <v>10.372999999999999</v>
      </c>
      <c r="ES13" s="89"/>
      <c r="ET13" s="9">
        <f>1+ET12</f>
        <v>21</v>
      </c>
      <c r="EU13" s="43">
        <f>IF($CU13&gt;=RAF,"",IF($CU13-EU$103&lt;BeginnAlter,"",ROUND((SUM(DL13:DL$56)+SUM(GD$9:GD$56))/VLOOKUP($CU13,$AH$9:$AI$102,2)/VLOOKUP($CU13-EU$103,Männer!$G$9:$J$102,4),Rundäx)))</f>
        <v>10.565</v>
      </c>
      <c r="EV13" s="43">
        <f>IF($CU13&gt;=RAF,"",IF($CU13-EV$103&lt;BeginnAlter,"",ROUND((SUM(DM13:DM$56)+SUM(GE$9:GE$56))/VLOOKUP($CU13,$AH$9:$AI$102,2)/VLOOKUP($CU13-EV$103,Männer!$G$9:$J$102,4),Rundäx)))</f>
        <v>10.757</v>
      </c>
      <c r="EW13" s="43">
        <f>IF($CU13&gt;=RAF,"",IF($CU13-EW$103&lt;BeginnAlter,"",ROUND((SUM(DN13:DN$56)+SUM(GF$9:GF$56))/VLOOKUP($CU13,$AH$9:$AI$102,2)/VLOOKUP($CU13-EW$103,Männer!$G$9:$J$102,4),Rundäx)))</f>
        <v>10.95</v>
      </c>
      <c r="EX13" s="43">
        <f>IF($CU13&gt;=RAF,"",IF($CU13-EX$103&lt;BeginnAlter,"",ROUND((SUM(DO13:DO$56)+SUM(GG$9:GG$56))/VLOOKUP($CU13,$AH$9:$AI$102,2)/VLOOKUP($CU13-EX$103,Männer!$G$9:$J$102,4),Rundäx)))</f>
        <v>11.141999999999999</v>
      </c>
      <c r="EY13" s="43" t="str">
        <f>IF($CU13&gt;=RAF,"",IF($CU13-EY$103&lt;BeginnAlter,"",ROUND((SUM(DP13:DP$56)+SUM(GH$9:GH$56))/VLOOKUP($CU13,$AH$9:$AI$102,2)/VLOOKUP($CU13-EY$103,Männer!$G$9:$J$102,4),Rundäx)))</f>
        <v/>
      </c>
      <c r="EZ13" s="43" t="str">
        <f>IF($CU13&gt;=RAF,"",IF($CU13-EZ$103&lt;BeginnAlter,"",ROUND((SUM(DQ13:DQ$56)+SUM(GI$9:GI$56))/VLOOKUP($CU13,$AH$9:$AI$102,2)/VLOOKUP($CU13-EZ$103,Männer!$G$9:$J$102,4),Rundäx)))</f>
        <v/>
      </c>
      <c r="FA13" s="43" t="str">
        <f>IF($CU13&gt;=RAF,"",IF($CU13-FA$103&lt;BeginnAlter,"",ROUND((SUM(DR13:DR$56)+SUM(GJ$9:GJ$56))/VLOOKUP($CU13,$AH$9:$AI$102,2)/VLOOKUP($CU13-FA$103,Männer!$G$9:$J$102,4),Rundäx)))</f>
        <v/>
      </c>
      <c r="FB13" s="43" t="str">
        <f>IF($CU13&gt;=RAF,"",IF($CU13-FB$103&lt;BeginnAlter,"",ROUND((SUM(DS13:DS$56)+SUM(GK$9:GK$56))/VLOOKUP($CU13,$AH$9:$AI$102,2)/VLOOKUP($CU13-FB$103,Männer!$G$9:$J$102,4),Rundäx)))</f>
        <v/>
      </c>
      <c r="FC13" s="89"/>
      <c r="FD13" s="9">
        <f>1+FD12</f>
        <v>21</v>
      </c>
      <c r="FE13" s="43" t="str">
        <f>IF($CU13&gt;=RAF,"",IF($CU13-FE$103&lt;BeginnAlter,"",ROUND((SUM(DT13:DT$56)+SUM(GL$9:GL$56))/VLOOKUP($CU13,$AH$9:$AI$102,2)/VLOOKUP($CU13-FE$103,Männer!$G$9:$J$102,4),Rundäx)))</f>
        <v/>
      </c>
      <c r="FF13" s="43" t="str">
        <f>IF($CU13&gt;=RAF,"",IF($CU13-FF$103&lt;BeginnAlter,"",ROUND((SUM(DU13:DU$56)+SUM(GM$9:GM$56))/VLOOKUP($CU13,$AH$9:$AI$102,2)/VLOOKUP($CU13-FF$103,Männer!$G$9:$J$102,4),Rundäx)))</f>
        <v/>
      </c>
      <c r="FG13" s="43" t="str">
        <f>IF($CU13&gt;=RAF,"",IF($CU13-FG$103&lt;BeginnAlter,"",ROUND((SUM(DV13:DV$56)+SUM(GN$9:GN$56))/VLOOKUP($CU13,$AH$9:$AI$102,2)/VLOOKUP($CU13-FG$103,Männer!$G$9:$J$102,4),Rundäx)))</f>
        <v/>
      </c>
      <c r="FH13" s="43" t="str">
        <f>IF($CU13&gt;=RAF,"",IF($CU13-FH$103&lt;BeginnAlter,"",ROUND((SUM(DW13:DW$56)+SUM(GO$9:GO$56))/VLOOKUP($CU13,$AH$9:$AI$102,2)/VLOOKUP($CU13-FH$103,Männer!$G$9:$J$102,4),Rundäx)))</f>
        <v/>
      </c>
      <c r="FI13" s="43" t="str">
        <f>IF($CU13&gt;=RAF,"",IF($CU13-FI$103&lt;BeginnAlter,"",ROUND((SUM(DX13:DX$56)+SUM(GP$9:GP$56))/VLOOKUP($CU13,$AH$9:$AI$102,2)/VLOOKUP($CU13-FI$103,Männer!$G$9:$J$102,4),Rundäx)))</f>
        <v/>
      </c>
      <c r="FJ13" s="43" t="str">
        <f>IF($CU13&gt;=RAF,"",IF($CU13-FJ$103&lt;BeginnAlter,"",ROUND((SUM(DY13:DY$56)+SUM(GQ$9:GQ$56))/VLOOKUP($CU13,$AH$9:$AI$102,2)/VLOOKUP($CU13-FJ$103,Männer!$G$9:$J$102,4),Rundäx)))</f>
        <v/>
      </c>
      <c r="FK13" s="43" t="str">
        <f>IF($CU13&gt;=RAF,"",IF($CU13-FK$103&lt;BeginnAlter,"",ROUND((SUM(DZ13:DZ$56)+SUM(GR$9:GR$56))/VLOOKUP($CU13,$AH$9:$AI$102,2)/VLOOKUP($CU13-FK$103,Männer!$G$9:$J$102,4),Rundäx)))</f>
        <v/>
      </c>
      <c r="FL13" s="89"/>
      <c r="FM13" s="9">
        <f>1+FM12</f>
        <v>68</v>
      </c>
      <c r="FN13" s="25">
        <f>ROUND(v^($FM13+FaktorAlter)*VLOOKUP($FM13,$G$9:$J$102,4)*VLOOKUP($FM13,$A$9:$E$102,5)*0.5*(VLOOKUP($FM13-FN$103,Männer!$G$9:$J$102,4)+VLOOKUP($FM13-FN$103+1,Männer!$G$9:$J$102,4))*0.5*(VLOOKUP($FM13-FN$103,Männer!$AZ$9:$BD$102,5)+VLOOKUP($FM13-FN$103+1,Männer!$AZ$9:$BD$102,5)),RundDx)</f>
        <v>61392798</v>
      </c>
      <c r="FO13" s="25">
        <f>ROUND(v^($FM13+FaktorAlter)*VLOOKUP($FM13,$G$9:$J$102,4)*VLOOKUP($FM13,$A$9:$E$102,5)*0.5*(VLOOKUP($FM13-FO$103,Männer!$G$9:$J$102,4)+VLOOKUP($FM13-FO$103+1,Männer!$G$9:$J$102,4))*0.5*(VLOOKUP($FM13-FO$103,Männer!$AZ$9:$BD$102,5)+VLOOKUP($FM13-FO$103+1,Männer!$AZ$9:$BD$102,5)),RundDx)</f>
        <v>70992072</v>
      </c>
      <c r="FP13" s="25">
        <f>ROUND(v^($FM13+FaktorAlter)*VLOOKUP($FM13,$G$9:$J$102,4)*VLOOKUP($FM13,$A$9:$E$102,5)*0.5*(VLOOKUP($FM13-FP$103,Männer!$G$9:$J$102,4)+VLOOKUP($FM13-FP$103+1,Männer!$G$9:$J$102,4))*0.5*(VLOOKUP($FM13-FP$103,Männer!$AZ$9:$BD$102,5)+VLOOKUP($FM13-FP$103+1,Männer!$AZ$9:$BD$102,5)),RundDx)</f>
        <v>81186658</v>
      </c>
      <c r="FQ13" s="25">
        <f>ROUND(v^($FM13+FaktorAlter)*VLOOKUP($FM13,$G$9:$J$102,4)*VLOOKUP($FM13,$A$9:$E$102,5)*0.5*(VLOOKUP($FM13-FQ$103,Männer!$G$9:$J$102,4)+VLOOKUP($FM13-FQ$103+1,Männer!$G$9:$J$102,4))*0.5*(VLOOKUP($FM13-FQ$103,Männer!$AZ$9:$BD$102,5)+VLOOKUP($FM13-FQ$103+1,Männer!$AZ$9:$BD$102,5)),RundDx)</f>
        <v>91922744</v>
      </c>
      <c r="FR13" s="25">
        <f>ROUND(v^($FM13+FaktorAlter)*VLOOKUP($FM13,$G$9:$J$102,4)*VLOOKUP($FM13,$A$9:$E$102,5)*0.5*(VLOOKUP($FM13-FR$103,Männer!$G$9:$J$102,4)+VLOOKUP($FM13-FR$103+1,Männer!$G$9:$J$102,4))*0.5*(VLOOKUP($FM13-FR$103,Männer!$AZ$9:$BD$102,5)+VLOOKUP($FM13-FR$103+1,Männer!$AZ$9:$BD$102,5)),RundDx)</f>
        <v>103148764</v>
      </c>
      <c r="FS13" s="25">
        <f>ROUND(v^($FM13+FaktorAlter)*VLOOKUP($FM13,$G$9:$J$102,4)*VLOOKUP($FM13,$A$9:$E$102,5)*0.5*(VLOOKUP($FM13-FS$103,Männer!$G$9:$J$102,4)+VLOOKUP($FM13-FS$103+1,Männer!$G$9:$J$102,4))*0.5*(VLOOKUP($FM13-FS$103,Männer!$AZ$9:$BD$102,5)+VLOOKUP($FM13-FS$103+1,Männer!$AZ$9:$BD$102,5)),RundDx)</f>
        <v>114810583</v>
      </c>
      <c r="FT13" s="25">
        <f>ROUND(v^($FM13+FaktorAlter)*VLOOKUP($FM13,$G$9:$J$102,4)*VLOOKUP($FM13,$A$9:$E$102,5)*0.5*(VLOOKUP($FM13-FT$103,Männer!$G$9:$J$102,4)+VLOOKUP($FM13-FT$103+1,Männer!$G$9:$J$102,4))*0.5*(VLOOKUP($FM13-FT$103,Männer!$AZ$9:$BD$102,5)+VLOOKUP($FM13-FT$103+1,Männer!$AZ$9:$BD$102,5)),RundDx)</f>
        <v>126849959</v>
      </c>
      <c r="FU13" s="25">
        <f>ROUND(v^($FM13+FaktorAlter)*VLOOKUP($FM13,$G$9:$J$102,4)*VLOOKUP($FM13,$A$9:$E$102,5)*0.5*(VLOOKUP($FM13-FU$103,Männer!$G$9:$J$102,4)+VLOOKUP($FM13-FU$103+1,Männer!$G$9:$J$102,4))*0.5*(VLOOKUP($FM13-FU$103,Männer!$AZ$9:$BD$102,5)+VLOOKUP($FM13-FU$103+1,Männer!$AZ$9:$BD$102,5)),RundDx)</f>
        <v>139202151</v>
      </c>
      <c r="FV13" s="25">
        <f>ROUND(v^($FM13+FaktorAlter)*VLOOKUP($FM13,$G$9:$J$102,4)*VLOOKUP($FM13,$A$9:$E$102,5)*0.5*(VLOOKUP($FM13-FV$103,Männer!$G$9:$J$102,4)+VLOOKUP($FM13-FV$103+1,Männer!$G$9:$J$102,4))*0.5*(VLOOKUP($FM13-FV$103,Männer!$AZ$9:$BD$102,5)+VLOOKUP($FM13-FV$103+1,Männer!$AZ$9:$BD$102,5)),RundDx)</f>
        <v>151788282</v>
      </c>
      <c r="FW13" s="25">
        <f>ROUND(v^($FM13+FaktorAlter)*VLOOKUP($FM13,$G$9:$J$102,4)*VLOOKUP($FM13,$A$9:$E$102,5)*0.5*(VLOOKUP($FM13-FW$103,Männer!$G$9:$J$102,4)+VLOOKUP($FM13-FW$103+1,Männer!$G$9:$J$102,4))*0.5*(VLOOKUP($FM13-FW$103,Männer!$AZ$9:$BD$102,5)+VLOOKUP($FM13-FW$103+1,Männer!$AZ$9:$BD$102,5)),RundDx)</f>
        <v>164549625</v>
      </c>
      <c r="FX13" s="25">
        <f>ROUND(v^($FM13+FaktorAlter)*VLOOKUP($FM13,$G$9:$J$102,4)*VLOOKUP($FM13,$A$9:$E$102,5)*0.5*(VLOOKUP($FM13-FX$103,Männer!$G$9:$J$102,4)+VLOOKUP($FM13-FX$103+1,Männer!$G$9:$J$102,4))*0.5*(VLOOKUP($FM13-FX$103,Männer!$AZ$9:$BD$102,5)+VLOOKUP($FM13-FX$103+1,Männer!$AZ$9:$BD$102,5)),RundDx)</f>
        <v>177413386</v>
      </c>
      <c r="FY13" s="25">
        <f>ROUND(v^($FM13+FaktorAlter)*VLOOKUP($FM13,$G$9:$J$102,4)*VLOOKUP($FM13,$A$9:$E$102,5)*0.5*(VLOOKUP($FM13-FY$103,Männer!$G$9:$J$102,4)+VLOOKUP($FM13-FY$103+1,Männer!$G$9:$J$102,4))*0.5*(VLOOKUP($FM13-FY$103,Männer!$AZ$9:$BD$102,5)+VLOOKUP($FM13-FY$103+1,Männer!$AZ$9:$BD$102,5)),RundDx)</f>
        <v>190372938</v>
      </c>
      <c r="FZ13" s="25">
        <f>ROUND(v^($FM13+FaktorAlter)*VLOOKUP($FM13,$G$9:$J$102,4)*VLOOKUP($FM13,$A$9:$E$102,5)*0.5*(VLOOKUP($FM13-FZ$103,Männer!$G$9:$J$102,4)+VLOOKUP($FM13-FZ$103+1,Männer!$G$9:$J$102,4))*0.5*(VLOOKUP($FM13-FZ$103,Männer!$AZ$9:$BD$102,5)+VLOOKUP($FM13-FZ$103+1,Männer!$AZ$9:$BD$102,5)),RundDx)</f>
        <v>203412259</v>
      </c>
      <c r="GA13" s="25">
        <f>ROUND(v^($FM13+FaktorAlter)*VLOOKUP($FM13,$G$9:$J$102,4)*VLOOKUP($FM13,$A$9:$E$102,5)*0.5*(VLOOKUP($FM13-GA$103,Männer!$G$9:$J$102,4)+VLOOKUP($FM13-GA$103+1,Männer!$G$9:$J$102,4))*0.5*(VLOOKUP($FM13-GA$103,Männer!$AZ$9:$BD$102,5)+VLOOKUP($FM13-GA$103+1,Männer!$AZ$9:$BD$102,5)),RundDx)</f>
        <v>216469758</v>
      </c>
      <c r="GB13" s="25">
        <f>ROUND(v^($FM13+FaktorAlter)*VLOOKUP($FM13,$G$9:$J$102,4)*VLOOKUP($FM13,$A$9:$E$102,5)*0.5*(VLOOKUP($FM13-GB$103,Männer!$G$9:$J$102,4)+VLOOKUP($FM13-GB$103+1,Männer!$G$9:$J$102,4))*0.5*(VLOOKUP($FM13-GB$103,Männer!$AZ$9:$BD$102,5)+VLOOKUP($FM13-GB$103+1,Männer!$AZ$9:$BD$102,5)),RundDx)</f>
        <v>229537620</v>
      </c>
      <c r="GC13" s="25">
        <f>ROUND(v^($FM13+FaktorAlter)*VLOOKUP($FM13,$G$9:$J$102,4)*VLOOKUP($FM13,$A$9:$E$102,5)*0.5*(VLOOKUP($FM13-GC$103,Männer!$G$9:$J$102,4)+VLOOKUP($FM13-GC$103+1,Männer!$G$9:$J$102,4))*0.5*(VLOOKUP($FM13-GC$103,Männer!$AZ$9:$BD$102,5)+VLOOKUP($FM13-GC$103+1,Männer!$AZ$9:$BD$102,5)),RundDx)</f>
        <v>242662194</v>
      </c>
      <c r="GD13" s="25">
        <f>ROUND(v^($FM13+FaktorAlter)*VLOOKUP($FM13,$G$9:$J$102,4)*VLOOKUP($FM13,$A$9:$E$102,5)*0.5*(VLOOKUP($FM13-GD$103,Männer!$G$9:$J$102,4)+VLOOKUP($FM13-GD$103+1,Männer!$G$9:$J$102,4))*0.5*(VLOOKUP($FM13-GD$103,Männer!$AZ$9:$BD$102,5)+VLOOKUP($FM13-GD$103+1,Männer!$AZ$9:$BD$102,5)),RundDx)</f>
        <v>255881331</v>
      </c>
      <c r="GE13" s="25">
        <f>ROUND(v^($FM13+FaktorAlter)*VLOOKUP($FM13,$G$9:$J$102,4)*VLOOKUP($FM13,$A$9:$E$102,5)*0.5*(VLOOKUP($FM13-GE$103,Männer!$G$9:$J$102,4)+VLOOKUP($FM13-GE$103+1,Männer!$G$9:$J$102,4))*0.5*(VLOOKUP($FM13-GE$103,Männer!$AZ$9:$BD$102,5)+VLOOKUP($FM13-GE$103+1,Männer!$AZ$9:$BD$102,5)),RundDx)</f>
        <v>269162398</v>
      </c>
      <c r="GF13" s="25">
        <f>ROUND(v^($FM13+FaktorAlter)*VLOOKUP($FM13,$G$9:$J$102,4)*VLOOKUP($FM13,$A$9:$E$102,5)*0.5*(VLOOKUP($FM13-GF$103,Männer!$G$9:$J$102,4)+VLOOKUP($FM13-GF$103+1,Männer!$G$9:$J$102,4))*0.5*(VLOOKUP($FM13-GF$103,Männer!$AZ$9:$BD$102,5)+VLOOKUP($FM13-GF$103+1,Männer!$AZ$9:$BD$102,5)),RundDx)</f>
        <v>282537740</v>
      </c>
      <c r="GG13" s="25">
        <f>ROUND(v^($FM13+FaktorAlter)*VLOOKUP($FM13,$G$9:$J$102,4)*VLOOKUP($FM13,$A$9:$E$102,5)*0.5*(VLOOKUP($FM13-GG$103,Männer!$G$9:$J$102,4)+VLOOKUP($FM13-GG$103+1,Männer!$G$9:$J$102,4))*0.5*(VLOOKUP($FM13-GG$103,Männer!$AZ$9:$BD$102,5)+VLOOKUP($FM13-GG$103+1,Männer!$AZ$9:$BD$102,5)),RundDx)</f>
        <v>296075627</v>
      </c>
      <c r="GH13" s="25">
        <f>ROUND(v^($FM13+FaktorAlter)*VLOOKUP($FM13,$G$9:$J$102,4)*VLOOKUP($FM13,$A$9:$E$102,5)*0.5*(VLOOKUP($FM13-GH$103,Männer!$G$9:$J$102,4)+VLOOKUP($FM13-GH$103+1,Männer!$G$9:$J$102,4))*0.5*(VLOOKUP($FM13-GH$103,Männer!$AZ$9:$BD$102,5)+VLOOKUP($FM13-GH$103+1,Männer!$AZ$9:$BD$102,5)),RundDx)</f>
        <v>309801720</v>
      </c>
      <c r="GI13" s="25">
        <f>ROUND(v^($FM13+FaktorAlter)*VLOOKUP($FM13,$G$9:$J$102,4)*VLOOKUP($FM13,$A$9:$E$102,5)*0.5*(VLOOKUP($FM13-GI$103,Männer!$G$9:$J$102,4)+VLOOKUP($FM13-GI$103+1,Männer!$G$9:$J$102,4))*0.5*(VLOOKUP($FM13-GI$103,Männer!$AZ$9:$BD$102,5)+VLOOKUP($FM13-GI$103+1,Männer!$AZ$9:$BD$102,5)),RundDx)</f>
        <v>323749116</v>
      </c>
      <c r="GJ13" s="25">
        <f>ROUND(v^($FM13+FaktorAlter)*VLOOKUP($FM13,$G$9:$J$102,4)*VLOOKUP($FM13,$A$9:$E$102,5)*0.5*(VLOOKUP($FM13-GJ$103,Männer!$G$9:$J$102,4)+VLOOKUP($FM13-GJ$103+1,Männer!$G$9:$J$102,4))*0.5*(VLOOKUP($FM13-GJ$103,Männer!$AZ$9:$BD$102,5)+VLOOKUP($FM13-GJ$103+1,Männer!$AZ$9:$BD$102,5)),RundDx)</f>
        <v>337938607</v>
      </c>
      <c r="GK13" s="25">
        <f>ROUND(v^($FM13+FaktorAlter)*VLOOKUP($FM13,$G$9:$J$102,4)*VLOOKUP($FM13,$A$9:$E$102,5)*0.5*(VLOOKUP($FM13-GK$103,Männer!$G$9:$J$102,4)+VLOOKUP($FM13-GK$103+1,Männer!$G$9:$J$102,4))*0.5*(VLOOKUP($FM13-GK$103,Männer!$AZ$9:$BD$102,5)+VLOOKUP($FM13-GK$103+1,Männer!$AZ$9:$BD$102,5)),RundDx)</f>
        <v>352381613</v>
      </c>
      <c r="GL13" s="25">
        <f>ROUND(v^($FM13+FaktorAlter)*VLOOKUP($FM13,$G$9:$J$102,4)*VLOOKUP($FM13,$A$9:$E$102,5)*0.5*(VLOOKUP($FM13-GL$103,Männer!$G$9:$J$102,4)+VLOOKUP($FM13-GL$103+1,Männer!$G$9:$J$102,4))*0.5*(VLOOKUP($FM13-GL$103,Männer!$AZ$9:$BD$102,5)+VLOOKUP($FM13-GL$103+1,Männer!$AZ$9:$BD$102,5)),RundDx)</f>
        <v>367103943</v>
      </c>
      <c r="GM13" s="25">
        <f>ROUND(v^($FM13+FaktorAlter)*VLOOKUP($FM13,$G$9:$J$102,4)*VLOOKUP($FM13,$A$9:$E$102,5)*0.5*(VLOOKUP($FM13-GM$103,Männer!$G$9:$J$102,4)+VLOOKUP($FM13-GM$103+1,Männer!$G$9:$J$102,4))*0.5*(VLOOKUP($FM13-GM$103,Männer!$AZ$9:$BD$102,5)+VLOOKUP($FM13-GM$103+1,Männer!$AZ$9:$BD$102,5)),RundDx)</f>
        <v>382088176</v>
      </c>
      <c r="GN13" s="25">
        <f>ROUND(v^($FM13+FaktorAlter)*VLOOKUP($FM13,$G$9:$J$102,4)*VLOOKUP($FM13,$A$9:$E$102,5)*0.5*(VLOOKUP($FM13-GN$103,Männer!$G$9:$J$102,4)+VLOOKUP($FM13-GN$103+1,Männer!$G$9:$J$102,4))*0.5*(VLOOKUP($FM13-GN$103,Männer!$AZ$9:$BD$102,5)+VLOOKUP($FM13-GN$103+1,Männer!$AZ$9:$BD$102,5)),RundDx)</f>
        <v>397312328</v>
      </c>
      <c r="GO13" s="25">
        <f>ROUND(v^($FM13+FaktorAlter)*VLOOKUP($FM13,$G$9:$J$102,4)*VLOOKUP($FM13,$A$9:$E$102,5)*0.5*(VLOOKUP($FM13-GO$103,Männer!$G$9:$J$102,4)+VLOOKUP($FM13-GO$103+1,Männer!$G$9:$J$102,4))*0.5*(VLOOKUP($FM13-GO$103,Männer!$AZ$9:$BD$102,5)+VLOOKUP($FM13-GO$103+1,Männer!$AZ$9:$BD$102,5)),RundDx)</f>
        <v>412772159</v>
      </c>
      <c r="GP13" s="25">
        <f>ROUND(v^($FM13+FaktorAlter)*VLOOKUP($FM13,$G$9:$J$102,4)*VLOOKUP($FM13,$A$9:$E$102,5)*0.5*(VLOOKUP($FM13-GP$103,Männer!$G$9:$J$102,4)+VLOOKUP($FM13-GP$103+1,Männer!$G$9:$J$102,4))*0.5*(VLOOKUP($FM13-GP$103,Männer!$AZ$9:$BD$102,5)+VLOOKUP($FM13-GP$103+1,Männer!$AZ$9:$BD$102,5)),RundDx)</f>
        <v>428240955</v>
      </c>
      <c r="GQ13" s="25">
        <f>ROUND(v^($FM13+FaktorAlter)*VLOOKUP($FM13,$G$9:$J$102,4)*VLOOKUP($FM13,$A$9:$E$102,5)*0.5*(VLOOKUP($FM13-GQ$103,Männer!$G$9:$J$102,4)+VLOOKUP($FM13-GQ$103+1,Männer!$G$9:$J$102,4))*0.5*(VLOOKUP($FM13-GQ$103,Männer!$AZ$9:$BD$102,5)+VLOOKUP($FM13-GQ$103+1,Männer!$AZ$9:$BD$102,5)),RundDx)</f>
        <v>443477023</v>
      </c>
      <c r="GR13" s="25">
        <f>ROUND(v^($FM13+FaktorAlter)*VLOOKUP($FM13,$G$9:$J$102,4)*VLOOKUP($FM13,$A$9:$E$102,5)*0.5*(VLOOKUP($FM13-GR$103,Männer!$G$9:$J$102,4)+VLOOKUP($FM13-GR$103+1,Männer!$G$9:$J$102,4))*0.5*(VLOOKUP($FM13-GR$103,Männer!$AZ$9:$BD$102,5)+VLOOKUP($FM13-GR$103+1,Männer!$AZ$9:$BD$102,5)),RundDx)</f>
        <v>458482930</v>
      </c>
      <c r="GS13" s="24">
        <f>ROUND(SUM(FN13:FN$56)/VLOOKUP($FM13,$AQ$9:$AR$102,2)/VLOOKUP($FM13-GS$103,Männer!$G$9:$J$102,4),Rundäx)</f>
        <v>0.39200000000000002</v>
      </c>
      <c r="GT13" s="24">
        <f>ROUND(SUM(FO13:FO$56)/VLOOKUP($FM13,$AQ$9:$AR$102,2)/VLOOKUP($FM13-GT$103,Männer!$G$9:$J$102,4),Rundäx)</f>
        <v>0.45</v>
      </c>
      <c r="GU13" s="24">
        <f>ROUND(SUM(FP13:FP$56)/VLOOKUP($FM13,$AQ$9:$AR$102,2)/VLOOKUP($FM13-GU$103,Männer!$G$9:$J$102,4),Rundäx)</f>
        <v>0.51400000000000001</v>
      </c>
      <c r="GV13" s="24">
        <f>ROUND(SUM(FQ13:FQ$56)/VLOOKUP($FM13,$AQ$9:$AR$102,2)/VLOOKUP($FM13-GV$103,Männer!$G$9:$J$102,4),Rundäx)</f>
        <v>0.58499999999999996</v>
      </c>
      <c r="GW13" s="24">
        <f>ROUND(SUM(FR13:FR$56)/VLOOKUP($FM13,$AQ$9:$AR$102,2)/VLOOKUP($FM13-GW$103,Männer!$G$9:$J$102,4),Rundäx)</f>
        <v>0.66300000000000003</v>
      </c>
      <c r="GX13" s="24">
        <f>ROUND(SUM(FS13:FS$56)/VLOOKUP($FM13,$AQ$9:$AR$102,2)/VLOOKUP($FM13-GX$103,Männer!$G$9:$J$102,4),Rundäx)</f>
        <v>0.75</v>
      </c>
      <c r="GY13" s="24">
        <f>ROUND(SUM(FT13:FT$56)/VLOOKUP($FM13,$AQ$9:$AR$102,2)/VLOOKUP($FM13-GY$103,Männer!$G$9:$J$102,4),Rundäx)</f>
        <v>0.84399999999999997</v>
      </c>
      <c r="GZ13" s="24">
        <f>ROUND(SUM(FU13:FU$56)/VLOOKUP($FM13,$AQ$9:$AR$102,2)/VLOOKUP($FM13-GZ$103,Männer!$G$9:$J$102,4),Rundäx)</f>
        <v>0.94799999999999995</v>
      </c>
      <c r="HA13" s="89"/>
      <c r="HB13" s="9">
        <f>1+HB12</f>
        <v>68</v>
      </c>
      <c r="HC13" s="24">
        <f>ROUND(SUM(FV13:FV$56)/VLOOKUP($FM13,$AQ$9:$AR$102,2)/VLOOKUP($FM13-HC$103,Männer!$G$9:$J$102,4),Rundäx)</f>
        <v>1.0609999999999999</v>
      </c>
      <c r="HD13" s="24">
        <f>ROUND(SUM(FW13:FW$56)/VLOOKUP($FM13,$AQ$9:$AR$102,2)/VLOOKUP($FM13-HD$103,Männer!$G$9:$J$102,4),Rundäx)</f>
        <v>1.1850000000000001</v>
      </c>
      <c r="HE13" s="24">
        <f>ROUND(SUM(FX13:FX$56)/VLOOKUP($FM13,$AQ$9:$AR$102,2)/VLOOKUP($FM13-HE$103,Männer!$G$9:$J$102,4),Rundäx)</f>
        <v>1.319</v>
      </c>
      <c r="HF13" s="24">
        <f>ROUND(SUM(FY13:FY$56)/VLOOKUP($FM13,$AQ$9:$AR$102,2)/VLOOKUP($FM13-HF$103,Männer!$G$9:$J$102,4),Rundäx)</f>
        <v>1.464</v>
      </c>
      <c r="HG13" s="24">
        <f>ROUND(SUM(FZ13:FZ$56)/VLOOKUP($FM13,$AQ$9:$AR$102,2)/VLOOKUP($FM13-HG$103,Männer!$G$9:$J$102,4),Rundäx)</f>
        <v>1.62</v>
      </c>
      <c r="HH13" s="24">
        <f>ROUND(SUM(GA13:GA$56)/VLOOKUP($FM13,$AQ$9:$AR$102,2)/VLOOKUP($FM13-HH$103,Männer!$G$9:$J$102,4),Rundäx)</f>
        <v>1.788</v>
      </c>
      <c r="HI13" s="24">
        <f>ROUND(SUM(GB13:GB$56)/VLOOKUP($FM13,$AQ$9:$AR$102,2)/VLOOKUP($FM13-HI$103,Männer!$G$9:$J$102,4),Rundäx)</f>
        <v>1.968</v>
      </c>
      <c r="HJ13" s="24">
        <f>ROUND(SUM(GC13:GC$56)/VLOOKUP($FM13,$AQ$9:$AR$102,2)/VLOOKUP($FM13-HJ$103,Männer!$G$9:$J$102,4),Rundäx)</f>
        <v>2.1579999999999999</v>
      </c>
      <c r="HK13" s="89"/>
      <c r="HL13" s="9">
        <f>1+HL12</f>
        <v>68</v>
      </c>
      <c r="HM13" s="24">
        <f>ROUND(SUM(GD13:GD$56)/VLOOKUP($FM13,$AQ$9:$AR$102,2)/VLOOKUP($FM13-HM$103,Männer!$G$9:$J$102,4),Rundäx)</f>
        <v>2.36</v>
      </c>
      <c r="HN13" s="24">
        <f>ROUND(SUM(GE13:GE$56)/VLOOKUP($FM13,$AQ$9:$AR$102,2)/VLOOKUP($FM13-HN$103,Männer!$G$9:$J$102,4),Rundäx)</f>
        <v>2.573</v>
      </c>
      <c r="HO13" s="24">
        <f>ROUND(SUM(GF13:GF$56)/VLOOKUP($FM13,$AQ$9:$AR$102,2)/VLOOKUP($FM13-HO$103,Männer!$G$9:$J$102,4),Rundäx)</f>
        <v>2.7970000000000002</v>
      </c>
      <c r="HP13" s="24">
        <f>ROUND(SUM(GG13:GG$56)/VLOOKUP($FM13,$AQ$9:$AR$102,2)/VLOOKUP($FM13-HP$103,Männer!$G$9:$J$102,4),Rundäx)</f>
        <v>3.032</v>
      </c>
      <c r="HQ13" s="24">
        <f>ROUND(SUM(GH13:GH$56)/VLOOKUP($FM13,$AQ$9:$AR$102,2)/VLOOKUP($FM13-HQ$103,Männer!$G$9:$J$102,4),Rundäx)</f>
        <v>3.2770000000000001</v>
      </c>
      <c r="HR13" s="24">
        <f>ROUND(SUM(GI13:GI$56)/VLOOKUP($FM13,$AQ$9:$AR$102,2)/VLOOKUP($FM13-HR$103,Männer!$G$9:$J$102,4),Rundäx)</f>
        <v>3.5329999999999999</v>
      </c>
      <c r="HS13" s="24">
        <f>ROUND(SUM(GJ13:GJ$56)/VLOOKUP($FM13,$AQ$9:$AR$102,2)/VLOOKUP($FM13-HS$103,Männer!$G$9:$J$102,4),Rundäx)</f>
        <v>3.798</v>
      </c>
      <c r="HT13" s="24">
        <f>ROUND(SUM(GK13:GK$56)/VLOOKUP($FM13,$AQ$9:$AR$102,2)/VLOOKUP($FM13-HT$103,Männer!$G$9:$J$102,4),Rundäx)</f>
        <v>4.0739999999999998</v>
      </c>
      <c r="HU13" s="89"/>
      <c r="HV13" s="9">
        <f>1+HV12</f>
        <v>68</v>
      </c>
      <c r="HW13" s="24">
        <f>ROUND(SUM(GL13:GL$56)/VLOOKUP($FM13,$AQ$9:$AR$102,2)/VLOOKUP($FM13-HW$103,Männer!$G$9:$J$102,4),Rundäx)</f>
        <v>4.359</v>
      </c>
      <c r="HX13" s="24">
        <f>ROUND(SUM(GM13:GM$56)/VLOOKUP($FM13,$AQ$9:$AR$102,2)/VLOOKUP($FM13-HX$103,Männer!$G$9:$J$102,4),Rundäx)</f>
        <v>4.6529999999999996</v>
      </c>
      <c r="HY13" s="24">
        <f>ROUND(SUM(GN13:GN$56)/VLOOKUP($FM13,$AQ$9:$AR$102,2)/VLOOKUP($FM13-HY$103,Männer!$G$9:$J$102,4),Rundäx)</f>
        <v>4.9550000000000001</v>
      </c>
      <c r="HZ13" s="24">
        <f>ROUND(SUM(GO13:GO$56)/VLOOKUP($FM13,$AQ$9:$AR$102,2)/VLOOKUP($FM13-HZ$103,Männer!$G$9:$J$102,4),Rundäx)</f>
        <v>5.266</v>
      </c>
      <c r="IA13" s="24">
        <f>ROUND(SUM(GP13:GP$56)/VLOOKUP($FM13,$AQ$9:$AR$102,2)/VLOOKUP($FM13-IA$103,Männer!$G$9:$J$102,4),Rundäx)</f>
        <v>5.5830000000000002</v>
      </c>
      <c r="IB13" s="24">
        <f>ROUND(SUM(GQ13:GQ$56)/VLOOKUP($FM13,$AQ$9:$AR$102,2)/VLOOKUP($FM13-IB$103,Männer!$G$9:$J$102,4),Rundäx)</f>
        <v>5.907</v>
      </c>
      <c r="IC13" s="24">
        <f>ROUND(SUM(GR13:GR$56)/VLOOKUP($FM13,$AQ$9:$AR$102,2)/VLOOKUP($FM13-IC$103,Männer!$G$9:$J$102,4),Rundäx)</f>
        <v>6.2359999999999998</v>
      </c>
      <c r="ID13" s="89"/>
      <c r="IE13" s="9">
        <f>1+IE12</f>
        <v>21</v>
      </c>
      <c r="IF13" s="11">
        <f t="shared" si="25"/>
        <v>29</v>
      </c>
      <c r="IG13" s="11">
        <f>IF($IE13&lt;RAF,IF(S14&lt;=RAK,ROUND(SUM(IF13:INDEX(Daky,RAF-BeginnAlter))+INDEX(Day,RAF-BeginnAlter+1)*INDEX(äky,1),RundDx),0),"")</f>
        <v>6405</v>
      </c>
      <c r="IH13" s="11">
        <f>IF($IE13&lt;RAF,IF(S14&lt;=RAK,ROUND(SUM(IG13:INDEX(Naky,RAF-BeginnAlter))+INDEX(Day,RAF-BeginnAlter+1)*INDEX(äky,1),RundDx),0),"")</f>
        <v>108182</v>
      </c>
      <c r="II13" s="10">
        <f t="shared" si="26"/>
        <v>0.10199999999999999</v>
      </c>
      <c r="IJ13" s="11">
        <f t="shared" si="27"/>
        <v>883</v>
      </c>
      <c r="IK13" s="11">
        <f>IF($IE13&lt;RAF,IF(S14&lt;=RAK,SUM(IJ13:INDEX(Diky,RAF-BeginnAlter))+INDEX(Diy,RAF-BeginnAlter+1)*INDEX(äky,1),0),"")</f>
        <v>232917</v>
      </c>
      <c r="IL13" s="10">
        <f t="shared" si="28"/>
        <v>1.694</v>
      </c>
      <c r="IM13" s="89"/>
      <c r="IN13" s="9">
        <f t="shared" si="29"/>
        <v>68</v>
      </c>
      <c r="IO13" s="25">
        <f t="shared" si="2"/>
        <v>0</v>
      </c>
      <c r="IP13" s="11">
        <f>IF(AND(VLOOKUP(IN13+1,O$9:S$102,5)&lt;=RAK,VLOOKUP(IN13+1,O$9:S$102,5)&lt;&gt;""),SUM(IO13:IO$102),0)</f>
        <v>0</v>
      </c>
      <c r="IQ13" s="10">
        <f t="shared" si="3"/>
        <v>0</v>
      </c>
      <c r="IR13" s="86"/>
    </row>
    <row r="14" spans="1:252" ht="15.75" customHeight="1" x14ac:dyDescent="0.25">
      <c r="A14" s="9">
        <f t="shared" si="4"/>
        <v>22</v>
      </c>
      <c r="B14" s="93">
        <v>2.4998220969393506E-4</v>
      </c>
      <c r="C14" s="93">
        <v>3.405546946087939E-4</v>
      </c>
      <c r="D14" s="93">
        <v>1.492604424140841E-2</v>
      </c>
      <c r="E14" s="93">
        <v>2.6017692030577688E-4</v>
      </c>
      <c r="F14" s="89"/>
      <c r="G14" s="9">
        <f t="shared" si="5"/>
        <v>22</v>
      </c>
      <c r="H14" s="11">
        <f t="shared" si="30"/>
        <v>99879</v>
      </c>
      <c r="I14" s="25">
        <f t="shared" si="31"/>
        <v>53</v>
      </c>
      <c r="J14" s="25">
        <f t="shared" si="32"/>
        <v>99932</v>
      </c>
      <c r="K14" s="30">
        <f>IF(J14&gt;0,ROUND(SUM(J14:J$102)/J14-0.5,Rundex),"")</f>
        <v>60.12</v>
      </c>
      <c r="L14" s="25">
        <f t="shared" si="6"/>
        <v>216468</v>
      </c>
      <c r="M14" s="30">
        <f>IF(L14&gt;0,ROUND(SUM(L14:L$102)/L14-0.5,Rundex),"")</f>
        <v>37.03</v>
      </c>
      <c r="N14" s="89"/>
      <c r="O14" s="9">
        <f>1+O13</f>
        <v>22</v>
      </c>
      <c r="P14" s="94">
        <v>7.8296769093721685E-2</v>
      </c>
      <c r="Q14" s="95">
        <v>26.329280749133495</v>
      </c>
      <c r="R14" s="94">
        <v>3.0460000000000001E-2</v>
      </c>
      <c r="S14" s="95">
        <v>0.06</v>
      </c>
      <c r="T14" s="28">
        <v>2.6017692030577688E-4</v>
      </c>
      <c r="U14" s="11">
        <f t="shared" si="33"/>
        <v>99932</v>
      </c>
      <c r="V14" s="30">
        <f>IF(U14&gt;0,ROUND(SUM(U14:U$102)/U14-0.5,Rundex),"")</f>
        <v>61.41</v>
      </c>
      <c r="W14" s="89"/>
      <c r="X14" s="9">
        <f>1+X13</f>
        <v>22</v>
      </c>
      <c r="Y14" s="11">
        <f t="shared" si="34"/>
        <v>61218</v>
      </c>
      <c r="Z14" s="11">
        <f>IF($X14&lt;RAF,SUM(Y14:INDEX(Day,RAF-BeginnAlter))," ")</f>
        <v>1592010</v>
      </c>
      <c r="AA14" s="11">
        <f t="shared" si="0"/>
        <v>15</v>
      </c>
      <c r="AB14" s="11">
        <f>IF($X14&lt;RAF,SUM(AA14:INDEX(Cay,RAF-BeginnAlter))," ")</f>
        <v>1443</v>
      </c>
      <c r="AC14" s="11">
        <f t="shared" si="1"/>
        <v>21</v>
      </c>
      <c r="AD14" s="11">
        <f>IF($X14&lt;RAF,SUM(AC14:INDEX(Caiy,RAF-BeginnAlter))," ")</f>
        <v>8480</v>
      </c>
      <c r="AE14" s="10">
        <f t="shared" si="35"/>
        <v>26.006</v>
      </c>
      <c r="AF14" s="10">
        <f t="shared" si="36"/>
        <v>25.67</v>
      </c>
      <c r="AG14" s="89"/>
      <c r="AH14" s="9">
        <f>1+AH13</f>
        <v>22</v>
      </c>
      <c r="AI14" s="11">
        <f t="shared" si="37"/>
        <v>132679</v>
      </c>
      <c r="AJ14" s="11">
        <f>IF($AH14&gt;RAF," ",IF($AH14&lt;RAF,SUM(AI14:INDEX(Diy,RAF-BeginnAlter))+INDEX(Ny,RAF-BeginnAlter+1),INDEX(Ny,RAF-BeginnAlter+1)))</f>
        <v>3017749</v>
      </c>
      <c r="AK14" s="11">
        <f>IF($AH14&lt;RAF,SUM(AI14:INDEX(Diy,RAF-BeginnAlter))," ")</f>
        <v>2651655</v>
      </c>
      <c r="AL14" s="10">
        <f t="shared" si="38"/>
        <v>22.745000000000001</v>
      </c>
      <c r="AM14" s="10">
        <f t="shared" si="39"/>
        <v>22.286000000000001</v>
      </c>
      <c r="AN14" s="10">
        <f t="shared" si="40"/>
        <v>19.984999999999999</v>
      </c>
      <c r="AO14" s="10">
        <f t="shared" si="41"/>
        <v>19.602</v>
      </c>
      <c r="AP14" s="89"/>
      <c r="AQ14" s="9">
        <f>1+AQ13</f>
        <v>22</v>
      </c>
      <c r="AR14" s="11">
        <f t="shared" si="42"/>
        <v>61251</v>
      </c>
      <c r="AS14" s="11">
        <f>SUM(AR14:AR$96)</f>
        <v>2027348</v>
      </c>
      <c r="AT14" s="25">
        <f>IF($AQ14&lt;RAF,SUM(AR14:INDEX(Dy,RAF-BeginnAlter))," ")</f>
        <v>1661254</v>
      </c>
      <c r="AU14" s="24">
        <f t="shared" si="43"/>
        <v>33.098999999999997</v>
      </c>
      <c r="AV14" s="24">
        <f t="shared" si="44"/>
        <v>32.640999999999998</v>
      </c>
      <c r="AW14" s="24">
        <f t="shared" si="45"/>
        <v>27.122</v>
      </c>
      <c r="AX14" s="24">
        <f t="shared" si="46"/>
        <v>26.826000000000001</v>
      </c>
      <c r="AY14" s="89"/>
      <c r="AZ14" s="9">
        <f>1+AZ13</f>
        <v>22</v>
      </c>
      <c r="BA14" s="11">
        <f t="shared" si="47"/>
        <v>61251</v>
      </c>
      <c r="BB14" s="11">
        <f>SUM(BA14:BA$96)</f>
        <v>2050137</v>
      </c>
      <c r="BC14" s="10">
        <f t="shared" si="48"/>
        <v>33.470999999999997</v>
      </c>
      <c r="BD14" s="10">
        <f t="shared" si="7"/>
        <v>33.012999999999998</v>
      </c>
      <c r="BE14" s="89"/>
      <c r="BF14" s="9">
        <f>1+BF13</f>
        <v>5</v>
      </c>
      <c r="BG14" s="10">
        <f t="shared" si="8"/>
        <v>16.323</v>
      </c>
      <c r="BH14" s="10">
        <f t="shared" si="9"/>
        <v>16.158000000000001</v>
      </c>
      <c r="BI14" s="89"/>
      <c r="BJ14" s="9">
        <f>1+BJ13</f>
        <v>22</v>
      </c>
      <c r="BK14" s="11">
        <f t="shared" si="10"/>
        <v>458</v>
      </c>
      <c r="BL14" s="11">
        <f>IF(BJ14&lt;RAF,SUM(BK14:INDEX(Daiy,RAF-BeginnAlter))," ")</f>
        <v>159336</v>
      </c>
      <c r="BM14" s="11">
        <f>IF(BJ14&lt;RAF,SUM(BL14:INDEX(Naiy,RAF-BeginnAlter))," ")</f>
        <v>4657571</v>
      </c>
      <c r="BN14" s="10">
        <f t="shared" si="11"/>
        <v>4.3810000000000002</v>
      </c>
      <c r="BO14" s="10">
        <f t="shared" si="12"/>
        <v>2.6030000000000002</v>
      </c>
      <c r="BP14" s="89"/>
      <c r="BQ14" s="9">
        <f>1+BQ13</f>
        <v>22</v>
      </c>
      <c r="BR14" s="11">
        <f t="shared" si="13"/>
        <v>401</v>
      </c>
      <c r="BS14" s="11">
        <f>IF(BQ14&lt;RAF,SUM(BR14:INDEX(Daiys,RAF-BeginnAlter))," ")</f>
        <v>71476</v>
      </c>
      <c r="BT14" s="11">
        <f>IF(BQ14&lt;RAF,SUM(BS14:INDEX(Naiys,RAF-BeginnAlter))," ")</f>
        <v>1692967</v>
      </c>
      <c r="BU14" s="10">
        <f t="shared" si="14"/>
        <v>5.8159999999999998</v>
      </c>
      <c r="BV14" s="10">
        <f t="shared" si="15"/>
        <v>1.1679999999999999</v>
      </c>
      <c r="BW14" s="89"/>
      <c r="BX14" s="9">
        <f>1+BX13</f>
        <v>22</v>
      </c>
      <c r="BY14" s="10">
        <f t="shared" si="16"/>
        <v>15.234358882973453</v>
      </c>
      <c r="BZ14" s="11">
        <f t="shared" si="17"/>
        <v>11</v>
      </c>
      <c r="CA14" s="11">
        <f>IF(S15&lt;=RAK,IF($BX14&lt;RAF,SUM(BZ14:INDEX(Dazy,RAF-BeginnAlter)),""),"")</f>
        <v>16249</v>
      </c>
      <c r="CB14" s="10">
        <f t="shared" si="18"/>
        <v>0.26500000000000001</v>
      </c>
      <c r="CC14" s="11">
        <f t="shared" si="19"/>
        <v>34467</v>
      </c>
      <c r="CD14" s="10">
        <f t="shared" si="20"/>
        <v>24.167999999999999</v>
      </c>
      <c r="CE14" s="10">
        <f t="shared" si="21"/>
        <v>2E-3</v>
      </c>
      <c r="CF14" s="89"/>
      <c r="CG14" s="9">
        <f>1+CG13</f>
        <v>22</v>
      </c>
      <c r="CH14" s="11">
        <f>IF(CG14&lt;RAF,ROUND(v^($CG14+FaktorAlter)*$H14*($B14*0.5*($P14+$P15)*(VLOOKUP(TRUNC(0.5*($Q14+$Q15),0),Männer!$AZ$9:$BD$95,5)+(0.5*($Q14+$Q15)-TRUNC(0.5*($Q14+$Q15),0))*(VLOOKUP(TRUNC(0.5*($Q14+$Q15)+1,0),Männer!$AZ$9:$BD$95,5)-VLOOKUP(TRUNC(0.5*($Q14+$Q15),0),Männer!$AZ$9:$BD$95,5)))+$C14*0.5*($CN14+$CN15)),RundDx),"")</f>
        <v>75</v>
      </c>
      <c r="CI14" s="11">
        <f>IF(CG14&lt;RAF,ROUND(SUM(CH14:INDEX(Dawy,RAF-BeginnAlter))+INDEX(Day,RAF-BeginnAlter+1)*INDEX(äwy,1),RundDx),"")</f>
        <v>14370</v>
      </c>
      <c r="CJ14" s="11">
        <f>IF(CG14&lt;RAF,ROUND(SUM(CI14:INDEX(Nawy,RAF-BeginnAlter))+INDEX(Day,RAF-BeginnAlter+1)*INDEX(äwy,1),RundDx),"")</f>
        <v>381773</v>
      </c>
      <c r="CK14" s="10">
        <f t="shared" si="22"/>
        <v>0.23499999999999999</v>
      </c>
      <c r="CL14" s="11">
        <f>IF(CG14&lt;RAF,ROUND(v^($CG14+FaktorAlter)*$L14*$D14*0.5*($P14+$P15)*(VLOOKUP(TRUNC(0.5*($Q14+$Q15),0),Männer!$AZ$9:$BD$95,5)+(0.5*($Q14+$Q15)-TRUNC(0.5*($Q14+$Q15),0))*(VLOOKUP(TRUNC(0.5*($Q14+$Q15)+1,0),Männer!$AZ$9:$BD$95,5)-VLOOKUP(TRUNC(0.5*($Q14+$Q15),0),Männer!$AZ$9:$BD$95,5))),RundDx),"")</f>
        <v>4755</v>
      </c>
      <c r="CM14" s="11">
        <f>IF(CG14&lt;RAF,SUM(CL14:INDEX(Diwy,RAF-BeginnAlter))+INDEX(Diy,RAF-BeginnAlter+1)*INDEX(äwy,1),"")</f>
        <v>240940.304</v>
      </c>
      <c r="CN14" s="10">
        <f t="shared" si="23"/>
        <v>1.8160000000000001</v>
      </c>
      <c r="CO14" s="89"/>
      <c r="CP14" s="9">
        <f>1+CP13</f>
        <v>69</v>
      </c>
      <c r="CQ14" s="11">
        <f>ROUND(v^($CP14+FaktorAlter)*VLOOKUP(CP14,G$9:J$102,4)*VLOOKUP(CP14,A$9:E$102,5)*0.5*(VLOOKUP(CP14,O$9:P$102,2)+VLOOKUP(CP14+1,O$9:P$102,2))*(VLOOKUP(TRUNC(0.5*(VLOOKUP(CP14,O$9:Q$102,3)+VLOOKUP(CP14+1,O$9:Q$102,3)),0),Männer!$AZ$9:$BD$95,5)+(0.5*(VLOOKUP(CP14,O$9:Q$102,3)+VLOOKUP(CP14+1,O$9:Q$102,3))-TRUNC(0.5*(VLOOKUP(CP14,O$9:Q$102,3)+VLOOKUP(CP14+1,O$9:Q$102,3)),0))*(VLOOKUP(TRUNC(0.5*(VLOOKUP(CP14,O$9:Q$102,3)+VLOOKUP(CP14+1,O$9:Q$102,3))+1,0),Männer!$AZ$9:$BD$95,5)-VLOOKUP(TRUNC(0.5*(VLOOKUP(CP14,O$9:Q$102,3)+VLOOKUP(CP14+1,O$9:Q$102,3)),0),Männer!$AZ$9:$BD$95,5))),RundDx)</f>
        <v>188</v>
      </c>
      <c r="CR14" s="11">
        <f>SUM(CQ14:CQ$56)</f>
        <v>1128</v>
      </c>
      <c r="CS14" s="24">
        <f t="shared" si="24"/>
        <v>6.2E-2</v>
      </c>
      <c r="CT14" s="89"/>
      <c r="CU14" s="9">
        <f>1+CU13</f>
        <v>22</v>
      </c>
      <c r="CV14" s="25">
        <f>IF($CU14&gt;=RAF,"",IF($CU14-CV$103&lt;BeginnAlter,"",ROUND(v^($CU14+FaktorAlter)*$L14*$D14*0.5*(VLOOKUP($CU14-CV$103,Männer!$G$9:$J$102,4)+VLOOKUP($CU14-CV$103+1,Männer!$G$9:$J$102,4))*0.5*(VLOOKUP($CU14-CV$103,Männer!$AZ$9:$BD$102,5)+VLOOKUP($CU14-CV$103+1,Männer!$AZ$9:$BD$102,5)),RundDx)))</f>
        <v>4965233496</v>
      </c>
      <c r="CW14" s="25">
        <f>IF($CU14&gt;=RAF,"",IF($CU14-CW$103&lt;BeginnAlter,"",ROUND(v^($CU14+FaktorAlter)*$L14*$D14*0.5*(VLOOKUP($CU14-CW$103,Männer!$G$9:$J$102,4)+VLOOKUP($CU14-CW$103+1,Männer!$G$9:$J$102,4))*0.5*(VLOOKUP($CU14-CW$103,Männer!$AZ$9:$BD$102,5)+VLOOKUP($CU14-CW$103+1,Männer!$AZ$9:$BD$102,5)),RundDx)))</f>
        <v>5047291991</v>
      </c>
      <c r="CX14" s="25">
        <f>IF($CU14&gt;=RAF,"",IF($CU14-CX$103&lt;BeginnAlter,"",ROUND(v^($CU14+FaktorAlter)*$L14*$D14*0.5*(VLOOKUP($CU14-CX$103,Männer!$G$9:$J$102,4)+VLOOKUP($CU14-CX$103+1,Männer!$G$9:$J$102,4))*0.5*(VLOOKUP($CU14-CX$103,Männer!$AZ$9:$BD$102,5)+VLOOKUP($CU14-CX$103+1,Männer!$AZ$9:$BD$102,5)),RundDx)))</f>
        <v>5127814454</v>
      </c>
      <c r="CY14" s="25">
        <f>IF($CU14&gt;=RAF,"",IF($CU14-CY$103&lt;BeginnAlter,"",ROUND(v^($CU14+FaktorAlter)*$L14*$D14*0.5*(VLOOKUP($CU14-CY$103,Männer!$G$9:$J$102,4)+VLOOKUP($CU14-CY$103+1,Männer!$G$9:$J$102,4))*0.5*(VLOOKUP($CU14-CY$103,Männer!$AZ$9:$BD$102,5)+VLOOKUP($CU14-CY$103+1,Männer!$AZ$9:$BD$102,5)),RundDx)))</f>
        <v>5206680826</v>
      </c>
      <c r="CZ14" s="25">
        <f>IF($CU14&gt;=RAF,"",IF($CU14-CZ$103&lt;BeginnAlter,"",ROUND(v^($CU14+FaktorAlter)*$L14*$D14*0.5*(VLOOKUP($CU14-CZ$103,Männer!$G$9:$J$102,4)+VLOOKUP($CU14-CZ$103+1,Männer!$G$9:$J$102,4))*0.5*(VLOOKUP($CU14-CZ$103,Männer!$AZ$9:$BD$102,5)+VLOOKUP($CU14-CZ$103+1,Männer!$AZ$9:$BD$102,5)),RundDx)))</f>
        <v>5283948387</v>
      </c>
      <c r="DA14" s="25">
        <f>IF($CU14&gt;=RAF,"",IF($CU14-DA$103&lt;BeginnAlter,"",ROUND(v^($CU14+FaktorAlter)*$L14*$D14*0.5*(VLOOKUP($CU14-DA$103,Männer!$G$9:$J$102,4)+VLOOKUP($CU14-DA$103+1,Männer!$G$9:$J$102,4))*0.5*(VLOOKUP($CU14-DA$103,Männer!$AZ$9:$BD$102,5)+VLOOKUP($CU14-DA$103+1,Männer!$AZ$9:$BD$102,5)),RundDx)))</f>
        <v>5359679461</v>
      </c>
      <c r="DB14" s="25">
        <f>IF($CU14&gt;=RAF,"",IF($CU14-DB$103&lt;BeginnAlter,"",ROUND(v^($CU14+FaktorAlter)*$L14*$D14*0.5*(VLOOKUP($CU14-DB$103,Männer!$G$9:$J$102,4)+VLOOKUP($CU14-DB$103+1,Männer!$G$9:$J$102,4))*0.5*(VLOOKUP($CU14-DB$103,Männer!$AZ$9:$BD$102,5)+VLOOKUP($CU14-DB$103+1,Männer!$AZ$9:$BD$102,5)),RundDx)))</f>
        <v>5433913805</v>
      </c>
      <c r="DC14" s="25">
        <f>IF($CU14&gt;=RAF,"",IF($CU14-DC$103&lt;BeginnAlter,"",ROUND(v^($CU14+FaktorAlter)*$L14*$D14*0.5*(VLOOKUP($CU14-DC$103,Männer!$G$9:$J$102,4)+VLOOKUP($CU14-DC$103+1,Männer!$G$9:$J$102,4))*0.5*(VLOOKUP($CU14-DC$103,Männer!$AZ$9:$BD$102,5)+VLOOKUP($CU14-DC$103+1,Männer!$AZ$9:$BD$102,5)),RundDx)))</f>
        <v>5506666665</v>
      </c>
      <c r="DD14" s="25">
        <f>IF($CU14&gt;=RAF,"",IF($CU14-DD$103&lt;BeginnAlter,"",ROUND(v^($CU14+FaktorAlter)*$L14*$D14*0.5*(VLOOKUP($CU14-DD$103,Männer!$G$9:$J$102,4)+VLOOKUP($CU14-DD$103+1,Männer!$G$9:$J$102,4))*0.5*(VLOOKUP($CU14-DD$103,Männer!$AZ$9:$BD$102,5)+VLOOKUP($CU14-DD$103+1,Männer!$AZ$9:$BD$102,5)),RundDx)))</f>
        <v>5577913978</v>
      </c>
      <c r="DE14" s="25">
        <f>IF($CU14&gt;=RAF,"",IF($CU14-DE$103&lt;BeginnAlter,"",ROUND(v^($CU14+FaktorAlter)*$L14*$D14*0.5*(VLOOKUP($CU14-DE$103,Männer!$G$9:$J$102,4)+VLOOKUP($CU14-DE$103+1,Männer!$G$9:$J$102,4))*0.5*(VLOOKUP($CU14-DE$103,Männer!$AZ$9:$BD$102,5)+VLOOKUP($CU14-DE$103+1,Männer!$AZ$9:$BD$102,5)),RundDx)))</f>
        <v>5647733060</v>
      </c>
      <c r="DF14" s="25">
        <f>IF($CU14&gt;=RAF,"",IF($CU14-DF$103&lt;BeginnAlter,"",ROUND(v^($CU14+FaktorAlter)*$L14*$D14*0.5*(VLOOKUP($CU14-DF$103,Männer!$G$9:$J$102,4)+VLOOKUP($CU14-DF$103+1,Männer!$G$9:$J$102,4))*0.5*(VLOOKUP($CU14-DF$103,Männer!$AZ$9:$BD$102,5)+VLOOKUP($CU14-DF$103+1,Männer!$AZ$9:$BD$102,5)),RundDx)))</f>
        <v>5716079266</v>
      </c>
      <c r="DG14" s="25">
        <f>IF($CU14&gt;=RAF,"",IF($CU14-DG$103&lt;BeginnAlter,"",ROUND(v^($CU14+FaktorAlter)*$L14*$D14*0.5*(VLOOKUP($CU14-DG$103,Männer!$G$9:$J$102,4)+VLOOKUP($CU14-DG$103+1,Männer!$G$9:$J$102,4))*0.5*(VLOOKUP($CU14-DG$103,Männer!$AZ$9:$BD$102,5)+VLOOKUP($CU14-DG$103+1,Männer!$AZ$9:$BD$102,5)),RundDx)))</f>
        <v>5783134221</v>
      </c>
      <c r="DH14" s="25">
        <f>IF($CU14&gt;=RAF,"",IF($CU14-DH$103&lt;BeginnAlter,"",ROUND(v^($CU14+FaktorAlter)*$L14*$D14*0.5*(VLOOKUP($CU14-DH$103,Männer!$G$9:$J$102,4)+VLOOKUP($CU14-DH$103+1,Männer!$G$9:$J$102,4))*0.5*(VLOOKUP($CU14-DH$103,Männer!$AZ$9:$BD$102,5)+VLOOKUP($CU14-DH$103+1,Männer!$AZ$9:$BD$102,5)),RundDx)))</f>
        <v>5848868549</v>
      </c>
      <c r="DI14" s="25">
        <f>IF($CU14&gt;=RAF,"",IF($CU14-DI$103&lt;BeginnAlter,"",ROUND(v^($CU14+FaktorAlter)*$L14*$D14*0.5*(VLOOKUP($CU14-DI$103,Männer!$G$9:$J$102,4)+VLOOKUP($CU14-DI$103+1,Männer!$G$9:$J$102,4))*0.5*(VLOOKUP($CU14-DI$103,Männer!$AZ$9:$BD$102,5)+VLOOKUP($CU14-DI$103+1,Männer!$AZ$9:$BD$102,5)),RundDx)))</f>
        <v>5913115803</v>
      </c>
      <c r="DJ14" s="25">
        <f>IF($CU14&gt;=RAF,"",IF($CU14-DJ$103&lt;BeginnAlter,"",ROUND(v^($CU14+FaktorAlter)*$L14*$D14*0.5*(VLOOKUP($CU14-DJ$103,Männer!$G$9:$J$102,4)+VLOOKUP($CU14-DJ$103+1,Männer!$G$9:$J$102,4))*0.5*(VLOOKUP($CU14-DJ$103,Männer!$AZ$9:$BD$102,5)+VLOOKUP($CU14-DJ$103+1,Männer!$AZ$9:$BD$102,5)),RundDx)))</f>
        <v>5976168166</v>
      </c>
      <c r="DK14" s="25">
        <f>IF($CU14&gt;=RAF,"",IF($CU14-DK$103&lt;BeginnAlter,"",ROUND(v^($CU14+FaktorAlter)*$L14*$D14*0.5*(VLOOKUP($CU14-DK$103,Männer!$G$9:$J$102,4)+VLOOKUP($CU14-DK$103+1,Männer!$G$9:$J$102,4))*0.5*(VLOOKUP($CU14-DK$103,Männer!$AZ$9:$BD$102,5)+VLOOKUP($CU14-DK$103+1,Männer!$AZ$9:$BD$102,5)),RundDx)))</f>
        <v>6038002075</v>
      </c>
      <c r="DL14" s="25">
        <f>IF($CU14&gt;=RAF,"",IF($CU14-DL$103&lt;BeginnAlter,"",ROUND(v^($CU14+FaktorAlter)*$L14*$D14*0.5*(VLOOKUP($CU14-DL$103,Männer!$G$9:$J$102,4)+VLOOKUP($CU14-DL$103+1,Männer!$G$9:$J$102,4))*0.5*(VLOOKUP($CU14-DL$103,Männer!$AZ$9:$BD$102,5)+VLOOKUP($CU14-DL$103+1,Männer!$AZ$9:$BD$102,5)),RundDx)))</f>
        <v>6098589594</v>
      </c>
      <c r="DM14" s="25">
        <f>IF($CU14&gt;=RAF,"",IF($CU14-DM$103&lt;BeginnAlter,"",ROUND(v^($CU14+FaktorAlter)*$L14*$D14*0.5*(VLOOKUP($CU14-DM$103,Männer!$G$9:$J$102,4)+VLOOKUP($CU14-DM$103+1,Männer!$G$9:$J$102,4))*0.5*(VLOOKUP($CU14-DM$103,Männer!$AZ$9:$BD$102,5)+VLOOKUP($CU14-DM$103+1,Männer!$AZ$9:$BD$102,5)),RundDx)))</f>
        <v>6157965609</v>
      </c>
      <c r="DN14" s="25">
        <f>IF($CU14&gt;=RAF,"",IF($CU14-DN$103&lt;BeginnAlter,"",ROUND(v^($CU14+FaktorAlter)*$L14*$D14*0.5*(VLOOKUP($CU14-DN$103,Männer!$G$9:$J$102,4)+VLOOKUP($CU14-DN$103+1,Männer!$G$9:$J$102,4))*0.5*(VLOOKUP($CU14-DN$103,Männer!$AZ$9:$BD$102,5)+VLOOKUP($CU14-DN$103+1,Männer!$AZ$9:$BD$102,5)),RundDx)))</f>
        <v>6216102509</v>
      </c>
      <c r="DO14" s="25">
        <f>IF($CU14&gt;=RAF,"",IF($CU14-DO$103&lt;BeginnAlter,"",ROUND(v^($CU14+FaktorAlter)*$L14*$D14*0.5*(VLOOKUP($CU14-DO$103,Männer!$G$9:$J$102,4)+VLOOKUP($CU14-DO$103+1,Männer!$G$9:$J$102,4))*0.5*(VLOOKUP($CU14-DO$103,Männer!$AZ$9:$BD$102,5)+VLOOKUP($CU14-DO$103+1,Männer!$AZ$9:$BD$102,5)),RundDx)))</f>
        <v>6273154661</v>
      </c>
      <c r="DP14" s="25">
        <f>IF($CU14&gt;=RAF,"",IF($CU14-DP$103&lt;BeginnAlter,"",ROUND(v^($CU14+FaktorAlter)*$L14*$D14*0.5*(VLOOKUP($CU14-DP$103,Männer!$G$9:$J$102,4)+VLOOKUP($CU14-DP$103+1,Männer!$G$9:$J$102,4))*0.5*(VLOOKUP($CU14-DP$103,Männer!$AZ$9:$BD$102,5)+VLOOKUP($CU14-DP$103+1,Männer!$AZ$9:$BD$102,5)),RundDx)))</f>
        <v>6328998688</v>
      </c>
      <c r="DQ14" s="25" t="str">
        <f>IF($CU14&gt;=RAF,"",IF($CU14-DQ$103&lt;BeginnAlter,"",ROUND(v^($CU14+FaktorAlter)*$L14*$D14*0.5*(VLOOKUP($CU14-DQ$103,Männer!$G$9:$J$102,4)+VLOOKUP($CU14-DQ$103+1,Männer!$G$9:$J$102,4))*0.5*(VLOOKUP($CU14-DQ$103,Männer!$AZ$9:$BD$102,5)+VLOOKUP($CU14-DQ$103+1,Männer!$AZ$9:$BD$102,5)),RundDx)))</f>
        <v/>
      </c>
      <c r="DR14" s="25" t="str">
        <f>IF($CU14&gt;=RAF,"",IF($CU14-DR$103&lt;BeginnAlter,"",ROUND(v^($CU14+FaktorAlter)*$L14*$D14*0.5*(VLOOKUP($CU14-DR$103,Männer!$G$9:$J$102,4)+VLOOKUP($CU14-DR$103+1,Männer!$G$9:$J$102,4))*0.5*(VLOOKUP($CU14-DR$103,Männer!$AZ$9:$BD$102,5)+VLOOKUP($CU14-DR$103+1,Männer!$AZ$9:$BD$102,5)),RundDx)))</f>
        <v/>
      </c>
      <c r="DS14" s="25" t="str">
        <f>IF($CU14&gt;=RAF,"",IF($CU14-DS$103&lt;BeginnAlter,"",ROUND(v^($CU14+FaktorAlter)*$L14*$D14*0.5*(VLOOKUP($CU14-DS$103,Männer!$G$9:$J$102,4)+VLOOKUP($CU14-DS$103+1,Männer!$G$9:$J$102,4))*0.5*(VLOOKUP($CU14-DS$103,Männer!$AZ$9:$BD$102,5)+VLOOKUP($CU14-DS$103+1,Männer!$AZ$9:$BD$102,5)),RundDx)))</f>
        <v/>
      </c>
      <c r="DT14" s="25" t="str">
        <f>IF($CU14&gt;=RAF,"",IF($CU14-DT$103&lt;BeginnAlter,"",ROUND(v^($CU14+FaktorAlter)*$L14*$D14*0.5*(VLOOKUP($CU14-DT$103,Männer!$G$9:$J$102,4)+VLOOKUP($CU14-DT$103+1,Männer!$G$9:$J$102,4))*0.5*(VLOOKUP($CU14-DT$103,Männer!$AZ$9:$BD$102,5)+VLOOKUP($CU14-DT$103+1,Männer!$AZ$9:$BD$102,5)),RundDx)))</f>
        <v/>
      </c>
      <c r="DU14" s="25" t="str">
        <f>IF($CU14&gt;=RAF,"",IF($CU14-DU$103&lt;BeginnAlter,"",ROUND(v^($CU14+FaktorAlter)*$L14*$D14*0.5*(VLOOKUP($CU14-DU$103,Männer!$G$9:$J$102,4)+VLOOKUP($CU14-DU$103+1,Männer!$G$9:$J$102,4))*0.5*(VLOOKUP($CU14-DU$103,Männer!$AZ$9:$BD$102,5)+VLOOKUP($CU14-DU$103+1,Männer!$AZ$9:$BD$102,5)),RundDx)))</f>
        <v/>
      </c>
      <c r="DV14" s="25" t="str">
        <f>IF($CU14&gt;=RAF,"",IF($CU14-DV$103&lt;BeginnAlter,"",ROUND(v^($CU14+FaktorAlter)*$L14*$D14*0.5*(VLOOKUP($CU14-DV$103,Männer!$G$9:$J$102,4)+VLOOKUP($CU14-DV$103+1,Männer!$G$9:$J$102,4))*0.5*(VLOOKUP($CU14-DV$103,Männer!$AZ$9:$BD$102,5)+VLOOKUP($CU14-DV$103+1,Männer!$AZ$9:$BD$102,5)),RundDx)))</f>
        <v/>
      </c>
      <c r="DW14" s="25" t="str">
        <f>IF($CU14&gt;=RAF,"",IF($CU14-DW$103&lt;BeginnAlter,"",ROUND(v^($CU14+FaktorAlter)*$L14*$D14*0.5*(VLOOKUP($CU14-DW$103,Männer!$G$9:$J$102,4)+VLOOKUP($CU14-DW$103+1,Männer!$G$9:$J$102,4))*0.5*(VLOOKUP($CU14-DW$103,Männer!$AZ$9:$BD$102,5)+VLOOKUP($CU14-DW$103+1,Männer!$AZ$9:$BD$102,5)),RundDx)))</f>
        <v/>
      </c>
      <c r="DX14" s="25" t="str">
        <f>IF($CU14&gt;=RAF,"",IF($CU14-DX$103&lt;BeginnAlter,"",ROUND(v^($CU14+FaktorAlter)*$L14*$D14*0.5*(VLOOKUP($CU14-DX$103,Männer!$G$9:$J$102,4)+VLOOKUP($CU14-DX$103+1,Männer!$G$9:$J$102,4))*0.5*(VLOOKUP($CU14-DX$103,Männer!$AZ$9:$BD$102,5)+VLOOKUP($CU14-DX$103+1,Männer!$AZ$9:$BD$102,5)),RundDx)))</f>
        <v/>
      </c>
      <c r="DY14" s="25" t="str">
        <f>IF($CU14&gt;=RAF,"",IF($CU14-DY$103&lt;BeginnAlter,"",ROUND(v^($CU14+FaktorAlter)*$L14*$D14*0.5*(VLOOKUP($CU14-DY$103,Männer!$G$9:$J$102,4)+VLOOKUP($CU14-DY$103+1,Männer!$G$9:$J$102,4))*0.5*(VLOOKUP($CU14-DY$103,Männer!$AZ$9:$BD$102,5)+VLOOKUP($CU14-DY$103+1,Männer!$AZ$9:$BD$102,5)),RundDx)))</f>
        <v/>
      </c>
      <c r="DZ14" s="25" t="str">
        <f>IF($CU14&gt;=RAF,"",IF($CU14-DZ$103&lt;BeginnAlter,"",ROUND(v^($CU14+FaktorAlter)*$L14*$D14*0.5*(VLOOKUP($CU14-DZ$103,Männer!$G$9:$J$102,4)+VLOOKUP($CU14-DZ$103+1,Männer!$G$9:$J$102,4))*0.5*(VLOOKUP($CU14-DZ$103,Männer!$AZ$9:$BD$102,5)+VLOOKUP($CU14-DZ$103+1,Männer!$AZ$9:$BD$102,5)),RundDx)))</f>
        <v/>
      </c>
      <c r="EA14" s="43">
        <f>IF($CU14&gt;=RAF,"",IF($CU14-EA$103&lt;BeginnAlter,"",ROUND((SUM(CV14:CV$56)+SUM(FN$9:FN$56))/VLOOKUP($CU14,$AH$9:$AI$102,2)/VLOOKUP($CU14-EA$103,Männer!$G$9:$J$102,4),Rundäx)))</f>
        <v>7.3159999999999998</v>
      </c>
      <c r="EB14" s="43">
        <f>IF($CU14&gt;=RAF,"",IF($CU14-EB$103&lt;BeginnAlter,"",ROUND((SUM(CW14:CW$56)+SUM(FO$9:FO$56))/VLOOKUP($CU14,$AH$9:$AI$102,2)/VLOOKUP($CU14-EB$103,Männer!$G$9:$J$102,4),Rundäx)))</f>
        <v>7.5220000000000002</v>
      </c>
      <c r="EC14" s="43">
        <f>IF($CU14&gt;=RAF,"",IF($CU14-EC$103&lt;BeginnAlter,"",ROUND((SUM(CX14:CX$56)+SUM(FP$9:FP$56))/VLOOKUP($CU14,$AH$9:$AI$102,2)/VLOOKUP($CU14-EC$103,Männer!$G$9:$J$102,4),Rundäx)))</f>
        <v>7.7279999999999998</v>
      </c>
      <c r="ED14" s="43">
        <f>IF($CU14&gt;=RAF,"",IF($CU14-ED$103&lt;BeginnAlter,"",ROUND((SUM(CY14:CY$56)+SUM(FQ$9:FQ$56))/VLOOKUP($CU14,$AH$9:$AI$102,2)/VLOOKUP($CU14-ED$103,Männer!$G$9:$J$102,4),Rundäx)))</f>
        <v>7.9329999999999998</v>
      </c>
      <c r="EE14" s="43">
        <f>IF($CU14&gt;=RAF,"",IF($CU14-EE$103&lt;BeginnAlter,"",ROUND((SUM(CZ14:CZ$56)+SUM(FR$9:FR$56))/VLOOKUP($CU14,$AH$9:$AI$102,2)/VLOOKUP($CU14-EE$103,Männer!$G$9:$J$102,4),Rundäx)))</f>
        <v>8.1370000000000005</v>
      </c>
      <c r="EF14" s="43">
        <f>IF($CU14&gt;=RAF,"",IF($CU14-EF$103&lt;BeginnAlter,"",ROUND((SUM(DA14:DA$56)+SUM(FS$9:FS$56))/VLOOKUP($CU14,$AH$9:$AI$102,2)/VLOOKUP($CU14-EF$103,Männer!$G$9:$J$102,4),Rundäx)))</f>
        <v>8.3409999999999993</v>
      </c>
      <c r="EG14" s="43">
        <f>IF($CU14&gt;=RAF,"",IF($CU14-EG$103&lt;BeginnAlter,"",ROUND((SUM(DB14:DB$56)+SUM(FT$9:FT$56))/VLOOKUP($CU14,$AH$9:$AI$102,2)/VLOOKUP($CU14-EG$103,Männer!$G$9:$J$102,4),Rundäx)))</f>
        <v>8.5440000000000005</v>
      </c>
      <c r="EH14" s="43">
        <f>IF($CU14&gt;=RAF,"",IF($CU14-EH$103&lt;BeginnAlter,"",ROUND((SUM(DC14:DC$56)+SUM(FU$9:FU$56))/VLOOKUP($CU14,$AH$9:$AI$102,2)/VLOOKUP($CU14-EH$103,Männer!$G$9:$J$102,4),Rundäx)))</f>
        <v>8.7469999999999999</v>
      </c>
      <c r="EI14" s="89"/>
      <c r="EJ14" s="9">
        <f>1+EJ13</f>
        <v>22</v>
      </c>
      <c r="EK14" s="43">
        <f>IF($CU14&gt;=RAF,"",IF($CU14-EK$103&lt;BeginnAlter,"",ROUND((SUM(DD14:DD$56)+SUM(FV$9:FV$56))/VLOOKUP($CU14,$AH$9:$AI$102,2)/VLOOKUP($CU14-EK$103,Männer!$G$9:$J$102,4),Rundäx)))</f>
        <v>8.9480000000000004</v>
      </c>
      <c r="EL14" s="43">
        <f>IF($CU14&gt;=RAF,"",IF($CU14-EL$103&lt;BeginnAlter,"",ROUND((SUM(DE14:DE$56)+SUM(FW$9:FW$56))/VLOOKUP($CU14,$AH$9:$AI$102,2)/VLOOKUP($CU14-EL$103,Männer!$G$9:$J$102,4),Rundäx)))</f>
        <v>9.1489999999999991</v>
      </c>
      <c r="EM14" s="43">
        <f>IF($CU14&gt;=RAF,"",IF($CU14-EM$103&lt;BeginnAlter,"",ROUND((SUM(DF14:DF$56)+SUM(FX$9:FX$56))/VLOOKUP($CU14,$AH$9:$AI$102,2)/VLOOKUP($CU14-EM$103,Männer!$G$9:$J$102,4),Rundäx)))</f>
        <v>9.3480000000000008</v>
      </c>
      <c r="EN14" s="43">
        <f>IF($CU14&gt;=RAF,"",IF($CU14-EN$103&lt;BeginnAlter,"",ROUND((SUM(DG14:DG$56)+SUM(FY$9:FY$56))/VLOOKUP($CU14,$AH$9:$AI$102,2)/VLOOKUP($CU14-EN$103,Männer!$G$9:$J$102,4),Rundäx)))</f>
        <v>9.5470000000000006</v>
      </c>
      <c r="EO14" s="43">
        <f>IF($CU14&gt;=RAF,"",IF($CU14-EO$103&lt;BeginnAlter,"",ROUND((SUM(DH14:DH$56)+SUM(FZ$9:FZ$56))/VLOOKUP($CU14,$AH$9:$AI$102,2)/VLOOKUP($CU14-EO$103,Männer!$G$9:$J$102,4),Rundäx)))</f>
        <v>9.7439999999999998</v>
      </c>
      <c r="EP14" s="43">
        <f>IF($CU14&gt;=RAF,"",IF($CU14-EP$103&lt;BeginnAlter,"",ROUND((SUM(DI14:DI$56)+SUM(GA$9:GA$56))/VLOOKUP($CU14,$AH$9:$AI$102,2)/VLOOKUP($CU14-EP$103,Männer!$G$9:$J$102,4),Rundäx)))</f>
        <v>9.9410000000000007</v>
      </c>
      <c r="EQ14" s="43">
        <f>IF($CU14&gt;=RAF,"",IF($CU14-EQ$103&lt;BeginnAlter,"",ROUND((SUM(DJ14:DJ$56)+SUM(GB$9:GB$56))/VLOOKUP($CU14,$AH$9:$AI$102,2)/VLOOKUP($CU14-EQ$103,Männer!$G$9:$J$102,4),Rundäx)))</f>
        <v>10.135999999999999</v>
      </c>
      <c r="ER14" s="43">
        <f>IF($CU14&gt;=RAF,"",IF($CU14-ER$103&lt;BeginnAlter,"",ROUND((SUM(DK14:DK$56)+SUM(GC$9:GC$56))/VLOOKUP($CU14,$AH$9:$AI$102,2)/VLOOKUP($CU14-ER$103,Männer!$G$9:$J$102,4),Rundäx)))</f>
        <v>10.331</v>
      </c>
      <c r="ES14" s="89"/>
      <c r="ET14" s="9">
        <f>1+ET13</f>
        <v>22</v>
      </c>
      <c r="EU14" s="43">
        <f>IF($CU14&gt;=RAF,"",IF($CU14-EU$103&lt;BeginnAlter,"",ROUND((SUM(DL14:DL$56)+SUM(GD$9:GD$56))/VLOOKUP($CU14,$AH$9:$AI$102,2)/VLOOKUP($CU14-EU$103,Männer!$G$9:$J$102,4),Rundäx)))</f>
        <v>10.525</v>
      </c>
      <c r="EV14" s="43">
        <f>IF($CU14&gt;=RAF,"",IF($CU14-EV$103&lt;BeginnAlter,"",ROUND((SUM(DM14:DM$56)+SUM(GE$9:GE$56))/VLOOKUP($CU14,$AH$9:$AI$102,2)/VLOOKUP($CU14-EV$103,Männer!$G$9:$J$102,4),Rundäx)))</f>
        <v>10.718999999999999</v>
      </c>
      <c r="EW14" s="43">
        <f>IF($CU14&gt;=RAF,"",IF($CU14-EW$103&lt;BeginnAlter,"",ROUND((SUM(DN14:DN$56)+SUM(GF$9:GF$56))/VLOOKUP($CU14,$AH$9:$AI$102,2)/VLOOKUP($CU14-EW$103,Männer!$G$9:$J$102,4),Rundäx)))</f>
        <v>10.913</v>
      </c>
      <c r="EX14" s="43">
        <f>IF($CU14&gt;=RAF,"",IF($CU14-EX$103&lt;BeginnAlter,"",ROUND((SUM(DO14:DO$56)+SUM(GG$9:GG$56))/VLOOKUP($CU14,$AH$9:$AI$102,2)/VLOOKUP($CU14-EX$103,Männer!$G$9:$J$102,4),Rundäx)))</f>
        <v>11.108000000000001</v>
      </c>
      <c r="EY14" s="43">
        <f>IF($CU14&gt;=RAF,"",IF($CU14-EY$103&lt;BeginnAlter,"",ROUND((SUM(DP14:DP$56)+SUM(GH$9:GH$56))/VLOOKUP($CU14,$AH$9:$AI$102,2)/VLOOKUP($CU14-EY$103,Männer!$G$9:$J$102,4),Rundäx)))</f>
        <v>11.303000000000001</v>
      </c>
      <c r="EZ14" s="43" t="str">
        <f>IF($CU14&gt;=RAF,"",IF($CU14-EZ$103&lt;BeginnAlter,"",ROUND((SUM(DQ14:DQ$56)+SUM(GI$9:GI$56))/VLOOKUP($CU14,$AH$9:$AI$102,2)/VLOOKUP($CU14-EZ$103,Männer!$G$9:$J$102,4),Rundäx)))</f>
        <v/>
      </c>
      <c r="FA14" s="43" t="str">
        <f>IF($CU14&gt;=RAF,"",IF($CU14-FA$103&lt;BeginnAlter,"",ROUND((SUM(DR14:DR$56)+SUM(GJ$9:GJ$56))/VLOOKUP($CU14,$AH$9:$AI$102,2)/VLOOKUP($CU14-FA$103,Männer!$G$9:$J$102,4),Rundäx)))</f>
        <v/>
      </c>
      <c r="FB14" s="43" t="str">
        <f>IF($CU14&gt;=RAF,"",IF($CU14-FB$103&lt;BeginnAlter,"",ROUND((SUM(DS14:DS$56)+SUM(GK$9:GK$56))/VLOOKUP($CU14,$AH$9:$AI$102,2)/VLOOKUP($CU14-FB$103,Männer!$G$9:$J$102,4),Rundäx)))</f>
        <v/>
      </c>
      <c r="FC14" s="89"/>
      <c r="FD14" s="9">
        <f>1+FD13</f>
        <v>22</v>
      </c>
      <c r="FE14" s="43" t="str">
        <f>IF($CU14&gt;=RAF,"",IF($CU14-FE$103&lt;BeginnAlter,"",ROUND((SUM(DT14:DT$56)+SUM(GL$9:GL$56))/VLOOKUP($CU14,$AH$9:$AI$102,2)/VLOOKUP($CU14-FE$103,Männer!$G$9:$J$102,4),Rundäx)))</f>
        <v/>
      </c>
      <c r="FF14" s="43" t="str">
        <f>IF($CU14&gt;=RAF,"",IF($CU14-FF$103&lt;BeginnAlter,"",ROUND((SUM(DU14:DU$56)+SUM(GM$9:GM$56))/VLOOKUP($CU14,$AH$9:$AI$102,2)/VLOOKUP($CU14-FF$103,Männer!$G$9:$J$102,4),Rundäx)))</f>
        <v/>
      </c>
      <c r="FG14" s="43" t="str">
        <f>IF($CU14&gt;=RAF,"",IF($CU14-FG$103&lt;BeginnAlter,"",ROUND((SUM(DV14:DV$56)+SUM(GN$9:GN$56))/VLOOKUP($CU14,$AH$9:$AI$102,2)/VLOOKUP($CU14-FG$103,Männer!$G$9:$J$102,4),Rundäx)))</f>
        <v/>
      </c>
      <c r="FH14" s="43" t="str">
        <f>IF($CU14&gt;=RAF,"",IF($CU14-FH$103&lt;BeginnAlter,"",ROUND((SUM(DW14:DW$56)+SUM(GO$9:GO$56))/VLOOKUP($CU14,$AH$9:$AI$102,2)/VLOOKUP($CU14-FH$103,Männer!$G$9:$J$102,4),Rundäx)))</f>
        <v/>
      </c>
      <c r="FI14" s="43" t="str">
        <f>IF($CU14&gt;=RAF,"",IF($CU14-FI$103&lt;BeginnAlter,"",ROUND((SUM(DX14:DX$56)+SUM(GP$9:GP$56))/VLOOKUP($CU14,$AH$9:$AI$102,2)/VLOOKUP($CU14-FI$103,Männer!$G$9:$J$102,4),Rundäx)))</f>
        <v/>
      </c>
      <c r="FJ14" s="43" t="str">
        <f>IF($CU14&gt;=RAF,"",IF($CU14-FJ$103&lt;BeginnAlter,"",ROUND((SUM(DY14:DY$56)+SUM(GQ$9:GQ$56))/VLOOKUP($CU14,$AH$9:$AI$102,2)/VLOOKUP($CU14-FJ$103,Männer!$G$9:$J$102,4),Rundäx)))</f>
        <v/>
      </c>
      <c r="FK14" s="43" t="str">
        <f>IF($CU14&gt;=RAF,"",IF($CU14-FK$103&lt;BeginnAlter,"",ROUND((SUM(DZ14:DZ$56)+SUM(GR$9:GR$56))/VLOOKUP($CU14,$AH$9:$AI$102,2)/VLOOKUP($CU14-FK$103,Männer!$G$9:$J$102,4),Rundäx)))</f>
        <v/>
      </c>
      <c r="FL14" s="89"/>
      <c r="FM14" s="9">
        <f>1+FM13</f>
        <v>69</v>
      </c>
      <c r="FN14" s="25">
        <f>ROUND(v^($FM14+FaktorAlter)*VLOOKUP($FM14,$G$9:$J$102,4)*VLOOKUP($FM14,$A$9:$E$102,5)*0.5*(VLOOKUP($FM14-FN$103,Männer!$G$9:$J$102,4)+VLOOKUP($FM14-FN$103+1,Männer!$G$9:$J$102,4))*0.5*(VLOOKUP($FM14-FN$103,Männer!$AZ$9:$BD$102,5)+VLOOKUP($FM14-FN$103+1,Männer!$AZ$9:$BD$102,5)),RundDx)</f>
        <v>53445155</v>
      </c>
      <c r="FO14" s="25">
        <f>ROUND(v^($FM14+FaktorAlter)*VLOOKUP($FM14,$G$9:$J$102,4)*VLOOKUP($FM14,$A$9:$E$102,5)*0.5*(VLOOKUP($FM14-FO$103,Männer!$G$9:$J$102,4)+VLOOKUP($FM14-FO$103+1,Männer!$G$9:$J$102,4))*0.5*(VLOOKUP($FM14-FO$103,Männer!$AZ$9:$BD$102,5)+VLOOKUP($FM14-FO$103+1,Männer!$AZ$9:$BD$102,5)),RundDx)</f>
        <v>62584253</v>
      </c>
      <c r="FP14" s="25">
        <f>ROUND(v^($FM14+FaktorAlter)*VLOOKUP($FM14,$G$9:$J$102,4)*VLOOKUP($FM14,$A$9:$E$102,5)*0.5*(VLOOKUP($FM14-FP$103,Männer!$G$9:$J$102,4)+VLOOKUP($FM14-FP$103+1,Männer!$G$9:$J$102,4))*0.5*(VLOOKUP($FM14-FP$103,Männer!$AZ$9:$BD$102,5)+VLOOKUP($FM14-FP$103+1,Männer!$AZ$9:$BD$102,5)),RundDx)</f>
        <v>72369821</v>
      </c>
      <c r="FQ14" s="25">
        <f>ROUND(v^($FM14+FaktorAlter)*VLOOKUP($FM14,$G$9:$J$102,4)*VLOOKUP($FM14,$A$9:$E$102,5)*0.5*(VLOOKUP($FM14-FQ$103,Männer!$G$9:$J$102,4)+VLOOKUP($FM14-FQ$103+1,Männer!$G$9:$J$102,4))*0.5*(VLOOKUP($FM14-FQ$103,Männer!$AZ$9:$BD$102,5)+VLOOKUP($FM14-FQ$103+1,Männer!$AZ$9:$BD$102,5)),RundDx)</f>
        <v>82762254</v>
      </c>
      <c r="FR14" s="25">
        <f>ROUND(v^($FM14+FaktorAlter)*VLOOKUP($FM14,$G$9:$J$102,4)*VLOOKUP($FM14,$A$9:$E$102,5)*0.5*(VLOOKUP($FM14-FR$103,Männer!$G$9:$J$102,4)+VLOOKUP($FM14-FR$103+1,Männer!$G$9:$J$102,4))*0.5*(VLOOKUP($FM14-FR$103,Männer!$AZ$9:$BD$102,5)+VLOOKUP($FM14-FR$103+1,Männer!$AZ$9:$BD$102,5)),RundDx)</f>
        <v>93706696</v>
      </c>
      <c r="FS14" s="25">
        <f>ROUND(v^($FM14+FaktorAlter)*VLOOKUP($FM14,$G$9:$J$102,4)*VLOOKUP($FM14,$A$9:$E$102,5)*0.5*(VLOOKUP($FM14-FS$103,Männer!$G$9:$J$102,4)+VLOOKUP($FM14-FS$103+1,Männer!$G$9:$J$102,4))*0.5*(VLOOKUP($FM14-FS$103,Männer!$AZ$9:$BD$102,5)+VLOOKUP($FM14-FS$103+1,Männer!$AZ$9:$BD$102,5)),RundDx)</f>
        <v>105150581</v>
      </c>
      <c r="FT14" s="25">
        <f>ROUND(v^($FM14+FaktorAlter)*VLOOKUP($FM14,$G$9:$J$102,4)*VLOOKUP($FM14,$A$9:$E$102,5)*0.5*(VLOOKUP($FM14-FT$103,Männer!$G$9:$J$102,4)+VLOOKUP($FM14-FT$103+1,Männer!$G$9:$J$102,4))*0.5*(VLOOKUP($FM14-FT$103,Männer!$AZ$9:$BD$102,5)+VLOOKUP($FM14-FT$103+1,Männer!$AZ$9:$BD$102,5)),RundDx)</f>
        <v>117038721</v>
      </c>
      <c r="FU14" s="25">
        <f>ROUND(v^($FM14+FaktorAlter)*VLOOKUP($FM14,$G$9:$J$102,4)*VLOOKUP($FM14,$A$9:$E$102,5)*0.5*(VLOOKUP($FM14-FU$103,Männer!$G$9:$J$102,4)+VLOOKUP($FM14-FU$103+1,Männer!$G$9:$J$102,4))*0.5*(VLOOKUP($FM14-FU$103,Männer!$AZ$9:$BD$102,5)+VLOOKUP($FM14-FU$103+1,Männer!$AZ$9:$BD$102,5)),RundDx)</f>
        <v>129311746</v>
      </c>
      <c r="FV14" s="25">
        <f>ROUND(v^($FM14+FaktorAlter)*VLOOKUP($FM14,$G$9:$J$102,4)*VLOOKUP($FM14,$A$9:$E$102,5)*0.5*(VLOOKUP($FM14-FV$103,Männer!$G$9:$J$102,4)+VLOOKUP($FM14-FV$103+1,Männer!$G$9:$J$102,4))*0.5*(VLOOKUP($FM14-FV$103,Männer!$AZ$9:$BD$102,5)+VLOOKUP($FM14-FV$103+1,Männer!$AZ$9:$BD$102,5)),RundDx)</f>
        <v>141903658</v>
      </c>
      <c r="FW14" s="25">
        <f>ROUND(v^($FM14+FaktorAlter)*VLOOKUP($FM14,$G$9:$J$102,4)*VLOOKUP($FM14,$A$9:$E$102,5)*0.5*(VLOOKUP($FM14-FW$103,Männer!$G$9:$J$102,4)+VLOOKUP($FM14-FW$103+1,Männer!$G$9:$J$102,4))*0.5*(VLOOKUP($FM14-FW$103,Männer!$AZ$9:$BD$102,5)+VLOOKUP($FM14-FW$103+1,Männer!$AZ$9:$BD$102,5)),RundDx)</f>
        <v>154734049</v>
      </c>
      <c r="FX14" s="25">
        <f>ROUND(v^($FM14+FaktorAlter)*VLOOKUP($FM14,$G$9:$J$102,4)*VLOOKUP($FM14,$A$9:$E$102,5)*0.5*(VLOOKUP($FM14-FX$103,Männer!$G$9:$J$102,4)+VLOOKUP($FM14-FX$103+1,Männer!$G$9:$J$102,4))*0.5*(VLOOKUP($FM14-FX$103,Männer!$AZ$9:$BD$102,5)+VLOOKUP($FM14-FX$103+1,Männer!$AZ$9:$BD$102,5)),RundDx)</f>
        <v>167743053</v>
      </c>
      <c r="FY14" s="25">
        <f>ROUND(v^($FM14+FaktorAlter)*VLOOKUP($FM14,$G$9:$J$102,4)*VLOOKUP($FM14,$A$9:$E$102,5)*0.5*(VLOOKUP($FM14-FY$103,Männer!$G$9:$J$102,4)+VLOOKUP($FM14-FY$103+1,Männer!$G$9:$J$102,4))*0.5*(VLOOKUP($FM14-FY$103,Männer!$AZ$9:$BD$102,5)+VLOOKUP($FM14-FY$103+1,Männer!$AZ$9:$BD$102,5)),RundDx)</f>
        <v>180856462</v>
      </c>
      <c r="FZ14" s="25">
        <f>ROUND(v^($FM14+FaktorAlter)*VLOOKUP($FM14,$G$9:$J$102,4)*VLOOKUP($FM14,$A$9:$E$102,5)*0.5*(VLOOKUP($FM14-FZ$103,Männer!$G$9:$J$102,4)+VLOOKUP($FM14-FZ$103+1,Männer!$G$9:$J$102,4))*0.5*(VLOOKUP($FM14-FZ$103,Männer!$AZ$9:$BD$102,5)+VLOOKUP($FM14-FZ$103+1,Männer!$AZ$9:$BD$102,5)),RundDx)</f>
        <v>194067522</v>
      </c>
      <c r="GA14" s="25">
        <f>ROUND(v^($FM14+FaktorAlter)*VLOOKUP($FM14,$G$9:$J$102,4)*VLOOKUP($FM14,$A$9:$E$102,5)*0.5*(VLOOKUP($FM14-GA$103,Männer!$G$9:$J$102,4)+VLOOKUP($FM14-GA$103+1,Männer!$G$9:$J$102,4))*0.5*(VLOOKUP($FM14-GA$103,Männer!$AZ$9:$BD$102,5)+VLOOKUP($FM14-GA$103+1,Männer!$AZ$9:$BD$102,5)),RundDx)</f>
        <v>207359897</v>
      </c>
      <c r="GB14" s="25">
        <f>ROUND(v^($FM14+FaktorAlter)*VLOOKUP($FM14,$G$9:$J$102,4)*VLOOKUP($FM14,$A$9:$E$102,5)*0.5*(VLOOKUP($FM14-GB$103,Männer!$G$9:$J$102,4)+VLOOKUP($FM14-GB$103+1,Männer!$G$9:$J$102,4))*0.5*(VLOOKUP($FM14-GB$103,Männer!$AZ$9:$BD$102,5)+VLOOKUP($FM14-GB$103+1,Männer!$AZ$9:$BD$102,5)),RundDx)</f>
        <v>220670805</v>
      </c>
      <c r="GC14" s="25">
        <f>ROUND(v^($FM14+FaktorAlter)*VLOOKUP($FM14,$G$9:$J$102,4)*VLOOKUP($FM14,$A$9:$E$102,5)*0.5*(VLOOKUP($FM14-GC$103,Männer!$G$9:$J$102,4)+VLOOKUP($FM14-GC$103+1,Männer!$G$9:$J$102,4))*0.5*(VLOOKUP($FM14-GC$103,Männer!$AZ$9:$BD$102,5)+VLOOKUP($FM14-GC$103+1,Männer!$AZ$9:$BD$102,5)),RundDx)</f>
        <v>233992276</v>
      </c>
      <c r="GD14" s="25">
        <f>ROUND(v^($FM14+FaktorAlter)*VLOOKUP($FM14,$G$9:$J$102,4)*VLOOKUP($FM14,$A$9:$E$102,5)*0.5*(VLOOKUP($FM14-GD$103,Männer!$G$9:$J$102,4)+VLOOKUP($FM14-GD$103+1,Männer!$G$9:$J$102,4))*0.5*(VLOOKUP($FM14-GD$103,Männer!$AZ$9:$BD$102,5)+VLOOKUP($FM14-GD$103+1,Männer!$AZ$9:$BD$102,5)),RundDx)</f>
        <v>247371558</v>
      </c>
      <c r="GE14" s="25">
        <f>ROUND(v^($FM14+FaktorAlter)*VLOOKUP($FM14,$G$9:$J$102,4)*VLOOKUP($FM14,$A$9:$E$102,5)*0.5*(VLOOKUP($FM14-GE$103,Männer!$G$9:$J$102,4)+VLOOKUP($FM14-GE$103+1,Männer!$G$9:$J$102,4))*0.5*(VLOOKUP($FM14-GE$103,Männer!$AZ$9:$BD$102,5)+VLOOKUP($FM14-GE$103+1,Männer!$AZ$9:$BD$102,5)),RundDx)</f>
        <v>260847241</v>
      </c>
      <c r="GF14" s="25">
        <f>ROUND(v^($FM14+FaktorAlter)*VLOOKUP($FM14,$G$9:$J$102,4)*VLOOKUP($FM14,$A$9:$E$102,5)*0.5*(VLOOKUP($FM14-GF$103,Männer!$G$9:$J$102,4)+VLOOKUP($FM14-GF$103+1,Männer!$G$9:$J$102,4))*0.5*(VLOOKUP($FM14-GF$103,Männer!$AZ$9:$BD$102,5)+VLOOKUP($FM14-GF$103+1,Männer!$AZ$9:$BD$102,5)),RundDx)</f>
        <v>274386054</v>
      </c>
      <c r="GG14" s="25">
        <f>ROUND(v^($FM14+FaktorAlter)*VLOOKUP($FM14,$G$9:$J$102,4)*VLOOKUP($FM14,$A$9:$E$102,5)*0.5*(VLOOKUP($FM14-GG$103,Männer!$G$9:$J$102,4)+VLOOKUP($FM14-GG$103+1,Männer!$G$9:$J$102,4))*0.5*(VLOOKUP($FM14-GG$103,Männer!$AZ$9:$BD$102,5)+VLOOKUP($FM14-GG$103+1,Männer!$AZ$9:$BD$102,5)),RundDx)</f>
        <v>288020973</v>
      </c>
      <c r="GH14" s="25">
        <f>ROUND(v^($FM14+FaktorAlter)*VLOOKUP($FM14,$G$9:$J$102,4)*VLOOKUP($FM14,$A$9:$E$102,5)*0.5*(VLOOKUP($FM14-GH$103,Männer!$G$9:$J$102,4)+VLOOKUP($FM14-GH$103+1,Männer!$G$9:$J$102,4))*0.5*(VLOOKUP($FM14-GH$103,Männer!$AZ$9:$BD$102,5)+VLOOKUP($FM14-GH$103+1,Männer!$AZ$9:$BD$102,5)),RundDx)</f>
        <v>301821591</v>
      </c>
      <c r="GI14" s="25">
        <f>ROUND(v^($FM14+FaktorAlter)*VLOOKUP($FM14,$G$9:$J$102,4)*VLOOKUP($FM14,$A$9:$E$102,5)*0.5*(VLOOKUP($FM14-GI$103,Männer!$G$9:$J$102,4)+VLOOKUP($FM14-GI$103+1,Männer!$G$9:$J$102,4))*0.5*(VLOOKUP($FM14-GI$103,Männer!$AZ$9:$BD$102,5)+VLOOKUP($FM14-GI$103+1,Männer!$AZ$9:$BD$102,5)),RundDx)</f>
        <v>315814067</v>
      </c>
      <c r="GJ14" s="25">
        <f>ROUND(v^($FM14+FaktorAlter)*VLOOKUP($FM14,$G$9:$J$102,4)*VLOOKUP($FM14,$A$9:$E$102,5)*0.5*(VLOOKUP($FM14-GJ$103,Männer!$G$9:$J$102,4)+VLOOKUP($FM14-GJ$103+1,Männer!$G$9:$J$102,4))*0.5*(VLOOKUP($FM14-GJ$103,Männer!$AZ$9:$BD$102,5)+VLOOKUP($FM14-GJ$103+1,Männer!$AZ$9:$BD$102,5)),RundDx)</f>
        <v>330032142</v>
      </c>
      <c r="GK14" s="25">
        <f>ROUND(v^($FM14+FaktorAlter)*VLOOKUP($FM14,$G$9:$J$102,4)*VLOOKUP($FM14,$A$9:$E$102,5)*0.5*(VLOOKUP($FM14-GK$103,Männer!$G$9:$J$102,4)+VLOOKUP($FM14-GK$103+1,Männer!$G$9:$J$102,4))*0.5*(VLOOKUP($FM14-GK$103,Männer!$AZ$9:$BD$102,5)+VLOOKUP($FM14-GK$103+1,Männer!$AZ$9:$BD$102,5)),RundDx)</f>
        <v>344497009</v>
      </c>
      <c r="GL14" s="25">
        <f>ROUND(v^($FM14+FaktorAlter)*VLOOKUP($FM14,$G$9:$J$102,4)*VLOOKUP($FM14,$A$9:$E$102,5)*0.5*(VLOOKUP($FM14-GL$103,Männer!$G$9:$J$102,4)+VLOOKUP($FM14-GL$103+1,Männer!$G$9:$J$102,4))*0.5*(VLOOKUP($FM14-GL$103,Männer!$AZ$9:$BD$102,5)+VLOOKUP($FM14-GL$103+1,Männer!$AZ$9:$BD$102,5)),RundDx)</f>
        <v>359220311</v>
      </c>
      <c r="GM14" s="25">
        <f>ROUND(v^($FM14+FaktorAlter)*VLOOKUP($FM14,$G$9:$J$102,4)*VLOOKUP($FM14,$A$9:$E$102,5)*0.5*(VLOOKUP($FM14-GM$103,Männer!$G$9:$J$102,4)+VLOOKUP($FM14-GM$103+1,Männer!$G$9:$J$102,4))*0.5*(VLOOKUP($FM14-GM$103,Männer!$AZ$9:$BD$102,5)+VLOOKUP($FM14-GM$103+1,Männer!$AZ$9:$BD$102,5)),RundDx)</f>
        <v>374228359</v>
      </c>
      <c r="GN14" s="25">
        <f>ROUND(v^($FM14+FaktorAlter)*VLOOKUP($FM14,$G$9:$J$102,4)*VLOOKUP($FM14,$A$9:$E$102,5)*0.5*(VLOOKUP($FM14-GN$103,Männer!$G$9:$J$102,4)+VLOOKUP($FM14-GN$103+1,Männer!$G$9:$J$102,4))*0.5*(VLOOKUP($FM14-GN$103,Männer!$AZ$9:$BD$102,5)+VLOOKUP($FM14-GN$103+1,Männer!$AZ$9:$BD$102,5)),RundDx)</f>
        <v>389503393</v>
      </c>
      <c r="GO14" s="25">
        <f>ROUND(v^($FM14+FaktorAlter)*VLOOKUP($FM14,$G$9:$J$102,4)*VLOOKUP($FM14,$A$9:$E$102,5)*0.5*(VLOOKUP($FM14-GO$103,Männer!$G$9:$J$102,4)+VLOOKUP($FM14-GO$103+1,Männer!$G$9:$J$102,4))*0.5*(VLOOKUP($FM14-GO$103,Männer!$AZ$9:$BD$102,5)+VLOOKUP($FM14-GO$103+1,Männer!$AZ$9:$BD$102,5)),RundDx)</f>
        <v>405023001</v>
      </c>
      <c r="GP14" s="25">
        <f>ROUND(v^($FM14+FaktorAlter)*VLOOKUP($FM14,$G$9:$J$102,4)*VLOOKUP($FM14,$A$9:$E$102,5)*0.5*(VLOOKUP($FM14-GP$103,Männer!$G$9:$J$102,4)+VLOOKUP($FM14-GP$103+1,Männer!$G$9:$J$102,4))*0.5*(VLOOKUP($FM14-GP$103,Männer!$AZ$9:$BD$102,5)+VLOOKUP($FM14-GP$103+1,Männer!$AZ$9:$BD$102,5)),RundDx)</f>
        <v>420782862</v>
      </c>
      <c r="GQ14" s="25">
        <f>ROUND(v^($FM14+FaktorAlter)*VLOOKUP($FM14,$G$9:$J$102,4)*VLOOKUP($FM14,$A$9:$E$102,5)*0.5*(VLOOKUP($FM14-GQ$103,Männer!$G$9:$J$102,4)+VLOOKUP($FM14-GQ$103+1,Männer!$G$9:$J$102,4))*0.5*(VLOOKUP($FM14-GQ$103,Männer!$AZ$9:$BD$102,5)+VLOOKUP($FM14-GQ$103+1,Männer!$AZ$9:$BD$102,5)),RundDx)</f>
        <v>436551862</v>
      </c>
      <c r="GR14" s="25">
        <f>ROUND(v^($FM14+FaktorAlter)*VLOOKUP($FM14,$G$9:$J$102,4)*VLOOKUP($FM14,$A$9:$E$102,5)*0.5*(VLOOKUP($FM14-GR$103,Männer!$G$9:$J$102,4)+VLOOKUP($FM14-GR$103+1,Männer!$G$9:$J$102,4))*0.5*(VLOOKUP($FM14-GR$103,Männer!$AZ$9:$BD$102,5)+VLOOKUP($FM14-GR$103+1,Männer!$AZ$9:$BD$102,5)),RundDx)</f>
        <v>452083618</v>
      </c>
      <c r="GS14" s="24">
        <f>ROUND(SUM(FN14:FN$56)/VLOOKUP($FM14,$AQ$9:$AR$102,2)/VLOOKUP($FM14-GS$103,Männer!$G$9:$J$102,4),Rundäx)</f>
        <v>0.36</v>
      </c>
      <c r="GT14" s="24">
        <f>ROUND(SUM(FO14:FO$56)/VLOOKUP($FM14,$AQ$9:$AR$102,2)/VLOOKUP($FM14-GT$103,Männer!$G$9:$J$102,4),Rundäx)</f>
        <v>0.41599999999999998</v>
      </c>
      <c r="GU14" s="24">
        <f>ROUND(SUM(FP14:FP$56)/VLOOKUP($FM14,$AQ$9:$AR$102,2)/VLOOKUP($FM14-GU$103,Männer!$G$9:$J$102,4),Rundäx)</f>
        <v>0.47799999999999998</v>
      </c>
      <c r="GV14" s="24">
        <f>ROUND(SUM(FQ14:FQ$56)/VLOOKUP($FM14,$AQ$9:$AR$102,2)/VLOOKUP($FM14-GV$103,Männer!$G$9:$J$102,4),Rundäx)</f>
        <v>0.54700000000000004</v>
      </c>
      <c r="GW14" s="24">
        <f>ROUND(SUM(FR14:FR$56)/VLOOKUP($FM14,$AQ$9:$AR$102,2)/VLOOKUP($FM14-GW$103,Männer!$G$9:$J$102,4),Rundäx)</f>
        <v>0.624</v>
      </c>
      <c r="GX14" s="24">
        <f>ROUND(SUM(FS14:FS$56)/VLOOKUP($FM14,$AQ$9:$AR$102,2)/VLOOKUP($FM14-GX$103,Männer!$G$9:$J$102,4),Rundäx)</f>
        <v>0.70899999999999996</v>
      </c>
      <c r="GY14" s="24">
        <f>ROUND(SUM(FT14:FT$56)/VLOOKUP($FM14,$AQ$9:$AR$102,2)/VLOOKUP($FM14-GY$103,Männer!$G$9:$J$102,4),Rundäx)</f>
        <v>0.80300000000000005</v>
      </c>
      <c r="GZ14" s="24">
        <f>ROUND(SUM(FU14:FU$56)/VLOOKUP($FM14,$AQ$9:$AR$102,2)/VLOOKUP($FM14-GZ$103,Männer!$G$9:$J$102,4),Rundäx)</f>
        <v>0.90600000000000003</v>
      </c>
      <c r="HA14" s="89"/>
      <c r="HB14" s="9">
        <f>1+HB13</f>
        <v>69</v>
      </c>
      <c r="HC14" s="24">
        <f>ROUND(SUM(FV14:FV$56)/VLOOKUP($FM14,$AQ$9:$AR$102,2)/VLOOKUP($FM14-HC$103,Männer!$G$9:$J$102,4),Rundäx)</f>
        <v>1.018</v>
      </c>
      <c r="HD14" s="24">
        <f>ROUND(SUM(FW14:FW$56)/VLOOKUP($FM14,$AQ$9:$AR$102,2)/VLOOKUP($FM14-HD$103,Männer!$G$9:$J$102,4),Rundäx)</f>
        <v>1.141</v>
      </c>
      <c r="HE14" s="24">
        <f>ROUND(SUM(FX14:FX$56)/VLOOKUP($FM14,$AQ$9:$AR$102,2)/VLOOKUP($FM14-HE$103,Männer!$G$9:$J$102,4),Rundäx)</f>
        <v>1.276</v>
      </c>
      <c r="HF14" s="24">
        <f>ROUND(SUM(FY14:FY$56)/VLOOKUP($FM14,$AQ$9:$AR$102,2)/VLOOKUP($FM14-HF$103,Männer!$G$9:$J$102,4),Rundäx)</f>
        <v>1.421</v>
      </c>
      <c r="HG14" s="24">
        <f>ROUND(SUM(FZ14:FZ$56)/VLOOKUP($FM14,$AQ$9:$AR$102,2)/VLOOKUP($FM14-HG$103,Männer!$G$9:$J$102,4),Rundäx)</f>
        <v>1.5780000000000001</v>
      </c>
      <c r="HH14" s="24">
        <f>ROUND(SUM(GA14:GA$56)/VLOOKUP($FM14,$AQ$9:$AR$102,2)/VLOOKUP($FM14-HH$103,Männer!$G$9:$J$102,4),Rundäx)</f>
        <v>1.746</v>
      </c>
      <c r="HI14" s="24">
        <f>ROUND(SUM(GB14:GB$56)/VLOOKUP($FM14,$AQ$9:$AR$102,2)/VLOOKUP($FM14-HI$103,Männer!$G$9:$J$102,4),Rundäx)</f>
        <v>1.927</v>
      </c>
      <c r="HJ14" s="24">
        <f>ROUND(SUM(GC14:GC$56)/VLOOKUP($FM14,$AQ$9:$AR$102,2)/VLOOKUP($FM14-HJ$103,Männer!$G$9:$J$102,4),Rundäx)</f>
        <v>2.1190000000000002</v>
      </c>
      <c r="HK14" s="89"/>
      <c r="HL14" s="9">
        <f>1+HL13</f>
        <v>69</v>
      </c>
      <c r="HM14" s="24">
        <f>ROUND(SUM(GD14:GD$56)/VLOOKUP($FM14,$AQ$9:$AR$102,2)/VLOOKUP($FM14-HM$103,Männer!$G$9:$J$102,4),Rundäx)</f>
        <v>2.323</v>
      </c>
      <c r="HN14" s="24">
        <f>ROUND(SUM(GE14:GE$56)/VLOOKUP($FM14,$AQ$9:$AR$102,2)/VLOOKUP($FM14-HN$103,Männer!$G$9:$J$102,4),Rundäx)</f>
        <v>2.5379999999999998</v>
      </c>
      <c r="HO14" s="24">
        <f>ROUND(SUM(GF14:GF$56)/VLOOKUP($FM14,$AQ$9:$AR$102,2)/VLOOKUP($FM14-HO$103,Männer!$G$9:$J$102,4),Rundäx)</f>
        <v>2.7639999999999998</v>
      </c>
      <c r="HP14" s="24">
        <f>ROUND(SUM(GG14:GG$56)/VLOOKUP($FM14,$AQ$9:$AR$102,2)/VLOOKUP($FM14-HP$103,Männer!$G$9:$J$102,4),Rundäx)</f>
        <v>3.0009999999999999</v>
      </c>
      <c r="HQ14" s="24">
        <f>ROUND(SUM(GH14:GH$56)/VLOOKUP($FM14,$AQ$9:$AR$102,2)/VLOOKUP($FM14-HQ$103,Männer!$G$9:$J$102,4),Rundäx)</f>
        <v>3.2490000000000001</v>
      </c>
      <c r="HR14" s="24">
        <f>ROUND(SUM(GI14:GI$56)/VLOOKUP($FM14,$AQ$9:$AR$102,2)/VLOOKUP($FM14-HR$103,Männer!$G$9:$J$102,4),Rundäx)</f>
        <v>3.5059999999999998</v>
      </c>
      <c r="HS14" s="24">
        <f>ROUND(SUM(GJ14:GJ$56)/VLOOKUP($FM14,$AQ$9:$AR$102,2)/VLOOKUP($FM14-HS$103,Männer!$G$9:$J$102,4),Rundäx)</f>
        <v>3.774</v>
      </c>
      <c r="HT14" s="24">
        <f>ROUND(SUM(GK14:GK$56)/VLOOKUP($FM14,$AQ$9:$AR$102,2)/VLOOKUP($FM14-HT$103,Männer!$G$9:$J$102,4),Rundäx)</f>
        <v>4.0510000000000002</v>
      </c>
      <c r="HU14" s="89"/>
      <c r="HV14" s="9">
        <f>1+HV13</f>
        <v>69</v>
      </c>
      <c r="HW14" s="24">
        <f>ROUND(SUM(GL14:GL$56)/VLOOKUP($FM14,$AQ$9:$AR$102,2)/VLOOKUP($FM14-HW$103,Männer!$G$9:$J$102,4),Rundäx)</f>
        <v>4.3369999999999997</v>
      </c>
      <c r="HX14" s="24">
        <f>ROUND(SUM(GM14:GM$56)/VLOOKUP($FM14,$AQ$9:$AR$102,2)/VLOOKUP($FM14-HX$103,Männer!$G$9:$J$102,4),Rundäx)</f>
        <v>4.633</v>
      </c>
      <c r="HY14" s="24">
        <f>ROUND(SUM(GN14:GN$56)/VLOOKUP($FM14,$AQ$9:$AR$102,2)/VLOOKUP($FM14-HY$103,Männer!$G$9:$J$102,4),Rundäx)</f>
        <v>4.9370000000000003</v>
      </c>
      <c r="HZ14" s="24">
        <f>ROUND(SUM(GO14:GO$56)/VLOOKUP($FM14,$AQ$9:$AR$102,2)/VLOOKUP($FM14-HZ$103,Männer!$G$9:$J$102,4),Rundäx)</f>
        <v>5.2489999999999997</v>
      </c>
      <c r="IA14" s="24">
        <f>ROUND(SUM(GP14:GP$56)/VLOOKUP($FM14,$AQ$9:$AR$102,2)/VLOOKUP($FM14-IA$103,Männer!$G$9:$J$102,4),Rundäx)</f>
        <v>5.569</v>
      </c>
      <c r="IB14" s="24">
        <f>ROUND(SUM(GQ14:GQ$56)/VLOOKUP($FM14,$AQ$9:$AR$102,2)/VLOOKUP($FM14-IB$103,Männer!$G$9:$J$102,4),Rundäx)</f>
        <v>5.8949999999999996</v>
      </c>
      <c r="IC14" s="24">
        <f>ROUND(SUM(GR14:GR$56)/VLOOKUP($FM14,$AQ$9:$AR$102,2)/VLOOKUP($FM14-IC$103,Männer!$G$9:$J$102,4),Rundäx)</f>
        <v>6.2270000000000003</v>
      </c>
      <c r="ID14" s="89"/>
      <c r="IE14" s="9">
        <f>1+IE13</f>
        <v>22</v>
      </c>
      <c r="IF14" s="11">
        <f t="shared" si="25"/>
        <v>47</v>
      </c>
      <c r="IG14" s="11">
        <f>IF($IE14&lt;RAF,IF(S15&lt;=RAK,ROUND(SUM(IF14:INDEX(Daky,RAF-BeginnAlter))+INDEX(Day,RAF-BeginnAlter+1)*INDEX(äky,1),RundDx),0),"")</f>
        <v>6376</v>
      </c>
      <c r="IH14" s="11">
        <f>IF($IE14&lt;RAF,IF(S15&lt;=RAK,ROUND(SUM(IG14:INDEX(Naky,RAF-BeginnAlter))+INDEX(Day,RAF-BeginnAlter+1)*INDEX(äky,1),RundDx),0),"")</f>
        <v>101777</v>
      </c>
      <c r="II14" s="10">
        <f t="shared" si="26"/>
        <v>0.104</v>
      </c>
      <c r="IJ14" s="11">
        <f t="shared" si="27"/>
        <v>1330</v>
      </c>
      <c r="IK14" s="11">
        <f>IF($IE14&lt;RAF,IF(S15&lt;=RAK,SUM(IJ14:INDEX(Diky,RAF-BeginnAlter))+INDEX(Diy,RAF-BeginnAlter+1)*INDEX(äky,1),0),"")</f>
        <v>232034</v>
      </c>
      <c r="IL14" s="10">
        <f t="shared" si="28"/>
        <v>1.7490000000000001</v>
      </c>
      <c r="IM14" s="89"/>
      <c r="IN14" s="9">
        <f t="shared" si="29"/>
        <v>69</v>
      </c>
      <c r="IO14" s="25">
        <f t="shared" si="2"/>
        <v>0</v>
      </c>
      <c r="IP14" s="11">
        <f>IF(AND(VLOOKUP(IN14+1,O$9:S$102,5)&lt;=RAK,VLOOKUP(IN14+1,O$9:S$102,5)&lt;&gt;""),SUM(IO14:IO$102),0)</f>
        <v>0</v>
      </c>
      <c r="IQ14" s="10">
        <f t="shared" si="3"/>
        <v>0</v>
      </c>
      <c r="IR14" s="86"/>
    </row>
    <row r="15" spans="1:252" ht="15.75" customHeight="1" x14ac:dyDescent="0.25">
      <c r="A15" s="9">
        <f t="shared" si="4"/>
        <v>23</v>
      </c>
      <c r="B15" s="93">
        <v>2.8976985767877489E-4</v>
      </c>
      <c r="C15" s="93">
        <v>4.7885466143393146E-4</v>
      </c>
      <c r="D15" s="93">
        <v>1.6358883527201926E-2</v>
      </c>
      <c r="E15" s="93">
        <v>3.1029167417373493E-4</v>
      </c>
      <c r="F15" s="89"/>
      <c r="G15" s="9">
        <f t="shared" si="5"/>
        <v>23</v>
      </c>
      <c r="H15" s="11">
        <f t="shared" si="30"/>
        <v>99820</v>
      </c>
      <c r="I15" s="25">
        <f t="shared" si="31"/>
        <v>86</v>
      </c>
      <c r="J15" s="25">
        <f t="shared" si="32"/>
        <v>99906</v>
      </c>
      <c r="K15" s="30">
        <f>IF(J15&gt;0,ROUND(SUM(J15:J$102)/J15-0.5,Rundex),"")</f>
        <v>59.14</v>
      </c>
      <c r="L15" s="25">
        <f t="shared" si="6"/>
        <v>213237</v>
      </c>
      <c r="M15" s="30">
        <f>IF(L15&gt;0,ROUND(SUM(L15:L$102)/L15-0.5,Rundex),"")</f>
        <v>36.590000000000003</v>
      </c>
      <c r="N15" s="89"/>
      <c r="O15" s="9">
        <f t="shared" ref="O15:O44" si="49">1+O14</f>
        <v>23</v>
      </c>
      <c r="P15" s="94">
        <v>8.5818067650655486E-2</v>
      </c>
      <c r="Q15" s="95">
        <v>27.266811829873369</v>
      </c>
      <c r="R15" s="94">
        <v>4.0460000000000003E-2</v>
      </c>
      <c r="S15" s="95">
        <v>0.08</v>
      </c>
      <c r="T15" s="28">
        <v>3.1029167417373493E-4</v>
      </c>
      <c r="U15" s="11">
        <f t="shared" si="33"/>
        <v>99906</v>
      </c>
      <c r="V15" s="30">
        <f>IF(U15&gt;0,ROUND(SUM(U15:U$102)/U15-0.5,Rundex),"")</f>
        <v>60.42</v>
      </c>
      <c r="W15" s="89"/>
      <c r="X15" s="9">
        <f t="shared" ref="X15:X44" si="50">1+X14</f>
        <v>23</v>
      </c>
      <c r="Y15" s="11">
        <f t="shared" si="34"/>
        <v>59836</v>
      </c>
      <c r="Z15" s="11">
        <f>IF($X15&lt;RAF,SUM(Y15:INDEX(Day,RAF-BeginnAlter))," ")</f>
        <v>1530792</v>
      </c>
      <c r="AA15" s="11">
        <f t="shared" si="0"/>
        <v>17</v>
      </c>
      <c r="AB15" s="11">
        <f>IF($X15&lt;RAF,SUM(AA15:INDEX(Cay,RAF-BeginnAlter))," ")</f>
        <v>1428</v>
      </c>
      <c r="AC15" s="11">
        <f t="shared" si="1"/>
        <v>28</v>
      </c>
      <c r="AD15" s="11">
        <f>IF($X15&lt;RAF,SUM(AC15:INDEX(Caiy,RAF-BeginnAlter))," ")</f>
        <v>8459</v>
      </c>
      <c r="AE15" s="10">
        <f t="shared" si="35"/>
        <v>25.582999999999998</v>
      </c>
      <c r="AF15" s="10">
        <f t="shared" si="36"/>
        <v>25.25</v>
      </c>
      <c r="AG15" s="89"/>
      <c r="AH15" s="9">
        <f t="shared" ref="AH15:AH44" si="51">1+AH14</f>
        <v>23</v>
      </c>
      <c r="AI15" s="11">
        <f t="shared" si="37"/>
        <v>127822</v>
      </c>
      <c r="AJ15" s="11">
        <f>IF($AH15&gt;RAF," ",IF($AH15&lt;RAF,SUM(AI15:INDEX(Diy,RAF-BeginnAlter))+INDEX(Ny,RAF-BeginnAlter+1),INDEX(Ny,RAF-BeginnAlter+1)))</f>
        <v>2885070</v>
      </c>
      <c r="AK15" s="11">
        <f>IF($AH15&lt;RAF,SUM(AI15:INDEX(Diy,RAF-BeginnAlter))," ")</f>
        <v>2518976</v>
      </c>
      <c r="AL15" s="10">
        <f t="shared" si="38"/>
        <v>22.571000000000002</v>
      </c>
      <c r="AM15" s="10">
        <f t="shared" si="39"/>
        <v>22.113</v>
      </c>
      <c r="AN15" s="10">
        <f t="shared" si="40"/>
        <v>19.707000000000001</v>
      </c>
      <c r="AO15" s="10">
        <f t="shared" si="41"/>
        <v>19.327000000000002</v>
      </c>
      <c r="AP15" s="89"/>
      <c r="AQ15" s="9">
        <f t="shared" ref="AQ15:AQ44" si="52">1+AQ14</f>
        <v>23</v>
      </c>
      <c r="AR15" s="11">
        <f t="shared" si="42"/>
        <v>59887</v>
      </c>
      <c r="AS15" s="11">
        <f>SUM(AR15:AR$96)</f>
        <v>1966097</v>
      </c>
      <c r="AT15" s="25">
        <f>IF($AQ15&lt;RAF,SUM(AR15:INDEX(Dy,RAF-BeginnAlter))," ")</f>
        <v>1600003</v>
      </c>
      <c r="AU15" s="24">
        <f t="shared" si="43"/>
        <v>32.83</v>
      </c>
      <c r="AV15" s="24">
        <f t="shared" si="44"/>
        <v>32.372</v>
      </c>
      <c r="AW15" s="24">
        <f t="shared" si="45"/>
        <v>26.716999999999999</v>
      </c>
      <c r="AX15" s="24">
        <f t="shared" si="46"/>
        <v>26.425000000000001</v>
      </c>
      <c r="AY15" s="89"/>
      <c r="AZ15" s="9">
        <f t="shared" ref="AZ15:AZ44" si="53">1+AZ14</f>
        <v>23</v>
      </c>
      <c r="BA15" s="11">
        <f t="shared" si="47"/>
        <v>59887</v>
      </c>
      <c r="BB15" s="11">
        <f>SUM(BA15:BA$96)</f>
        <v>1988886</v>
      </c>
      <c r="BC15" s="10">
        <f t="shared" si="48"/>
        <v>33.210999999999999</v>
      </c>
      <c r="BD15" s="10">
        <f t="shared" si="7"/>
        <v>32.752000000000002</v>
      </c>
      <c r="BE15" s="89"/>
      <c r="BF15" s="9">
        <f t="shared" ref="BF15:BF76" si="54">1+BF14</f>
        <v>6</v>
      </c>
      <c r="BG15" s="10">
        <f t="shared" si="8"/>
        <v>15.667999999999999</v>
      </c>
      <c r="BH15" s="10">
        <f t="shared" si="9"/>
        <v>15.51</v>
      </c>
      <c r="BI15" s="89"/>
      <c r="BJ15" s="9">
        <f t="shared" ref="BJ15:BJ44" si="55">1+BJ14</f>
        <v>23</v>
      </c>
      <c r="BK15" s="11">
        <f t="shared" si="10"/>
        <v>624</v>
      </c>
      <c r="BL15" s="11">
        <f>IF(BJ15&lt;RAF,SUM(BK15:INDEX(Daiy,RAF-BeginnAlter))," ")</f>
        <v>158878</v>
      </c>
      <c r="BM15" s="11">
        <f>IF(BJ15&lt;RAF,SUM(BL15:INDEX(Naiy,RAF-BeginnAlter))," ")</f>
        <v>4498235</v>
      </c>
      <c r="BN15" s="10">
        <f t="shared" si="11"/>
        <v>4.4820000000000002</v>
      </c>
      <c r="BO15" s="10">
        <f t="shared" si="12"/>
        <v>2.6549999999999998</v>
      </c>
      <c r="BP15" s="89"/>
      <c r="BQ15" s="9">
        <f t="shared" ref="BQ15:BQ44" si="56">1+BQ14</f>
        <v>23</v>
      </c>
      <c r="BR15" s="11">
        <f t="shared" si="13"/>
        <v>544</v>
      </c>
      <c r="BS15" s="11">
        <f>IF(BQ15&lt;RAF,SUM(BR15:INDEX(Daiys,RAF-BeginnAlter))," ")</f>
        <v>71075</v>
      </c>
      <c r="BT15" s="11">
        <f>IF(BQ15&lt;RAF,SUM(BS15:INDEX(Naiys,RAF-BeginnAlter))," ")</f>
        <v>1621491</v>
      </c>
      <c r="BU15" s="10">
        <f t="shared" si="14"/>
        <v>5.9489999999999998</v>
      </c>
      <c r="BV15" s="10">
        <f t="shared" si="15"/>
        <v>1.1879999999999999</v>
      </c>
      <c r="BW15" s="89"/>
      <c r="BX15" s="9">
        <f t="shared" ref="BX15:BX44" si="57">1+BX14</f>
        <v>23</v>
      </c>
      <c r="BY15" s="10">
        <f t="shared" si="16"/>
        <v>15.157468232943728</v>
      </c>
      <c r="BZ15" s="11">
        <f t="shared" si="17"/>
        <v>20</v>
      </c>
      <c r="CA15" s="11">
        <f>IF(S16&lt;=RAK,IF($BX15&lt;RAF,SUM(BZ15:INDEX(Dazy,RAF-BeginnAlter)),""),"")</f>
        <v>16238</v>
      </c>
      <c r="CB15" s="10">
        <f t="shared" si="18"/>
        <v>0.27100000000000002</v>
      </c>
      <c r="CC15" s="11">
        <f t="shared" si="19"/>
        <v>33657</v>
      </c>
      <c r="CD15" s="10">
        <f t="shared" si="20"/>
        <v>23.757000000000001</v>
      </c>
      <c r="CE15" s="10">
        <f t="shared" si="21"/>
        <v>2E-3</v>
      </c>
      <c r="CF15" s="89"/>
      <c r="CG15" s="9">
        <f t="shared" ref="CG15:CG44" si="58">1+CG14</f>
        <v>23</v>
      </c>
      <c r="CH15" s="11">
        <f>IF(CG15&lt;RAF,ROUND(v^($CG15+FaktorAlter)*$H15*($B15*0.5*($P15+$P16)*(VLOOKUP(TRUNC(0.5*($Q15+$Q16),0),Männer!$AZ$9:$BD$95,5)+(0.5*($Q15+$Q16)-TRUNC(0.5*($Q15+$Q16),0))*(VLOOKUP(TRUNC(0.5*($Q15+$Q16)+1,0),Männer!$AZ$9:$BD$95,5)-VLOOKUP(TRUNC(0.5*($Q15+$Q16),0),Männer!$AZ$9:$BD$95,5)))+$C15*0.5*($CN15+$CN16)),RundDx),"")</f>
        <v>98</v>
      </c>
      <c r="CI15" s="11">
        <f>IF(CG15&lt;RAF,ROUND(SUM(CH15:INDEX(Dawy,RAF-BeginnAlter))+INDEX(Day,RAF-BeginnAlter+1)*INDEX(äwy,1),RundDx),"")</f>
        <v>14295</v>
      </c>
      <c r="CJ15" s="11">
        <f>IF(CG15&lt;RAF,ROUND(SUM(CI15:INDEX(Nawy,RAF-BeginnAlter))+INDEX(Day,RAF-BeginnAlter+1)*INDEX(äwy,1),RundDx),"")</f>
        <v>367403</v>
      </c>
      <c r="CK15" s="10">
        <f t="shared" si="22"/>
        <v>0.23899999999999999</v>
      </c>
      <c r="CL15" s="11">
        <f>IF(CG15&lt;RAF,ROUND(v^($CG15+FaktorAlter)*$L15*$D15*0.5*($P15+$P16)*(VLOOKUP(TRUNC(0.5*($Q15+$Q16),0),Männer!$AZ$9:$BD$95,5)+(0.5*($Q15+$Q16)-TRUNC(0.5*($Q15+$Q16),0))*(VLOOKUP(TRUNC(0.5*($Q15+$Q16)+1,0),Männer!$AZ$9:$BD$95,5)-VLOOKUP(TRUNC(0.5*($Q15+$Q16),0),Männer!$AZ$9:$BD$95,5))),RundDx),"")</f>
        <v>5416</v>
      </c>
      <c r="CM15" s="11">
        <f>IF(CG15&lt;RAF,SUM(CL15:INDEX(Diwy,RAF-BeginnAlter))+INDEX(Diy,RAF-BeginnAlter+1)*INDEX(äwy,1),"")</f>
        <v>236185.304</v>
      </c>
      <c r="CN15" s="10">
        <f t="shared" si="23"/>
        <v>1.8480000000000001</v>
      </c>
      <c r="CO15" s="89"/>
      <c r="CP15" s="9">
        <f t="shared" ref="CP15:CP78" si="59">1+CP14</f>
        <v>70</v>
      </c>
      <c r="CQ15" s="11">
        <f>ROUND(v^($CP15+FaktorAlter)*VLOOKUP(CP15,G$9:J$102,4)*VLOOKUP(CP15,A$9:E$102,5)*0.5*(VLOOKUP(CP15,O$9:P$102,2)+VLOOKUP(CP15+1,O$9:P$102,2))*(VLOOKUP(TRUNC(0.5*(VLOOKUP(CP15,O$9:Q$102,3)+VLOOKUP(CP15+1,O$9:Q$102,3)),0),Männer!$AZ$9:$BD$95,5)+(0.5*(VLOOKUP(CP15,O$9:Q$102,3)+VLOOKUP(CP15+1,O$9:Q$102,3))-TRUNC(0.5*(VLOOKUP(CP15,O$9:Q$102,3)+VLOOKUP(CP15+1,O$9:Q$102,3)),0))*(VLOOKUP(TRUNC(0.5*(VLOOKUP(CP15,O$9:Q$102,3)+VLOOKUP(CP15+1,O$9:Q$102,3))+1,0),Männer!$AZ$9:$BD$95,5)-VLOOKUP(TRUNC(0.5*(VLOOKUP(CP15,O$9:Q$102,3)+VLOOKUP(CP15+1,O$9:Q$102,3)),0),Männer!$AZ$9:$BD$95,5))),RundDx)</f>
        <v>158</v>
      </c>
      <c r="CR15" s="11">
        <f>SUM(CQ15:CQ$56)</f>
        <v>940</v>
      </c>
      <c r="CS15" s="24">
        <f t="shared" si="24"/>
        <v>5.2999999999999999E-2</v>
      </c>
      <c r="CT15" s="89"/>
      <c r="CU15" s="35">
        <f t="shared" ref="CU15:CU76" si="60">1+CU14</f>
        <v>23</v>
      </c>
      <c r="CV15" s="25">
        <f>IF($CU15&gt;=RAF,"",IF($CU15-CV$103&lt;BeginnAlter,"",ROUND(v^($CU15+FaktorAlter)*$L15*$D15*0.5*(VLOOKUP($CU15-CV$103,Männer!$G$9:$J$102,4)+VLOOKUP($CU15-CV$103+1,Männer!$G$9:$J$102,4))*0.5*(VLOOKUP($CU15-CV$103,Männer!$AZ$9:$BD$102,5)+VLOOKUP($CU15-CV$103+1,Männer!$AZ$9:$BD$102,5)),RundDx)))</f>
        <v>5154245370</v>
      </c>
      <c r="CW15" s="25">
        <f>IF($CU15&gt;=RAF,"",IF($CU15-CW$103&lt;BeginnAlter,"",ROUND(v^($CU15+FaktorAlter)*$L15*$D15*0.5*(VLOOKUP($CU15-CW$103,Männer!$G$9:$J$102,4)+VLOOKUP($CU15-CW$103+1,Männer!$G$9:$J$102,4))*0.5*(VLOOKUP($CU15-CW$103,Männer!$AZ$9:$BD$102,5)+VLOOKUP($CU15-CW$103+1,Männer!$AZ$9:$BD$102,5)),RundDx)))</f>
        <v>5242689712</v>
      </c>
      <c r="CX15" s="25">
        <f>IF($CU15&gt;=RAF,"",IF($CU15-CX$103&lt;BeginnAlter,"",ROUND(v^($CU15+FaktorAlter)*$L15*$D15*0.5*(VLOOKUP($CU15-CX$103,Männer!$G$9:$J$102,4)+VLOOKUP($CU15-CX$103+1,Männer!$G$9:$J$102,4))*0.5*(VLOOKUP($CU15-CX$103,Männer!$AZ$9:$BD$102,5)+VLOOKUP($CU15-CX$103+1,Männer!$AZ$9:$BD$102,5)),RundDx)))</f>
        <v>5329333620</v>
      </c>
      <c r="CY15" s="25">
        <f>IF($CU15&gt;=RAF,"",IF($CU15-CY$103&lt;BeginnAlter,"",ROUND(v^($CU15+FaktorAlter)*$L15*$D15*0.5*(VLOOKUP($CU15-CY$103,Männer!$G$9:$J$102,4)+VLOOKUP($CU15-CY$103+1,Männer!$G$9:$J$102,4))*0.5*(VLOOKUP($CU15-CY$103,Männer!$AZ$9:$BD$102,5)+VLOOKUP($CU15-CY$103+1,Männer!$AZ$9:$BD$102,5)),RundDx)))</f>
        <v>5414355661</v>
      </c>
      <c r="CZ15" s="25">
        <f>IF($CU15&gt;=RAF,"",IF($CU15-CZ$103&lt;BeginnAlter,"",ROUND(v^($CU15+FaktorAlter)*$L15*$D15*0.5*(VLOOKUP($CU15-CZ$103,Männer!$G$9:$J$102,4)+VLOOKUP($CU15-CZ$103+1,Männer!$G$9:$J$102,4))*0.5*(VLOOKUP($CU15-CZ$103,Männer!$AZ$9:$BD$102,5)+VLOOKUP($CU15-CZ$103+1,Männer!$AZ$9:$BD$102,5)),RundDx)))</f>
        <v>5497629069</v>
      </c>
      <c r="DA15" s="25">
        <f>IF($CU15&gt;=RAF,"",IF($CU15-DA$103&lt;BeginnAlter,"",ROUND(v^($CU15+FaktorAlter)*$L15*$D15*0.5*(VLOOKUP($CU15-DA$103,Männer!$G$9:$J$102,4)+VLOOKUP($CU15-DA$103+1,Männer!$G$9:$J$102,4))*0.5*(VLOOKUP($CU15-DA$103,Männer!$AZ$9:$BD$102,5)+VLOOKUP($CU15-DA$103+1,Männer!$AZ$9:$BD$102,5)),RundDx)))</f>
        <v>5579214325</v>
      </c>
      <c r="DB15" s="25">
        <f>IF($CU15&gt;=RAF,"",IF($CU15-DB$103&lt;BeginnAlter,"",ROUND(v^($CU15+FaktorAlter)*$L15*$D15*0.5*(VLOOKUP($CU15-DB$103,Männer!$G$9:$J$102,4)+VLOOKUP($CU15-DB$103+1,Männer!$G$9:$J$102,4))*0.5*(VLOOKUP($CU15-DB$103,Männer!$AZ$9:$BD$102,5)+VLOOKUP($CU15-DB$103+1,Männer!$AZ$9:$BD$102,5)),RundDx)))</f>
        <v>5659177236</v>
      </c>
      <c r="DC15" s="25">
        <f>IF($CU15&gt;=RAF,"",IF($CU15-DC$103&lt;BeginnAlter,"",ROUND(v^($CU15+FaktorAlter)*$L15*$D15*0.5*(VLOOKUP($CU15-DC$103,Männer!$G$9:$J$102,4)+VLOOKUP($CU15-DC$103+1,Männer!$G$9:$J$102,4))*0.5*(VLOOKUP($CU15-DC$103,Männer!$AZ$9:$BD$102,5)+VLOOKUP($CU15-DC$103+1,Männer!$AZ$9:$BD$102,5)),RundDx)))</f>
        <v>5737559780</v>
      </c>
      <c r="DD15" s="25">
        <f>IF($CU15&gt;=RAF,"",IF($CU15-DD$103&lt;BeginnAlter,"",ROUND(v^($CU15+FaktorAlter)*$L15*$D15*0.5*(VLOOKUP($CU15-DD$103,Männer!$G$9:$J$102,4)+VLOOKUP($CU15-DD$103+1,Männer!$G$9:$J$102,4))*0.5*(VLOOKUP($CU15-DD$103,Männer!$AZ$9:$BD$102,5)+VLOOKUP($CU15-DD$103+1,Männer!$AZ$9:$BD$102,5)),RundDx)))</f>
        <v>5814378054</v>
      </c>
      <c r="DE15" s="25">
        <f>IF($CU15&gt;=RAF,"",IF($CU15-DE$103&lt;BeginnAlter,"",ROUND(v^($CU15+FaktorAlter)*$L15*$D15*0.5*(VLOOKUP($CU15-DE$103,Männer!$G$9:$J$102,4)+VLOOKUP($CU15-DE$103+1,Männer!$G$9:$J$102,4))*0.5*(VLOOKUP($CU15-DE$103,Männer!$AZ$9:$BD$102,5)+VLOOKUP($CU15-DE$103+1,Männer!$AZ$9:$BD$102,5)),RundDx)))</f>
        <v>5889606652</v>
      </c>
      <c r="DF15" s="25">
        <f>IF($CU15&gt;=RAF,"",IF($CU15-DF$103&lt;BeginnAlter,"",ROUND(v^($CU15+FaktorAlter)*$L15*$D15*0.5*(VLOOKUP($CU15-DF$103,Männer!$G$9:$J$102,4)+VLOOKUP($CU15-DF$103+1,Männer!$G$9:$J$102,4))*0.5*(VLOOKUP($CU15-DF$103,Männer!$AZ$9:$BD$102,5)+VLOOKUP($CU15-DF$103+1,Männer!$AZ$9:$BD$102,5)),RundDx)))</f>
        <v>5963327211</v>
      </c>
      <c r="DG15" s="25">
        <f>IF($CU15&gt;=RAF,"",IF($CU15-DG$103&lt;BeginnAlter,"",ROUND(v^($CU15+FaktorAlter)*$L15*$D15*0.5*(VLOOKUP($CU15-DG$103,Männer!$G$9:$J$102,4)+VLOOKUP($CU15-DG$103+1,Männer!$G$9:$J$102,4))*0.5*(VLOOKUP($CU15-DG$103,Männer!$AZ$9:$BD$102,5)+VLOOKUP($CU15-DG$103+1,Männer!$AZ$9:$BD$102,5)),RundDx)))</f>
        <v>6035492588</v>
      </c>
      <c r="DH15" s="25">
        <f>IF($CU15&gt;=RAF,"",IF($CU15-DH$103&lt;BeginnAlter,"",ROUND(v^($CU15+FaktorAlter)*$L15*$D15*0.5*(VLOOKUP($CU15-DH$103,Männer!$G$9:$J$102,4)+VLOOKUP($CU15-DH$103+1,Männer!$G$9:$J$102,4))*0.5*(VLOOKUP($CU15-DH$103,Männer!$AZ$9:$BD$102,5)+VLOOKUP($CU15-DH$103+1,Männer!$AZ$9:$BD$102,5)),RundDx)))</f>
        <v>6106294561</v>
      </c>
      <c r="DI15" s="25">
        <f>IF($CU15&gt;=RAF,"",IF($CU15-DI$103&lt;BeginnAlter,"",ROUND(v^($CU15+FaktorAlter)*$L15*$D15*0.5*(VLOOKUP($CU15-DI$103,Männer!$G$9:$J$102,4)+VLOOKUP($CU15-DI$103+1,Männer!$G$9:$J$102,4))*0.5*(VLOOKUP($CU15-DI$103,Männer!$AZ$9:$BD$102,5)+VLOOKUP($CU15-DI$103+1,Männer!$AZ$9:$BD$102,5)),RundDx)))</f>
        <v>6175702109</v>
      </c>
      <c r="DJ15" s="25">
        <f>IF($CU15&gt;=RAF,"",IF($CU15-DJ$103&lt;BeginnAlter,"",ROUND(v^($CU15+FaktorAlter)*$L15*$D15*0.5*(VLOOKUP($CU15-DJ$103,Männer!$G$9:$J$102,4)+VLOOKUP($CU15-DJ$103+1,Männer!$G$9:$J$102,4))*0.5*(VLOOKUP($CU15-DJ$103,Männer!$AZ$9:$BD$102,5)+VLOOKUP($CU15-DJ$103+1,Männer!$AZ$9:$BD$102,5)),RundDx)))</f>
        <v>6243539486</v>
      </c>
      <c r="DK15" s="25">
        <f>IF($CU15&gt;=RAF,"",IF($CU15-DK$103&lt;BeginnAlter,"",ROUND(v^($CU15+FaktorAlter)*$L15*$D15*0.5*(VLOOKUP($CU15-DK$103,Männer!$G$9:$J$102,4)+VLOOKUP($CU15-DK$103+1,Männer!$G$9:$J$102,4))*0.5*(VLOOKUP($CU15-DK$103,Männer!$AZ$9:$BD$102,5)+VLOOKUP($CU15-DK$103+1,Männer!$AZ$9:$BD$102,5)),RundDx)))</f>
        <v>6310115202</v>
      </c>
      <c r="DL15" s="25">
        <f>IF($CU15&gt;=RAF,"",IF($CU15-DL$103&lt;BeginnAlter,"",ROUND(v^($CU15+FaktorAlter)*$L15*$D15*0.5*(VLOOKUP($CU15-DL$103,Männer!$G$9:$J$102,4)+VLOOKUP($CU15-DL$103+1,Männer!$G$9:$J$102,4))*0.5*(VLOOKUP($CU15-DL$103,Männer!$AZ$9:$BD$102,5)+VLOOKUP($CU15-DL$103+1,Männer!$AZ$9:$BD$102,5)),RundDx)))</f>
        <v>6375404377</v>
      </c>
      <c r="DM15" s="25">
        <f>IF($CU15&gt;=RAF,"",IF($CU15-DM$103&lt;BeginnAlter,"",ROUND(v^($CU15+FaktorAlter)*$L15*$D15*0.5*(VLOOKUP($CU15-DM$103,Männer!$G$9:$J$102,4)+VLOOKUP($CU15-DM$103+1,Männer!$G$9:$J$102,4))*0.5*(VLOOKUP($CU15-DM$103,Männer!$AZ$9:$BD$102,5)+VLOOKUP($CU15-DM$103+1,Männer!$AZ$9:$BD$102,5)),RundDx)))</f>
        <v>6439377514</v>
      </c>
      <c r="DN15" s="25">
        <f>IF($CU15&gt;=RAF,"",IF($CU15-DN$103&lt;BeginnAlter,"",ROUND(v^($CU15+FaktorAlter)*$L15*$D15*0.5*(VLOOKUP($CU15-DN$103,Männer!$G$9:$J$102,4)+VLOOKUP($CU15-DN$103+1,Männer!$G$9:$J$102,4))*0.5*(VLOOKUP($CU15-DN$103,Männer!$AZ$9:$BD$102,5)+VLOOKUP($CU15-DN$103+1,Männer!$AZ$9:$BD$102,5)),RundDx)))</f>
        <v>6502071449</v>
      </c>
      <c r="DO15" s="25">
        <f>IF($CU15&gt;=RAF,"",IF($CU15-DO$103&lt;BeginnAlter,"",ROUND(v^($CU15+FaktorAlter)*$L15*$D15*0.5*(VLOOKUP($CU15-DO$103,Männer!$G$9:$J$102,4)+VLOOKUP($CU15-DO$103+1,Männer!$G$9:$J$102,4))*0.5*(VLOOKUP($CU15-DO$103,Männer!$AZ$9:$BD$102,5)+VLOOKUP($CU15-DO$103+1,Männer!$AZ$9:$BD$102,5)),RundDx)))</f>
        <v>6563457026</v>
      </c>
      <c r="DP15" s="25">
        <f>IF($CU15&gt;=RAF,"",IF($CU15-DP$103&lt;BeginnAlter,"",ROUND(v^($CU15+FaktorAlter)*$L15*$D15*0.5*(VLOOKUP($CU15-DP$103,Männer!$G$9:$J$102,4)+VLOOKUP($CU15-DP$103+1,Männer!$G$9:$J$102,4))*0.5*(VLOOKUP($CU15-DP$103,Männer!$AZ$9:$BD$102,5)+VLOOKUP($CU15-DP$103+1,Männer!$AZ$9:$BD$102,5)),RundDx)))</f>
        <v>6623697241</v>
      </c>
      <c r="DQ15" s="25">
        <f>IF($CU15&gt;=RAF,"",IF($CU15-DQ$103&lt;BeginnAlter,"",ROUND(v^($CU15+FaktorAlter)*$L15*$D15*0.5*(VLOOKUP($CU15-DQ$103,Männer!$G$9:$J$102,4)+VLOOKUP($CU15-DQ$103+1,Männer!$G$9:$J$102,4))*0.5*(VLOOKUP($CU15-DQ$103,Männer!$AZ$9:$BD$102,5)+VLOOKUP($CU15-DQ$103+1,Männer!$AZ$9:$BD$102,5)),RundDx)))</f>
        <v>6682661820</v>
      </c>
      <c r="DR15" s="25" t="str">
        <f>IF($CU15&gt;=RAF,"",IF($CU15-DR$103&lt;BeginnAlter,"",ROUND(v^($CU15+FaktorAlter)*$L15*$D15*0.5*(VLOOKUP($CU15-DR$103,Männer!$G$9:$J$102,4)+VLOOKUP($CU15-DR$103+1,Männer!$G$9:$J$102,4))*0.5*(VLOOKUP($CU15-DR$103,Männer!$AZ$9:$BD$102,5)+VLOOKUP($CU15-DR$103+1,Männer!$AZ$9:$BD$102,5)),RundDx)))</f>
        <v/>
      </c>
      <c r="DS15" s="25" t="str">
        <f>IF($CU15&gt;=RAF,"",IF($CU15-DS$103&lt;BeginnAlter,"",ROUND(v^($CU15+FaktorAlter)*$L15*$D15*0.5*(VLOOKUP($CU15-DS$103,Männer!$G$9:$J$102,4)+VLOOKUP($CU15-DS$103+1,Männer!$G$9:$J$102,4))*0.5*(VLOOKUP($CU15-DS$103,Männer!$AZ$9:$BD$102,5)+VLOOKUP($CU15-DS$103+1,Männer!$AZ$9:$BD$102,5)),RundDx)))</f>
        <v/>
      </c>
      <c r="DT15" s="25" t="str">
        <f>IF($CU15&gt;=RAF,"",IF($CU15-DT$103&lt;BeginnAlter,"",ROUND(v^($CU15+FaktorAlter)*$L15*$D15*0.5*(VLOOKUP($CU15-DT$103,Männer!$G$9:$J$102,4)+VLOOKUP($CU15-DT$103+1,Männer!$G$9:$J$102,4))*0.5*(VLOOKUP($CU15-DT$103,Männer!$AZ$9:$BD$102,5)+VLOOKUP($CU15-DT$103+1,Männer!$AZ$9:$BD$102,5)),RundDx)))</f>
        <v/>
      </c>
      <c r="DU15" s="25" t="str">
        <f>IF($CU15&gt;=RAF,"",IF($CU15-DU$103&lt;BeginnAlter,"",ROUND(v^($CU15+FaktorAlter)*$L15*$D15*0.5*(VLOOKUP($CU15-DU$103,Männer!$G$9:$J$102,4)+VLOOKUP($CU15-DU$103+1,Männer!$G$9:$J$102,4))*0.5*(VLOOKUP($CU15-DU$103,Männer!$AZ$9:$BD$102,5)+VLOOKUP($CU15-DU$103+1,Männer!$AZ$9:$BD$102,5)),RundDx)))</f>
        <v/>
      </c>
      <c r="DV15" s="25" t="str">
        <f>IF($CU15&gt;=RAF,"",IF($CU15-DV$103&lt;BeginnAlter,"",ROUND(v^($CU15+FaktorAlter)*$L15*$D15*0.5*(VLOOKUP($CU15-DV$103,Männer!$G$9:$J$102,4)+VLOOKUP($CU15-DV$103+1,Männer!$G$9:$J$102,4))*0.5*(VLOOKUP($CU15-DV$103,Männer!$AZ$9:$BD$102,5)+VLOOKUP($CU15-DV$103+1,Männer!$AZ$9:$BD$102,5)),RundDx)))</f>
        <v/>
      </c>
      <c r="DW15" s="25" t="str">
        <f>IF($CU15&gt;=RAF,"",IF($CU15-DW$103&lt;BeginnAlter,"",ROUND(v^($CU15+FaktorAlter)*$L15*$D15*0.5*(VLOOKUP($CU15-DW$103,Männer!$G$9:$J$102,4)+VLOOKUP($CU15-DW$103+1,Männer!$G$9:$J$102,4))*0.5*(VLOOKUP($CU15-DW$103,Männer!$AZ$9:$BD$102,5)+VLOOKUP($CU15-DW$103+1,Männer!$AZ$9:$BD$102,5)),RundDx)))</f>
        <v/>
      </c>
      <c r="DX15" s="25" t="str">
        <f>IF($CU15&gt;=RAF,"",IF($CU15-DX$103&lt;BeginnAlter,"",ROUND(v^($CU15+FaktorAlter)*$L15*$D15*0.5*(VLOOKUP($CU15-DX$103,Männer!$G$9:$J$102,4)+VLOOKUP($CU15-DX$103+1,Männer!$G$9:$J$102,4))*0.5*(VLOOKUP($CU15-DX$103,Männer!$AZ$9:$BD$102,5)+VLOOKUP($CU15-DX$103+1,Männer!$AZ$9:$BD$102,5)),RundDx)))</f>
        <v/>
      </c>
      <c r="DY15" s="25" t="str">
        <f>IF($CU15&gt;=RAF,"",IF($CU15-DY$103&lt;BeginnAlter,"",ROUND(v^($CU15+FaktorAlter)*$L15*$D15*0.5*(VLOOKUP($CU15-DY$103,Männer!$G$9:$J$102,4)+VLOOKUP($CU15-DY$103+1,Männer!$G$9:$J$102,4))*0.5*(VLOOKUP($CU15-DY$103,Männer!$AZ$9:$BD$102,5)+VLOOKUP($CU15-DY$103+1,Männer!$AZ$9:$BD$102,5)),RundDx)))</f>
        <v/>
      </c>
      <c r="DZ15" s="25" t="str">
        <f>IF($CU15&gt;=RAF,"",IF($CU15-DZ$103&lt;BeginnAlter,"",ROUND(v^($CU15+FaktorAlter)*$L15*$D15*0.5*(VLOOKUP($CU15-DZ$103,Männer!$G$9:$J$102,4)+VLOOKUP($CU15-DZ$103+1,Männer!$G$9:$J$102,4))*0.5*(VLOOKUP($CU15-DZ$103,Männer!$AZ$9:$BD$102,5)+VLOOKUP($CU15-DZ$103+1,Männer!$AZ$9:$BD$102,5)),RundDx)))</f>
        <v/>
      </c>
      <c r="EA15" s="43">
        <f>IF($CU15&gt;=RAF,"",IF($CU15-EA$103&lt;BeginnAlter,"",ROUND((SUM(CV15:CV$56)+SUM(FN$9:FN$56))/VLOOKUP($CU15,$AH$9:$AI$102,2)/VLOOKUP($CU15-EA$103,Männer!$G$9:$J$102,4),Rundäx)))</f>
        <v>7.2089999999999996</v>
      </c>
      <c r="EB15" s="43">
        <f>IF($CU15&gt;=RAF,"",IF($CU15-EB$103&lt;BeginnAlter,"",ROUND((SUM(CW15:CW$56)+SUM(FO$9:FO$56))/VLOOKUP($CU15,$AH$9:$AI$102,2)/VLOOKUP($CU15-EB$103,Männer!$G$9:$J$102,4),Rundäx)))</f>
        <v>7.4160000000000004</v>
      </c>
      <c r="EC15" s="43">
        <f>IF($CU15&gt;=RAF,"",IF($CU15-EC$103&lt;BeginnAlter,"",ROUND((SUM(CX15:CX$56)+SUM(FP$9:FP$56))/VLOOKUP($CU15,$AH$9:$AI$102,2)/VLOOKUP($CU15-EC$103,Männer!$G$9:$J$102,4),Rundäx)))</f>
        <v>7.6230000000000002</v>
      </c>
      <c r="ED15" s="43">
        <f>IF($CU15&gt;=RAF,"",IF($CU15-ED$103&lt;BeginnAlter,"",ROUND((SUM(CY15:CY$56)+SUM(FQ$9:FQ$56))/VLOOKUP($CU15,$AH$9:$AI$102,2)/VLOOKUP($CU15-ED$103,Männer!$G$9:$J$102,4),Rundäx)))</f>
        <v>7.8289999999999997</v>
      </c>
      <c r="EE15" s="43">
        <f>IF($CU15&gt;=RAF,"",IF($CU15-EE$103&lt;BeginnAlter,"",ROUND((SUM(CZ15:CZ$56)+SUM(FR$9:FR$56))/VLOOKUP($CU15,$AH$9:$AI$102,2)/VLOOKUP($CU15-EE$103,Männer!$G$9:$J$102,4),Rundäx)))</f>
        <v>8.0350000000000001</v>
      </c>
      <c r="EF15" s="43">
        <f>IF($CU15&gt;=RAF,"",IF($CU15-EF$103&lt;BeginnAlter,"",ROUND((SUM(DA15:DA$56)+SUM(FS$9:FS$56))/VLOOKUP($CU15,$AH$9:$AI$102,2)/VLOOKUP($CU15-EF$103,Männer!$G$9:$J$102,4),Rundäx)))</f>
        <v>8.2409999999999997</v>
      </c>
      <c r="EG15" s="43">
        <f>IF($CU15&gt;=RAF,"",IF($CU15-EG$103&lt;BeginnAlter,"",ROUND((SUM(DB15:DB$56)+SUM(FT$9:FT$56))/VLOOKUP($CU15,$AH$9:$AI$102,2)/VLOOKUP($CU15-EG$103,Männer!$G$9:$J$102,4),Rundäx)))</f>
        <v>8.4459999999999997</v>
      </c>
      <c r="EH15" s="43">
        <f>IF($CU15&gt;=RAF,"",IF($CU15-EH$103&lt;BeginnAlter,"",ROUND((SUM(DC15:DC$56)+SUM(FU$9:FU$56))/VLOOKUP($CU15,$AH$9:$AI$102,2)/VLOOKUP($CU15-EH$103,Männer!$G$9:$J$102,4),Rundäx)))</f>
        <v>8.6509999999999998</v>
      </c>
      <c r="EI15" s="89"/>
      <c r="EJ15" s="35">
        <f t="shared" ref="EJ15:EJ76" si="61">1+EJ14</f>
        <v>23</v>
      </c>
      <c r="EK15" s="43">
        <f>IF($CU15&gt;=RAF,"",IF($CU15-EK$103&lt;BeginnAlter,"",ROUND((SUM(DD15:DD$56)+SUM(FV$9:FV$56))/VLOOKUP($CU15,$AH$9:$AI$102,2)/VLOOKUP($CU15-EK$103,Männer!$G$9:$J$102,4),Rundäx)))</f>
        <v>8.8539999999999992</v>
      </c>
      <c r="EL15" s="43">
        <f>IF($CU15&gt;=RAF,"",IF($CU15-EL$103&lt;BeginnAlter,"",ROUND((SUM(DE15:DE$56)+SUM(FW$9:FW$56))/VLOOKUP($CU15,$AH$9:$AI$102,2)/VLOOKUP($CU15-EL$103,Männer!$G$9:$J$102,4),Rundäx)))</f>
        <v>9.0570000000000004</v>
      </c>
      <c r="EM15" s="43">
        <f>IF($CU15&gt;=RAF,"",IF($CU15-EM$103&lt;BeginnAlter,"",ROUND((SUM(DF15:DF$56)+SUM(FX$9:FX$56))/VLOOKUP($CU15,$AH$9:$AI$102,2)/VLOOKUP($CU15-EM$103,Männer!$G$9:$J$102,4),Rundäx)))</f>
        <v>9.26</v>
      </c>
      <c r="EN15" s="43">
        <f>IF($CU15&gt;=RAF,"",IF($CU15-EN$103&lt;BeginnAlter,"",ROUND((SUM(DG15:DG$56)+SUM(FY$9:FY$56))/VLOOKUP($CU15,$AH$9:$AI$102,2)/VLOOKUP($CU15-EN$103,Männer!$G$9:$J$102,4),Rundäx)))</f>
        <v>9.4610000000000003</v>
      </c>
      <c r="EO15" s="43">
        <f>IF($CU15&gt;=RAF,"",IF($CU15-EO$103&lt;BeginnAlter,"",ROUND((SUM(DH15:DH$56)+SUM(FZ$9:FZ$56))/VLOOKUP($CU15,$AH$9:$AI$102,2)/VLOOKUP($CU15-EO$103,Männer!$G$9:$J$102,4),Rundäx)))</f>
        <v>9.6620000000000008</v>
      </c>
      <c r="EP15" s="43">
        <f>IF($CU15&gt;=RAF,"",IF($CU15-EP$103&lt;BeginnAlter,"",ROUND((SUM(DI15:DI$56)+SUM(GA$9:GA$56))/VLOOKUP($CU15,$AH$9:$AI$102,2)/VLOOKUP($CU15-EP$103,Männer!$G$9:$J$102,4),Rundäx)))</f>
        <v>9.8610000000000007</v>
      </c>
      <c r="EQ15" s="43">
        <f>IF($CU15&gt;=RAF,"",IF($CU15-EQ$103&lt;BeginnAlter,"",ROUND((SUM(DJ15:DJ$56)+SUM(GB$9:GB$56))/VLOOKUP($CU15,$AH$9:$AI$102,2)/VLOOKUP($CU15-EQ$103,Männer!$G$9:$J$102,4),Rundäx)))</f>
        <v>10.06</v>
      </c>
      <c r="ER15" s="43">
        <f>IF($CU15&gt;=RAF,"",IF($CU15-ER$103&lt;BeginnAlter,"",ROUND((SUM(DK15:DK$56)+SUM(GC$9:GC$56))/VLOOKUP($CU15,$AH$9:$AI$102,2)/VLOOKUP($CU15-ER$103,Männer!$G$9:$J$102,4),Rundäx)))</f>
        <v>10.257</v>
      </c>
      <c r="ES15" s="89"/>
      <c r="ET15" s="35">
        <f t="shared" ref="ET15:ET76" si="62">1+ET14</f>
        <v>23</v>
      </c>
      <c r="EU15" s="43">
        <f>IF($CU15&gt;=RAF,"",IF($CU15-EU$103&lt;BeginnAlter,"",ROUND((SUM(DL15:DL$56)+SUM(GD$9:GD$56))/VLOOKUP($CU15,$AH$9:$AI$102,2)/VLOOKUP($CU15-EU$103,Männer!$G$9:$J$102,4),Rundäx)))</f>
        <v>10.454000000000001</v>
      </c>
      <c r="EV15" s="43">
        <f>IF($CU15&gt;=RAF,"",IF($CU15-EV$103&lt;BeginnAlter,"",ROUND((SUM(DM15:DM$56)+SUM(GE$9:GE$56))/VLOOKUP($CU15,$AH$9:$AI$102,2)/VLOOKUP($CU15-EV$103,Männer!$G$9:$J$102,4),Rundäx)))</f>
        <v>10.65</v>
      </c>
      <c r="EW15" s="43">
        <f>IF($CU15&gt;=RAF,"",IF($CU15-EW$103&lt;BeginnAlter,"",ROUND((SUM(DN15:DN$56)+SUM(GF$9:GF$56))/VLOOKUP($CU15,$AH$9:$AI$102,2)/VLOOKUP($CU15-EW$103,Männer!$G$9:$J$102,4),Rundäx)))</f>
        <v>10.846</v>
      </c>
      <c r="EX15" s="43">
        <f>IF($CU15&gt;=RAF,"",IF($CU15-EX$103&lt;BeginnAlter,"",ROUND((SUM(DO15:DO$56)+SUM(GG$9:GG$56))/VLOOKUP($CU15,$AH$9:$AI$102,2)/VLOOKUP($CU15-EX$103,Männer!$G$9:$J$102,4),Rundäx)))</f>
        <v>11.042999999999999</v>
      </c>
      <c r="EY15" s="43">
        <f>IF($CU15&gt;=RAF,"",IF($CU15-EY$103&lt;BeginnAlter,"",ROUND((SUM(DP15:DP$56)+SUM(GH$9:GH$56))/VLOOKUP($CU15,$AH$9:$AI$102,2)/VLOOKUP($CU15-EY$103,Männer!$G$9:$J$102,4),Rundäx)))</f>
        <v>11.24</v>
      </c>
      <c r="EZ15" s="43">
        <f>IF($CU15&gt;=RAF,"",IF($CU15-EZ$103&lt;BeginnAlter,"",ROUND((SUM(DQ15:DQ$56)+SUM(GI$9:GI$56))/VLOOKUP($CU15,$AH$9:$AI$102,2)/VLOOKUP($CU15-EZ$103,Männer!$G$9:$J$102,4),Rundäx)))</f>
        <v>11.436</v>
      </c>
      <c r="FA15" s="43" t="str">
        <f>IF($CU15&gt;=RAF,"",IF($CU15-FA$103&lt;BeginnAlter,"",ROUND((SUM(DR15:DR$56)+SUM(GJ$9:GJ$56))/VLOOKUP($CU15,$AH$9:$AI$102,2)/VLOOKUP($CU15-FA$103,Männer!$G$9:$J$102,4),Rundäx)))</f>
        <v/>
      </c>
      <c r="FB15" s="43" t="str">
        <f>IF($CU15&gt;=RAF,"",IF($CU15-FB$103&lt;BeginnAlter,"",ROUND((SUM(DS15:DS$56)+SUM(GK$9:GK$56))/VLOOKUP($CU15,$AH$9:$AI$102,2)/VLOOKUP($CU15-FB$103,Männer!$G$9:$J$102,4),Rundäx)))</f>
        <v/>
      </c>
      <c r="FC15" s="89"/>
      <c r="FD15" s="35">
        <f t="shared" ref="FD15:FD76" si="63">1+FD14</f>
        <v>23</v>
      </c>
      <c r="FE15" s="43" t="str">
        <f>IF($CU15&gt;=RAF,"",IF($CU15-FE$103&lt;BeginnAlter,"",ROUND((SUM(DT15:DT$56)+SUM(GL$9:GL$56))/VLOOKUP($CU15,$AH$9:$AI$102,2)/VLOOKUP($CU15-FE$103,Männer!$G$9:$J$102,4),Rundäx)))</f>
        <v/>
      </c>
      <c r="FF15" s="43" t="str">
        <f>IF($CU15&gt;=RAF,"",IF($CU15-FF$103&lt;BeginnAlter,"",ROUND((SUM(DU15:DU$56)+SUM(GM$9:GM$56))/VLOOKUP($CU15,$AH$9:$AI$102,2)/VLOOKUP($CU15-FF$103,Männer!$G$9:$J$102,4),Rundäx)))</f>
        <v/>
      </c>
      <c r="FG15" s="43" t="str">
        <f>IF($CU15&gt;=RAF,"",IF($CU15-FG$103&lt;BeginnAlter,"",ROUND((SUM(DV15:DV$56)+SUM(GN$9:GN$56))/VLOOKUP($CU15,$AH$9:$AI$102,2)/VLOOKUP($CU15-FG$103,Männer!$G$9:$J$102,4),Rundäx)))</f>
        <v/>
      </c>
      <c r="FH15" s="43" t="str">
        <f>IF($CU15&gt;=RAF,"",IF($CU15-FH$103&lt;BeginnAlter,"",ROUND((SUM(DW15:DW$56)+SUM(GO$9:GO$56))/VLOOKUP($CU15,$AH$9:$AI$102,2)/VLOOKUP($CU15-FH$103,Männer!$G$9:$J$102,4),Rundäx)))</f>
        <v/>
      </c>
      <c r="FI15" s="43" t="str">
        <f>IF($CU15&gt;=RAF,"",IF($CU15-FI$103&lt;BeginnAlter,"",ROUND((SUM(DX15:DX$56)+SUM(GP$9:GP$56))/VLOOKUP($CU15,$AH$9:$AI$102,2)/VLOOKUP($CU15-FI$103,Männer!$G$9:$J$102,4),Rundäx)))</f>
        <v/>
      </c>
      <c r="FJ15" s="43" t="str">
        <f>IF($CU15&gt;=RAF,"",IF($CU15-FJ$103&lt;BeginnAlter,"",ROUND((SUM(DY15:DY$56)+SUM(GQ$9:GQ$56))/VLOOKUP($CU15,$AH$9:$AI$102,2)/VLOOKUP($CU15-FJ$103,Männer!$G$9:$J$102,4),Rundäx)))</f>
        <v/>
      </c>
      <c r="FK15" s="43" t="str">
        <f>IF($CU15&gt;=RAF,"",IF($CU15-FK$103&lt;BeginnAlter,"",ROUND((SUM(DZ15:DZ$56)+SUM(GR$9:GR$56))/VLOOKUP($CU15,$AH$9:$AI$102,2)/VLOOKUP($CU15-FK$103,Männer!$G$9:$J$102,4),Rundäx)))</f>
        <v/>
      </c>
      <c r="FL15" s="89"/>
      <c r="FM15" s="35">
        <f t="shared" ref="FM15:FM76" si="64">1+FM14</f>
        <v>70</v>
      </c>
      <c r="FN15" s="25">
        <f>ROUND(v^($FM15+FaktorAlter)*VLOOKUP($FM15,$G$9:$J$102,4)*VLOOKUP($FM15,$A$9:$E$102,5)*0.5*(VLOOKUP($FM15-FN$103,Männer!$G$9:$J$102,4)+VLOOKUP($FM15-FN$103+1,Männer!$G$9:$J$102,4))*0.5*(VLOOKUP($FM15-FN$103,Männer!$AZ$9:$BD$102,5)+VLOOKUP($FM15-FN$103+1,Männer!$AZ$9:$BD$102,5)),RundDx)</f>
        <v>45395965</v>
      </c>
      <c r="FO15" s="25">
        <f>ROUND(v^($FM15+FaktorAlter)*VLOOKUP($FM15,$G$9:$J$102,4)*VLOOKUP($FM15,$A$9:$E$102,5)*0.5*(VLOOKUP($FM15-FO$103,Männer!$G$9:$J$102,4)+VLOOKUP($FM15-FO$103+1,Männer!$G$9:$J$102,4))*0.5*(VLOOKUP($FM15-FO$103,Männer!$AZ$9:$BD$102,5)+VLOOKUP($FM15-FO$103+1,Männer!$AZ$9:$BD$102,5)),RundDx)</f>
        <v>53931208</v>
      </c>
      <c r="FP15" s="25">
        <f>ROUND(v^($FM15+FaktorAlter)*VLOOKUP($FM15,$G$9:$J$102,4)*VLOOKUP($FM15,$A$9:$E$102,5)*0.5*(VLOOKUP($FM15-FP$103,Männer!$G$9:$J$102,4)+VLOOKUP($FM15-FP$103+1,Männer!$G$9:$J$102,4))*0.5*(VLOOKUP($FM15-FP$103,Männer!$AZ$9:$BD$102,5)+VLOOKUP($FM15-FP$103+1,Männer!$AZ$9:$BD$102,5)),RundDx)</f>
        <v>63153420</v>
      </c>
      <c r="FQ15" s="25">
        <f>ROUND(v^($FM15+FaktorAlter)*VLOOKUP($FM15,$G$9:$J$102,4)*VLOOKUP($FM15,$A$9:$E$102,5)*0.5*(VLOOKUP($FM15-FQ$103,Männer!$G$9:$J$102,4)+VLOOKUP($FM15-FQ$103+1,Männer!$G$9:$J$102,4))*0.5*(VLOOKUP($FM15-FQ$103,Männer!$AZ$9:$BD$102,5)+VLOOKUP($FM15-FQ$103+1,Männer!$AZ$9:$BD$102,5)),RundDx)</f>
        <v>73027982</v>
      </c>
      <c r="FR15" s="25">
        <f>ROUND(v^($FM15+FaktorAlter)*VLOOKUP($FM15,$G$9:$J$102,4)*VLOOKUP($FM15,$A$9:$E$102,5)*0.5*(VLOOKUP($FM15-FR$103,Männer!$G$9:$J$102,4)+VLOOKUP($FM15-FR$103+1,Männer!$G$9:$J$102,4))*0.5*(VLOOKUP($FM15-FR$103,Männer!$AZ$9:$BD$102,5)+VLOOKUP($FM15-FR$103+1,Männer!$AZ$9:$BD$102,5)),RundDx)</f>
        <v>83514928</v>
      </c>
      <c r="FS15" s="25">
        <f>ROUND(v^($FM15+FaktorAlter)*VLOOKUP($FM15,$G$9:$J$102,4)*VLOOKUP($FM15,$A$9:$E$102,5)*0.5*(VLOOKUP($FM15-FS$103,Männer!$G$9:$J$102,4)+VLOOKUP($FM15-FS$103+1,Männer!$G$9:$J$102,4))*0.5*(VLOOKUP($FM15-FS$103,Männer!$AZ$9:$BD$102,5)+VLOOKUP($FM15-FS$103+1,Männer!$AZ$9:$BD$102,5)),RundDx)</f>
        <v>94558904</v>
      </c>
      <c r="FT15" s="25">
        <f>ROUND(v^($FM15+FaktorAlter)*VLOOKUP($FM15,$G$9:$J$102,4)*VLOOKUP($FM15,$A$9:$E$102,5)*0.5*(VLOOKUP($FM15-FT$103,Männer!$G$9:$J$102,4)+VLOOKUP($FM15-FT$103+1,Männer!$G$9:$J$102,4))*0.5*(VLOOKUP($FM15-FT$103,Männer!$AZ$9:$BD$102,5)+VLOOKUP($FM15-FT$103+1,Männer!$AZ$9:$BD$102,5)),RundDx)</f>
        <v>106106864</v>
      </c>
      <c r="FU15" s="25">
        <f>ROUND(v^($FM15+FaktorAlter)*VLOOKUP($FM15,$G$9:$J$102,4)*VLOOKUP($FM15,$A$9:$E$102,5)*0.5*(VLOOKUP($FM15-FU$103,Männer!$G$9:$J$102,4)+VLOOKUP($FM15-FU$103+1,Männer!$G$9:$J$102,4))*0.5*(VLOOKUP($FM15-FU$103,Männer!$AZ$9:$BD$102,5)+VLOOKUP($FM15-FU$103+1,Männer!$AZ$9:$BD$102,5)),RundDx)</f>
        <v>118103120</v>
      </c>
      <c r="FV15" s="25">
        <f>ROUND(v^($FM15+FaktorAlter)*VLOOKUP($FM15,$G$9:$J$102,4)*VLOOKUP($FM15,$A$9:$E$102,5)*0.5*(VLOOKUP($FM15-FV$103,Männer!$G$9:$J$102,4)+VLOOKUP($FM15-FV$103+1,Männer!$G$9:$J$102,4))*0.5*(VLOOKUP($FM15-FV$103,Männer!$AZ$9:$BD$102,5)+VLOOKUP($FM15-FV$103+1,Männer!$AZ$9:$BD$102,5)),RundDx)</f>
        <v>130487761</v>
      </c>
      <c r="FW15" s="25">
        <f>ROUND(v^($FM15+FaktorAlter)*VLOOKUP($FM15,$G$9:$J$102,4)*VLOOKUP($FM15,$A$9:$E$102,5)*0.5*(VLOOKUP($FM15-FW$103,Männer!$G$9:$J$102,4)+VLOOKUP($FM15-FW$103+1,Männer!$G$9:$J$102,4))*0.5*(VLOOKUP($FM15-FW$103,Männer!$AZ$9:$BD$102,5)+VLOOKUP($FM15-FW$103+1,Männer!$AZ$9:$BD$102,5)),RundDx)</f>
        <v>143194190</v>
      </c>
      <c r="FX15" s="25">
        <f>ROUND(v^($FM15+FaktorAlter)*VLOOKUP($FM15,$G$9:$J$102,4)*VLOOKUP($FM15,$A$9:$E$102,5)*0.5*(VLOOKUP($FM15-FX$103,Männer!$G$9:$J$102,4)+VLOOKUP($FM15-FX$103+1,Männer!$G$9:$J$102,4))*0.5*(VLOOKUP($FM15-FX$103,Männer!$AZ$9:$BD$102,5)+VLOOKUP($FM15-FX$103+1,Männer!$AZ$9:$BD$102,5)),RundDx)</f>
        <v>156141265</v>
      </c>
      <c r="FY15" s="25">
        <f>ROUND(v^($FM15+FaktorAlter)*VLOOKUP($FM15,$G$9:$J$102,4)*VLOOKUP($FM15,$A$9:$E$102,5)*0.5*(VLOOKUP($FM15-FY$103,Männer!$G$9:$J$102,4)+VLOOKUP($FM15-FY$103+1,Männer!$G$9:$J$102,4))*0.5*(VLOOKUP($FM15-FY$103,Männer!$AZ$9:$BD$102,5)+VLOOKUP($FM15-FY$103+1,Männer!$AZ$9:$BD$102,5)),RundDx)</f>
        <v>169268578</v>
      </c>
      <c r="FZ15" s="25">
        <f>ROUND(v^($FM15+FaktorAlter)*VLOOKUP($FM15,$G$9:$J$102,4)*VLOOKUP($FM15,$A$9:$E$102,5)*0.5*(VLOOKUP($FM15-FZ$103,Männer!$G$9:$J$102,4)+VLOOKUP($FM15-FZ$103+1,Männer!$G$9:$J$102,4))*0.5*(VLOOKUP($FM15-FZ$103,Männer!$AZ$9:$BD$102,5)+VLOOKUP($FM15-FZ$103+1,Männer!$AZ$9:$BD$102,5)),RundDx)</f>
        <v>182501247</v>
      </c>
      <c r="GA15" s="25">
        <f>ROUND(v^($FM15+FaktorAlter)*VLOOKUP($FM15,$G$9:$J$102,4)*VLOOKUP($FM15,$A$9:$E$102,5)*0.5*(VLOOKUP($FM15-GA$103,Männer!$G$9:$J$102,4)+VLOOKUP($FM15-GA$103+1,Männer!$G$9:$J$102,4))*0.5*(VLOOKUP($FM15-GA$103,Männer!$AZ$9:$BD$102,5)+VLOOKUP($FM15-GA$103+1,Männer!$AZ$9:$BD$102,5)),RundDx)</f>
        <v>195832453</v>
      </c>
      <c r="GB15" s="25">
        <f>ROUND(v^($FM15+FaktorAlter)*VLOOKUP($FM15,$G$9:$J$102,4)*VLOOKUP($FM15,$A$9:$E$102,5)*0.5*(VLOOKUP($FM15-GB$103,Männer!$G$9:$J$102,4)+VLOOKUP($FM15-GB$103+1,Männer!$G$9:$J$102,4))*0.5*(VLOOKUP($FM15-GB$103,Männer!$AZ$9:$BD$102,5)+VLOOKUP($FM15-GB$103+1,Männer!$AZ$9:$BD$102,5)),RundDx)</f>
        <v>209245715</v>
      </c>
      <c r="GC15" s="25">
        <f>ROUND(v^($FM15+FaktorAlter)*VLOOKUP($FM15,$G$9:$J$102,4)*VLOOKUP($FM15,$A$9:$E$102,5)*0.5*(VLOOKUP($FM15-GC$103,Männer!$G$9:$J$102,4)+VLOOKUP($FM15-GC$103+1,Männer!$G$9:$J$102,4))*0.5*(VLOOKUP($FM15-GC$103,Männer!$AZ$9:$BD$102,5)+VLOOKUP($FM15-GC$103+1,Männer!$AZ$9:$BD$102,5)),RundDx)</f>
        <v>222677677</v>
      </c>
      <c r="GD15" s="25">
        <f>ROUND(v^($FM15+FaktorAlter)*VLOOKUP($FM15,$G$9:$J$102,4)*VLOOKUP($FM15,$A$9:$E$102,5)*0.5*(VLOOKUP($FM15-GD$103,Männer!$G$9:$J$102,4)+VLOOKUP($FM15-GD$103+1,Männer!$G$9:$J$102,4))*0.5*(VLOOKUP($FM15-GD$103,Männer!$AZ$9:$BD$102,5)+VLOOKUP($FM15-GD$103+1,Männer!$AZ$9:$BD$102,5)),RundDx)</f>
        <v>236120299</v>
      </c>
      <c r="GE15" s="25">
        <f>ROUND(v^($FM15+FaktorAlter)*VLOOKUP($FM15,$G$9:$J$102,4)*VLOOKUP($FM15,$A$9:$E$102,5)*0.5*(VLOOKUP($FM15-GE$103,Männer!$G$9:$J$102,4)+VLOOKUP($FM15-GE$103+1,Männer!$G$9:$J$102,4))*0.5*(VLOOKUP($FM15-GE$103,Männer!$AZ$9:$BD$102,5)+VLOOKUP($FM15-GE$103+1,Männer!$AZ$9:$BD$102,5)),RundDx)</f>
        <v>249621259</v>
      </c>
      <c r="GF15" s="25">
        <f>ROUND(v^($FM15+FaktorAlter)*VLOOKUP($FM15,$G$9:$J$102,4)*VLOOKUP($FM15,$A$9:$E$102,5)*0.5*(VLOOKUP($FM15-GF$103,Männer!$G$9:$J$102,4)+VLOOKUP($FM15-GF$103+1,Männer!$G$9:$J$102,4))*0.5*(VLOOKUP($FM15-GF$103,Männer!$AZ$9:$BD$102,5)+VLOOKUP($FM15-GF$103+1,Männer!$AZ$9:$BD$102,5)),RundDx)</f>
        <v>263219495</v>
      </c>
      <c r="GG15" s="25">
        <f>ROUND(v^($FM15+FaktorAlter)*VLOOKUP($FM15,$G$9:$J$102,4)*VLOOKUP($FM15,$A$9:$E$102,5)*0.5*(VLOOKUP($FM15-GG$103,Männer!$G$9:$J$102,4)+VLOOKUP($FM15-GG$103+1,Männer!$G$9:$J$102,4))*0.5*(VLOOKUP($FM15-GG$103,Männer!$AZ$9:$BD$102,5)+VLOOKUP($FM15-GG$103+1,Männer!$AZ$9:$BD$102,5)),RundDx)</f>
        <v>276881436</v>
      </c>
      <c r="GH15" s="25">
        <f>ROUND(v^($FM15+FaktorAlter)*VLOOKUP($FM15,$G$9:$J$102,4)*VLOOKUP($FM15,$A$9:$E$102,5)*0.5*(VLOOKUP($FM15-GH$103,Männer!$G$9:$J$102,4)+VLOOKUP($FM15-GH$103+1,Männer!$G$9:$J$102,4))*0.5*(VLOOKUP($FM15-GH$103,Männer!$AZ$9:$BD$102,5)+VLOOKUP($FM15-GH$103+1,Männer!$AZ$9:$BD$102,5)),RundDx)</f>
        <v>290640357</v>
      </c>
      <c r="GI15" s="25">
        <f>ROUND(v^($FM15+FaktorAlter)*VLOOKUP($FM15,$G$9:$J$102,4)*VLOOKUP($FM15,$A$9:$E$102,5)*0.5*(VLOOKUP($FM15-GI$103,Männer!$G$9:$J$102,4)+VLOOKUP($FM15-GI$103+1,Männer!$G$9:$J$102,4))*0.5*(VLOOKUP($FM15-GI$103,Männer!$AZ$9:$BD$102,5)+VLOOKUP($FM15-GI$103+1,Männer!$AZ$9:$BD$102,5)),RundDx)</f>
        <v>304566483</v>
      </c>
      <c r="GJ15" s="25">
        <f>ROUND(v^($FM15+FaktorAlter)*VLOOKUP($FM15,$G$9:$J$102,4)*VLOOKUP($FM15,$A$9:$E$102,5)*0.5*(VLOOKUP($FM15-GJ$103,Männer!$G$9:$J$102,4)+VLOOKUP($FM15-GJ$103+1,Männer!$G$9:$J$102,4))*0.5*(VLOOKUP($FM15-GJ$103,Männer!$AZ$9:$BD$102,5)+VLOOKUP($FM15-GJ$103+1,Männer!$AZ$9:$BD$102,5)),RundDx)</f>
        <v>318686213</v>
      </c>
      <c r="GK15" s="25">
        <f>ROUND(v^($FM15+FaktorAlter)*VLOOKUP($FM15,$G$9:$J$102,4)*VLOOKUP($FM15,$A$9:$E$102,5)*0.5*(VLOOKUP($FM15-GK$103,Männer!$G$9:$J$102,4)+VLOOKUP($FM15-GK$103+1,Männer!$G$9:$J$102,4))*0.5*(VLOOKUP($FM15-GK$103,Männer!$AZ$9:$BD$102,5)+VLOOKUP($FM15-GK$103+1,Männer!$AZ$9:$BD$102,5)),RundDx)</f>
        <v>333033592</v>
      </c>
      <c r="GL15" s="25">
        <f>ROUND(v^($FM15+FaktorAlter)*VLOOKUP($FM15,$G$9:$J$102,4)*VLOOKUP($FM15,$A$9:$E$102,5)*0.5*(VLOOKUP($FM15-GL$103,Männer!$G$9:$J$102,4)+VLOOKUP($FM15-GL$103+1,Männer!$G$9:$J$102,4))*0.5*(VLOOKUP($FM15-GL$103,Männer!$AZ$9:$BD$102,5)+VLOOKUP($FM15-GL$103+1,Männer!$AZ$9:$BD$102,5)),RundDx)</f>
        <v>347630009</v>
      </c>
      <c r="GM15" s="25">
        <f>ROUND(v^($FM15+FaktorAlter)*VLOOKUP($FM15,$G$9:$J$102,4)*VLOOKUP($FM15,$A$9:$E$102,5)*0.5*(VLOOKUP($FM15-GM$103,Männer!$G$9:$J$102,4)+VLOOKUP($FM15-GM$103+1,Männer!$G$9:$J$102,4))*0.5*(VLOOKUP($FM15-GM$103,Männer!$AZ$9:$BD$102,5)+VLOOKUP($FM15-GM$103+1,Männer!$AZ$9:$BD$102,5)),RundDx)</f>
        <v>362487211</v>
      </c>
      <c r="GN15" s="25">
        <f>ROUND(v^($FM15+FaktorAlter)*VLOOKUP($FM15,$G$9:$J$102,4)*VLOOKUP($FM15,$A$9:$E$102,5)*0.5*(VLOOKUP($FM15-GN$103,Männer!$G$9:$J$102,4)+VLOOKUP($FM15-GN$103+1,Männer!$G$9:$J$102,4))*0.5*(VLOOKUP($FM15-GN$103,Männer!$AZ$9:$BD$102,5)+VLOOKUP($FM15-GN$103+1,Männer!$AZ$9:$BD$102,5)),RundDx)</f>
        <v>377631748</v>
      </c>
      <c r="GO15" s="25">
        <f>ROUND(v^($FM15+FaktorAlter)*VLOOKUP($FM15,$G$9:$J$102,4)*VLOOKUP($FM15,$A$9:$E$102,5)*0.5*(VLOOKUP($FM15-GO$103,Männer!$G$9:$J$102,4)+VLOOKUP($FM15-GO$103+1,Männer!$G$9:$J$102,4))*0.5*(VLOOKUP($FM15-GO$103,Männer!$AZ$9:$BD$102,5)+VLOOKUP($FM15-GO$103+1,Männer!$AZ$9:$BD$102,5)),RundDx)</f>
        <v>393045700</v>
      </c>
      <c r="GP15" s="25">
        <f>ROUND(v^($FM15+FaktorAlter)*VLOOKUP($FM15,$G$9:$J$102,4)*VLOOKUP($FM15,$A$9:$E$102,5)*0.5*(VLOOKUP($FM15-GP$103,Männer!$G$9:$J$102,4)+VLOOKUP($FM15-GP$103+1,Männer!$G$9:$J$102,4))*0.5*(VLOOKUP($FM15-GP$103,Männer!$AZ$9:$BD$102,5)+VLOOKUP($FM15-GP$103+1,Männer!$AZ$9:$BD$102,5)),RundDx)</f>
        <v>408706450</v>
      </c>
      <c r="GQ15" s="25">
        <f>ROUND(v^($FM15+FaktorAlter)*VLOOKUP($FM15,$G$9:$J$102,4)*VLOOKUP($FM15,$A$9:$E$102,5)*0.5*(VLOOKUP($FM15-GQ$103,Männer!$G$9:$J$102,4)+VLOOKUP($FM15-GQ$103+1,Männer!$G$9:$J$102,4))*0.5*(VLOOKUP($FM15-GQ$103,Männer!$AZ$9:$BD$102,5)+VLOOKUP($FM15-GQ$103+1,Männer!$AZ$9:$BD$102,5)),RundDx)</f>
        <v>424609638</v>
      </c>
      <c r="GR15" s="25">
        <f>ROUND(v^($FM15+FaktorAlter)*VLOOKUP($FM15,$G$9:$J$102,4)*VLOOKUP($FM15,$A$9:$E$102,5)*0.5*(VLOOKUP($FM15-GR$103,Männer!$G$9:$J$102,4)+VLOOKUP($FM15-GR$103+1,Männer!$G$9:$J$102,4))*0.5*(VLOOKUP($FM15-GR$103,Männer!$AZ$9:$BD$102,5)+VLOOKUP($FM15-GR$103+1,Männer!$AZ$9:$BD$102,5)),RundDx)</f>
        <v>440522047</v>
      </c>
      <c r="GS15" s="24">
        <f>ROUND(SUM(FN15:FN$56)/VLOOKUP($FM15,$AQ$9:$AR$102,2)/VLOOKUP($FM15-GS$103,Männer!$G$9:$J$102,4),Rundäx)</f>
        <v>0.32900000000000001</v>
      </c>
      <c r="GT15" s="24">
        <f>ROUND(SUM(FO15:FO$56)/VLOOKUP($FM15,$AQ$9:$AR$102,2)/VLOOKUP($FM15-GT$103,Männer!$G$9:$J$102,4),Rundäx)</f>
        <v>0.38300000000000001</v>
      </c>
      <c r="GU15" s="24">
        <f>ROUND(SUM(FP15:FP$56)/VLOOKUP($FM15,$AQ$9:$AR$102,2)/VLOOKUP($FM15-GU$103,Männer!$G$9:$J$102,4),Rundäx)</f>
        <v>0.443</v>
      </c>
      <c r="GV15" s="24">
        <f>ROUND(SUM(FQ15:FQ$56)/VLOOKUP($FM15,$AQ$9:$AR$102,2)/VLOOKUP($FM15-GV$103,Männer!$G$9:$J$102,4),Rundäx)</f>
        <v>0.51</v>
      </c>
      <c r="GW15" s="24">
        <f>ROUND(SUM(FR15:FR$56)/VLOOKUP($FM15,$AQ$9:$AR$102,2)/VLOOKUP($FM15-GW$103,Männer!$G$9:$J$102,4),Rundäx)</f>
        <v>0.58499999999999996</v>
      </c>
      <c r="GX15" s="24">
        <f>ROUND(SUM(FS15:FS$56)/VLOOKUP($FM15,$AQ$9:$AR$102,2)/VLOOKUP($FM15-GX$103,Männer!$G$9:$J$102,4),Rundäx)</f>
        <v>0.66900000000000004</v>
      </c>
      <c r="GY15" s="24">
        <f>ROUND(SUM(FT15:FT$56)/VLOOKUP($FM15,$AQ$9:$AR$102,2)/VLOOKUP($FM15-GY$103,Männer!$G$9:$J$102,4),Rundäx)</f>
        <v>0.76100000000000001</v>
      </c>
      <c r="GZ15" s="24">
        <f>ROUND(SUM(FU15:FU$56)/VLOOKUP($FM15,$AQ$9:$AR$102,2)/VLOOKUP($FM15-GZ$103,Männer!$G$9:$J$102,4),Rundäx)</f>
        <v>0.86299999999999999</v>
      </c>
      <c r="HA15" s="89"/>
      <c r="HB15" s="35">
        <f t="shared" ref="HB15:HB76" si="65">1+HB14</f>
        <v>70</v>
      </c>
      <c r="HC15" s="24">
        <f>ROUND(SUM(FV15:FV$56)/VLOOKUP($FM15,$AQ$9:$AR$102,2)/VLOOKUP($FM15-HC$103,Männer!$G$9:$J$102,4),Rundäx)</f>
        <v>0.97499999999999998</v>
      </c>
      <c r="HD15" s="24">
        <f>ROUND(SUM(FW15:FW$56)/VLOOKUP($FM15,$AQ$9:$AR$102,2)/VLOOKUP($FM15-HD$103,Männer!$G$9:$J$102,4),Rundäx)</f>
        <v>1.0980000000000001</v>
      </c>
      <c r="HE15" s="24">
        <f>ROUND(SUM(FX15:FX$56)/VLOOKUP($FM15,$AQ$9:$AR$102,2)/VLOOKUP($FM15-HE$103,Männer!$G$9:$J$102,4),Rundäx)</f>
        <v>1.232</v>
      </c>
      <c r="HF15" s="24">
        <f>ROUND(SUM(FY15:FY$56)/VLOOKUP($FM15,$AQ$9:$AR$102,2)/VLOOKUP($FM15-HF$103,Männer!$G$9:$J$102,4),Rundäx)</f>
        <v>1.3779999999999999</v>
      </c>
      <c r="HG15" s="24">
        <f>ROUND(SUM(FZ15:FZ$56)/VLOOKUP($FM15,$AQ$9:$AR$102,2)/VLOOKUP($FM15-HG$103,Männer!$G$9:$J$102,4),Rundäx)</f>
        <v>1.536</v>
      </c>
      <c r="HH15" s="24">
        <f>ROUND(SUM(GA15:GA$56)/VLOOKUP($FM15,$AQ$9:$AR$102,2)/VLOOKUP($FM15-HH$103,Männer!$G$9:$J$102,4),Rundäx)</f>
        <v>1.7050000000000001</v>
      </c>
      <c r="HI15" s="24">
        <f>ROUND(SUM(GB15:GB$56)/VLOOKUP($FM15,$AQ$9:$AR$102,2)/VLOOKUP($FM15-HI$103,Männer!$G$9:$J$102,4),Rundäx)</f>
        <v>1.887</v>
      </c>
      <c r="HJ15" s="24">
        <f>ROUND(SUM(GC15:GC$56)/VLOOKUP($FM15,$AQ$9:$AR$102,2)/VLOOKUP($FM15-HJ$103,Männer!$G$9:$J$102,4),Rundäx)</f>
        <v>2.08</v>
      </c>
      <c r="HK15" s="89"/>
      <c r="HL15" s="35">
        <f t="shared" ref="HL15:HL76" si="66">1+HL14</f>
        <v>70</v>
      </c>
      <c r="HM15" s="24">
        <f>ROUND(SUM(GD15:GD$56)/VLOOKUP($FM15,$AQ$9:$AR$102,2)/VLOOKUP($FM15-HM$103,Männer!$G$9:$J$102,4),Rundäx)</f>
        <v>2.286</v>
      </c>
      <c r="HN15" s="24">
        <f>ROUND(SUM(GE15:GE$56)/VLOOKUP($FM15,$AQ$9:$AR$102,2)/VLOOKUP($FM15-HN$103,Männer!$G$9:$J$102,4),Rundäx)</f>
        <v>2.5030000000000001</v>
      </c>
      <c r="HO15" s="24">
        <f>ROUND(SUM(GF15:GF$56)/VLOOKUP($FM15,$AQ$9:$AR$102,2)/VLOOKUP($FM15-HO$103,Männer!$G$9:$J$102,4),Rundäx)</f>
        <v>2.7309999999999999</v>
      </c>
      <c r="HP15" s="24">
        <f>ROUND(SUM(GG15:GG$56)/VLOOKUP($FM15,$AQ$9:$AR$102,2)/VLOOKUP($FM15-HP$103,Männer!$G$9:$J$102,4),Rundäx)</f>
        <v>2.9710000000000001</v>
      </c>
      <c r="HQ15" s="24">
        <f>ROUND(SUM(GH15:GH$56)/VLOOKUP($FM15,$AQ$9:$AR$102,2)/VLOOKUP($FM15-HQ$103,Männer!$G$9:$J$102,4),Rundäx)</f>
        <v>3.2210000000000001</v>
      </c>
      <c r="HR15" s="24">
        <f>ROUND(SUM(GI15:GI$56)/VLOOKUP($FM15,$AQ$9:$AR$102,2)/VLOOKUP($FM15-HR$103,Männer!$G$9:$J$102,4),Rundäx)</f>
        <v>3.4809999999999999</v>
      </c>
      <c r="HS15" s="24">
        <f>ROUND(SUM(GJ15:GJ$56)/VLOOKUP($FM15,$AQ$9:$AR$102,2)/VLOOKUP($FM15-HS$103,Männer!$G$9:$J$102,4),Rundäx)</f>
        <v>3.7509999999999999</v>
      </c>
      <c r="HT15" s="24">
        <f>ROUND(SUM(GK15:GK$56)/VLOOKUP($FM15,$AQ$9:$AR$102,2)/VLOOKUP($FM15-HT$103,Männer!$G$9:$J$102,4),Rundäx)</f>
        <v>4.03</v>
      </c>
      <c r="HU15" s="89"/>
      <c r="HV15" s="35">
        <f t="shared" ref="HV15:HV76" si="67">1+HV14</f>
        <v>70</v>
      </c>
      <c r="HW15" s="24">
        <f>ROUND(SUM(GL15:GL$56)/VLOOKUP($FM15,$AQ$9:$AR$102,2)/VLOOKUP($FM15-HW$103,Männer!$G$9:$J$102,4),Rundäx)</f>
        <v>4.3179999999999996</v>
      </c>
      <c r="HX15" s="24">
        <f>ROUND(SUM(GM15:GM$56)/VLOOKUP($FM15,$AQ$9:$AR$102,2)/VLOOKUP($FM15-HX$103,Männer!$G$9:$J$102,4),Rundäx)</f>
        <v>4.6150000000000002</v>
      </c>
      <c r="HY15" s="24">
        <f>ROUND(SUM(GN15:GN$56)/VLOOKUP($FM15,$AQ$9:$AR$102,2)/VLOOKUP($FM15-HY$103,Männer!$G$9:$J$102,4),Rundäx)</f>
        <v>4.9210000000000003</v>
      </c>
      <c r="HZ15" s="24">
        <f>ROUND(SUM(GO15:GO$56)/VLOOKUP($FM15,$AQ$9:$AR$102,2)/VLOOKUP($FM15-HZ$103,Männer!$G$9:$J$102,4),Rundäx)</f>
        <v>5.234</v>
      </c>
      <c r="IA15" s="24">
        <f>ROUND(SUM(GP15:GP$56)/VLOOKUP($FM15,$AQ$9:$AR$102,2)/VLOOKUP($FM15-IA$103,Männer!$G$9:$J$102,4),Rundäx)</f>
        <v>5.556</v>
      </c>
      <c r="IB15" s="24">
        <f>ROUND(SUM(GQ15:GQ$56)/VLOOKUP($FM15,$AQ$9:$AR$102,2)/VLOOKUP($FM15-IB$103,Männer!$G$9:$J$102,4),Rundäx)</f>
        <v>5.8840000000000003</v>
      </c>
      <c r="IC15" s="24">
        <f>ROUND(SUM(GR15:GR$56)/VLOOKUP($FM15,$AQ$9:$AR$102,2)/VLOOKUP($FM15-IC$103,Männer!$G$9:$J$102,4),Rundäx)</f>
        <v>6.2190000000000003</v>
      </c>
      <c r="ID15" s="89"/>
      <c r="IE15" s="9">
        <f t="shared" ref="IE15:IE44" si="68">1+IE14</f>
        <v>23</v>
      </c>
      <c r="IF15" s="11">
        <f t="shared" si="25"/>
        <v>67</v>
      </c>
      <c r="IG15" s="11">
        <f>IF($IE15&lt;RAF,IF(S16&lt;=RAK,ROUND(SUM(IF15:INDEX(Daky,RAF-BeginnAlter))+INDEX(Day,RAF-BeginnAlter+1)*INDEX(äky,1),RundDx),0),"")</f>
        <v>6329</v>
      </c>
      <c r="IH15" s="11">
        <f>IF($IE15&lt;RAF,IF(S16&lt;=RAK,ROUND(SUM(IG15:INDEX(Naky,RAF-BeginnAlter))+INDEX(Day,RAF-BeginnAlter+1)*INDEX(äky,1),RundDx),0),"")</f>
        <v>95401</v>
      </c>
      <c r="II15" s="10">
        <f t="shared" si="26"/>
        <v>0.106</v>
      </c>
      <c r="IJ15" s="11">
        <f t="shared" si="27"/>
        <v>1799</v>
      </c>
      <c r="IK15" s="11">
        <f>IF($IE15&lt;RAF,IF(S16&lt;=RAK,SUM(IJ15:INDEX(Diky,RAF-BeginnAlter))+INDEX(Diy,RAF-BeginnAlter+1)*INDEX(äky,1),0),"")</f>
        <v>230704</v>
      </c>
      <c r="IL15" s="10">
        <f t="shared" si="28"/>
        <v>1.8049999999999999</v>
      </c>
      <c r="IM15" s="89"/>
      <c r="IN15" s="9">
        <f t="shared" si="29"/>
        <v>70</v>
      </c>
      <c r="IO15" s="11"/>
      <c r="IP15" s="11"/>
      <c r="IQ15" s="10"/>
      <c r="IR15" s="86"/>
    </row>
    <row r="16" spans="1:252" ht="15.75" customHeight="1" x14ac:dyDescent="0.25">
      <c r="A16" s="9">
        <f t="shared" si="4"/>
        <v>24</v>
      </c>
      <c r="B16" s="93">
        <v>3.2319020745738108E-4</v>
      </c>
      <c r="C16" s="93">
        <v>6.2322473249640665E-4</v>
      </c>
      <c r="D16" s="93">
        <v>1.7616951593176822E-2</v>
      </c>
      <c r="E16" s="93">
        <v>3.5043804755940933E-4</v>
      </c>
      <c r="F16" s="89"/>
      <c r="G16" s="9">
        <f t="shared" si="5"/>
        <v>24</v>
      </c>
      <c r="H16" s="11">
        <f t="shared" si="30"/>
        <v>99743</v>
      </c>
      <c r="I16" s="25">
        <f t="shared" si="31"/>
        <v>132</v>
      </c>
      <c r="J16" s="25">
        <f t="shared" si="32"/>
        <v>99875</v>
      </c>
      <c r="K16" s="30">
        <f>IF(J16&gt;0,ROUND(SUM(J16:J$102)/J16-0.5,Rundex),"")</f>
        <v>58.16</v>
      </c>
      <c r="L16" s="25">
        <f t="shared" si="6"/>
        <v>209749</v>
      </c>
      <c r="M16" s="30">
        <f>IF(L16&gt;0,ROUND(SUM(L16:L$102)/L16-0.5,Rundex),"")</f>
        <v>36.19</v>
      </c>
      <c r="N16" s="89"/>
      <c r="O16" s="9">
        <f t="shared" si="49"/>
        <v>24</v>
      </c>
      <c r="P16" s="94">
        <v>9.30871579112105E-2</v>
      </c>
      <c r="Q16" s="95">
        <v>28.204342910613242</v>
      </c>
      <c r="R16" s="94">
        <v>5.0460000000000005E-2</v>
      </c>
      <c r="S16" s="95">
        <v>0.11</v>
      </c>
      <c r="T16" s="28">
        <v>3.5043804755940933E-4</v>
      </c>
      <c r="U16" s="11">
        <f t="shared" si="33"/>
        <v>99875</v>
      </c>
      <c r="V16" s="30">
        <f>IF(U16&gt;0,ROUND(SUM(U16:U$102)/U16-0.5,Rundex),"")</f>
        <v>59.44</v>
      </c>
      <c r="W16" s="89"/>
      <c r="X16" s="9">
        <f t="shared" si="50"/>
        <v>24</v>
      </c>
      <c r="Y16" s="11">
        <f t="shared" si="34"/>
        <v>58474</v>
      </c>
      <c r="Z16" s="11">
        <f>IF($X16&lt;RAF,SUM(Y16:INDEX(Day,RAF-BeginnAlter))," ")</f>
        <v>1470956</v>
      </c>
      <c r="AA16" s="11">
        <f t="shared" si="0"/>
        <v>19</v>
      </c>
      <c r="AB16" s="11">
        <f>IF($X16&lt;RAF,SUM(AA16:INDEX(Cay,RAF-BeginnAlter))," ")</f>
        <v>1411</v>
      </c>
      <c r="AC16" s="11">
        <f t="shared" si="1"/>
        <v>36</v>
      </c>
      <c r="AD16" s="11">
        <f>IF($X16&lt;RAF,SUM(AC16:INDEX(Caiy,RAF-BeginnAlter))," ")</f>
        <v>8431</v>
      </c>
      <c r="AE16" s="10">
        <f t="shared" si="35"/>
        <v>25.155999999999999</v>
      </c>
      <c r="AF16" s="10">
        <f t="shared" si="36"/>
        <v>24.826000000000001</v>
      </c>
      <c r="AG16" s="89"/>
      <c r="AH16" s="9">
        <f t="shared" si="51"/>
        <v>24</v>
      </c>
      <c r="AI16" s="11">
        <f t="shared" si="37"/>
        <v>122965</v>
      </c>
      <c r="AJ16" s="11">
        <f>IF($AH16&gt;RAF," ",IF($AH16&lt;RAF,SUM(AI16:INDEX(Diy,RAF-BeginnAlter))+INDEX(Ny,RAF-BeginnAlter+1),INDEX(Ny,RAF-BeginnAlter+1)))</f>
        <v>2757248</v>
      </c>
      <c r="AK16" s="11">
        <f>IF($AH16&lt;RAF,SUM(AI16:INDEX(Diy,RAF-BeginnAlter))," ")</f>
        <v>2391154</v>
      </c>
      <c r="AL16" s="10">
        <f t="shared" si="38"/>
        <v>22.422999999999998</v>
      </c>
      <c r="AM16" s="10">
        <f t="shared" si="39"/>
        <v>21.965</v>
      </c>
      <c r="AN16" s="10">
        <f t="shared" si="40"/>
        <v>19.446000000000002</v>
      </c>
      <c r="AO16" s="10">
        <f t="shared" si="41"/>
        <v>19.068999999999999</v>
      </c>
      <c r="AP16" s="89"/>
      <c r="AQ16" s="9">
        <f t="shared" si="52"/>
        <v>24</v>
      </c>
      <c r="AR16" s="11">
        <f t="shared" si="42"/>
        <v>58551</v>
      </c>
      <c r="AS16" s="11">
        <f>SUM(AR16:AR$96)</f>
        <v>1906210</v>
      </c>
      <c r="AT16" s="25">
        <f>IF($AQ16&lt;RAF,SUM(AR16:INDEX(Dy,RAF-BeginnAlter))," ")</f>
        <v>1540116</v>
      </c>
      <c r="AU16" s="24">
        <f t="shared" si="43"/>
        <v>32.555999999999997</v>
      </c>
      <c r="AV16" s="24">
        <f t="shared" si="44"/>
        <v>32.097999999999999</v>
      </c>
      <c r="AW16" s="24">
        <f t="shared" si="45"/>
        <v>26.303999999999998</v>
      </c>
      <c r="AX16" s="24">
        <f t="shared" si="46"/>
        <v>26.015999999999998</v>
      </c>
      <c r="AY16" s="89"/>
      <c r="AZ16" s="9">
        <f t="shared" si="53"/>
        <v>24</v>
      </c>
      <c r="BA16" s="11">
        <f t="shared" si="47"/>
        <v>58551</v>
      </c>
      <c r="BB16" s="11">
        <f>SUM(BA16:BA$96)</f>
        <v>1928999</v>
      </c>
      <c r="BC16" s="10">
        <f t="shared" si="48"/>
        <v>32.945999999999998</v>
      </c>
      <c r="BD16" s="10">
        <f t="shared" si="7"/>
        <v>32.487000000000002</v>
      </c>
      <c r="BE16" s="89"/>
      <c r="BF16" s="9">
        <f t="shared" si="54"/>
        <v>7</v>
      </c>
      <c r="BG16" s="10">
        <f t="shared" si="8"/>
        <v>14.997999999999999</v>
      </c>
      <c r="BH16" s="10">
        <f t="shared" si="9"/>
        <v>14.846</v>
      </c>
      <c r="BI16" s="89"/>
      <c r="BJ16" s="9">
        <f t="shared" si="55"/>
        <v>24</v>
      </c>
      <c r="BK16" s="11">
        <f t="shared" si="10"/>
        <v>789</v>
      </c>
      <c r="BL16" s="11">
        <f>IF(BJ16&lt;RAF,SUM(BK16:INDEX(Daiy,RAF-BeginnAlter))," ")</f>
        <v>158254</v>
      </c>
      <c r="BM16" s="11">
        <f>IF(BJ16&lt;RAF,SUM(BL16:INDEX(Naiy,RAF-BeginnAlter))," ")</f>
        <v>4339357</v>
      </c>
      <c r="BN16" s="10">
        <f t="shared" si="11"/>
        <v>4.5860000000000003</v>
      </c>
      <c r="BO16" s="10">
        <f t="shared" si="12"/>
        <v>2.706</v>
      </c>
      <c r="BP16" s="89"/>
      <c r="BQ16" s="9">
        <f t="shared" si="56"/>
        <v>24</v>
      </c>
      <c r="BR16" s="11">
        <f t="shared" si="13"/>
        <v>683</v>
      </c>
      <c r="BS16" s="11">
        <f>IF(BQ16&lt;RAF,SUM(BR16:INDEX(Daiys,RAF-BeginnAlter))," ")</f>
        <v>70531</v>
      </c>
      <c r="BT16" s="11">
        <f>IF(BQ16&lt;RAF,SUM(BS16:INDEX(Naiys,RAF-BeginnAlter))," ")</f>
        <v>1550416</v>
      </c>
      <c r="BU16" s="10">
        <f t="shared" si="14"/>
        <v>6.0860000000000003</v>
      </c>
      <c r="BV16" s="10">
        <f t="shared" si="15"/>
        <v>1.206</v>
      </c>
      <c r="BW16" s="89"/>
      <c r="BX16" s="9">
        <f t="shared" si="57"/>
        <v>24</v>
      </c>
      <c r="BY16" s="10">
        <f t="shared" si="16"/>
        <v>15.097527805460288</v>
      </c>
      <c r="BZ16" s="11">
        <f t="shared" si="17"/>
        <v>30</v>
      </c>
      <c r="CA16" s="11">
        <f>IF(S17&lt;=RAK,IF($BX16&lt;RAF,SUM(BZ16:INDEX(Dazy,RAF-BeginnAlter)),""),"")</f>
        <v>16218</v>
      </c>
      <c r="CB16" s="10">
        <f t="shared" si="18"/>
        <v>0.27700000000000002</v>
      </c>
      <c r="CC16" s="11">
        <f t="shared" si="19"/>
        <v>32869</v>
      </c>
      <c r="CD16" s="10">
        <f t="shared" si="20"/>
        <v>23.344000000000001</v>
      </c>
      <c r="CE16" s="10">
        <f t="shared" si="21"/>
        <v>2E-3</v>
      </c>
      <c r="CF16" s="89"/>
      <c r="CG16" s="9">
        <f t="shared" si="58"/>
        <v>24</v>
      </c>
      <c r="CH16" s="11">
        <f>IF(CG16&lt;RAF,ROUND(v^($CG16+FaktorAlter)*$H16*($B16*0.5*($P16+$P17)*(VLOOKUP(TRUNC(0.5*($Q16+$Q17),0),Männer!$AZ$9:$BD$95,5)+(0.5*($Q16+$Q17)-TRUNC(0.5*($Q16+$Q17),0))*(VLOOKUP(TRUNC(0.5*($Q16+$Q17)+1,0),Männer!$AZ$9:$BD$95,5)-VLOOKUP(TRUNC(0.5*($Q16+$Q17),0),Männer!$AZ$9:$BD$95,5)))+$C16*0.5*($CN16+$CN17)),RundDx),"")</f>
        <v>120</v>
      </c>
      <c r="CI16" s="11">
        <f>IF(CG16&lt;RAF,ROUND(SUM(CH16:INDEX(Dawy,RAF-BeginnAlter))+INDEX(Day,RAF-BeginnAlter+1)*INDEX(äwy,1),RundDx),"")</f>
        <v>14197</v>
      </c>
      <c r="CJ16" s="11">
        <f>IF(CG16&lt;RAF,ROUND(SUM(CI16:INDEX(Nawy,RAF-BeginnAlter))+INDEX(Day,RAF-BeginnAlter+1)*INDEX(äwy,1),RundDx),"")</f>
        <v>353108</v>
      </c>
      <c r="CK16" s="10">
        <f t="shared" si="22"/>
        <v>0.24299999999999999</v>
      </c>
      <c r="CL16" s="11">
        <f>IF(CG16&lt;RAF,ROUND(v^($CG16+FaktorAlter)*$L16*$D16*0.5*($P16+$P17)*(VLOOKUP(TRUNC(0.5*($Q16+$Q17),0),Männer!$AZ$9:$BD$95,5)+(0.5*($Q16+$Q17)-TRUNC(0.5*($Q16+$Q17),0))*(VLOOKUP(TRUNC(0.5*($Q16+$Q17)+1,0),Männer!$AZ$9:$BD$95,5)-VLOOKUP(TRUNC(0.5*($Q16+$Q17),0),Männer!$AZ$9:$BD$95,5))),RundDx),"")</f>
        <v>5995</v>
      </c>
      <c r="CM16" s="11">
        <f>IF(CG16&lt;RAF,SUM(CL16:INDEX(Diwy,RAF-BeginnAlter))+INDEX(Diy,RAF-BeginnAlter+1)*INDEX(äwy,1),"")</f>
        <v>230769.304</v>
      </c>
      <c r="CN16" s="10">
        <f t="shared" si="23"/>
        <v>1.877</v>
      </c>
      <c r="CO16" s="89"/>
      <c r="CP16" s="9">
        <f t="shared" si="59"/>
        <v>71</v>
      </c>
      <c r="CQ16" s="11">
        <f>ROUND(v^($CP16+FaktorAlter)*VLOOKUP(CP16,G$9:J$102,4)*VLOOKUP(CP16,A$9:E$102,5)*0.5*(VLOOKUP(CP16,O$9:P$102,2)+VLOOKUP(CP16+1,O$9:P$102,2))*(VLOOKUP(TRUNC(0.5*(VLOOKUP(CP16,O$9:Q$102,3)+VLOOKUP(CP16+1,O$9:Q$102,3)),0),Männer!$AZ$9:$BD$95,5)+(0.5*(VLOOKUP(CP16,O$9:Q$102,3)+VLOOKUP(CP16+1,O$9:Q$102,3))-TRUNC(0.5*(VLOOKUP(CP16,O$9:Q$102,3)+VLOOKUP(CP16+1,O$9:Q$102,3)),0))*(VLOOKUP(TRUNC(0.5*(VLOOKUP(CP16,O$9:Q$102,3)+VLOOKUP(CP16+1,O$9:Q$102,3))+1,0),Männer!$AZ$9:$BD$95,5)-VLOOKUP(TRUNC(0.5*(VLOOKUP(CP16,O$9:Q$102,3)+VLOOKUP(CP16+1,O$9:Q$102,3)),0),Männer!$AZ$9:$BD$95,5))),RundDx)</f>
        <v>133</v>
      </c>
      <c r="CR16" s="11">
        <f>SUM(CQ16:CQ$56)</f>
        <v>782</v>
      </c>
      <c r="CS16" s="24">
        <f t="shared" si="24"/>
        <v>4.5999999999999999E-2</v>
      </c>
      <c r="CT16" s="89"/>
      <c r="CU16" s="35">
        <f t="shared" si="60"/>
        <v>24</v>
      </c>
      <c r="CV16" s="25">
        <f>IF($CU16&gt;=RAF,"",IF($CU16-CV$103&lt;BeginnAlter,"",ROUND(v^($CU16+FaktorAlter)*$L16*$D16*0.5*(VLOOKUP($CU16-CV$103,Männer!$G$9:$J$102,4)+VLOOKUP($CU16-CV$103+1,Männer!$G$9:$J$102,4))*0.5*(VLOOKUP($CU16-CV$103,Männer!$AZ$9:$BD$102,5)+VLOOKUP($CU16-CV$103+1,Männer!$AZ$9:$BD$102,5)),RundDx)))</f>
        <v>5246279945</v>
      </c>
      <c r="CW16" s="25">
        <f>IF($CU16&gt;=RAF,"",IF($CU16-CW$103&lt;BeginnAlter,"",ROUND(v^($CU16+FaktorAlter)*$L16*$D16*0.5*(VLOOKUP($CU16-CW$103,Männer!$G$9:$J$102,4)+VLOOKUP($CU16-CW$103+1,Männer!$G$9:$J$102,4))*0.5*(VLOOKUP($CU16-CW$103,Männer!$AZ$9:$BD$102,5)+VLOOKUP($CU16-CW$103+1,Männer!$AZ$9:$BD$102,5)),RundDx)))</f>
        <v>5339692018</v>
      </c>
      <c r="CX16" s="25">
        <f>IF($CU16&gt;=RAF,"",IF($CU16-CX$103&lt;BeginnAlter,"",ROUND(v^($CU16+FaktorAlter)*$L16*$D16*0.5*(VLOOKUP($CU16-CX$103,Männer!$G$9:$J$102,4)+VLOOKUP($CU16-CX$103+1,Männer!$G$9:$J$102,4))*0.5*(VLOOKUP($CU16-CX$103,Männer!$AZ$9:$BD$102,5)+VLOOKUP($CU16-CX$103+1,Männer!$AZ$9:$BD$102,5)),RundDx)))</f>
        <v>5431318535</v>
      </c>
      <c r="CY16" s="25">
        <f>IF($CU16&gt;=RAF,"",IF($CU16-CY$103&lt;BeginnAlter,"",ROUND(v^($CU16+FaktorAlter)*$L16*$D16*0.5*(VLOOKUP($CU16-CY$103,Männer!$G$9:$J$102,4)+VLOOKUP($CU16-CY$103+1,Männer!$G$9:$J$102,4))*0.5*(VLOOKUP($CU16-CY$103,Männer!$AZ$9:$BD$102,5)+VLOOKUP($CU16-CY$103+1,Männer!$AZ$9:$BD$102,5)),RundDx)))</f>
        <v>5521079838</v>
      </c>
      <c r="CZ16" s="25">
        <f>IF($CU16&gt;=RAF,"",IF($CU16-CZ$103&lt;BeginnAlter,"",ROUND(v^($CU16+FaktorAlter)*$L16*$D16*0.5*(VLOOKUP($CU16-CZ$103,Männer!$G$9:$J$102,4)+VLOOKUP($CU16-CZ$103+1,Männer!$G$9:$J$102,4))*0.5*(VLOOKUP($CU16-CZ$103,Männer!$AZ$9:$BD$102,5)+VLOOKUP($CU16-CZ$103+1,Männer!$AZ$9:$BD$102,5)),RundDx)))</f>
        <v>5609160921</v>
      </c>
      <c r="DA16" s="25">
        <f>IF($CU16&gt;=RAF,"",IF($CU16-DA$103&lt;BeginnAlter,"",ROUND(v^($CU16+FaktorAlter)*$L16*$D16*0.5*(VLOOKUP($CU16-DA$103,Männer!$G$9:$J$102,4)+VLOOKUP($CU16-DA$103+1,Männer!$G$9:$J$102,4))*0.5*(VLOOKUP($CU16-DA$103,Männer!$AZ$9:$BD$102,5)+VLOOKUP($CU16-DA$103+1,Männer!$AZ$9:$BD$102,5)),RundDx)))</f>
        <v>5695430456</v>
      </c>
      <c r="DB16" s="25">
        <f>IF($CU16&gt;=RAF,"",IF($CU16-DB$103&lt;BeginnAlter,"",ROUND(v^($CU16+FaktorAlter)*$L16*$D16*0.5*(VLOOKUP($CU16-DB$103,Männer!$G$9:$J$102,4)+VLOOKUP($CU16-DB$103+1,Männer!$G$9:$J$102,4))*0.5*(VLOOKUP($CU16-DB$103,Männer!$AZ$9:$BD$102,5)+VLOOKUP($CU16-DB$103+1,Männer!$AZ$9:$BD$102,5)),RundDx)))</f>
        <v>5779951101</v>
      </c>
      <c r="DC16" s="25">
        <f>IF($CU16&gt;=RAF,"",IF($CU16-DC$103&lt;BeginnAlter,"",ROUND(v^($CU16+FaktorAlter)*$L16*$D16*0.5*(VLOOKUP($CU16-DC$103,Männer!$G$9:$J$102,4)+VLOOKUP($CU16-DC$103+1,Männer!$G$9:$J$102,4))*0.5*(VLOOKUP($CU16-DC$103,Männer!$AZ$9:$BD$102,5)+VLOOKUP($CU16-DC$103+1,Männer!$AZ$9:$BD$102,5)),RundDx)))</f>
        <v>5862791029</v>
      </c>
      <c r="DD16" s="25">
        <f>IF($CU16&gt;=RAF,"",IF($CU16-DD$103&lt;BeginnAlter,"",ROUND(v^($CU16+FaktorAlter)*$L16*$D16*0.5*(VLOOKUP($CU16-DD$103,Männer!$G$9:$J$102,4)+VLOOKUP($CU16-DD$103+1,Männer!$G$9:$J$102,4))*0.5*(VLOOKUP($CU16-DD$103,Männer!$AZ$9:$BD$102,5)+VLOOKUP($CU16-DD$103+1,Männer!$AZ$9:$BD$102,5)),RundDx)))</f>
        <v>5943993730</v>
      </c>
      <c r="DE16" s="25">
        <f>IF($CU16&gt;=RAF,"",IF($CU16-DE$103&lt;BeginnAlter,"",ROUND(v^($CU16+FaktorAlter)*$L16*$D16*0.5*(VLOOKUP($CU16-DE$103,Männer!$G$9:$J$102,4)+VLOOKUP($CU16-DE$103+1,Männer!$G$9:$J$102,4))*0.5*(VLOOKUP($CU16-DE$103,Männer!$AZ$9:$BD$102,5)+VLOOKUP($CU16-DE$103+1,Männer!$AZ$9:$BD$102,5)),RundDx)))</f>
        <v>6023575880</v>
      </c>
      <c r="DF16" s="25">
        <f>IF($CU16&gt;=RAF,"",IF($CU16-DF$103&lt;BeginnAlter,"",ROUND(v^($CU16+FaktorAlter)*$L16*$D16*0.5*(VLOOKUP($CU16-DF$103,Männer!$G$9:$J$102,4)+VLOOKUP($CU16-DF$103+1,Männer!$G$9:$J$102,4))*0.5*(VLOOKUP($CU16-DF$103,Männer!$AZ$9:$BD$102,5)+VLOOKUP($CU16-DF$103+1,Männer!$AZ$9:$BD$102,5)),RundDx)))</f>
        <v>6101511157</v>
      </c>
      <c r="DG16" s="25">
        <f>IF($CU16&gt;=RAF,"",IF($CU16-DG$103&lt;BeginnAlter,"",ROUND(v^($CU16+FaktorAlter)*$L16*$D16*0.5*(VLOOKUP($CU16-DG$103,Männer!$G$9:$J$102,4)+VLOOKUP($CU16-DG$103+1,Männer!$G$9:$J$102,4))*0.5*(VLOOKUP($CU16-DG$103,Männer!$AZ$9:$BD$102,5)+VLOOKUP($CU16-DG$103+1,Männer!$AZ$9:$BD$102,5)),RundDx)))</f>
        <v>6177884137</v>
      </c>
      <c r="DH16" s="25">
        <f>IF($CU16&gt;=RAF,"",IF($CU16-DH$103&lt;BeginnAlter,"",ROUND(v^($CU16+FaktorAlter)*$L16*$D16*0.5*(VLOOKUP($CU16-DH$103,Männer!$G$9:$J$102,4)+VLOOKUP($CU16-DH$103+1,Männer!$G$9:$J$102,4))*0.5*(VLOOKUP($CU16-DH$103,Männer!$AZ$9:$BD$102,5)+VLOOKUP($CU16-DH$103+1,Männer!$AZ$9:$BD$102,5)),RundDx)))</f>
        <v>6252645981</v>
      </c>
      <c r="DI16" s="25">
        <f>IF($CU16&gt;=RAF,"",IF($CU16-DI$103&lt;BeginnAlter,"",ROUND(v^($CU16+FaktorAlter)*$L16*$D16*0.5*(VLOOKUP($CU16-DI$103,Männer!$G$9:$J$102,4)+VLOOKUP($CU16-DI$103+1,Männer!$G$9:$J$102,4))*0.5*(VLOOKUP($CU16-DI$103,Männer!$AZ$9:$BD$102,5)+VLOOKUP($CU16-DI$103+1,Männer!$AZ$9:$BD$102,5)),RundDx)))</f>
        <v>6325995366</v>
      </c>
      <c r="DJ16" s="25">
        <f>IF($CU16&gt;=RAF,"",IF($CU16-DJ$103&lt;BeginnAlter,"",ROUND(v^($CU16+FaktorAlter)*$L16*$D16*0.5*(VLOOKUP($CU16-DJ$103,Männer!$G$9:$J$102,4)+VLOOKUP($CU16-DJ$103+1,Männer!$G$9:$J$102,4))*0.5*(VLOOKUP($CU16-DJ$103,Männer!$AZ$9:$BD$102,5)+VLOOKUP($CU16-DJ$103+1,Männer!$AZ$9:$BD$102,5)),RundDx)))</f>
        <v>6397900156</v>
      </c>
      <c r="DK16" s="25">
        <f>IF($CU16&gt;=RAF,"",IF($CU16-DK$103&lt;BeginnAlter,"",ROUND(v^($CU16+FaktorAlter)*$L16*$D16*0.5*(VLOOKUP($CU16-DK$103,Männer!$G$9:$J$102,4)+VLOOKUP($CU16-DK$103+1,Männer!$G$9:$J$102,4))*0.5*(VLOOKUP($CU16-DK$103,Männer!$AZ$9:$BD$102,5)+VLOOKUP($CU16-DK$103+1,Männer!$AZ$9:$BD$102,5)),RundDx)))</f>
        <v>6468178282</v>
      </c>
      <c r="DL16" s="25">
        <f>IF($CU16&gt;=RAF,"",IF($CU16-DL$103&lt;BeginnAlter,"",ROUND(v^($CU16+FaktorAlter)*$L16*$D16*0.5*(VLOOKUP($CU16-DL$103,Männer!$G$9:$J$102,4)+VLOOKUP($CU16-DL$103+1,Männer!$G$9:$J$102,4))*0.5*(VLOOKUP($CU16-DL$103,Männer!$AZ$9:$BD$102,5)+VLOOKUP($CU16-DL$103+1,Männer!$AZ$9:$BD$102,5)),RundDx)))</f>
        <v>6537149351</v>
      </c>
      <c r="DM16" s="25">
        <f>IF($CU16&gt;=RAF,"",IF($CU16-DM$103&lt;BeginnAlter,"",ROUND(v^($CU16+FaktorAlter)*$L16*$D16*0.5*(VLOOKUP($CU16-DM$103,Männer!$G$9:$J$102,4)+VLOOKUP($CU16-DM$103+1,Männer!$G$9:$J$102,4))*0.5*(VLOOKUP($CU16-DM$103,Männer!$AZ$9:$BD$102,5)+VLOOKUP($CU16-DM$103+1,Männer!$AZ$9:$BD$102,5)),RundDx)))</f>
        <v>6604787592</v>
      </c>
      <c r="DN16" s="25">
        <f>IF($CU16&gt;=RAF,"",IF($CU16-DN$103&lt;BeginnAlter,"",ROUND(v^($CU16+FaktorAlter)*$L16*$D16*0.5*(VLOOKUP($CU16-DN$103,Männer!$G$9:$J$102,4)+VLOOKUP($CU16-DN$103+1,Männer!$G$9:$J$102,4))*0.5*(VLOOKUP($CU16-DN$103,Männer!$AZ$9:$BD$102,5)+VLOOKUP($CU16-DN$103+1,Männer!$AZ$9:$BD$102,5)),RundDx)))</f>
        <v>6671062443</v>
      </c>
      <c r="DO16" s="25">
        <f>IF($CU16&gt;=RAF,"",IF($CU16-DO$103&lt;BeginnAlter,"",ROUND(v^($CU16+FaktorAlter)*$L16*$D16*0.5*(VLOOKUP($CU16-DO$103,Männer!$G$9:$J$102,4)+VLOOKUP($CU16-DO$103+1,Männer!$G$9:$J$102,4))*0.5*(VLOOKUP($CU16-DO$103,Männer!$AZ$9:$BD$102,5)+VLOOKUP($CU16-DO$103+1,Männer!$AZ$9:$BD$102,5)),RundDx)))</f>
        <v>6736012068</v>
      </c>
      <c r="DP16" s="25">
        <f>IF($CU16&gt;=RAF,"",IF($CU16-DP$103&lt;BeginnAlter,"",ROUND(v^($CU16+FaktorAlter)*$L16*$D16*0.5*(VLOOKUP($CU16-DP$103,Männer!$G$9:$J$102,4)+VLOOKUP($CU16-DP$103+1,Männer!$G$9:$J$102,4))*0.5*(VLOOKUP($CU16-DP$103,Männer!$AZ$9:$BD$102,5)+VLOOKUP($CU16-DP$103+1,Männer!$AZ$9:$BD$102,5)),RundDx)))</f>
        <v>6799606262</v>
      </c>
      <c r="DQ16" s="25">
        <f>IF($CU16&gt;=RAF,"",IF($CU16-DQ$103&lt;BeginnAlter,"",ROUND(v^($CU16+FaktorAlter)*$L16*$D16*0.5*(VLOOKUP($CU16-DQ$103,Männer!$G$9:$J$102,4)+VLOOKUP($CU16-DQ$103+1,Männer!$G$9:$J$102,4))*0.5*(VLOOKUP($CU16-DQ$103,Männer!$AZ$9:$BD$102,5)+VLOOKUP($CU16-DQ$103+1,Männer!$AZ$9:$BD$102,5)),RundDx)))</f>
        <v>6862013884</v>
      </c>
      <c r="DR16" s="25">
        <f>IF($CU16&gt;=RAF,"",IF($CU16-DR$103&lt;BeginnAlter,"",ROUND(v^($CU16+FaktorAlter)*$L16*$D16*0.5*(VLOOKUP($CU16-DR$103,Männer!$G$9:$J$102,4)+VLOOKUP($CU16-DR$103+1,Männer!$G$9:$J$102,4))*0.5*(VLOOKUP($CU16-DR$103,Männer!$AZ$9:$BD$102,5)+VLOOKUP($CU16-DR$103+1,Männer!$AZ$9:$BD$102,5)),RundDx)))</f>
        <v>6923099973</v>
      </c>
      <c r="DS16" s="25" t="str">
        <f>IF($CU16&gt;=RAF,"",IF($CU16-DS$103&lt;BeginnAlter,"",ROUND(v^($CU16+FaktorAlter)*$L16*$D16*0.5*(VLOOKUP($CU16-DS$103,Männer!$G$9:$J$102,4)+VLOOKUP($CU16-DS$103+1,Männer!$G$9:$J$102,4))*0.5*(VLOOKUP($CU16-DS$103,Männer!$AZ$9:$BD$102,5)+VLOOKUP($CU16-DS$103+1,Männer!$AZ$9:$BD$102,5)),RundDx)))</f>
        <v/>
      </c>
      <c r="DT16" s="25" t="str">
        <f>IF($CU16&gt;=RAF,"",IF($CU16-DT$103&lt;BeginnAlter,"",ROUND(v^($CU16+FaktorAlter)*$L16*$D16*0.5*(VLOOKUP($CU16-DT$103,Männer!$G$9:$J$102,4)+VLOOKUP($CU16-DT$103+1,Männer!$G$9:$J$102,4))*0.5*(VLOOKUP($CU16-DT$103,Männer!$AZ$9:$BD$102,5)+VLOOKUP($CU16-DT$103+1,Männer!$AZ$9:$BD$102,5)),RundDx)))</f>
        <v/>
      </c>
      <c r="DU16" s="25" t="str">
        <f>IF($CU16&gt;=RAF,"",IF($CU16-DU$103&lt;BeginnAlter,"",ROUND(v^($CU16+FaktorAlter)*$L16*$D16*0.5*(VLOOKUP($CU16-DU$103,Männer!$G$9:$J$102,4)+VLOOKUP($CU16-DU$103+1,Männer!$G$9:$J$102,4))*0.5*(VLOOKUP($CU16-DU$103,Männer!$AZ$9:$BD$102,5)+VLOOKUP($CU16-DU$103+1,Männer!$AZ$9:$BD$102,5)),RundDx)))</f>
        <v/>
      </c>
      <c r="DV16" s="25" t="str">
        <f>IF($CU16&gt;=RAF,"",IF($CU16-DV$103&lt;BeginnAlter,"",ROUND(v^($CU16+FaktorAlter)*$L16*$D16*0.5*(VLOOKUP($CU16-DV$103,Männer!$G$9:$J$102,4)+VLOOKUP($CU16-DV$103+1,Männer!$G$9:$J$102,4))*0.5*(VLOOKUP($CU16-DV$103,Männer!$AZ$9:$BD$102,5)+VLOOKUP($CU16-DV$103+1,Männer!$AZ$9:$BD$102,5)),RundDx)))</f>
        <v/>
      </c>
      <c r="DW16" s="25" t="str">
        <f>IF($CU16&gt;=RAF,"",IF($CU16-DW$103&lt;BeginnAlter,"",ROUND(v^($CU16+FaktorAlter)*$L16*$D16*0.5*(VLOOKUP($CU16-DW$103,Männer!$G$9:$J$102,4)+VLOOKUP($CU16-DW$103+1,Männer!$G$9:$J$102,4))*0.5*(VLOOKUP($CU16-DW$103,Männer!$AZ$9:$BD$102,5)+VLOOKUP($CU16-DW$103+1,Männer!$AZ$9:$BD$102,5)),RundDx)))</f>
        <v/>
      </c>
      <c r="DX16" s="25" t="str">
        <f>IF($CU16&gt;=RAF,"",IF($CU16-DX$103&lt;BeginnAlter,"",ROUND(v^($CU16+FaktorAlter)*$L16*$D16*0.5*(VLOOKUP($CU16-DX$103,Männer!$G$9:$J$102,4)+VLOOKUP($CU16-DX$103+1,Männer!$G$9:$J$102,4))*0.5*(VLOOKUP($CU16-DX$103,Männer!$AZ$9:$BD$102,5)+VLOOKUP($CU16-DX$103+1,Männer!$AZ$9:$BD$102,5)),RundDx)))</f>
        <v/>
      </c>
      <c r="DY16" s="25" t="str">
        <f>IF($CU16&gt;=RAF,"",IF($CU16-DY$103&lt;BeginnAlter,"",ROUND(v^($CU16+FaktorAlter)*$L16*$D16*0.5*(VLOOKUP($CU16-DY$103,Männer!$G$9:$J$102,4)+VLOOKUP($CU16-DY$103+1,Männer!$G$9:$J$102,4))*0.5*(VLOOKUP($CU16-DY$103,Männer!$AZ$9:$BD$102,5)+VLOOKUP($CU16-DY$103+1,Männer!$AZ$9:$BD$102,5)),RundDx)))</f>
        <v/>
      </c>
      <c r="DZ16" s="25" t="str">
        <f>IF($CU16&gt;=RAF,"",IF($CU16-DZ$103&lt;BeginnAlter,"",ROUND(v^($CU16+FaktorAlter)*$L16*$D16*0.5*(VLOOKUP($CU16-DZ$103,Männer!$G$9:$J$102,4)+VLOOKUP($CU16-DZ$103+1,Männer!$G$9:$J$102,4))*0.5*(VLOOKUP($CU16-DZ$103,Männer!$AZ$9:$BD$102,5)+VLOOKUP($CU16-DZ$103+1,Männer!$AZ$9:$BD$102,5)),RundDx)))</f>
        <v/>
      </c>
      <c r="EA16" s="43">
        <f>IF($CU16&gt;=RAF,"",IF($CU16-EA$103&lt;BeginnAlter,"",ROUND((SUM(CV16:CV$56)+SUM(FN$9:FN$56))/VLOOKUP($CU16,$AH$9:$AI$102,2)/VLOOKUP($CU16-EA$103,Männer!$G$9:$J$102,4),Rundäx)))</f>
        <v>7.077</v>
      </c>
      <c r="EB16" s="43">
        <f>IF($CU16&gt;=RAF,"",IF($CU16-EB$103&lt;BeginnAlter,"",ROUND((SUM(CW16:CW$56)+SUM(FO$9:FO$56))/VLOOKUP($CU16,$AH$9:$AI$102,2)/VLOOKUP($CU16-EB$103,Männer!$G$9:$J$102,4),Rundäx)))</f>
        <v>7.2850000000000001</v>
      </c>
      <c r="EC16" s="43">
        <f>IF($CU16&gt;=RAF,"",IF($CU16-EC$103&lt;BeginnAlter,"",ROUND((SUM(CX16:CX$56)+SUM(FP$9:FP$56))/VLOOKUP($CU16,$AH$9:$AI$102,2)/VLOOKUP($CU16-EC$103,Männer!$G$9:$J$102,4),Rundäx)))</f>
        <v>7.4930000000000003</v>
      </c>
      <c r="ED16" s="43">
        <f>IF($CU16&gt;=RAF,"",IF($CU16-ED$103&lt;BeginnAlter,"",ROUND((SUM(CY16:CY$56)+SUM(FQ$9:FQ$56))/VLOOKUP($CU16,$AH$9:$AI$102,2)/VLOOKUP($CU16-ED$103,Männer!$G$9:$J$102,4),Rundäx)))</f>
        <v>7.7</v>
      </c>
      <c r="EE16" s="43">
        <f>IF($CU16&gt;=RAF,"",IF($CU16-EE$103&lt;BeginnAlter,"",ROUND((SUM(CZ16:CZ$56)+SUM(FR$9:FR$56))/VLOOKUP($CU16,$AH$9:$AI$102,2)/VLOOKUP($CU16-EE$103,Männer!$G$9:$J$102,4),Rundäx)))</f>
        <v>7.9080000000000004</v>
      </c>
      <c r="EF16" s="43">
        <f>IF($CU16&gt;=RAF,"",IF($CU16-EF$103&lt;BeginnAlter,"",ROUND((SUM(DA16:DA$56)+SUM(FS$9:FS$56))/VLOOKUP($CU16,$AH$9:$AI$102,2)/VLOOKUP($CU16-EF$103,Männer!$G$9:$J$102,4),Rundäx)))</f>
        <v>8.1150000000000002</v>
      </c>
      <c r="EG16" s="43">
        <f>IF($CU16&gt;=RAF,"",IF($CU16-EG$103&lt;BeginnAlter,"",ROUND((SUM(DB16:DB$56)+SUM(FT$9:FT$56))/VLOOKUP($CU16,$AH$9:$AI$102,2)/VLOOKUP($CU16-EG$103,Männer!$G$9:$J$102,4),Rundäx)))</f>
        <v>8.3219999999999992</v>
      </c>
      <c r="EH16" s="43">
        <f>IF($CU16&gt;=RAF,"",IF($CU16-EH$103&lt;BeginnAlter,"",ROUND((SUM(DC16:DC$56)+SUM(FU$9:FU$56))/VLOOKUP($CU16,$AH$9:$AI$102,2)/VLOOKUP($CU16-EH$103,Männer!$G$9:$J$102,4),Rundäx)))</f>
        <v>8.5280000000000005</v>
      </c>
      <c r="EI16" s="89"/>
      <c r="EJ16" s="35">
        <f t="shared" si="61"/>
        <v>24</v>
      </c>
      <c r="EK16" s="43">
        <f>IF($CU16&gt;=RAF,"",IF($CU16-EK$103&lt;BeginnAlter,"",ROUND((SUM(DD16:DD$56)+SUM(FV$9:FV$56))/VLOOKUP($CU16,$AH$9:$AI$102,2)/VLOOKUP($CU16-EK$103,Männer!$G$9:$J$102,4),Rundäx)))</f>
        <v>8.7330000000000005</v>
      </c>
      <c r="EL16" s="43">
        <f>IF($CU16&gt;=RAF,"",IF($CU16-EL$103&lt;BeginnAlter,"",ROUND((SUM(DE16:DE$56)+SUM(FW$9:FW$56))/VLOOKUP($CU16,$AH$9:$AI$102,2)/VLOOKUP($CU16-EL$103,Männer!$G$9:$J$102,4),Rundäx)))</f>
        <v>8.9390000000000001</v>
      </c>
      <c r="EM16" s="43">
        <f>IF($CU16&gt;=RAF,"",IF($CU16-EM$103&lt;BeginnAlter,"",ROUND((SUM(DF16:DF$56)+SUM(FX$9:FX$56))/VLOOKUP($CU16,$AH$9:$AI$102,2)/VLOOKUP($CU16-EM$103,Männer!$G$9:$J$102,4),Rundäx)))</f>
        <v>9.1430000000000007</v>
      </c>
      <c r="EN16" s="43">
        <f>IF($CU16&gt;=RAF,"",IF($CU16-EN$103&lt;BeginnAlter,"",ROUND((SUM(DG16:DG$56)+SUM(FY$9:FY$56))/VLOOKUP($CU16,$AH$9:$AI$102,2)/VLOOKUP($CU16-EN$103,Männer!$G$9:$J$102,4),Rundäx)))</f>
        <v>9.3469999999999995</v>
      </c>
      <c r="EO16" s="43">
        <f>IF($CU16&gt;=RAF,"",IF($CU16-EO$103&lt;BeginnAlter,"",ROUND((SUM(DH16:DH$56)+SUM(FZ$9:FZ$56))/VLOOKUP($CU16,$AH$9:$AI$102,2)/VLOOKUP($CU16-EO$103,Männer!$G$9:$J$102,4),Rundäx)))</f>
        <v>9.5500000000000007</v>
      </c>
      <c r="EP16" s="43">
        <f>IF($CU16&gt;=RAF,"",IF($CU16-EP$103&lt;BeginnAlter,"",ROUND((SUM(DI16:DI$56)+SUM(GA$9:GA$56))/VLOOKUP($CU16,$AH$9:$AI$102,2)/VLOOKUP($CU16-EP$103,Männer!$G$9:$J$102,4),Rundäx)))</f>
        <v>9.7530000000000001</v>
      </c>
      <c r="EQ16" s="43">
        <f>IF($CU16&gt;=RAF,"",IF($CU16-EQ$103&lt;BeginnAlter,"",ROUND((SUM(DJ16:DJ$56)+SUM(GB$9:GB$56))/VLOOKUP($CU16,$AH$9:$AI$102,2)/VLOOKUP($CU16-EQ$103,Männer!$G$9:$J$102,4),Rundäx)))</f>
        <v>9.9540000000000006</v>
      </c>
      <c r="ER16" s="43">
        <f>IF($CU16&gt;=RAF,"",IF($CU16-ER$103&lt;BeginnAlter,"",ROUND((SUM(DK16:DK$56)+SUM(GC$9:GC$56))/VLOOKUP($CU16,$AH$9:$AI$102,2)/VLOOKUP($CU16-ER$103,Männer!$G$9:$J$102,4),Rundäx)))</f>
        <v>10.154999999999999</v>
      </c>
      <c r="ES16" s="89"/>
      <c r="ET16" s="35">
        <f t="shared" si="62"/>
        <v>24</v>
      </c>
      <c r="EU16" s="43">
        <f>IF($CU16&gt;=RAF,"",IF($CU16-EU$103&lt;BeginnAlter,"",ROUND((SUM(DL16:DL$56)+SUM(GD$9:GD$56))/VLOOKUP($CU16,$AH$9:$AI$102,2)/VLOOKUP($CU16-EU$103,Männer!$G$9:$J$102,4),Rundäx)))</f>
        <v>10.353999999999999</v>
      </c>
      <c r="EV16" s="43">
        <f>IF($CU16&gt;=RAF,"",IF($CU16-EV$103&lt;BeginnAlter,"",ROUND((SUM(DM16:DM$56)+SUM(GE$9:GE$56))/VLOOKUP($CU16,$AH$9:$AI$102,2)/VLOOKUP($CU16-EV$103,Männer!$G$9:$J$102,4),Rundäx)))</f>
        <v>10.553000000000001</v>
      </c>
      <c r="EW16" s="43">
        <f>IF($CU16&gt;=RAF,"",IF($CU16-EW$103&lt;BeginnAlter,"",ROUND((SUM(DN16:DN$56)+SUM(GF$9:GF$56))/VLOOKUP($CU16,$AH$9:$AI$102,2)/VLOOKUP($CU16-EW$103,Männer!$G$9:$J$102,4),Rundäx)))</f>
        <v>10.752000000000001</v>
      </c>
      <c r="EX16" s="43">
        <f>IF($CU16&gt;=RAF,"",IF($CU16-EX$103&lt;BeginnAlter,"",ROUND((SUM(DO16:DO$56)+SUM(GG$9:GG$56))/VLOOKUP($CU16,$AH$9:$AI$102,2)/VLOOKUP($CU16-EX$103,Männer!$G$9:$J$102,4),Rundäx)))</f>
        <v>10.95</v>
      </c>
      <c r="EY16" s="43">
        <f>IF($CU16&gt;=RAF,"",IF($CU16-EY$103&lt;BeginnAlter,"",ROUND((SUM(DP16:DP$56)+SUM(GH$9:GH$56))/VLOOKUP($CU16,$AH$9:$AI$102,2)/VLOOKUP($CU16-EY$103,Männer!$G$9:$J$102,4),Rundäx)))</f>
        <v>11.148</v>
      </c>
      <c r="EZ16" s="43">
        <f>IF($CU16&gt;=RAF,"",IF($CU16-EZ$103&lt;BeginnAlter,"",ROUND((SUM(DQ16:DQ$56)+SUM(GI$9:GI$56))/VLOOKUP($CU16,$AH$9:$AI$102,2)/VLOOKUP($CU16-EZ$103,Männer!$G$9:$J$102,4),Rundäx)))</f>
        <v>11.347</v>
      </c>
      <c r="FA16" s="43">
        <f>IF($CU16&gt;=RAF,"",IF($CU16-FA$103&lt;BeginnAlter,"",ROUND((SUM(DR16:DR$56)+SUM(GJ$9:GJ$56))/VLOOKUP($CU16,$AH$9:$AI$102,2)/VLOOKUP($CU16-FA$103,Männer!$G$9:$J$102,4),Rundäx)))</f>
        <v>11.545999999999999</v>
      </c>
      <c r="FB16" s="43" t="str">
        <f>IF($CU16&gt;=RAF,"",IF($CU16-FB$103&lt;BeginnAlter,"",ROUND((SUM(DS16:DS$56)+SUM(GK$9:GK$56))/VLOOKUP($CU16,$AH$9:$AI$102,2)/VLOOKUP($CU16-FB$103,Männer!$G$9:$J$102,4),Rundäx)))</f>
        <v/>
      </c>
      <c r="FC16" s="89"/>
      <c r="FD16" s="35">
        <f t="shared" si="63"/>
        <v>24</v>
      </c>
      <c r="FE16" s="43" t="str">
        <f>IF($CU16&gt;=RAF,"",IF($CU16-FE$103&lt;BeginnAlter,"",ROUND((SUM(DT16:DT$56)+SUM(GL$9:GL$56))/VLOOKUP($CU16,$AH$9:$AI$102,2)/VLOOKUP($CU16-FE$103,Männer!$G$9:$J$102,4),Rundäx)))</f>
        <v/>
      </c>
      <c r="FF16" s="43" t="str">
        <f>IF($CU16&gt;=RAF,"",IF($CU16-FF$103&lt;BeginnAlter,"",ROUND((SUM(DU16:DU$56)+SUM(GM$9:GM$56))/VLOOKUP($CU16,$AH$9:$AI$102,2)/VLOOKUP($CU16-FF$103,Männer!$G$9:$J$102,4),Rundäx)))</f>
        <v/>
      </c>
      <c r="FG16" s="43" t="str">
        <f>IF($CU16&gt;=RAF,"",IF($CU16-FG$103&lt;BeginnAlter,"",ROUND((SUM(DV16:DV$56)+SUM(GN$9:GN$56))/VLOOKUP($CU16,$AH$9:$AI$102,2)/VLOOKUP($CU16-FG$103,Männer!$G$9:$J$102,4),Rundäx)))</f>
        <v/>
      </c>
      <c r="FH16" s="43" t="str">
        <f>IF($CU16&gt;=RAF,"",IF($CU16-FH$103&lt;BeginnAlter,"",ROUND((SUM(DW16:DW$56)+SUM(GO$9:GO$56))/VLOOKUP($CU16,$AH$9:$AI$102,2)/VLOOKUP($CU16-FH$103,Männer!$G$9:$J$102,4),Rundäx)))</f>
        <v/>
      </c>
      <c r="FI16" s="43" t="str">
        <f>IF($CU16&gt;=RAF,"",IF($CU16-FI$103&lt;BeginnAlter,"",ROUND((SUM(DX16:DX$56)+SUM(GP$9:GP$56))/VLOOKUP($CU16,$AH$9:$AI$102,2)/VLOOKUP($CU16-FI$103,Männer!$G$9:$J$102,4),Rundäx)))</f>
        <v/>
      </c>
      <c r="FJ16" s="43" t="str">
        <f>IF($CU16&gt;=RAF,"",IF($CU16-FJ$103&lt;BeginnAlter,"",ROUND((SUM(DY16:DY$56)+SUM(GQ$9:GQ$56))/VLOOKUP($CU16,$AH$9:$AI$102,2)/VLOOKUP($CU16-FJ$103,Männer!$G$9:$J$102,4),Rundäx)))</f>
        <v/>
      </c>
      <c r="FK16" s="43" t="str">
        <f>IF($CU16&gt;=RAF,"",IF($CU16-FK$103&lt;BeginnAlter,"",ROUND((SUM(DZ16:DZ$56)+SUM(GR$9:GR$56))/VLOOKUP($CU16,$AH$9:$AI$102,2)/VLOOKUP($CU16-FK$103,Männer!$G$9:$J$102,4),Rundäx)))</f>
        <v/>
      </c>
      <c r="FL16" s="89"/>
      <c r="FM16" s="35">
        <f t="shared" si="64"/>
        <v>71</v>
      </c>
      <c r="FN16" s="25">
        <f>ROUND(v^($FM16+FaktorAlter)*VLOOKUP($FM16,$G$9:$J$102,4)*VLOOKUP($FM16,$A$9:$E$102,5)*0.5*(VLOOKUP($FM16-FN$103,Männer!$G$9:$J$102,4)+VLOOKUP($FM16-FN$103+1,Männer!$G$9:$J$102,4))*0.5*(VLOOKUP($FM16-FN$103,Männer!$AZ$9:$BD$102,5)+VLOOKUP($FM16-FN$103+1,Männer!$AZ$9:$BD$102,5)),RundDx)</f>
        <v>38529869</v>
      </c>
      <c r="FO16" s="25">
        <f>ROUND(v^($FM16+FaktorAlter)*VLOOKUP($FM16,$G$9:$J$102,4)*VLOOKUP($FM16,$A$9:$E$102,5)*0.5*(VLOOKUP($FM16-FO$103,Männer!$G$9:$J$102,4)+VLOOKUP($FM16-FO$103+1,Männer!$G$9:$J$102,4))*0.5*(VLOOKUP($FM16-FO$103,Männer!$AZ$9:$BD$102,5)+VLOOKUP($FM16-FO$103+1,Männer!$AZ$9:$BD$102,5)),RundDx)</f>
        <v>46528872</v>
      </c>
      <c r="FP16" s="25">
        <f>ROUND(v^($FM16+FaktorAlter)*VLOOKUP($FM16,$G$9:$J$102,4)*VLOOKUP($FM16,$A$9:$E$102,5)*0.5*(VLOOKUP($FM16-FP$103,Männer!$G$9:$J$102,4)+VLOOKUP($FM16-FP$103+1,Männer!$G$9:$J$102,4))*0.5*(VLOOKUP($FM16-FP$103,Männer!$AZ$9:$BD$102,5)+VLOOKUP($FM16-FP$103+1,Männer!$AZ$9:$BD$102,5)),RundDx)</f>
        <v>55277121</v>
      </c>
      <c r="FQ16" s="25">
        <f>ROUND(v^($FM16+FaktorAlter)*VLOOKUP($FM16,$G$9:$J$102,4)*VLOOKUP($FM16,$A$9:$E$102,5)*0.5*(VLOOKUP($FM16-FQ$103,Männer!$G$9:$J$102,4)+VLOOKUP($FM16-FQ$103+1,Männer!$G$9:$J$102,4))*0.5*(VLOOKUP($FM16-FQ$103,Männer!$AZ$9:$BD$102,5)+VLOOKUP($FM16-FQ$103+1,Männer!$AZ$9:$BD$102,5)),RundDx)</f>
        <v>64729484</v>
      </c>
      <c r="FR16" s="25">
        <f>ROUND(v^($FM16+FaktorAlter)*VLOOKUP($FM16,$G$9:$J$102,4)*VLOOKUP($FM16,$A$9:$E$102,5)*0.5*(VLOOKUP($FM16-FR$103,Männer!$G$9:$J$102,4)+VLOOKUP($FM16-FR$103+1,Männer!$G$9:$J$102,4))*0.5*(VLOOKUP($FM16-FR$103,Männer!$AZ$9:$BD$102,5)+VLOOKUP($FM16-FR$103+1,Männer!$AZ$9:$BD$102,5)),RundDx)</f>
        <v>74850477</v>
      </c>
      <c r="FS16" s="25">
        <f>ROUND(v^($FM16+FaktorAlter)*VLOOKUP($FM16,$G$9:$J$102,4)*VLOOKUP($FM16,$A$9:$E$102,5)*0.5*(VLOOKUP($FM16-FS$103,Männer!$G$9:$J$102,4)+VLOOKUP($FM16-FS$103+1,Männer!$G$9:$J$102,4))*0.5*(VLOOKUP($FM16-FS$103,Männer!$AZ$9:$BD$102,5)+VLOOKUP($FM16-FS$103+1,Männer!$AZ$9:$BD$102,5)),RundDx)</f>
        <v>85599136</v>
      </c>
      <c r="FT16" s="25">
        <f>ROUND(v^($FM16+FaktorAlter)*VLOOKUP($FM16,$G$9:$J$102,4)*VLOOKUP($FM16,$A$9:$E$102,5)*0.5*(VLOOKUP($FM16-FT$103,Männer!$G$9:$J$102,4)+VLOOKUP($FM16-FT$103+1,Männer!$G$9:$J$102,4))*0.5*(VLOOKUP($FM16-FT$103,Männer!$AZ$9:$BD$102,5)+VLOOKUP($FM16-FT$103+1,Männer!$AZ$9:$BD$102,5)),RundDx)</f>
        <v>96918726</v>
      </c>
      <c r="FU16" s="25">
        <f>ROUND(v^($FM16+FaktorAlter)*VLOOKUP($FM16,$G$9:$J$102,4)*VLOOKUP($FM16,$A$9:$E$102,5)*0.5*(VLOOKUP($FM16-FU$103,Männer!$G$9:$J$102,4)+VLOOKUP($FM16-FU$103+1,Männer!$G$9:$J$102,4))*0.5*(VLOOKUP($FM16-FU$103,Männer!$AZ$9:$BD$102,5)+VLOOKUP($FM16-FU$103+1,Männer!$AZ$9:$BD$102,5)),RundDx)</f>
        <v>108754879</v>
      </c>
      <c r="FV16" s="25">
        <f>ROUND(v^($FM16+FaktorAlter)*VLOOKUP($FM16,$G$9:$J$102,4)*VLOOKUP($FM16,$A$9:$E$102,5)*0.5*(VLOOKUP($FM16-FV$103,Männer!$G$9:$J$102,4)+VLOOKUP($FM16-FV$103+1,Männer!$G$9:$J$102,4))*0.5*(VLOOKUP($FM16-FV$103,Männer!$AZ$9:$BD$102,5)+VLOOKUP($FM16-FV$103+1,Männer!$AZ$9:$BD$102,5)),RundDx)</f>
        <v>121050515</v>
      </c>
      <c r="FW16" s="25">
        <f>ROUND(v^($FM16+FaktorAlter)*VLOOKUP($FM16,$G$9:$J$102,4)*VLOOKUP($FM16,$A$9:$E$102,5)*0.5*(VLOOKUP($FM16-FW$103,Männer!$G$9:$J$102,4)+VLOOKUP($FM16-FW$103+1,Männer!$G$9:$J$102,4))*0.5*(VLOOKUP($FM16-FW$103,Männer!$AZ$9:$BD$102,5)+VLOOKUP($FM16-FW$103+1,Männer!$AZ$9:$BD$102,5)),RundDx)</f>
        <v>133744228</v>
      </c>
      <c r="FX16" s="25">
        <f>ROUND(v^($FM16+FaktorAlter)*VLOOKUP($FM16,$G$9:$J$102,4)*VLOOKUP($FM16,$A$9:$E$102,5)*0.5*(VLOOKUP($FM16-FX$103,Männer!$G$9:$J$102,4)+VLOOKUP($FM16-FX$103+1,Männer!$G$9:$J$102,4))*0.5*(VLOOKUP($FM16-FX$103,Männer!$AZ$9:$BD$102,5)+VLOOKUP($FM16-FX$103+1,Männer!$AZ$9:$BD$102,5)),RundDx)</f>
        <v>146767760</v>
      </c>
      <c r="FY16" s="25">
        <f>ROUND(v^($FM16+FaktorAlter)*VLOOKUP($FM16,$G$9:$J$102,4)*VLOOKUP($FM16,$A$9:$E$102,5)*0.5*(VLOOKUP($FM16-FY$103,Männer!$G$9:$J$102,4)+VLOOKUP($FM16-FY$103+1,Männer!$G$9:$J$102,4))*0.5*(VLOOKUP($FM16-FY$103,Männer!$AZ$9:$BD$102,5)+VLOOKUP($FM16-FY$103+1,Männer!$AZ$9:$BD$102,5)),RundDx)</f>
        <v>160037944</v>
      </c>
      <c r="FZ16" s="25">
        <f>ROUND(v^($FM16+FaktorAlter)*VLOOKUP($FM16,$G$9:$J$102,4)*VLOOKUP($FM16,$A$9:$E$102,5)*0.5*(VLOOKUP($FM16-FZ$103,Männer!$G$9:$J$102,4)+VLOOKUP($FM16-FZ$103+1,Männer!$G$9:$J$102,4))*0.5*(VLOOKUP($FM16-FZ$103,Männer!$AZ$9:$BD$102,5)+VLOOKUP($FM16-FZ$103+1,Männer!$AZ$9:$BD$102,5)),RundDx)</f>
        <v>173492864</v>
      </c>
      <c r="GA16" s="25">
        <f>ROUND(v^($FM16+FaktorAlter)*VLOOKUP($FM16,$G$9:$J$102,4)*VLOOKUP($FM16,$A$9:$E$102,5)*0.5*(VLOOKUP($FM16-GA$103,Männer!$G$9:$J$102,4)+VLOOKUP($FM16-GA$103+1,Männer!$G$9:$J$102,4))*0.5*(VLOOKUP($FM16-GA$103,Männer!$AZ$9:$BD$102,5)+VLOOKUP($FM16-GA$103+1,Männer!$AZ$9:$BD$102,5)),RundDx)</f>
        <v>187055768</v>
      </c>
      <c r="GB16" s="25">
        <f>ROUND(v^($FM16+FaktorAlter)*VLOOKUP($FM16,$G$9:$J$102,4)*VLOOKUP($FM16,$A$9:$E$102,5)*0.5*(VLOOKUP($FM16-GB$103,Männer!$G$9:$J$102,4)+VLOOKUP($FM16-GB$103+1,Männer!$G$9:$J$102,4))*0.5*(VLOOKUP($FM16-GB$103,Männer!$AZ$9:$BD$102,5)+VLOOKUP($FM16-GB$103+1,Männer!$AZ$9:$BD$102,5)),RundDx)</f>
        <v>200719669</v>
      </c>
      <c r="GC16" s="25">
        <f>ROUND(v^($FM16+FaktorAlter)*VLOOKUP($FM16,$G$9:$J$102,4)*VLOOKUP($FM16,$A$9:$E$102,5)*0.5*(VLOOKUP($FM16-GC$103,Männer!$G$9:$J$102,4)+VLOOKUP($FM16-GC$103+1,Männer!$G$9:$J$102,4))*0.5*(VLOOKUP($FM16-GC$103,Männer!$AZ$9:$BD$102,5)+VLOOKUP($FM16-GC$103+1,Männer!$AZ$9:$BD$102,5)),RundDx)</f>
        <v>214467674</v>
      </c>
      <c r="GD16" s="25">
        <f>ROUND(v^($FM16+FaktorAlter)*VLOOKUP($FM16,$G$9:$J$102,4)*VLOOKUP($FM16,$A$9:$E$102,5)*0.5*(VLOOKUP($FM16-GD$103,Männer!$G$9:$J$102,4)+VLOOKUP($FM16-GD$103+1,Männer!$G$9:$J$102,4))*0.5*(VLOOKUP($FM16-GD$103,Männer!$AZ$9:$BD$102,5)+VLOOKUP($FM16-GD$103+1,Männer!$AZ$9:$BD$102,5)),RundDx)</f>
        <v>228234846</v>
      </c>
      <c r="GE16" s="25">
        <f>ROUND(v^($FM16+FaktorAlter)*VLOOKUP($FM16,$G$9:$J$102,4)*VLOOKUP($FM16,$A$9:$E$102,5)*0.5*(VLOOKUP($FM16-GE$103,Männer!$G$9:$J$102,4)+VLOOKUP($FM16-GE$103+1,Männer!$G$9:$J$102,4))*0.5*(VLOOKUP($FM16-GE$103,Männer!$AZ$9:$BD$102,5)+VLOOKUP($FM16-GE$103+1,Männer!$AZ$9:$BD$102,5)),RundDx)</f>
        <v>242012944</v>
      </c>
      <c r="GF16" s="25">
        <f>ROUND(v^($FM16+FaktorAlter)*VLOOKUP($FM16,$G$9:$J$102,4)*VLOOKUP($FM16,$A$9:$E$102,5)*0.5*(VLOOKUP($FM16-GF$103,Männer!$G$9:$J$102,4)+VLOOKUP($FM16-GF$103+1,Männer!$G$9:$J$102,4))*0.5*(VLOOKUP($FM16-GF$103,Männer!$AZ$9:$BD$102,5)+VLOOKUP($FM16-GF$103+1,Männer!$AZ$9:$BD$102,5)),RundDx)</f>
        <v>255850835</v>
      </c>
      <c r="GG16" s="25">
        <f>ROUND(v^($FM16+FaktorAlter)*VLOOKUP($FM16,$G$9:$J$102,4)*VLOOKUP($FM16,$A$9:$E$102,5)*0.5*(VLOOKUP($FM16-GG$103,Männer!$G$9:$J$102,4)+VLOOKUP($FM16-GG$103+1,Männer!$G$9:$J$102,4))*0.5*(VLOOKUP($FM16-GG$103,Männer!$AZ$9:$BD$102,5)+VLOOKUP($FM16-GG$103+1,Männer!$AZ$9:$BD$102,5)),RundDx)</f>
        <v>269788430</v>
      </c>
      <c r="GH16" s="25">
        <f>ROUND(v^($FM16+FaktorAlter)*VLOOKUP($FM16,$G$9:$J$102,4)*VLOOKUP($FM16,$A$9:$E$102,5)*0.5*(VLOOKUP($FM16-GH$103,Männer!$G$9:$J$102,4)+VLOOKUP($FM16-GH$103+1,Männer!$G$9:$J$102,4))*0.5*(VLOOKUP($FM16-GH$103,Männer!$AZ$9:$BD$102,5)+VLOOKUP($FM16-GH$103+1,Männer!$AZ$9:$BD$102,5)),RundDx)</f>
        <v>283791320</v>
      </c>
      <c r="GI16" s="25">
        <f>ROUND(v^($FM16+FaktorAlter)*VLOOKUP($FM16,$G$9:$J$102,4)*VLOOKUP($FM16,$A$9:$E$102,5)*0.5*(VLOOKUP($FM16-GI$103,Männer!$G$9:$J$102,4)+VLOOKUP($FM16-GI$103+1,Männer!$G$9:$J$102,4))*0.5*(VLOOKUP($FM16-GI$103,Männer!$AZ$9:$BD$102,5)+VLOOKUP($FM16-GI$103+1,Männer!$AZ$9:$BD$102,5)),RundDx)</f>
        <v>297893610</v>
      </c>
      <c r="GJ16" s="25">
        <f>ROUND(v^($FM16+FaktorAlter)*VLOOKUP($FM16,$G$9:$J$102,4)*VLOOKUP($FM16,$A$9:$E$102,5)*0.5*(VLOOKUP($FM16-GJ$103,Männer!$G$9:$J$102,4)+VLOOKUP($FM16-GJ$103+1,Männer!$G$9:$J$102,4))*0.5*(VLOOKUP($FM16-GJ$103,Männer!$AZ$9:$BD$102,5)+VLOOKUP($FM16-GJ$103+1,Männer!$AZ$9:$BD$102,5)),RundDx)</f>
        <v>312167278</v>
      </c>
      <c r="GK16" s="25">
        <f>ROUND(v^($FM16+FaktorAlter)*VLOOKUP($FM16,$G$9:$J$102,4)*VLOOKUP($FM16,$A$9:$E$102,5)*0.5*(VLOOKUP($FM16-GK$103,Männer!$G$9:$J$102,4)+VLOOKUP($FM16-GK$103+1,Männer!$G$9:$J$102,4))*0.5*(VLOOKUP($FM16-GK$103,Männer!$AZ$9:$BD$102,5)+VLOOKUP($FM16-GK$103+1,Männer!$AZ$9:$BD$102,5)),RundDx)</f>
        <v>326639381</v>
      </c>
      <c r="GL16" s="25">
        <f>ROUND(v^($FM16+FaktorAlter)*VLOOKUP($FM16,$G$9:$J$102,4)*VLOOKUP($FM16,$A$9:$E$102,5)*0.5*(VLOOKUP($FM16-GL$103,Männer!$G$9:$J$102,4)+VLOOKUP($FM16-GL$103+1,Männer!$G$9:$J$102,4))*0.5*(VLOOKUP($FM16-GL$103,Männer!$AZ$9:$BD$102,5)+VLOOKUP($FM16-GL$103+1,Männer!$AZ$9:$BD$102,5)),RundDx)</f>
        <v>341344816</v>
      </c>
      <c r="GM16" s="25">
        <f>ROUND(v^($FM16+FaktorAlter)*VLOOKUP($FM16,$G$9:$J$102,4)*VLOOKUP($FM16,$A$9:$E$102,5)*0.5*(VLOOKUP($FM16-GM$103,Männer!$G$9:$J$102,4)+VLOOKUP($FM16-GM$103+1,Männer!$G$9:$J$102,4))*0.5*(VLOOKUP($FM16-GM$103,Männer!$AZ$9:$BD$102,5)+VLOOKUP($FM16-GM$103+1,Männer!$AZ$9:$BD$102,5)),RundDx)</f>
        <v>356305502</v>
      </c>
      <c r="GN16" s="25">
        <f>ROUND(v^($FM16+FaktorAlter)*VLOOKUP($FM16,$G$9:$J$102,4)*VLOOKUP($FM16,$A$9:$E$102,5)*0.5*(VLOOKUP($FM16-GN$103,Männer!$G$9:$J$102,4)+VLOOKUP($FM16-GN$103+1,Männer!$G$9:$J$102,4))*0.5*(VLOOKUP($FM16-GN$103,Männer!$AZ$9:$BD$102,5)+VLOOKUP($FM16-GN$103+1,Männer!$AZ$9:$BD$102,5)),RundDx)</f>
        <v>371533483</v>
      </c>
      <c r="GO16" s="25">
        <f>ROUND(v^($FM16+FaktorAlter)*VLOOKUP($FM16,$G$9:$J$102,4)*VLOOKUP($FM16,$A$9:$E$102,5)*0.5*(VLOOKUP($FM16-GO$103,Männer!$G$9:$J$102,4)+VLOOKUP($FM16-GO$103+1,Männer!$G$9:$J$102,4))*0.5*(VLOOKUP($FM16-GO$103,Männer!$AZ$9:$BD$102,5)+VLOOKUP($FM16-GO$103+1,Männer!$AZ$9:$BD$102,5)),RundDx)</f>
        <v>387055968</v>
      </c>
      <c r="GP16" s="25">
        <f>ROUND(v^($FM16+FaktorAlter)*VLOOKUP($FM16,$G$9:$J$102,4)*VLOOKUP($FM16,$A$9:$E$102,5)*0.5*(VLOOKUP($FM16-GP$103,Männer!$G$9:$J$102,4)+VLOOKUP($FM16-GP$103+1,Männer!$G$9:$J$102,4))*0.5*(VLOOKUP($FM16-GP$103,Männer!$AZ$9:$BD$102,5)+VLOOKUP($FM16-GP$103+1,Männer!$AZ$9:$BD$102,5)),RundDx)</f>
        <v>402854592</v>
      </c>
      <c r="GQ16" s="25">
        <f>ROUND(v^($FM16+FaktorAlter)*VLOOKUP($FM16,$G$9:$J$102,4)*VLOOKUP($FM16,$A$9:$E$102,5)*0.5*(VLOOKUP($FM16-GQ$103,Männer!$G$9:$J$102,4)+VLOOKUP($FM16-GQ$103+1,Männer!$G$9:$J$102,4))*0.5*(VLOOKUP($FM16-GQ$103,Männer!$AZ$9:$BD$102,5)+VLOOKUP($FM16-GQ$103+1,Männer!$AZ$9:$BD$102,5)),RundDx)</f>
        <v>418906174</v>
      </c>
      <c r="GR16" s="25">
        <f>ROUND(v^($FM16+FaktorAlter)*VLOOKUP($FM16,$G$9:$J$102,4)*VLOOKUP($FM16,$A$9:$E$102,5)*0.5*(VLOOKUP($FM16-GR$103,Männer!$G$9:$J$102,4)+VLOOKUP($FM16-GR$103+1,Männer!$G$9:$J$102,4))*0.5*(VLOOKUP($FM16-GR$103,Männer!$AZ$9:$BD$102,5)+VLOOKUP($FM16-GR$103+1,Männer!$AZ$9:$BD$102,5)),RundDx)</f>
        <v>435206243</v>
      </c>
      <c r="GS16" s="24">
        <f>ROUND(SUM(FN16:FN$56)/VLOOKUP($FM16,$AQ$9:$AR$102,2)/VLOOKUP($FM16-GS$103,Männer!$G$9:$J$102,4),Rundäx)</f>
        <v>0.3</v>
      </c>
      <c r="GT16" s="24">
        <f>ROUND(SUM(FO16:FO$56)/VLOOKUP($FM16,$AQ$9:$AR$102,2)/VLOOKUP($FM16-GT$103,Männer!$G$9:$J$102,4),Rundäx)</f>
        <v>0.35099999999999998</v>
      </c>
      <c r="GU16" s="24">
        <f>ROUND(SUM(FP16:FP$56)/VLOOKUP($FM16,$AQ$9:$AR$102,2)/VLOOKUP($FM16-GU$103,Männer!$G$9:$J$102,4),Rundäx)</f>
        <v>0.40899999999999997</v>
      </c>
      <c r="GV16" s="24">
        <f>ROUND(SUM(FQ16:FQ$56)/VLOOKUP($FM16,$AQ$9:$AR$102,2)/VLOOKUP($FM16-GV$103,Männer!$G$9:$J$102,4),Rundäx)</f>
        <v>0.47499999999999998</v>
      </c>
      <c r="GW16" s="24">
        <f>ROUND(SUM(FR16:FR$56)/VLOOKUP($FM16,$AQ$9:$AR$102,2)/VLOOKUP($FM16-GW$103,Männer!$G$9:$J$102,4),Rundäx)</f>
        <v>0.54800000000000004</v>
      </c>
      <c r="GX16" s="24">
        <f>ROUND(SUM(FS16:FS$56)/VLOOKUP($FM16,$AQ$9:$AR$102,2)/VLOOKUP($FM16-GX$103,Männer!$G$9:$J$102,4),Rundäx)</f>
        <v>0.63</v>
      </c>
      <c r="GY16" s="24">
        <f>ROUND(SUM(FT16:FT$56)/VLOOKUP($FM16,$AQ$9:$AR$102,2)/VLOOKUP($FM16-GY$103,Männer!$G$9:$J$102,4),Rundäx)</f>
        <v>0.72199999999999998</v>
      </c>
      <c r="GZ16" s="24">
        <f>ROUND(SUM(FU16:FU$56)/VLOOKUP($FM16,$AQ$9:$AR$102,2)/VLOOKUP($FM16-GZ$103,Männer!$G$9:$J$102,4),Rundäx)</f>
        <v>0.82299999999999995</v>
      </c>
      <c r="HA16" s="89"/>
      <c r="HB16" s="35">
        <f t="shared" si="65"/>
        <v>71</v>
      </c>
      <c r="HC16" s="24">
        <f>ROUND(SUM(FV16:FV$56)/VLOOKUP($FM16,$AQ$9:$AR$102,2)/VLOOKUP($FM16-HC$103,Männer!$G$9:$J$102,4),Rundäx)</f>
        <v>0.93400000000000005</v>
      </c>
      <c r="HD16" s="24">
        <f>ROUND(SUM(FW16:FW$56)/VLOOKUP($FM16,$AQ$9:$AR$102,2)/VLOOKUP($FM16-HD$103,Männer!$G$9:$J$102,4),Rundäx)</f>
        <v>1.0569999999999999</v>
      </c>
      <c r="HE16" s="24">
        <f>ROUND(SUM(FX16:FX$56)/VLOOKUP($FM16,$AQ$9:$AR$102,2)/VLOOKUP($FM16-HE$103,Männer!$G$9:$J$102,4),Rundäx)</f>
        <v>1.1910000000000001</v>
      </c>
      <c r="HF16" s="24">
        <f>ROUND(SUM(FY16:FY$56)/VLOOKUP($FM16,$AQ$9:$AR$102,2)/VLOOKUP($FM16-HF$103,Männer!$G$9:$J$102,4),Rundäx)</f>
        <v>1.337</v>
      </c>
      <c r="HG16" s="24">
        <f>ROUND(SUM(FZ16:FZ$56)/VLOOKUP($FM16,$AQ$9:$AR$102,2)/VLOOKUP($FM16-HG$103,Männer!$G$9:$J$102,4),Rundäx)</f>
        <v>1.4950000000000001</v>
      </c>
      <c r="HH16" s="24">
        <f>ROUND(SUM(GA16:GA$56)/VLOOKUP($FM16,$AQ$9:$AR$102,2)/VLOOKUP($FM16-HH$103,Männer!$G$9:$J$102,4),Rundäx)</f>
        <v>1.6659999999999999</v>
      </c>
      <c r="HI16" s="24">
        <f>ROUND(SUM(GB16:GB$56)/VLOOKUP($FM16,$AQ$9:$AR$102,2)/VLOOKUP($FM16-HI$103,Männer!$G$9:$J$102,4),Rundäx)</f>
        <v>1.8480000000000001</v>
      </c>
      <c r="HJ16" s="24">
        <f>ROUND(SUM(GC16:GC$56)/VLOOKUP($FM16,$AQ$9:$AR$102,2)/VLOOKUP($FM16-HJ$103,Männer!$G$9:$J$102,4),Rundäx)</f>
        <v>2.0430000000000001</v>
      </c>
      <c r="HK16" s="89"/>
      <c r="HL16" s="35">
        <f t="shared" si="66"/>
        <v>71</v>
      </c>
      <c r="HM16" s="24">
        <f>ROUND(SUM(GD16:GD$56)/VLOOKUP($FM16,$AQ$9:$AR$102,2)/VLOOKUP($FM16-HM$103,Männer!$G$9:$J$102,4),Rundäx)</f>
        <v>2.2509999999999999</v>
      </c>
      <c r="HN16" s="24">
        <f>ROUND(SUM(GE16:GE$56)/VLOOKUP($FM16,$AQ$9:$AR$102,2)/VLOOKUP($FM16-HN$103,Männer!$G$9:$J$102,4),Rundäx)</f>
        <v>2.4710000000000001</v>
      </c>
      <c r="HO16" s="24">
        <f>ROUND(SUM(GF16:GF$56)/VLOOKUP($FM16,$AQ$9:$AR$102,2)/VLOOKUP($FM16-HO$103,Männer!$G$9:$J$102,4),Rundäx)</f>
        <v>2.702</v>
      </c>
      <c r="HP16" s="24">
        <f>ROUND(SUM(GG16:GG$56)/VLOOKUP($FM16,$AQ$9:$AR$102,2)/VLOOKUP($FM16-HP$103,Männer!$G$9:$J$102,4),Rundäx)</f>
        <v>2.9430000000000001</v>
      </c>
      <c r="HQ16" s="24">
        <f>ROUND(SUM(GH16:GH$56)/VLOOKUP($FM16,$AQ$9:$AR$102,2)/VLOOKUP($FM16-HQ$103,Männer!$G$9:$J$102,4),Rundäx)</f>
        <v>3.1960000000000002</v>
      </c>
      <c r="HR16" s="24">
        <f>ROUND(SUM(GI16:GI$56)/VLOOKUP($FM16,$AQ$9:$AR$102,2)/VLOOKUP($FM16-HR$103,Männer!$G$9:$J$102,4),Rundäx)</f>
        <v>3.4590000000000001</v>
      </c>
      <c r="HS16" s="24">
        <f>ROUND(SUM(GJ16:GJ$56)/VLOOKUP($FM16,$AQ$9:$AR$102,2)/VLOOKUP($FM16-HS$103,Männer!$G$9:$J$102,4),Rundäx)</f>
        <v>3.7309999999999999</v>
      </c>
      <c r="HT16" s="24">
        <f>ROUND(SUM(GK16:GK$56)/VLOOKUP($FM16,$AQ$9:$AR$102,2)/VLOOKUP($FM16-HT$103,Männer!$G$9:$J$102,4),Rundäx)</f>
        <v>4.0129999999999999</v>
      </c>
      <c r="HU16" s="89"/>
      <c r="HV16" s="35">
        <f t="shared" si="67"/>
        <v>71</v>
      </c>
      <c r="HW16" s="24">
        <f>ROUND(SUM(GL16:GL$56)/VLOOKUP($FM16,$AQ$9:$AR$102,2)/VLOOKUP($FM16-HW$103,Männer!$G$9:$J$102,4),Rundäx)</f>
        <v>4.3029999999999999</v>
      </c>
      <c r="HX16" s="24">
        <f>ROUND(SUM(GM16:GM$56)/VLOOKUP($FM16,$AQ$9:$AR$102,2)/VLOOKUP($FM16-HX$103,Männer!$G$9:$J$102,4),Rundäx)</f>
        <v>4.6020000000000003</v>
      </c>
      <c r="HY16" s="24">
        <f>ROUND(SUM(GN16:GN$56)/VLOOKUP($FM16,$AQ$9:$AR$102,2)/VLOOKUP($FM16-HY$103,Männer!$G$9:$J$102,4),Rundäx)</f>
        <v>4.9089999999999998</v>
      </c>
      <c r="HZ16" s="24">
        <f>ROUND(SUM(GO16:GO$56)/VLOOKUP($FM16,$AQ$9:$AR$102,2)/VLOOKUP($FM16-HZ$103,Männer!$G$9:$J$102,4),Rundäx)</f>
        <v>5.2240000000000002</v>
      </c>
      <c r="IA16" s="24">
        <f>ROUND(SUM(GP16:GP$56)/VLOOKUP($FM16,$AQ$9:$AR$102,2)/VLOOKUP($FM16-IA$103,Männer!$G$9:$J$102,4),Rundäx)</f>
        <v>5.5469999999999997</v>
      </c>
      <c r="IB16" s="24">
        <f>ROUND(SUM(GQ16:GQ$56)/VLOOKUP($FM16,$AQ$9:$AR$102,2)/VLOOKUP($FM16-IB$103,Männer!$G$9:$J$102,4),Rundäx)</f>
        <v>5.8780000000000001</v>
      </c>
      <c r="IC16" s="24">
        <f>ROUND(SUM(GR16:GR$56)/VLOOKUP($FM16,$AQ$9:$AR$102,2)/VLOOKUP($FM16-IC$103,Männer!$G$9:$J$102,4),Rundäx)</f>
        <v>6.2149999999999999</v>
      </c>
      <c r="ID16" s="89"/>
      <c r="IE16" s="9">
        <f t="shared" si="68"/>
        <v>24</v>
      </c>
      <c r="IF16" s="11">
        <f t="shared" si="25"/>
        <v>88</v>
      </c>
      <c r="IG16" s="11">
        <f>IF($IE16&lt;RAF,IF(S17&lt;=RAK,ROUND(SUM(IF16:INDEX(Daky,RAF-BeginnAlter))+INDEX(Day,RAF-BeginnAlter+1)*INDEX(äky,1),RundDx),0),"")</f>
        <v>6262</v>
      </c>
      <c r="IH16" s="11">
        <f>IF($IE16&lt;RAF,IF(S17&lt;=RAK,ROUND(SUM(IG16:INDEX(Naky,RAF-BeginnAlter))+INDEX(Day,RAF-BeginnAlter+1)*INDEX(äky,1),RundDx),0),"")</f>
        <v>89072</v>
      </c>
      <c r="II16" s="10">
        <f t="shared" si="26"/>
        <v>0.107</v>
      </c>
      <c r="IJ16" s="11">
        <f t="shared" si="27"/>
        <v>2271</v>
      </c>
      <c r="IK16" s="11">
        <f>IF($IE16&lt;RAF,IF(S17&lt;=RAK,SUM(IJ16:INDEX(Diky,RAF-BeginnAlter))+INDEX(Diy,RAF-BeginnAlter+1)*INDEX(äky,1),0),"")</f>
        <v>228905</v>
      </c>
      <c r="IL16" s="10">
        <f t="shared" si="28"/>
        <v>1.8620000000000001</v>
      </c>
      <c r="IM16" s="89"/>
      <c r="IN16" s="9">
        <f t="shared" si="29"/>
        <v>71</v>
      </c>
      <c r="IO16" s="11"/>
      <c r="IP16" s="11"/>
      <c r="IQ16" s="10"/>
      <c r="IR16" s="86"/>
    </row>
    <row r="17" spans="1:252" ht="15.75" customHeight="1" x14ac:dyDescent="0.25">
      <c r="A17" s="9">
        <f t="shared" si="4"/>
        <v>25</v>
      </c>
      <c r="B17" s="93">
        <v>3.4893431423651844E-4</v>
      </c>
      <c r="C17" s="93">
        <v>7.6939770148985254E-4</v>
      </c>
      <c r="D17" s="93">
        <v>1.8709303538912283E-2</v>
      </c>
      <c r="E17" s="93">
        <v>3.906249999999778E-4</v>
      </c>
      <c r="F17" s="89"/>
      <c r="G17" s="9">
        <f t="shared" si="5"/>
        <v>25</v>
      </c>
      <c r="H17" s="11">
        <f t="shared" si="30"/>
        <v>99649</v>
      </c>
      <c r="I17" s="25">
        <f t="shared" si="31"/>
        <v>191</v>
      </c>
      <c r="J17" s="25">
        <f t="shared" si="32"/>
        <v>99840</v>
      </c>
      <c r="K17" s="30">
        <f>IF(J17&gt;0,ROUND(SUM(J17:J$102)/J17-0.5,Rundex),"")</f>
        <v>57.18</v>
      </c>
      <c r="L17" s="25">
        <f t="shared" si="6"/>
        <v>206054</v>
      </c>
      <c r="M17" s="30">
        <f>IF(L17&gt;0,ROUND(SUM(L17:L$102)/L17-0.5,Rundex),"")</f>
        <v>35.83</v>
      </c>
      <c r="N17" s="89"/>
      <c r="O17" s="9">
        <f t="shared" si="49"/>
        <v>25</v>
      </c>
      <c r="P17" s="94">
        <v>0.10010403987538671</v>
      </c>
      <c r="Q17" s="95">
        <v>29.141873991353116</v>
      </c>
      <c r="R17" s="94">
        <v>6.0460000000000007E-2</v>
      </c>
      <c r="S17" s="95">
        <v>0.16</v>
      </c>
      <c r="T17" s="28">
        <v>3.906249999999778E-4</v>
      </c>
      <c r="U17" s="11">
        <f t="shared" si="33"/>
        <v>99840</v>
      </c>
      <c r="V17" s="30">
        <f>IF(U17&gt;0,ROUND(SUM(U17:U$102)/U17-0.5,Rundex),"")</f>
        <v>58.46</v>
      </c>
      <c r="W17" s="89"/>
      <c r="X17" s="9">
        <f t="shared" si="50"/>
        <v>25</v>
      </c>
      <c r="Y17" s="11">
        <f t="shared" si="34"/>
        <v>57133</v>
      </c>
      <c r="Z17" s="11">
        <f>IF($X17&lt;RAF,SUM(Y17:INDEX(Day,RAF-BeginnAlter))," ")</f>
        <v>1412482</v>
      </c>
      <c r="AA17" s="11">
        <f t="shared" si="0"/>
        <v>20</v>
      </c>
      <c r="AB17" s="11">
        <f>IF($X17&lt;RAF,SUM(AA17:INDEX(Cay,RAF-BeginnAlter))," ")</f>
        <v>1392</v>
      </c>
      <c r="AC17" s="11">
        <f t="shared" si="1"/>
        <v>43</v>
      </c>
      <c r="AD17" s="11">
        <f>IF($X17&lt;RAF,SUM(AC17:INDEX(Caiy,RAF-BeginnAlter))," ")</f>
        <v>8395</v>
      </c>
      <c r="AE17" s="10">
        <f t="shared" si="35"/>
        <v>24.722999999999999</v>
      </c>
      <c r="AF17" s="10">
        <f t="shared" si="36"/>
        <v>24.396000000000001</v>
      </c>
      <c r="AG17" s="89"/>
      <c r="AH17" s="9">
        <f t="shared" si="51"/>
        <v>25</v>
      </c>
      <c r="AI17" s="11">
        <f t="shared" si="37"/>
        <v>118140</v>
      </c>
      <c r="AJ17" s="11">
        <f>IF($AH17&gt;RAF," ",IF($AH17&lt;RAF,SUM(AI17:INDEX(Diy,RAF-BeginnAlter))+INDEX(Ny,RAF-BeginnAlter+1),INDEX(Ny,RAF-BeginnAlter+1)))</f>
        <v>2634283</v>
      </c>
      <c r="AK17" s="11">
        <f>IF($AH17&lt;RAF,SUM(AI17:INDEX(Diy,RAF-BeginnAlter))," ")</f>
        <v>2268189</v>
      </c>
      <c r="AL17" s="10">
        <f t="shared" si="38"/>
        <v>22.297999999999998</v>
      </c>
      <c r="AM17" s="10">
        <f t="shared" si="39"/>
        <v>21.84</v>
      </c>
      <c r="AN17" s="10">
        <f t="shared" si="40"/>
        <v>19.199000000000002</v>
      </c>
      <c r="AO17" s="10">
        <f t="shared" si="41"/>
        <v>18.824999999999999</v>
      </c>
      <c r="AP17" s="89"/>
      <c r="AQ17" s="9">
        <f t="shared" si="52"/>
        <v>25</v>
      </c>
      <c r="AR17" s="11">
        <f t="shared" si="42"/>
        <v>57243</v>
      </c>
      <c r="AS17" s="11">
        <f>SUM(AR17:AR$96)</f>
        <v>1847659</v>
      </c>
      <c r="AT17" s="25">
        <f>IF($AQ17&lt;RAF,SUM(AR17:INDEX(Dy,RAF-BeginnAlter))," ")</f>
        <v>1481565</v>
      </c>
      <c r="AU17" s="24">
        <f t="shared" si="43"/>
        <v>32.277000000000001</v>
      </c>
      <c r="AV17" s="24">
        <f t="shared" si="44"/>
        <v>31.818999999999999</v>
      </c>
      <c r="AW17" s="24">
        <f t="shared" si="45"/>
        <v>25.882000000000001</v>
      </c>
      <c r="AX17" s="24">
        <f t="shared" si="46"/>
        <v>25.597999999999999</v>
      </c>
      <c r="AY17" s="89"/>
      <c r="AZ17" s="9">
        <f t="shared" si="53"/>
        <v>25</v>
      </c>
      <c r="BA17" s="11">
        <f t="shared" si="47"/>
        <v>57243</v>
      </c>
      <c r="BB17" s="11">
        <f>SUM(BA17:BA$96)</f>
        <v>1870448</v>
      </c>
      <c r="BC17" s="10">
        <f t="shared" si="48"/>
        <v>32.676000000000002</v>
      </c>
      <c r="BD17" s="10">
        <f t="shared" si="7"/>
        <v>32.216999999999999</v>
      </c>
      <c r="BE17" s="89"/>
      <c r="BF17" s="9">
        <f t="shared" si="54"/>
        <v>8</v>
      </c>
      <c r="BG17" s="10">
        <f t="shared" si="8"/>
        <v>14.313000000000001</v>
      </c>
      <c r="BH17" s="10">
        <f t="shared" si="9"/>
        <v>14.167999999999999</v>
      </c>
      <c r="BI17" s="89"/>
      <c r="BJ17" s="9">
        <f t="shared" si="55"/>
        <v>25</v>
      </c>
      <c r="BK17" s="11">
        <f t="shared" si="10"/>
        <v>947</v>
      </c>
      <c r="BL17" s="11">
        <f>IF(BJ17&lt;RAF,SUM(BK17:INDEX(Daiy,RAF-BeginnAlter))," ")</f>
        <v>157465</v>
      </c>
      <c r="BM17" s="11">
        <f>IF(BJ17&lt;RAF,SUM(BL17:INDEX(Naiy,RAF-BeginnAlter))," ")</f>
        <v>4181103</v>
      </c>
      <c r="BN17" s="10">
        <f t="shared" si="11"/>
        <v>4.694</v>
      </c>
      <c r="BO17" s="10">
        <f t="shared" si="12"/>
        <v>2.7559999999999998</v>
      </c>
      <c r="BP17" s="89"/>
      <c r="BQ17" s="9">
        <f t="shared" si="56"/>
        <v>25</v>
      </c>
      <c r="BR17" s="11">
        <f t="shared" si="13"/>
        <v>813</v>
      </c>
      <c r="BS17" s="11">
        <f>IF(BQ17&lt;RAF,SUM(BR17:INDEX(Daiys,RAF-BeginnAlter))," ")</f>
        <v>69848</v>
      </c>
      <c r="BT17" s="11">
        <f>IF(BQ17&lt;RAF,SUM(BS17:INDEX(Naiys,RAF-BeginnAlter))," ")</f>
        <v>1479885</v>
      </c>
      <c r="BU17" s="10">
        <f t="shared" si="14"/>
        <v>6.2270000000000003</v>
      </c>
      <c r="BV17" s="10">
        <f t="shared" si="15"/>
        <v>1.2230000000000001</v>
      </c>
      <c r="BW17" s="89"/>
      <c r="BX17" s="9">
        <f t="shared" si="57"/>
        <v>25</v>
      </c>
      <c r="BY17" s="10">
        <f t="shared" si="16"/>
        <v>15.053102204446713</v>
      </c>
      <c r="BZ17" s="11">
        <f t="shared" si="17"/>
        <v>43</v>
      </c>
      <c r="CA17" s="11">
        <f>IF(S18&lt;=RAK,IF($BX17&lt;RAF,SUM(BZ17:INDEX(Dazy,RAF-BeginnAlter)),""),"")</f>
        <v>16188</v>
      </c>
      <c r="CB17" s="10">
        <f t="shared" si="18"/>
        <v>0.28299999999999997</v>
      </c>
      <c r="CC17" s="11">
        <f t="shared" si="19"/>
        <v>32110</v>
      </c>
      <c r="CD17" s="10">
        <f t="shared" si="20"/>
        <v>22.933</v>
      </c>
      <c r="CE17" s="10">
        <f t="shared" si="21"/>
        <v>2E-3</v>
      </c>
      <c r="CF17" s="89"/>
      <c r="CG17" s="9">
        <f t="shared" si="58"/>
        <v>25</v>
      </c>
      <c r="CH17" s="11">
        <f>IF(CG17&lt;RAF,ROUND(v^($CG17+FaktorAlter)*$H17*($B17*0.5*($P17+$P18)*(VLOOKUP(TRUNC(0.5*($Q17+$Q18),0),Männer!$AZ$9:$BD$95,5)+(0.5*($Q17+$Q18)-TRUNC(0.5*($Q17+$Q18),0))*(VLOOKUP(TRUNC(0.5*($Q17+$Q18)+1,0),Männer!$AZ$9:$BD$95,5)-VLOOKUP(TRUNC(0.5*($Q17+$Q18),0),Männer!$AZ$9:$BD$95,5)))+$C17*0.5*($CN17+$CN18)),RundDx),"")</f>
        <v>142</v>
      </c>
      <c r="CI17" s="11">
        <f>IF(CG17&lt;RAF,ROUND(SUM(CH17:INDEX(Dawy,RAF-BeginnAlter))+INDEX(Day,RAF-BeginnAlter+1)*INDEX(äwy,1),RundDx),"")</f>
        <v>14077</v>
      </c>
      <c r="CJ17" s="11">
        <f>IF(CG17&lt;RAF,ROUND(SUM(CI17:INDEX(Nawy,RAF-BeginnAlter))+INDEX(Day,RAF-BeginnAlter+1)*INDEX(äwy,1),RundDx),"")</f>
        <v>338911</v>
      </c>
      <c r="CK17" s="10">
        <f t="shared" si="22"/>
        <v>0.246</v>
      </c>
      <c r="CL17" s="11">
        <f>IF(CG17&lt;RAF,ROUND(v^($CG17+FaktorAlter)*$L17*$D17*0.5*($P17+$P18)*(VLOOKUP(TRUNC(0.5*($Q17+$Q18),0),Männer!$AZ$9:$BD$95,5)+(0.5*($Q17+$Q18)-TRUNC(0.5*($Q17+$Q18),0))*(VLOOKUP(TRUNC(0.5*($Q17+$Q18)+1,0),Männer!$AZ$9:$BD$95,5)-VLOOKUP(TRUNC(0.5*($Q17+$Q18),0),Männer!$AZ$9:$BD$95,5))),RundDx),"")</f>
        <v>6480</v>
      </c>
      <c r="CM17" s="11">
        <f>IF(CG17&lt;RAF,SUM(CL17:INDEX(Diwy,RAF-BeginnAlter))+INDEX(Diy,RAF-BeginnAlter+1)*INDEX(äwy,1),"")</f>
        <v>224774.304</v>
      </c>
      <c r="CN17" s="10">
        <f t="shared" si="23"/>
        <v>1.903</v>
      </c>
      <c r="CO17" s="89"/>
      <c r="CP17" s="9">
        <f t="shared" si="59"/>
        <v>72</v>
      </c>
      <c r="CQ17" s="11">
        <f>ROUND(v^($CP17+FaktorAlter)*VLOOKUP(CP17,G$9:J$102,4)*VLOOKUP(CP17,A$9:E$102,5)*0.5*(VLOOKUP(CP17,O$9:P$102,2)+VLOOKUP(CP17+1,O$9:P$102,2))*(VLOOKUP(TRUNC(0.5*(VLOOKUP(CP17,O$9:Q$102,3)+VLOOKUP(CP17+1,O$9:Q$102,3)),0),Männer!$AZ$9:$BD$95,5)+(0.5*(VLOOKUP(CP17,O$9:Q$102,3)+VLOOKUP(CP17+1,O$9:Q$102,3))-TRUNC(0.5*(VLOOKUP(CP17,O$9:Q$102,3)+VLOOKUP(CP17+1,O$9:Q$102,3)),0))*(VLOOKUP(TRUNC(0.5*(VLOOKUP(CP17,O$9:Q$102,3)+VLOOKUP(CP17+1,O$9:Q$102,3))+1,0),Männer!$AZ$9:$BD$95,5)-VLOOKUP(TRUNC(0.5*(VLOOKUP(CP17,O$9:Q$102,3)+VLOOKUP(CP17+1,O$9:Q$102,3)),0),Männer!$AZ$9:$BD$95,5))),RundDx)</f>
        <v>109</v>
      </c>
      <c r="CR17" s="11">
        <f>SUM(CQ17:CQ$56)</f>
        <v>649</v>
      </c>
      <c r="CS17" s="24">
        <f t="shared" si="24"/>
        <v>0.04</v>
      </c>
      <c r="CT17" s="89"/>
      <c r="CU17" s="35">
        <f t="shared" si="60"/>
        <v>25</v>
      </c>
      <c r="CV17" s="25">
        <f>IF($CU17&gt;=RAF,"",IF($CU17-CV$103&lt;BeginnAlter,"",ROUND(v^($CU17+FaktorAlter)*$L17*$D17*0.5*(VLOOKUP($CU17-CV$103,Männer!$G$9:$J$102,4)+VLOOKUP($CU17-CV$103+1,Männer!$G$9:$J$102,4))*0.5*(VLOOKUP($CU17-CV$103,Männer!$AZ$9:$BD$102,5)+VLOOKUP($CU17-CV$103+1,Männer!$AZ$9:$BD$102,5)),RundDx)))</f>
        <v>5255964624</v>
      </c>
      <c r="CW17" s="25">
        <f>IF($CU17&gt;=RAF,"",IF($CU17-CW$103&lt;BeginnAlter,"",ROUND(v^($CU17+FaktorAlter)*$L17*$D17*0.5*(VLOOKUP($CU17-CW$103,Männer!$G$9:$J$102,4)+VLOOKUP($CU17-CW$103+1,Männer!$G$9:$J$102,4))*0.5*(VLOOKUP($CU17-CW$103,Männer!$AZ$9:$BD$102,5)+VLOOKUP($CU17-CW$103+1,Männer!$AZ$9:$BD$102,5)),RundDx)))</f>
        <v>5352986586</v>
      </c>
      <c r="CX17" s="25">
        <f>IF($CU17&gt;=RAF,"",IF($CU17-CX$103&lt;BeginnAlter,"",ROUND(v^($CU17+FaktorAlter)*$L17*$D17*0.5*(VLOOKUP($CU17-CX$103,Männer!$G$9:$J$102,4)+VLOOKUP($CU17-CX$103+1,Männer!$G$9:$J$102,4))*0.5*(VLOOKUP($CU17-CX$103,Männer!$AZ$9:$BD$102,5)+VLOOKUP($CU17-CX$103+1,Männer!$AZ$9:$BD$102,5)),RundDx)))</f>
        <v>5448298613</v>
      </c>
      <c r="CY17" s="25">
        <f>IF($CU17&gt;=RAF,"",IF($CU17-CY$103&lt;BeginnAlter,"",ROUND(v^($CU17+FaktorAlter)*$L17*$D17*0.5*(VLOOKUP($CU17-CY$103,Männer!$G$9:$J$102,4)+VLOOKUP($CU17-CY$103+1,Männer!$G$9:$J$102,4))*0.5*(VLOOKUP($CU17-CY$103,Männer!$AZ$9:$BD$102,5)+VLOOKUP($CU17-CY$103+1,Männer!$AZ$9:$BD$102,5)),RundDx)))</f>
        <v>5541788766</v>
      </c>
      <c r="CZ17" s="25">
        <f>IF($CU17&gt;=RAF,"",IF($CU17-CZ$103&lt;BeginnAlter,"",ROUND(v^($CU17+FaktorAlter)*$L17*$D17*0.5*(VLOOKUP($CU17-CZ$103,Männer!$G$9:$J$102,4)+VLOOKUP($CU17-CZ$103+1,Männer!$G$9:$J$102,4))*0.5*(VLOOKUP($CU17-CZ$103,Männer!$AZ$9:$BD$102,5)+VLOOKUP($CU17-CZ$103+1,Männer!$AZ$9:$BD$102,5)),RundDx)))</f>
        <v>5633375768</v>
      </c>
      <c r="DA17" s="25">
        <f>IF($CU17&gt;=RAF,"",IF($CU17-DA$103&lt;BeginnAlter,"",ROUND(v^($CU17+FaktorAlter)*$L17*$D17*0.5*(VLOOKUP($CU17-DA$103,Männer!$G$9:$J$102,4)+VLOOKUP($CU17-DA$103+1,Männer!$G$9:$J$102,4))*0.5*(VLOOKUP($CU17-DA$103,Männer!$AZ$9:$BD$102,5)+VLOOKUP($CU17-DA$103+1,Männer!$AZ$9:$BD$102,5)),RundDx)))</f>
        <v>5723248375</v>
      </c>
      <c r="DB17" s="25">
        <f>IF($CU17&gt;=RAF,"",IF($CU17-DB$103&lt;BeginnAlter,"",ROUND(v^($CU17+FaktorAlter)*$L17*$D17*0.5*(VLOOKUP($CU17-DB$103,Männer!$G$9:$J$102,4)+VLOOKUP($CU17-DB$103+1,Männer!$G$9:$J$102,4))*0.5*(VLOOKUP($CU17-DB$103,Männer!$AZ$9:$BD$102,5)+VLOOKUP($CU17-DB$103+1,Männer!$AZ$9:$BD$102,5)),RundDx)))</f>
        <v>5811272588</v>
      </c>
      <c r="DC17" s="25">
        <f>IF($CU17&gt;=RAF,"",IF($CU17-DC$103&lt;BeginnAlter,"",ROUND(v^($CU17+FaktorAlter)*$L17*$D17*0.5*(VLOOKUP($CU17-DC$103,Männer!$G$9:$J$102,4)+VLOOKUP($CU17-DC$103+1,Männer!$G$9:$J$102,4))*0.5*(VLOOKUP($CU17-DC$103,Männer!$AZ$9:$BD$102,5)+VLOOKUP($CU17-DC$103+1,Männer!$AZ$9:$BD$102,5)),RundDx)))</f>
        <v>5897512340</v>
      </c>
      <c r="DD17" s="25">
        <f>IF($CU17&gt;=RAF,"",IF($CU17-DD$103&lt;BeginnAlter,"",ROUND(v^($CU17+FaktorAlter)*$L17*$D17*0.5*(VLOOKUP($CU17-DD$103,Männer!$G$9:$J$102,4)+VLOOKUP($CU17-DD$103+1,Männer!$G$9:$J$102,4))*0.5*(VLOOKUP($CU17-DD$103,Männer!$AZ$9:$BD$102,5)+VLOOKUP($CU17-DD$103+1,Männer!$AZ$9:$BD$102,5)),RundDx)))</f>
        <v>5982037190</v>
      </c>
      <c r="DE17" s="25">
        <f>IF($CU17&gt;=RAF,"",IF($CU17-DE$103&lt;BeginnAlter,"",ROUND(v^($CU17+FaktorAlter)*$L17*$D17*0.5*(VLOOKUP($CU17-DE$103,Männer!$G$9:$J$102,4)+VLOOKUP($CU17-DE$103+1,Männer!$G$9:$J$102,4))*0.5*(VLOOKUP($CU17-DE$103,Männer!$AZ$9:$BD$102,5)+VLOOKUP($CU17-DE$103+1,Männer!$AZ$9:$BD$102,5)),RundDx)))</f>
        <v>6064891512</v>
      </c>
      <c r="DF17" s="25">
        <f>IF($CU17&gt;=RAF,"",IF($CU17-DF$103&lt;BeginnAlter,"",ROUND(v^($CU17+FaktorAlter)*$L17*$D17*0.5*(VLOOKUP($CU17-DF$103,Männer!$G$9:$J$102,4)+VLOOKUP($CU17-DF$103+1,Männer!$G$9:$J$102,4))*0.5*(VLOOKUP($CU17-DF$103,Männer!$AZ$9:$BD$102,5)+VLOOKUP($CU17-DF$103+1,Männer!$AZ$9:$BD$102,5)),RundDx)))</f>
        <v>6146092321</v>
      </c>
      <c r="DG17" s="25">
        <f>IF($CU17&gt;=RAF,"",IF($CU17-DG$103&lt;BeginnAlter,"",ROUND(v^($CU17+FaktorAlter)*$L17*$D17*0.5*(VLOOKUP($CU17-DG$103,Männer!$G$9:$J$102,4)+VLOOKUP($CU17-DG$103+1,Männer!$G$9:$J$102,4))*0.5*(VLOOKUP($CU17-DG$103,Männer!$AZ$9:$BD$102,5)+VLOOKUP($CU17-DG$103+1,Männer!$AZ$9:$BD$102,5)),RundDx)))</f>
        <v>6225612762</v>
      </c>
      <c r="DH17" s="25">
        <f>IF($CU17&gt;=RAF,"",IF($CU17-DH$103&lt;BeginnAlter,"",ROUND(v^($CU17+FaktorAlter)*$L17*$D17*0.5*(VLOOKUP($CU17-DH$103,Männer!$G$9:$J$102,4)+VLOOKUP($CU17-DH$103+1,Männer!$G$9:$J$102,4))*0.5*(VLOOKUP($CU17-DH$103,Männer!$AZ$9:$BD$102,5)+VLOOKUP($CU17-DH$103+1,Männer!$AZ$9:$BD$102,5)),RundDx)))</f>
        <v>6303539130</v>
      </c>
      <c r="DI17" s="25">
        <f>IF($CU17&gt;=RAF,"",IF($CU17-DI$103&lt;BeginnAlter,"",ROUND(v^($CU17+FaktorAlter)*$L17*$D17*0.5*(VLOOKUP($CU17-DI$103,Männer!$G$9:$J$102,4)+VLOOKUP($CU17-DI$103+1,Männer!$G$9:$J$102,4))*0.5*(VLOOKUP($CU17-DI$103,Männer!$AZ$9:$BD$102,5)+VLOOKUP($CU17-DI$103+1,Männer!$AZ$9:$BD$102,5)),RundDx)))</f>
        <v>6379821591</v>
      </c>
      <c r="DJ17" s="25">
        <f>IF($CU17&gt;=RAF,"",IF($CU17-DJ$103&lt;BeginnAlter,"",ROUND(v^($CU17+FaktorAlter)*$L17*$D17*0.5*(VLOOKUP($CU17-DJ$103,Männer!$G$9:$J$102,4)+VLOOKUP($CU17-DJ$103+1,Männer!$G$9:$J$102,4))*0.5*(VLOOKUP($CU17-DJ$103,Männer!$AZ$9:$BD$102,5)+VLOOKUP($CU17-DJ$103+1,Männer!$AZ$9:$BD$102,5)),RundDx)))</f>
        <v>6454662865</v>
      </c>
      <c r="DK17" s="25">
        <f>IF($CU17&gt;=RAF,"",IF($CU17-DK$103&lt;BeginnAlter,"",ROUND(v^($CU17+FaktorAlter)*$L17*$D17*0.5*(VLOOKUP($CU17-DK$103,Männer!$G$9:$J$102,4)+VLOOKUP($CU17-DK$103+1,Männer!$G$9:$J$102,4))*0.5*(VLOOKUP($CU17-DK$103,Männer!$AZ$9:$BD$102,5)+VLOOKUP($CU17-DK$103+1,Männer!$AZ$9:$BD$102,5)),RundDx)))</f>
        <v>6528030162</v>
      </c>
      <c r="DL17" s="25">
        <f>IF($CU17&gt;=RAF,"",IF($CU17-DL$103&lt;BeginnAlter,"",ROUND(v^($CU17+FaktorAlter)*$L17*$D17*0.5*(VLOOKUP($CU17-DL$103,Männer!$G$9:$J$102,4)+VLOOKUP($CU17-DL$103+1,Männer!$G$9:$J$102,4))*0.5*(VLOOKUP($CU17-DL$103,Männer!$AZ$9:$BD$102,5)+VLOOKUP($CU17-DL$103+1,Männer!$AZ$9:$BD$102,5)),RundDx)))</f>
        <v>6599737708</v>
      </c>
      <c r="DM17" s="25">
        <f>IF($CU17&gt;=RAF,"",IF($CU17-DM$103&lt;BeginnAlter,"",ROUND(v^($CU17+FaktorAlter)*$L17*$D17*0.5*(VLOOKUP($CU17-DM$103,Männer!$G$9:$J$102,4)+VLOOKUP($CU17-DM$103+1,Männer!$G$9:$J$102,4))*0.5*(VLOOKUP($CU17-DM$103,Männer!$AZ$9:$BD$102,5)+VLOOKUP($CU17-DM$103+1,Männer!$AZ$9:$BD$102,5)),RundDx)))</f>
        <v>6670111614</v>
      </c>
      <c r="DN17" s="25">
        <f>IF($CU17&gt;=RAF,"",IF($CU17-DN$103&lt;BeginnAlter,"",ROUND(v^($CU17+FaktorAlter)*$L17*$D17*0.5*(VLOOKUP($CU17-DN$103,Männer!$G$9:$J$102,4)+VLOOKUP($CU17-DN$103+1,Männer!$G$9:$J$102,4))*0.5*(VLOOKUP($CU17-DN$103,Männer!$AZ$9:$BD$102,5)+VLOOKUP($CU17-DN$103+1,Männer!$AZ$9:$BD$102,5)),RundDx)))</f>
        <v>6739125582</v>
      </c>
      <c r="DO17" s="25">
        <f>IF($CU17&gt;=RAF,"",IF($CU17-DO$103&lt;BeginnAlter,"",ROUND(v^($CU17+FaktorAlter)*$L17*$D17*0.5*(VLOOKUP($CU17-DO$103,Männer!$G$9:$J$102,4)+VLOOKUP($CU17-DO$103+1,Männer!$G$9:$J$102,4))*0.5*(VLOOKUP($CU17-DO$103,Männer!$AZ$9:$BD$102,5)+VLOOKUP($CU17-DO$103+1,Männer!$AZ$9:$BD$102,5)),RundDx)))</f>
        <v>6806748430</v>
      </c>
      <c r="DP17" s="25">
        <f>IF($CU17&gt;=RAF,"",IF($CU17-DP$103&lt;BeginnAlter,"",ROUND(v^($CU17+FaktorAlter)*$L17*$D17*0.5*(VLOOKUP($CU17-DP$103,Männer!$G$9:$J$102,4)+VLOOKUP($CU17-DP$103+1,Männer!$G$9:$J$102,4))*0.5*(VLOOKUP($CU17-DP$103,Männer!$AZ$9:$BD$102,5)+VLOOKUP($CU17-DP$103+1,Männer!$AZ$9:$BD$102,5)),RundDx)))</f>
        <v>6873019097</v>
      </c>
      <c r="DQ17" s="25">
        <f>IF($CU17&gt;=RAF,"",IF($CU17-DQ$103&lt;BeginnAlter,"",ROUND(v^($CU17+FaktorAlter)*$L17*$D17*0.5*(VLOOKUP($CU17-DQ$103,Männer!$G$9:$J$102,4)+VLOOKUP($CU17-DQ$103+1,Männer!$G$9:$J$102,4))*0.5*(VLOOKUP($CU17-DQ$103,Männer!$AZ$9:$BD$102,5)+VLOOKUP($CU17-DQ$103+1,Männer!$AZ$9:$BD$102,5)),RundDx)))</f>
        <v>6937906763</v>
      </c>
      <c r="DR17" s="25">
        <f>IF($CU17&gt;=RAF,"",IF($CU17-DR$103&lt;BeginnAlter,"",ROUND(v^($CU17+FaktorAlter)*$L17*$D17*0.5*(VLOOKUP($CU17-DR$103,Männer!$G$9:$J$102,4)+VLOOKUP($CU17-DR$103+1,Männer!$G$9:$J$102,4))*0.5*(VLOOKUP($CU17-DR$103,Männer!$AZ$9:$BD$102,5)+VLOOKUP($CU17-DR$103+1,Männer!$AZ$9:$BD$102,5)),RundDx)))</f>
        <v>7001583724</v>
      </c>
      <c r="DS17" s="25">
        <f>IF($CU17&gt;=RAF,"",IF($CU17-DS$103&lt;BeginnAlter,"",ROUND(v^($CU17+FaktorAlter)*$L17*$D17*0.5*(VLOOKUP($CU17-DS$103,Männer!$G$9:$J$102,4)+VLOOKUP($CU17-DS$103+1,Männer!$G$9:$J$102,4))*0.5*(VLOOKUP($CU17-DS$103,Männer!$AZ$9:$BD$102,5)+VLOOKUP($CU17-DS$103+1,Männer!$AZ$9:$BD$102,5)),RundDx)))</f>
        <v>7063912273</v>
      </c>
      <c r="DT17" s="25" t="str">
        <f>IF($CU17&gt;=RAF,"",IF($CU17-DT$103&lt;BeginnAlter,"",ROUND(v^($CU17+FaktorAlter)*$L17*$D17*0.5*(VLOOKUP($CU17-DT$103,Männer!$G$9:$J$102,4)+VLOOKUP($CU17-DT$103+1,Männer!$G$9:$J$102,4))*0.5*(VLOOKUP($CU17-DT$103,Männer!$AZ$9:$BD$102,5)+VLOOKUP($CU17-DT$103+1,Männer!$AZ$9:$BD$102,5)),RundDx)))</f>
        <v/>
      </c>
      <c r="DU17" s="25" t="str">
        <f>IF($CU17&gt;=RAF,"",IF($CU17-DU$103&lt;BeginnAlter,"",ROUND(v^($CU17+FaktorAlter)*$L17*$D17*0.5*(VLOOKUP($CU17-DU$103,Männer!$G$9:$J$102,4)+VLOOKUP($CU17-DU$103+1,Männer!$G$9:$J$102,4))*0.5*(VLOOKUP($CU17-DU$103,Männer!$AZ$9:$BD$102,5)+VLOOKUP($CU17-DU$103+1,Männer!$AZ$9:$BD$102,5)),RundDx)))</f>
        <v/>
      </c>
      <c r="DV17" s="25" t="str">
        <f>IF($CU17&gt;=RAF,"",IF($CU17-DV$103&lt;BeginnAlter,"",ROUND(v^($CU17+FaktorAlter)*$L17*$D17*0.5*(VLOOKUP($CU17-DV$103,Männer!$G$9:$J$102,4)+VLOOKUP($CU17-DV$103+1,Männer!$G$9:$J$102,4))*0.5*(VLOOKUP($CU17-DV$103,Männer!$AZ$9:$BD$102,5)+VLOOKUP($CU17-DV$103+1,Männer!$AZ$9:$BD$102,5)),RundDx)))</f>
        <v/>
      </c>
      <c r="DW17" s="25" t="str">
        <f>IF($CU17&gt;=RAF,"",IF($CU17-DW$103&lt;BeginnAlter,"",ROUND(v^($CU17+FaktorAlter)*$L17*$D17*0.5*(VLOOKUP($CU17-DW$103,Männer!$G$9:$J$102,4)+VLOOKUP($CU17-DW$103+1,Männer!$G$9:$J$102,4))*0.5*(VLOOKUP($CU17-DW$103,Männer!$AZ$9:$BD$102,5)+VLOOKUP($CU17-DW$103+1,Männer!$AZ$9:$BD$102,5)),RundDx)))</f>
        <v/>
      </c>
      <c r="DX17" s="25" t="str">
        <f>IF($CU17&gt;=RAF,"",IF($CU17-DX$103&lt;BeginnAlter,"",ROUND(v^($CU17+FaktorAlter)*$L17*$D17*0.5*(VLOOKUP($CU17-DX$103,Männer!$G$9:$J$102,4)+VLOOKUP($CU17-DX$103+1,Männer!$G$9:$J$102,4))*0.5*(VLOOKUP($CU17-DX$103,Männer!$AZ$9:$BD$102,5)+VLOOKUP($CU17-DX$103+1,Männer!$AZ$9:$BD$102,5)),RundDx)))</f>
        <v/>
      </c>
      <c r="DY17" s="25" t="str">
        <f>IF($CU17&gt;=RAF,"",IF($CU17-DY$103&lt;BeginnAlter,"",ROUND(v^($CU17+FaktorAlter)*$L17*$D17*0.5*(VLOOKUP($CU17-DY$103,Männer!$G$9:$J$102,4)+VLOOKUP($CU17-DY$103+1,Männer!$G$9:$J$102,4))*0.5*(VLOOKUP($CU17-DY$103,Männer!$AZ$9:$BD$102,5)+VLOOKUP($CU17-DY$103+1,Männer!$AZ$9:$BD$102,5)),RundDx)))</f>
        <v/>
      </c>
      <c r="DZ17" s="25" t="str">
        <f>IF($CU17&gt;=RAF,"",IF($CU17-DZ$103&lt;BeginnAlter,"",ROUND(v^($CU17+FaktorAlter)*$L17*$D17*0.5*(VLOOKUP($CU17-DZ$103,Männer!$G$9:$J$102,4)+VLOOKUP($CU17-DZ$103+1,Männer!$G$9:$J$102,4))*0.5*(VLOOKUP($CU17-DZ$103,Männer!$AZ$9:$BD$102,5)+VLOOKUP($CU17-DZ$103+1,Männer!$AZ$9:$BD$102,5)),RundDx)))</f>
        <v/>
      </c>
      <c r="EA17" s="43">
        <f>IF($CU17&gt;=RAF,"",IF($CU17-EA$103&lt;BeginnAlter,"",ROUND((SUM(CV17:CV$56)+SUM(FN$9:FN$56))/VLOOKUP($CU17,$AH$9:$AI$102,2)/VLOOKUP($CU17-EA$103,Männer!$G$9:$J$102,4),Rundäx)))</f>
        <v>6.9240000000000004</v>
      </c>
      <c r="EB17" s="43">
        <f>IF($CU17&gt;=RAF,"",IF($CU17-EB$103&lt;BeginnAlter,"",ROUND((SUM(CW17:CW$56)+SUM(FO$9:FO$56))/VLOOKUP($CU17,$AH$9:$AI$102,2)/VLOOKUP($CU17-EB$103,Männer!$G$9:$J$102,4),Rundäx)))</f>
        <v>7.133</v>
      </c>
      <c r="EC17" s="43">
        <f>IF($CU17&gt;=RAF,"",IF($CU17-EC$103&lt;BeginnAlter,"",ROUND((SUM(CX17:CX$56)+SUM(FP$9:FP$56))/VLOOKUP($CU17,$AH$9:$AI$102,2)/VLOOKUP($CU17-EC$103,Männer!$G$9:$J$102,4),Rundäx)))</f>
        <v>7.3410000000000002</v>
      </c>
      <c r="ED17" s="43">
        <f>IF($CU17&gt;=RAF,"",IF($CU17-ED$103&lt;BeginnAlter,"",ROUND((SUM(CY17:CY$56)+SUM(FQ$9:FQ$56))/VLOOKUP($CU17,$AH$9:$AI$102,2)/VLOOKUP($CU17-ED$103,Männer!$G$9:$J$102,4),Rundäx)))</f>
        <v>7.55</v>
      </c>
      <c r="EE17" s="43">
        <f>IF($CU17&gt;=RAF,"",IF($CU17-EE$103&lt;BeginnAlter,"",ROUND((SUM(CZ17:CZ$56)+SUM(FR$9:FR$56))/VLOOKUP($CU17,$AH$9:$AI$102,2)/VLOOKUP($CU17-EE$103,Männer!$G$9:$J$102,4),Rundäx)))</f>
        <v>7.758</v>
      </c>
      <c r="EF17" s="43">
        <f>IF($CU17&gt;=RAF,"",IF($CU17-EF$103&lt;BeginnAlter,"",ROUND((SUM(DA17:DA$56)+SUM(FS$9:FS$56))/VLOOKUP($CU17,$AH$9:$AI$102,2)/VLOOKUP($CU17-EF$103,Männer!$G$9:$J$102,4),Rundäx)))</f>
        <v>7.9660000000000002</v>
      </c>
      <c r="EG17" s="43">
        <f>IF($CU17&gt;=RAF,"",IF($CU17-EG$103&lt;BeginnAlter,"",ROUND((SUM(DB17:DB$56)+SUM(FT$9:FT$56))/VLOOKUP($CU17,$AH$9:$AI$102,2)/VLOOKUP($CU17-EG$103,Männer!$G$9:$J$102,4),Rundäx)))</f>
        <v>8.1739999999999995</v>
      </c>
      <c r="EH17" s="43">
        <f>IF($CU17&gt;=RAF,"",IF($CU17-EH$103&lt;BeginnAlter,"",ROUND((SUM(DC17:DC$56)+SUM(FU$9:FU$56))/VLOOKUP($CU17,$AH$9:$AI$102,2)/VLOOKUP($CU17-EH$103,Männer!$G$9:$J$102,4),Rundäx)))</f>
        <v>8.3819999999999997</v>
      </c>
      <c r="EI17" s="89"/>
      <c r="EJ17" s="35">
        <f t="shared" si="61"/>
        <v>25</v>
      </c>
      <c r="EK17" s="43">
        <f>IF($CU17&gt;=RAF,"",IF($CU17-EK$103&lt;BeginnAlter,"",ROUND((SUM(DD17:DD$56)+SUM(FV$9:FV$56))/VLOOKUP($CU17,$AH$9:$AI$102,2)/VLOOKUP($CU17-EK$103,Männer!$G$9:$J$102,4),Rundäx)))</f>
        <v>8.5890000000000004</v>
      </c>
      <c r="EL17" s="43">
        <f>IF($CU17&gt;=RAF,"",IF($CU17-EL$103&lt;BeginnAlter,"",ROUND((SUM(DE17:DE$56)+SUM(FW$9:FW$56))/VLOOKUP($CU17,$AH$9:$AI$102,2)/VLOOKUP($CU17-EL$103,Männer!$G$9:$J$102,4),Rundäx)))</f>
        <v>8.7959999999999994</v>
      </c>
      <c r="EM17" s="43">
        <f>IF($CU17&gt;=RAF,"",IF($CU17-EM$103&lt;BeginnAlter,"",ROUND((SUM(DF17:DF$56)+SUM(FX$9:FX$56))/VLOOKUP($CU17,$AH$9:$AI$102,2)/VLOOKUP($CU17-EM$103,Männer!$G$9:$J$102,4),Rundäx)))</f>
        <v>9.0030000000000001</v>
      </c>
      <c r="EN17" s="43">
        <f>IF($CU17&gt;=RAF,"",IF($CU17-EN$103&lt;BeginnAlter,"",ROUND((SUM(DG17:DG$56)+SUM(FY$9:FY$56))/VLOOKUP($CU17,$AH$9:$AI$102,2)/VLOOKUP($CU17-EN$103,Männer!$G$9:$J$102,4),Rundäx)))</f>
        <v>9.2089999999999996</v>
      </c>
      <c r="EO17" s="43">
        <f>IF($CU17&gt;=RAF,"",IF($CU17-EO$103&lt;BeginnAlter,"",ROUND((SUM(DH17:DH$56)+SUM(FZ$9:FZ$56))/VLOOKUP($CU17,$AH$9:$AI$102,2)/VLOOKUP($CU17-EO$103,Männer!$G$9:$J$102,4),Rundäx)))</f>
        <v>9.4139999999999997</v>
      </c>
      <c r="EP17" s="43">
        <f>IF($CU17&gt;=RAF,"",IF($CU17-EP$103&lt;BeginnAlter,"",ROUND((SUM(DI17:DI$56)+SUM(GA$9:GA$56))/VLOOKUP($CU17,$AH$9:$AI$102,2)/VLOOKUP($CU17-EP$103,Männer!$G$9:$J$102,4),Rundäx)))</f>
        <v>9.6189999999999998</v>
      </c>
      <c r="EQ17" s="43">
        <f>IF($CU17&gt;=RAF,"",IF($CU17-EQ$103&lt;BeginnAlter,"",ROUND((SUM(DJ17:DJ$56)+SUM(GB$9:GB$56))/VLOOKUP($CU17,$AH$9:$AI$102,2)/VLOOKUP($CU17-EQ$103,Männer!$G$9:$J$102,4),Rundäx)))</f>
        <v>9.8230000000000004</v>
      </c>
      <c r="ER17" s="43">
        <f>IF($CU17&gt;=RAF,"",IF($CU17-ER$103&lt;BeginnAlter,"",ROUND((SUM(DK17:DK$56)+SUM(GC$9:GC$56))/VLOOKUP($CU17,$AH$9:$AI$102,2)/VLOOKUP($CU17-ER$103,Männer!$G$9:$J$102,4),Rundäx)))</f>
        <v>10.026999999999999</v>
      </c>
      <c r="ES17" s="89"/>
      <c r="ET17" s="35">
        <f t="shared" si="62"/>
        <v>25</v>
      </c>
      <c r="EU17" s="43">
        <f>IF($CU17&gt;=RAF,"",IF($CU17-EU$103&lt;BeginnAlter,"",ROUND((SUM(DL17:DL$56)+SUM(GD$9:GD$56))/VLOOKUP($CU17,$AH$9:$AI$102,2)/VLOOKUP($CU17-EU$103,Männer!$G$9:$J$102,4),Rundäx)))</f>
        <v>10.228999999999999</v>
      </c>
      <c r="EV17" s="43">
        <f>IF($CU17&gt;=RAF,"",IF($CU17-EV$103&lt;BeginnAlter,"",ROUND((SUM(DM17:DM$56)+SUM(GE$9:GE$56))/VLOOKUP($CU17,$AH$9:$AI$102,2)/VLOOKUP($CU17-EV$103,Männer!$G$9:$J$102,4),Rundäx)))</f>
        <v>10.430999999999999</v>
      </c>
      <c r="EW17" s="43">
        <f>IF($CU17&gt;=RAF,"",IF($CU17-EW$103&lt;BeginnAlter,"",ROUND((SUM(DN17:DN$56)+SUM(GF$9:GF$56))/VLOOKUP($CU17,$AH$9:$AI$102,2)/VLOOKUP($CU17-EW$103,Männer!$G$9:$J$102,4),Rundäx)))</f>
        <v>10.632</v>
      </c>
      <c r="EX17" s="43">
        <f>IF($CU17&gt;=RAF,"",IF($CU17-EX$103&lt;BeginnAlter,"",ROUND((SUM(DO17:DO$56)+SUM(GG$9:GG$56))/VLOOKUP($CU17,$AH$9:$AI$102,2)/VLOOKUP($CU17-EX$103,Männer!$G$9:$J$102,4),Rundäx)))</f>
        <v>10.832000000000001</v>
      </c>
      <c r="EY17" s="43">
        <f>IF($CU17&gt;=RAF,"",IF($CU17-EY$103&lt;BeginnAlter,"",ROUND((SUM(DP17:DP$56)+SUM(GH$9:GH$56))/VLOOKUP($CU17,$AH$9:$AI$102,2)/VLOOKUP($CU17-EY$103,Männer!$G$9:$J$102,4),Rundäx)))</f>
        <v>11.032</v>
      </c>
      <c r="EZ17" s="43">
        <f>IF($CU17&gt;=RAF,"",IF($CU17-EZ$103&lt;BeginnAlter,"",ROUND((SUM(DQ17:DQ$56)+SUM(GI$9:GI$56))/VLOOKUP($CU17,$AH$9:$AI$102,2)/VLOOKUP($CU17-EZ$103,Männer!$G$9:$J$102,4),Rundäx)))</f>
        <v>11.233000000000001</v>
      </c>
      <c r="FA17" s="43">
        <f>IF($CU17&gt;=RAF,"",IF($CU17-FA$103&lt;BeginnAlter,"",ROUND((SUM(DR17:DR$56)+SUM(GJ$9:GJ$56))/VLOOKUP($CU17,$AH$9:$AI$102,2)/VLOOKUP($CU17-FA$103,Männer!$G$9:$J$102,4),Rundäx)))</f>
        <v>11.433</v>
      </c>
      <c r="FB17" s="43">
        <f>IF($CU17&gt;=RAF,"",IF($CU17-FB$103&lt;BeginnAlter,"",ROUND((SUM(DS17:DS$56)+SUM(GK$9:GK$56))/VLOOKUP($CU17,$AH$9:$AI$102,2)/VLOOKUP($CU17-FB$103,Männer!$G$9:$J$102,4),Rundäx)))</f>
        <v>11.634</v>
      </c>
      <c r="FC17" s="89"/>
      <c r="FD17" s="35">
        <f t="shared" si="63"/>
        <v>25</v>
      </c>
      <c r="FE17" s="43" t="str">
        <f>IF($CU17&gt;=RAF,"",IF($CU17-FE$103&lt;BeginnAlter,"",ROUND((SUM(DT17:DT$56)+SUM(GL$9:GL$56))/VLOOKUP($CU17,$AH$9:$AI$102,2)/VLOOKUP($CU17-FE$103,Männer!$G$9:$J$102,4),Rundäx)))</f>
        <v/>
      </c>
      <c r="FF17" s="43" t="str">
        <f>IF($CU17&gt;=RAF,"",IF($CU17-FF$103&lt;BeginnAlter,"",ROUND((SUM(DU17:DU$56)+SUM(GM$9:GM$56))/VLOOKUP($CU17,$AH$9:$AI$102,2)/VLOOKUP($CU17-FF$103,Männer!$G$9:$J$102,4),Rundäx)))</f>
        <v/>
      </c>
      <c r="FG17" s="43" t="str">
        <f>IF($CU17&gt;=RAF,"",IF($CU17-FG$103&lt;BeginnAlter,"",ROUND((SUM(DV17:DV$56)+SUM(GN$9:GN$56))/VLOOKUP($CU17,$AH$9:$AI$102,2)/VLOOKUP($CU17-FG$103,Männer!$G$9:$J$102,4),Rundäx)))</f>
        <v/>
      </c>
      <c r="FH17" s="43" t="str">
        <f>IF($CU17&gt;=RAF,"",IF($CU17-FH$103&lt;BeginnAlter,"",ROUND((SUM(DW17:DW$56)+SUM(GO$9:GO$56))/VLOOKUP($CU17,$AH$9:$AI$102,2)/VLOOKUP($CU17-FH$103,Männer!$G$9:$J$102,4),Rundäx)))</f>
        <v/>
      </c>
      <c r="FI17" s="43" t="str">
        <f>IF($CU17&gt;=RAF,"",IF($CU17-FI$103&lt;BeginnAlter,"",ROUND((SUM(DX17:DX$56)+SUM(GP$9:GP$56))/VLOOKUP($CU17,$AH$9:$AI$102,2)/VLOOKUP($CU17-FI$103,Männer!$G$9:$J$102,4),Rundäx)))</f>
        <v/>
      </c>
      <c r="FJ17" s="43" t="str">
        <f>IF($CU17&gt;=RAF,"",IF($CU17-FJ$103&lt;BeginnAlter,"",ROUND((SUM(DY17:DY$56)+SUM(GQ$9:GQ$56))/VLOOKUP($CU17,$AH$9:$AI$102,2)/VLOOKUP($CU17-FJ$103,Männer!$G$9:$J$102,4),Rundäx)))</f>
        <v/>
      </c>
      <c r="FK17" s="43" t="str">
        <f>IF($CU17&gt;=RAF,"",IF($CU17-FK$103&lt;BeginnAlter,"",ROUND((SUM(DZ17:DZ$56)+SUM(GR$9:GR$56))/VLOOKUP($CU17,$AH$9:$AI$102,2)/VLOOKUP($CU17-FK$103,Männer!$G$9:$J$102,4),Rundäx)))</f>
        <v/>
      </c>
      <c r="FL17" s="89"/>
      <c r="FM17" s="35">
        <f t="shared" si="64"/>
        <v>72</v>
      </c>
      <c r="FN17" s="25">
        <f>ROUND(v^($FM17+FaktorAlter)*VLOOKUP($FM17,$G$9:$J$102,4)*VLOOKUP($FM17,$A$9:$E$102,5)*0.5*(VLOOKUP($FM17-FN$103,Männer!$G$9:$J$102,4)+VLOOKUP($FM17-FN$103+1,Männer!$G$9:$J$102,4))*0.5*(VLOOKUP($FM17-FN$103,Männer!$AZ$9:$BD$102,5)+VLOOKUP($FM17-FN$103+1,Männer!$AZ$9:$BD$102,5)),RundDx)</f>
        <v>31573224</v>
      </c>
      <c r="FO17" s="25">
        <f>ROUND(v^($FM17+FaktorAlter)*VLOOKUP($FM17,$G$9:$J$102,4)*VLOOKUP($FM17,$A$9:$E$102,5)*0.5*(VLOOKUP($FM17-FO$103,Männer!$G$9:$J$102,4)+VLOOKUP($FM17-FO$103+1,Männer!$G$9:$J$102,4))*0.5*(VLOOKUP($FM17-FO$103,Männer!$AZ$9:$BD$102,5)+VLOOKUP($FM17-FO$103+1,Männer!$AZ$9:$BD$102,5)),RundDx)</f>
        <v>38857324</v>
      </c>
      <c r="FP17" s="25">
        <f>ROUND(v^($FM17+FaktorAlter)*VLOOKUP($FM17,$G$9:$J$102,4)*VLOOKUP($FM17,$A$9:$E$102,5)*0.5*(VLOOKUP($FM17-FP$103,Männer!$G$9:$J$102,4)+VLOOKUP($FM17-FP$103+1,Männer!$G$9:$J$102,4))*0.5*(VLOOKUP($FM17-FP$103,Männer!$AZ$9:$BD$102,5)+VLOOKUP($FM17-FP$103+1,Männer!$AZ$9:$BD$102,5)),RundDx)</f>
        <v>46924309</v>
      </c>
      <c r="FQ17" s="25">
        <f>ROUND(v^($FM17+FaktorAlter)*VLOOKUP($FM17,$G$9:$J$102,4)*VLOOKUP($FM17,$A$9:$E$102,5)*0.5*(VLOOKUP($FM17-FQ$103,Männer!$G$9:$J$102,4)+VLOOKUP($FM17-FQ$103+1,Männer!$G$9:$J$102,4))*0.5*(VLOOKUP($FM17-FQ$103,Männer!$AZ$9:$BD$102,5)+VLOOKUP($FM17-FQ$103+1,Männer!$AZ$9:$BD$102,5)),RundDx)</f>
        <v>55746907</v>
      </c>
      <c r="FR17" s="25">
        <f>ROUND(v^($FM17+FaktorAlter)*VLOOKUP($FM17,$G$9:$J$102,4)*VLOOKUP($FM17,$A$9:$E$102,5)*0.5*(VLOOKUP($FM17-FR$103,Männer!$G$9:$J$102,4)+VLOOKUP($FM17-FR$103+1,Männer!$G$9:$J$102,4))*0.5*(VLOOKUP($FM17-FR$103,Männer!$AZ$9:$BD$102,5)+VLOOKUP($FM17-FR$103+1,Männer!$AZ$9:$BD$102,5)),RundDx)</f>
        <v>65279603</v>
      </c>
      <c r="FS17" s="25">
        <f>ROUND(v^($FM17+FaktorAlter)*VLOOKUP($FM17,$G$9:$J$102,4)*VLOOKUP($FM17,$A$9:$E$102,5)*0.5*(VLOOKUP($FM17-FS$103,Männer!$G$9:$J$102,4)+VLOOKUP($FM17-FS$103+1,Männer!$G$9:$J$102,4))*0.5*(VLOOKUP($FM17-FS$103,Männer!$AZ$9:$BD$102,5)+VLOOKUP($FM17-FS$103+1,Männer!$AZ$9:$BD$102,5)),RundDx)</f>
        <v>75486611</v>
      </c>
      <c r="FT17" s="25">
        <f>ROUND(v^($FM17+FaktorAlter)*VLOOKUP($FM17,$G$9:$J$102,4)*VLOOKUP($FM17,$A$9:$E$102,5)*0.5*(VLOOKUP($FM17-FT$103,Männer!$G$9:$J$102,4)+VLOOKUP($FM17-FT$103+1,Männer!$G$9:$J$102,4))*0.5*(VLOOKUP($FM17-FT$103,Männer!$AZ$9:$BD$102,5)+VLOOKUP($FM17-FT$103+1,Männer!$AZ$9:$BD$102,5)),RundDx)</f>
        <v>86326621</v>
      </c>
      <c r="FU17" s="25">
        <f>ROUND(v^($FM17+FaktorAlter)*VLOOKUP($FM17,$G$9:$J$102,4)*VLOOKUP($FM17,$A$9:$E$102,5)*0.5*(VLOOKUP($FM17-FU$103,Männer!$G$9:$J$102,4)+VLOOKUP($FM17-FU$103+1,Männer!$G$9:$J$102,4))*0.5*(VLOOKUP($FM17-FU$103,Männer!$AZ$9:$BD$102,5)+VLOOKUP($FM17-FU$103+1,Männer!$AZ$9:$BD$102,5)),RundDx)</f>
        <v>97742413</v>
      </c>
      <c r="FV17" s="25">
        <f>ROUND(v^($FM17+FaktorAlter)*VLOOKUP($FM17,$G$9:$J$102,4)*VLOOKUP($FM17,$A$9:$E$102,5)*0.5*(VLOOKUP($FM17-FV$103,Männer!$G$9:$J$102,4)+VLOOKUP($FM17-FV$103+1,Männer!$G$9:$J$102,4))*0.5*(VLOOKUP($FM17-FV$103,Männer!$AZ$9:$BD$102,5)+VLOOKUP($FM17-FV$103+1,Männer!$AZ$9:$BD$102,5)),RundDx)</f>
        <v>109679159</v>
      </c>
      <c r="FW17" s="25">
        <f>ROUND(v^($FM17+FaktorAlter)*VLOOKUP($FM17,$G$9:$J$102,4)*VLOOKUP($FM17,$A$9:$E$102,5)*0.5*(VLOOKUP($FM17-FW$103,Männer!$G$9:$J$102,4)+VLOOKUP($FM17-FW$103+1,Männer!$G$9:$J$102,4))*0.5*(VLOOKUP($FM17-FW$103,Männer!$AZ$9:$BD$102,5)+VLOOKUP($FM17-FW$103+1,Männer!$AZ$9:$BD$102,5)),RundDx)</f>
        <v>122079292</v>
      </c>
      <c r="FX17" s="25">
        <f>ROUND(v^($FM17+FaktorAlter)*VLOOKUP($FM17,$G$9:$J$102,4)*VLOOKUP($FM17,$A$9:$E$102,5)*0.5*(VLOOKUP($FM17-FX$103,Männer!$G$9:$J$102,4)+VLOOKUP($FM17-FX$103+1,Männer!$G$9:$J$102,4))*0.5*(VLOOKUP($FM17-FX$103,Männer!$AZ$9:$BD$102,5)+VLOOKUP($FM17-FX$103+1,Männer!$AZ$9:$BD$102,5)),RundDx)</f>
        <v>134880886</v>
      </c>
      <c r="FY17" s="25">
        <f>ROUND(v^($FM17+FaktorAlter)*VLOOKUP($FM17,$G$9:$J$102,4)*VLOOKUP($FM17,$A$9:$E$102,5)*0.5*(VLOOKUP($FM17-FY$103,Männer!$G$9:$J$102,4)+VLOOKUP($FM17-FY$103+1,Männer!$G$9:$J$102,4))*0.5*(VLOOKUP($FM17-FY$103,Männer!$AZ$9:$BD$102,5)+VLOOKUP($FM17-FY$103+1,Männer!$AZ$9:$BD$102,5)),RundDx)</f>
        <v>148015101</v>
      </c>
      <c r="FZ17" s="25">
        <f>ROUND(v^($FM17+FaktorAlter)*VLOOKUP($FM17,$G$9:$J$102,4)*VLOOKUP($FM17,$A$9:$E$102,5)*0.5*(VLOOKUP($FM17-FZ$103,Männer!$G$9:$J$102,4)+VLOOKUP($FM17-FZ$103+1,Männer!$G$9:$J$102,4))*0.5*(VLOOKUP($FM17-FZ$103,Männer!$AZ$9:$BD$102,5)+VLOOKUP($FM17-FZ$103+1,Männer!$AZ$9:$BD$102,5)),RundDx)</f>
        <v>161398066</v>
      </c>
      <c r="GA17" s="25">
        <f>ROUND(v^($FM17+FaktorAlter)*VLOOKUP($FM17,$G$9:$J$102,4)*VLOOKUP($FM17,$A$9:$E$102,5)*0.5*(VLOOKUP($FM17-GA$103,Männer!$G$9:$J$102,4)+VLOOKUP($FM17-GA$103+1,Männer!$G$9:$J$102,4))*0.5*(VLOOKUP($FM17-GA$103,Männer!$AZ$9:$BD$102,5)+VLOOKUP($FM17-GA$103+1,Männer!$AZ$9:$BD$102,5)),RundDx)</f>
        <v>174967335</v>
      </c>
      <c r="GB17" s="25">
        <f>ROUND(v^($FM17+FaktorAlter)*VLOOKUP($FM17,$G$9:$J$102,4)*VLOOKUP($FM17,$A$9:$E$102,5)*0.5*(VLOOKUP($FM17-GB$103,Männer!$G$9:$J$102,4)+VLOOKUP($FM17-GB$103+1,Männer!$G$9:$J$102,4))*0.5*(VLOOKUP($FM17-GB$103,Männer!$AZ$9:$BD$102,5)+VLOOKUP($FM17-GB$103+1,Männer!$AZ$9:$BD$102,5)),RundDx)</f>
        <v>188645507</v>
      </c>
      <c r="GC17" s="25">
        <f>ROUND(v^($FM17+FaktorAlter)*VLOOKUP($FM17,$G$9:$J$102,4)*VLOOKUP($FM17,$A$9:$E$102,5)*0.5*(VLOOKUP($FM17-GC$103,Männer!$G$9:$J$102,4)+VLOOKUP($FM17-GC$103+1,Männer!$G$9:$J$102,4))*0.5*(VLOOKUP($FM17-GC$103,Männer!$AZ$9:$BD$102,5)+VLOOKUP($FM17-GC$103+1,Männer!$AZ$9:$BD$102,5)),RundDx)</f>
        <v>202425534</v>
      </c>
      <c r="GD17" s="25">
        <f>ROUND(v^($FM17+FaktorAlter)*VLOOKUP($FM17,$G$9:$J$102,4)*VLOOKUP($FM17,$A$9:$E$102,5)*0.5*(VLOOKUP($FM17-GD$103,Männer!$G$9:$J$102,4)+VLOOKUP($FM17-GD$103+1,Männer!$G$9:$J$102,4))*0.5*(VLOOKUP($FM17-GD$103,Männer!$AZ$9:$BD$102,5)+VLOOKUP($FM17-GD$103+1,Männer!$AZ$9:$BD$102,5)),RundDx)</f>
        <v>216290380</v>
      </c>
      <c r="GE17" s="25">
        <f>ROUND(v^($FM17+FaktorAlter)*VLOOKUP($FM17,$G$9:$J$102,4)*VLOOKUP($FM17,$A$9:$E$102,5)*0.5*(VLOOKUP($FM17-GE$103,Männer!$G$9:$J$102,4)+VLOOKUP($FM17-GE$103+1,Männer!$G$9:$J$102,4))*0.5*(VLOOKUP($FM17-GE$103,Männer!$AZ$9:$BD$102,5)+VLOOKUP($FM17-GE$103+1,Männer!$AZ$9:$BD$102,5)),RundDx)</f>
        <v>230174555</v>
      </c>
      <c r="GF17" s="25">
        <f>ROUND(v^($FM17+FaktorAlter)*VLOOKUP($FM17,$G$9:$J$102,4)*VLOOKUP($FM17,$A$9:$E$102,5)*0.5*(VLOOKUP($FM17-GF$103,Männer!$G$9:$J$102,4)+VLOOKUP($FM17-GF$103+1,Männer!$G$9:$J$102,4))*0.5*(VLOOKUP($FM17-GF$103,Männer!$AZ$9:$BD$102,5)+VLOOKUP($FM17-GF$103+1,Männer!$AZ$9:$BD$102,5)),RundDx)</f>
        <v>244069750</v>
      </c>
      <c r="GG17" s="25">
        <f>ROUND(v^($FM17+FaktorAlter)*VLOOKUP($FM17,$G$9:$J$102,4)*VLOOKUP($FM17,$A$9:$E$102,5)*0.5*(VLOOKUP($FM17-GG$103,Männer!$G$9:$J$102,4)+VLOOKUP($FM17-GG$103+1,Männer!$G$9:$J$102,4))*0.5*(VLOOKUP($FM17-GG$103,Männer!$AZ$9:$BD$102,5)+VLOOKUP($FM17-GG$103+1,Männer!$AZ$9:$BD$102,5)),RundDx)</f>
        <v>258025245</v>
      </c>
      <c r="GH17" s="25">
        <f>ROUND(v^($FM17+FaktorAlter)*VLOOKUP($FM17,$G$9:$J$102,4)*VLOOKUP($FM17,$A$9:$E$102,5)*0.5*(VLOOKUP($FM17-GH$103,Männer!$G$9:$J$102,4)+VLOOKUP($FM17-GH$103+1,Männer!$G$9:$J$102,4))*0.5*(VLOOKUP($FM17-GH$103,Männer!$AZ$9:$BD$102,5)+VLOOKUP($FM17-GH$103+1,Männer!$AZ$9:$BD$102,5)),RundDx)</f>
        <v>272081292</v>
      </c>
      <c r="GI17" s="25">
        <f>ROUND(v^($FM17+FaktorAlter)*VLOOKUP($FM17,$G$9:$J$102,4)*VLOOKUP($FM17,$A$9:$E$102,5)*0.5*(VLOOKUP($FM17-GI$103,Männer!$G$9:$J$102,4)+VLOOKUP($FM17-GI$103+1,Männer!$G$9:$J$102,4))*0.5*(VLOOKUP($FM17-GI$103,Männer!$AZ$9:$BD$102,5)+VLOOKUP($FM17-GI$103+1,Männer!$AZ$9:$BD$102,5)),RundDx)</f>
        <v>286203189</v>
      </c>
      <c r="GJ17" s="25">
        <f>ROUND(v^($FM17+FaktorAlter)*VLOOKUP($FM17,$G$9:$J$102,4)*VLOOKUP($FM17,$A$9:$E$102,5)*0.5*(VLOOKUP($FM17-GJ$103,Männer!$G$9:$J$102,4)+VLOOKUP($FM17-GJ$103+1,Männer!$G$9:$J$102,4))*0.5*(VLOOKUP($FM17-GJ$103,Männer!$AZ$9:$BD$102,5)+VLOOKUP($FM17-GJ$103+1,Männer!$AZ$9:$BD$102,5)),RundDx)</f>
        <v>300425331</v>
      </c>
      <c r="GK17" s="25">
        <f>ROUND(v^($FM17+FaktorAlter)*VLOOKUP($FM17,$G$9:$J$102,4)*VLOOKUP($FM17,$A$9:$E$102,5)*0.5*(VLOOKUP($FM17-GK$103,Männer!$G$9:$J$102,4)+VLOOKUP($FM17-GK$103+1,Männer!$G$9:$J$102,4))*0.5*(VLOOKUP($FM17-GK$103,Männer!$AZ$9:$BD$102,5)+VLOOKUP($FM17-GK$103+1,Männer!$AZ$9:$BD$102,5)),RundDx)</f>
        <v>314820307</v>
      </c>
      <c r="GL17" s="25">
        <f>ROUND(v^($FM17+FaktorAlter)*VLOOKUP($FM17,$G$9:$J$102,4)*VLOOKUP($FM17,$A$9:$E$102,5)*0.5*(VLOOKUP($FM17-GL$103,Männer!$G$9:$J$102,4)+VLOOKUP($FM17-GL$103+1,Männer!$G$9:$J$102,4))*0.5*(VLOOKUP($FM17-GL$103,Männer!$AZ$9:$BD$102,5)+VLOOKUP($FM17-GL$103+1,Männer!$AZ$9:$BD$102,5)),RundDx)</f>
        <v>329415405</v>
      </c>
      <c r="GM17" s="25">
        <f>ROUND(v^($FM17+FaktorAlter)*VLOOKUP($FM17,$G$9:$J$102,4)*VLOOKUP($FM17,$A$9:$E$102,5)*0.5*(VLOOKUP($FM17-GM$103,Männer!$G$9:$J$102,4)+VLOOKUP($FM17-GM$103+1,Männer!$G$9:$J$102,4))*0.5*(VLOOKUP($FM17-GM$103,Männer!$AZ$9:$BD$102,5)+VLOOKUP($FM17-GM$103+1,Männer!$AZ$9:$BD$102,5)),RundDx)</f>
        <v>344245817</v>
      </c>
      <c r="GN17" s="25">
        <f>ROUND(v^($FM17+FaktorAlter)*VLOOKUP($FM17,$G$9:$J$102,4)*VLOOKUP($FM17,$A$9:$E$102,5)*0.5*(VLOOKUP($FM17-GN$103,Männer!$G$9:$J$102,4)+VLOOKUP($FM17-GN$103+1,Männer!$G$9:$J$102,4))*0.5*(VLOOKUP($FM17-GN$103,Männer!$AZ$9:$BD$102,5)+VLOOKUP($FM17-GN$103+1,Männer!$AZ$9:$BD$102,5)),RundDx)</f>
        <v>359333651</v>
      </c>
      <c r="GO17" s="25">
        <f>ROUND(v^($FM17+FaktorAlter)*VLOOKUP($FM17,$G$9:$J$102,4)*VLOOKUP($FM17,$A$9:$E$102,5)*0.5*(VLOOKUP($FM17-GO$103,Männer!$G$9:$J$102,4)+VLOOKUP($FM17-GO$103+1,Männer!$G$9:$J$102,4))*0.5*(VLOOKUP($FM17-GO$103,Männer!$AZ$9:$BD$102,5)+VLOOKUP($FM17-GO$103+1,Männer!$AZ$9:$BD$102,5)),RundDx)</f>
        <v>374691050</v>
      </c>
      <c r="GP17" s="25">
        <f>ROUND(v^($FM17+FaktorAlter)*VLOOKUP($FM17,$G$9:$J$102,4)*VLOOKUP($FM17,$A$9:$E$102,5)*0.5*(VLOOKUP($FM17-GP$103,Männer!$G$9:$J$102,4)+VLOOKUP($FM17-GP$103+1,Männer!$G$9:$J$102,4))*0.5*(VLOOKUP($FM17-GP$103,Männer!$AZ$9:$BD$102,5)+VLOOKUP($FM17-GP$103+1,Männer!$AZ$9:$BD$102,5)),RundDx)</f>
        <v>390345457</v>
      </c>
      <c r="GQ17" s="25">
        <f>ROUND(v^($FM17+FaktorAlter)*VLOOKUP($FM17,$G$9:$J$102,4)*VLOOKUP($FM17,$A$9:$E$102,5)*0.5*(VLOOKUP($FM17-GQ$103,Männer!$G$9:$J$102,4)+VLOOKUP($FM17-GQ$103+1,Männer!$G$9:$J$102,4))*0.5*(VLOOKUP($FM17-GQ$103,Männer!$AZ$9:$BD$102,5)+VLOOKUP($FM17-GQ$103+1,Männer!$AZ$9:$BD$102,5)),RundDx)</f>
        <v>406278349</v>
      </c>
      <c r="GR17" s="25">
        <f>ROUND(v^($FM17+FaktorAlter)*VLOOKUP($FM17,$G$9:$J$102,4)*VLOOKUP($FM17,$A$9:$E$102,5)*0.5*(VLOOKUP($FM17-GR$103,Männer!$G$9:$J$102,4)+VLOOKUP($FM17-GR$103+1,Männer!$G$9:$J$102,4))*0.5*(VLOOKUP($FM17-GR$103,Männer!$AZ$9:$BD$102,5)+VLOOKUP($FM17-GR$103+1,Männer!$AZ$9:$BD$102,5)),RundDx)</f>
        <v>422466349</v>
      </c>
      <c r="GS17" s="24">
        <f>ROUND(SUM(FN17:FN$56)/VLOOKUP($FM17,$AQ$9:$AR$102,2)/VLOOKUP($FM17-GS$103,Männer!$G$9:$J$102,4),Rundäx)</f>
        <v>0.27100000000000002</v>
      </c>
      <c r="GT17" s="24">
        <f>ROUND(SUM(FO17:FO$56)/VLOOKUP($FM17,$AQ$9:$AR$102,2)/VLOOKUP($FM17-GT$103,Männer!$G$9:$J$102,4),Rundäx)</f>
        <v>0.32</v>
      </c>
      <c r="GU17" s="24">
        <f>ROUND(SUM(FP17:FP$56)/VLOOKUP($FM17,$AQ$9:$AR$102,2)/VLOOKUP($FM17-GU$103,Männer!$G$9:$J$102,4),Rundäx)</f>
        <v>0.376</v>
      </c>
      <c r="GV17" s="24">
        <f>ROUND(SUM(FQ17:FQ$56)/VLOOKUP($FM17,$AQ$9:$AR$102,2)/VLOOKUP($FM17-GV$103,Männer!$G$9:$J$102,4),Rundäx)</f>
        <v>0.44</v>
      </c>
      <c r="GW17" s="24">
        <f>ROUND(SUM(FR17:FR$56)/VLOOKUP($FM17,$AQ$9:$AR$102,2)/VLOOKUP($FM17-GW$103,Männer!$G$9:$J$102,4),Rundäx)</f>
        <v>0.51100000000000001</v>
      </c>
      <c r="GX17" s="24">
        <f>ROUND(SUM(FS17:FS$56)/VLOOKUP($FM17,$AQ$9:$AR$102,2)/VLOOKUP($FM17-GX$103,Männer!$G$9:$J$102,4),Rundäx)</f>
        <v>0.59199999999999997</v>
      </c>
      <c r="GY17" s="24">
        <f>ROUND(SUM(FT17:FT$56)/VLOOKUP($FM17,$AQ$9:$AR$102,2)/VLOOKUP($FM17-GY$103,Männer!$G$9:$J$102,4),Rundäx)</f>
        <v>0.68200000000000005</v>
      </c>
      <c r="GZ17" s="24">
        <f>ROUND(SUM(FU17:FU$56)/VLOOKUP($FM17,$AQ$9:$AR$102,2)/VLOOKUP($FM17-GZ$103,Männer!$G$9:$J$102,4),Rundäx)</f>
        <v>0.78200000000000003</v>
      </c>
      <c r="HA17" s="89"/>
      <c r="HB17" s="35">
        <f t="shared" si="65"/>
        <v>72</v>
      </c>
      <c r="HC17" s="24">
        <f>ROUND(SUM(FV17:FV$56)/VLOOKUP($FM17,$AQ$9:$AR$102,2)/VLOOKUP($FM17-HC$103,Männer!$G$9:$J$102,4),Rundäx)</f>
        <v>0.89300000000000002</v>
      </c>
      <c r="HD17" s="24">
        <f>ROUND(SUM(FW17:FW$56)/VLOOKUP($FM17,$AQ$9:$AR$102,2)/VLOOKUP($FM17-HD$103,Männer!$G$9:$J$102,4),Rundäx)</f>
        <v>1.016</v>
      </c>
      <c r="HE17" s="24">
        <f>ROUND(SUM(FX17:FX$56)/VLOOKUP($FM17,$AQ$9:$AR$102,2)/VLOOKUP($FM17-HE$103,Männer!$G$9:$J$102,4),Rundäx)</f>
        <v>1.1499999999999999</v>
      </c>
      <c r="HF17" s="24">
        <f>ROUND(SUM(FY17:FY$56)/VLOOKUP($FM17,$AQ$9:$AR$102,2)/VLOOKUP($FM17-HF$103,Männer!$G$9:$J$102,4),Rundäx)</f>
        <v>1.296</v>
      </c>
      <c r="HG17" s="24">
        <f>ROUND(SUM(FZ17:FZ$56)/VLOOKUP($FM17,$AQ$9:$AR$102,2)/VLOOKUP($FM17-HG$103,Männer!$G$9:$J$102,4),Rundäx)</f>
        <v>1.454</v>
      </c>
      <c r="HH17" s="24">
        <f>ROUND(SUM(GA17:GA$56)/VLOOKUP($FM17,$AQ$9:$AR$102,2)/VLOOKUP($FM17-HH$103,Männer!$G$9:$J$102,4),Rundäx)</f>
        <v>1.6259999999999999</v>
      </c>
      <c r="HI17" s="24">
        <f>ROUND(SUM(GB17:GB$56)/VLOOKUP($FM17,$AQ$9:$AR$102,2)/VLOOKUP($FM17-HI$103,Männer!$G$9:$J$102,4),Rundäx)</f>
        <v>1.81</v>
      </c>
      <c r="HJ17" s="24">
        <f>ROUND(SUM(GC17:GC$56)/VLOOKUP($FM17,$AQ$9:$AR$102,2)/VLOOKUP($FM17-HJ$103,Männer!$G$9:$J$102,4),Rundäx)</f>
        <v>2.0070000000000001</v>
      </c>
      <c r="HK17" s="89"/>
      <c r="HL17" s="35">
        <f t="shared" si="66"/>
        <v>72</v>
      </c>
      <c r="HM17" s="24">
        <f>ROUND(SUM(GD17:GD$56)/VLOOKUP($FM17,$AQ$9:$AR$102,2)/VLOOKUP($FM17-HM$103,Männer!$G$9:$J$102,4),Rundäx)</f>
        <v>2.2160000000000002</v>
      </c>
      <c r="HN17" s="24">
        <f>ROUND(SUM(GE17:GE$56)/VLOOKUP($FM17,$AQ$9:$AR$102,2)/VLOOKUP($FM17-HN$103,Männer!$G$9:$J$102,4),Rundäx)</f>
        <v>2.4380000000000002</v>
      </c>
      <c r="HO17" s="24">
        <f>ROUND(SUM(GF17:GF$56)/VLOOKUP($FM17,$AQ$9:$AR$102,2)/VLOOKUP($FM17-HO$103,Männer!$G$9:$J$102,4),Rundäx)</f>
        <v>2.6720000000000002</v>
      </c>
      <c r="HP17" s="24">
        <f>ROUND(SUM(GG17:GG$56)/VLOOKUP($FM17,$AQ$9:$AR$102,2)/VLOOKUP($FM17-HP$103,Männer!$G$9:$J$102,4),Rundäx)</f>
        <v>2.9159999999999999</v>
      </c>
      <c r="HQ17" s="24">
        <f>ROUND(SUM(GH17:GH$56)/VLOOKUP($FM17,$AQ$9:$AR$102,2)/VLOOKUP($FM17-HQ$103,Männer!$G$9:$J$102,4),Rundäx)</f>
        <v>3.1709999999999998</v>
      </c>
      <c r="HR17" s="24">
        <f>ROUND(SUM(GI17:GI$56)/VLOOKUP($FM17,$AQ$9:$AR$102,2)/VLOOKUP($FM17-HR$103,Männer!$G$9:$J$102,4),Rundäx)</f>
        <v>3.4369999999999998</v>
      </c>
      <c r="HS17" s="24">
        <f>ROUND(SUM(GJ17:GJ$56)/VLOOKUP($FM17,$AQ$9:$AR$102,2)/VLOOKUP($FM17-HS$103,Männer!$G$9:$J$102,4),Rundäx)</f>
        <v>3.7120000000000002</v>
      </c>
      <c r="HT17" s="24">
        <f>ROUND(SUM(GK17:GK$56)/VLOOKUP($FM17,$AQ$9:$AR$102,2)/VLOOKUP($FM17-HT$103,Männer!$G$9:$J$102,4),Rundäx)</f>
        <v>3.996</v>
      </c>
      <c r="HU17" s="89"/>
      <c r="HV17" s="35">
        <f t="shared" si="67"/>
        <v>72</v>
      </c>
      <c r="HW17" s="24">
        <f>ROUND(SUM(GL17:GL$56)/VLOOKUP($FM17,$AQ$9:$AR$102,2)/VLOOKUP($FM17-HW$103,Männer!$G$9:$J$102,4),Rundäx)</f>
        <v>4.2889999999999997</v>
      </c>
      <c r="HX17" s="24">
        <f>ROUND(SUM(GM17:GM$56)/VLOOKUP($FM17,$AQ$9:$AR$102,2)/VLOOKUP($FM17-HX$103,Männer!$G$9:$J$102,4),Rundäx)</f>
        <v>4.59</v>
      </c>
      <c r="HY17" s="24">
        <f>ROUND(SUM(GN17:GN$56)/VLOOKUP($FM17,$AQ$9:$AR$102,2)/VLOOKUP($FM17-HY$103,Männer!$G$9:$J$102,4),Rundäx)</f>
        <v>4.899</v>
      </c>
      <c r="HZ17" s="24">
        <f>ROUND(SUM(GO17:GO$56)/VLOOKUP($FM17,$AQ$9:$AR$102,2)/VLOOKUP($FM17-HZ$103,Männer!$G$9:$J$102,4),Rundäx)</f>
        <v>5.2160000000000002</v>
      </c>
      <c r="IA17" s="24">
        <f>ROUND(SUM(GP17:GP$56)/VLOOKUP($FM17,$AQ$9:$AR$102,2)/VLOOKUP($FM17-IA$103,Männer!$G$9:$J$102,4),Rundäx)</f>
        <v>5.5410000000000004</v>
      </c>
      <c r="IB17" s="24">
        <f>ROUND(SUM(GQ17:GQ$56)/VLOOKUP($FM17,$AQ$9:$AR$102,2)/VLOOKUP($FM17-IB$103,Männer!$G$9:$J$102,4),Rundäx)</f>
        <v>5.8719999999999999</v>
      </c>
      <c r="IC17" s="24">
        <f>ROUND(SUM(GR17:GR$56)/VLOOKUP($FM17,$AQ$9:$AR$102,2)/VLOOKUP($FM17-IC$103,Männer!$G$9:$J$102,4),Rundäx)</f>
        <v>6.2110000000000003</v>
      </c>
      <c r="ID17" s="89"/>
      <c r="IE17" s="9">
        <f t="shared" si="68"/>
        <v>25</v>
      </c>
      <c r="IF17" s="11">
        <f t="shared" si="25"/>
        <v>109</v>
      </c>
      <c r="IG17" s="11">
        <f>IF($IE17&lt;RAF,IF(S18&lt;=RAK,ROUND(SUM(IF17:INDEX(Daky,RAF-BeginnAlter))+INDEX(Day,RAF-BeginnAlter+1)*INDEX(äky,1),RundDx),0),"")</f>
        <v>6174</v>
      </c>
      <c r="IH17" s="11">
        <f>IF($IE17&lt;RAF,IF(S18&lt;=RAK,ROUND(SUM(IG17:INDEX(Naky,RAF-BeginnAlter))+INDEX(Day,RAF-BeginnAlter+1)*INDEX(äky,1),RundDx),0),"")</f>
        <v>82810</v>
      </c>
      <c r="II17" s="10">
        <f t="shared" si="26"/>
        <v>0.108</v>
      </c>
      <c r="IJ17" s="11">
        <f t="shared" si="27"/>
        <v>2730</v>
      </c>
      <c r="IK17" s="11">
        <f>IF($IE17&lt;RAF,IF(S18&lt;=RAK,SUM(IJ17:INDEX(Diky,RAF-BeginnAlter))+INDEX(Diy,RAF-BeginnAlter+1)*INDEX(äky,1),0),"")</f>
        <v>226634</v>
      </c>
      <c r="IL17" s="10">
        <f t="shared" si="28"/>
        <v>1.9179999999999999</v>
      </c>
      <c r="IM17" s="89"/>
      <c r="IN17" s="9">
        <f t="shared" si="29"/>
        <v>72</v>
      </c>
      <c r="IO17" s="11"/>
      <c r="IP17" s="11"/>
      <c r="IQ17" s="10"/>
      <c r="IR17" s="86"/>
    </row>
    <row r="18" spans="1:252" ht="15.75" customHeight="1" x14ac:dyDescent="0.25">
      <c r="A18" s="9">
        <f t="shared" si="4"/>
        <v>26</v>
      </c>
      <c r="B18" s="93">
        <v>3.6660205491143689E-4</v>
      </c>
      <c r="C18" s="93">
        <v>9.148249124612479E-4</v>
      </c>
      <c r="D18" s="93">
        <v>1.9644994463987476E-2</v>
      </c>
      <c r="E18" s="93">
        <v>4.3085740623838298E-4</v>
      </c>
      <c r="F18" s="89"/>
      <c r="G18" s="9">
        <f t="shared" si="5"/>
        <v>26</v>
      </c>
      <c r="H18" s="11">
        <f t="shared" si="30"/>
        <v>99538</v>
      </c>
      <c r="I18" s="25">
        <f t="shared" si="31"/>
        <v>263</v>
      </c>
      <c r="J18" s="25">
        <f t="shared" si="32"/>
        <v>99801</v>
      </c>
      <c r="K18" s="30">
        <f>IF(J18&gt;0,ROUND(SUM(J18:J$102)/J18-0.5,Rundex),"")</f>
        <v>56.2</v>
      </c>
      <c r="L18" s="25">
        <f t="shared" si="6"/>
        <v>202199</v>
      </c>
      <c r="M18" s="30">
        <f>IF(L18&gt;0,ROUND(SUM(L18:L$102)/L18-0.5,Rundex),"")</f>
        <v>35.5</v>
      </c>
      <c r="N18" s="89"/>
      <c r="O18" s="9">
        <f t="shared" si="49"/>
        <v>26</v>
      </c>
      <c r="P18" s="94">
        <v>0.10686871354318411</v>
      </c>
      <c r="Q18" s="95">
        <v>30.079405072092989</v>
      </c>
      <c r="R18" s="94">
        <v>7.0460000000000009E-2</v>
      </c>
      <c r="S18" s="95">
        <v>0.24</v>
      </c>
      <c r="T18" s="28">
        <v>4.3085740623838298E-4</v>
      </c>
      <c r="U18" s="11">
        <f t="shared" si="33"/>
        <v>99801</v>
      </c>
      <c r="V18" s="30">
        <f>IF(U18&gt;0,ROUND(SUM(U18:U$102)/U18-0.5,Rundex),"")</f>
        <v>57.49</v>
      </c>
      <c r="W18" s="89"/>
      <c r="X18" s="9">
        <f t="shared" si="50"/>
        <v>26</v>
      </c>
      <c r="Y18" s="11">
        <f t="shared" si="34"/>
        <v>55814</v>
      </c>
      <c r="Z18" s="11">
        <f>IF($X18&lt;RAF,SUM(Y18:INDEX(Day,RAF-BeginnAlter))," ")</f>
        <v>1355349</v>
      </c>
      <c r="AA18" s="11">
        <f t="shared" si="0"/>
        <v>20</v>
      </c>
      <c r="AB18" s="11">
        <f>IF($X18&lt;RAF,SUM(AA18:INDEX(Cay,RAF-BeginnAlter))," ")</f>
        <v>1372</v>
      </c>
      <c r="AC18" s="11">
        <f t="shared" si="1"/>
        <v>50</v>
      </c>
      <c r="AD18" s="11">
        <f>IF($X18&lt;RAF,SUM(AC18:INDEX(Caiy,RAF-BeginnAlter))," ")</f>
        <v>8352</v>
      </c>
      <c r="AE18" s="10">
        <f t="shared" si="35"/>
        <v>24.283000000000001</v>
      </c>
      <c r="AF18" s="10">
        <f t="shared" si="36"/>
        <v>23.959</v>
      </c>
      <c r="AG18" s="89"/>
      <c r="AH18" s="9">
        <f t="shared" si="51"/>
        <v>26</v>
      </c>
      <c r="AI18" s="11">
        <f t="shared" si="37"/>
        <v>113379</v>
      </c>
      <c r="AJ18" s="11">
        <f>IF($AH18&gt;RAF," ",IF($AH18&lt;RAF,SUM(AI18:INDEX(Diy,RAF-BeginnAlter))+INDEX(Ny,RAF-BeginnAlter+1),INDEX(Ny,RAF-BeginnAlter+1)))</f>
        <v>2516143</v>
      </c>
      <c r="AK18" s="11">
        <f>IF($AH18&lt;RAF,SUM(AI18:INDEX(Diy,RAF-BeginnAlter))," ")</f>
        <v>2150049</v>
      </c>
      <c r="AL18" s="10">
        <f t="shared" si="38"/>
        <v>22.192</v>
      </c>
      <c r="AM18" s="10">
        <f t="shared" si="39"/>
        <v>21.734000000000002</v>
      </c>
      <c r="AN18" s="10">
        <f t="shared" si="40"/>
        <v>18.963000000000001</v>
      </c>
      <c r="AO18" s="10">
        <f t="shared" si="41"/>
        <v>18.593</v>
      </c>
      <c r="AP18" s="89"/>
      <c r="AQ18" s="9">
        <f t="shared" si="52"/>
        <v>26</v>
      </c>
      <c r="AR18" s="11">
        <f t="shared" si="42"/>
        <v>55961</v>
      </c>
      <c r="AS18" s="11">
        <f>SUM(AR18:AR$96)</f>
        <v>1790416</v>
      </c>
      <c r="AT18" s="25">
        <f>IF($AQ18&lt;RAF,SUM(AR18:INDEX(Dy,RAF-BeginnAlter))," ")</f>
        <v>1424322</v>
      </c>
      <c r="AU18" s="24">
        <f t="shared" si="43"/>
        <v>31.994</v>
      </c>
      <c r="AV18" s="24">
        <f t="shared" si="44"/>
        <v>31.536000000000001</v>
      </c>
      <c r="AW18" s="24">
        <f t="shared" si="45"/>
        <v>25.452000000000002</v>
      </c>
      <c r="AX18" s="24">
        <f t="shared" si="46"/>
        <v>25.172000000000001</v>
      </c>
      <c r="AY18" s="89"/>
      <c r="AZ18" s="9">
        <f t="shared" si="53"/>
        <v>26</v>
      </c>
      <c r="BA18" s="11">
        <f t="shared" si="47"/>
        <v>55961</v>
      </c>
      <c r="BB18" s="11">
        <f>SUM(BA18:BA$96)</f>
        <v>1813205</v>
      </c>
      <c r="BC18" s="10">
        <f t="shared" si="48"/>
        <v>32.401000000000003</v>
      </c>
      <c r="BD18" s="10">
        <f t="shared" si="7"/>
        <v>31.943000000000001</v>
      </c>
      <c r="BE18" s="89"/>
      <c r="BF18" s="9">
        <f t="shared" si="54"/>
        <v>9</v>
      </c>
      <c r="BG18" s="10">
        <f t="shared" si="8"/>
        <v>13.612</v>
      </c>
      <c r="BH18" s="10">
        <f t="shared" si="9"/>
        <v>13.475</v>
      </c>
      <c r="BI18" s="89"/>
      <c r="BJ18" s="9">
        <f t="shared" si="55"/>
        <v>26</v>
      </c>
      <c r="BK18" s="11">
        <f t="shared" si="10"/>
        <v>1095</v>
      </c>
      <c r="BL18" s="11">
        <f>IF(BJ18&lt;RAF,SUM(BK18:INDEX(Daiy,RAF-BeginnAlter))," ")</f>
        <v>156518</v>
      </c>
      <c r="BM18" s="11">
        <f>IF(BJ18&lt;RAF,SUM(BL18:INDEX(Naiy,RAF-BeginnAlter))," ")</f>
        <v>4023638</v>
      </c>
      <c r="BN18" s="10">
        <f t="shared" si="11"/>
        <v>4.8049999999999997</v>
      </c>
      <c r="BO18" s="10">
        <f t="shared" si="12"/>
        <v>2.8039999999999998</v>
      </c>
      <c r="BP18" s="89"/>
      <c r="BQ18" s="9">
        <f t="shared" si="56"/>
        <v>26</v>
      </c>
      <c r="BR18" s="11">
        <f t="shared" si="13"/>
        <v>933</v>
      </c>
      <c r="BS18" s="11">
        <f>IF(BQ18&lt;RAF,SUM(BR18:INDEX(Daiys,RAF-BeginnAlter))," ")</f>
        <v>69035</v>
      </c>
      <c r="BT18" s="11">
        <f>IF(BQ18&lt;RAF,SUM(BS18:INDEX(Naiys,RAF-BeginnAlter))," ")</f>
        <v>1410037</v>
      </c>
      <c r="BU18" s="10">
        <f t="shared" si="14"/>
        <v>6.3719999999999999</v>
      </c>
      <c r="BV18" s="10">
        <f t="shared" si="15"/>
        <v>1.2370000000000001</v>
      </c>
      <c r="BW18" s="89"/>
      <c r="BX18" s="9">
        <f t="shared" si="57"/>
        <v>26</v>
      </c>
      <c r="BY18" s="10">
        <f t="shared" si="16"/>
        <v>15.022051010149395</v>
      </c>
      <c r="BZ18" s="11">
        <f t="shared" si="17"/>
        <v>57</v>
      </c>
      <c r="CA18" s="11">
        <f>IF(S19&lt;=RAK,IF($BX18&lt;RAF,SUM(BZ18:INDEX(Dazy,RAF-BeginnAlter)),""),"")</f>
        <v>16145</v>
      </c>
      <c r="CB18" s="10">
        <f t="shared" si="18"/>
        <v>0.28899999999999998</v>
      </c>
      <c r="CC18" s="11">
        <f t="shared" si="19"/>
        <v>31385</v>
      </c>
      <c r="CD18" s="10">
        <f t="shared" si="20"/>
        <v>22.532</v>
      </c>
      <c r="CE18" s="10">
        <f t="shared" si="21"/>
        <v>2E-3</v>
      </c>
      <c r="CF18" s="89"/>
      <c r="CG18" s="9">
        <f t="shared" si="58"/>
        <v>26</v>
      </c>
      <c r="CH18" s="11">
        <f>IF(CG18&lt;RAF,ROUND(v^($CG18+FaktorAlter)*$H18*($B18*0.5*($P18+$P19)*(VLOOKUP(TRUNC(0.5*($Q18+$Q19),0),Männer!$AZ$9:$BD$95,5)+(0.5*($Q18+$Q19)-TRUNC(0.5*($Q18+$Q19),0))*(VLOOKUP(TRUNC(0.5*($Q18+$Q19)+1,0),Männer!$AZ$9:$BD$95,5)-VLOOKUP(TRUNC(0.5*($Q18+$Q19),0),Männer!$AZ$9:$BD$95,5)))+$C18*0.5*($CN18+$CN19)),RundDx),"")</f>
        <v>161</v>
      </c>
      <c r="CI18" s="11">
        <f>IF(CG18&lt;RAF,ROUND(SUM(CH18:INDEX(Dawy,RAF-BeginnAlter))+INDEX(Day,RAF-BeginnAlter+1)*INDEX(äwy,1),RundDx),"")</f>
        <v>13935</v>
      </c>
      <c r="CJ18" s="11">
        <f>IF(CG18&lt;RAF,ROUND(SUM(CI18:INDEX(Nawy,RAF-BeginnAlter))+INDEX(Day,RAF-BeginnAlter+1)*INDEX(äwy,1),RundDx),"")</f>
        <v>324834</v>
      </c>
      <c r="CK18" s="10">
        <f t="shared" si="22"/>
        <v>0.25</v>
      </c>
      <c r="CL18" s="11">
        <f>IF(CG18&lt;RAF,ROUND(v^($CG18+FaktorAlter)*$L18*$D18*0.5*($P18+$P19)*(VLOOKUP(TRUNC(0.5*($Q18+$Q19),0),Männer!$AZ$9:$BD$95,5)+(0.5*($Q18+$Q19)-TRUNC(0.5*($Q18+$Q19),0))*(VLOOKUP(TRUNC(0.5*($Q18+$Q19)+1,0),Männer!$AZ$9:$BD$95,5)-VLOOKUP(TRUNC(0.5*($Q18+$Q19),0),Männer!$AZ$9:$BD$95,5))),RundDx),"")</f>
        <v>6870</v>
      </c>
      <c r="CM18" s="11">
        <f>IF(CG18&lt;RAF,SUM(CL18:INDEX(Diwy,RAF-BeginnAlter))+INDEX(Diy,RAF-BeginnAlter+1)*INDEX(äwy,1),"")</f>
        <v>218294.304</v>
      </c>
      <c r="CN18" s="10">
        <f t="shared" si="23"/>
        <v>1.925</v>
      </c>
      <c r="CO18" s="89"/>
      <c r="CP18" s="9">
        <f t="shared" si="59"/>
        <v>73</v>
      </c>
      <c r="CQ18" s="11">
        <f>ROUND(v^($CP18+FaktorAlter)*VLOOKUP(CP18,G$9:J$102,4)*VLOOKUP(CP18,A$9:E$102,5)*0.5*(VLOOKUP(CP18,O$9:P$102,2)+VLOOKUP(CP18+1,O$9:P$102,2))*(VLOOKUP(TRUNC(0.5*(VLOOKUP(CP18,O$9:Q$102,3)+VLOOKUP(CP18+1,O$9:Q$102,3)),0),Männer!$AZ$9:$BD$95,5)+(0.5*(VLOOKUP(CP18,O$9:Q$102,3)+VLOOKUP(CP18+1,O$9:Q$102,3))-TRUNC(0.5*(VLOOKUP(CP18,O$9:Q$102,3)+VLOOKUP(CP18+1,O$9:Q$102,3)),0))*(VLOOKUP(TRUNC(0.5*(VLOOKUP(CP18,O$9:Q$102,3)+VLOOKUP(CP18+1,O$9:Q$102,3))+1,0),Männer!$AZ$9:$BD$95,5)-VLOOKUP(TRUNC(0.5*(VLOOKUP(CP18,O$9:Q$102,3)+VLOOKUP(CP18+1,O$9:Q$102,3)),0),Männer!$AZ$9:$BD$95,5))),RundDx)</f>
        <v>88</v>
      </c>
      <c r="CR18" s="11">
        <f>SUM(CQ18:CQ$56)</f>
        <v>540</v>
      </c>
      <c r="CS18" s="24">
        <f t="shared" si="24"/>
        <v>3.4000000000000002E-2</v>
      </c>
      <c r="CT18" s="89"/>
      <c r="CU18" s="35">
        <f t="shared" si="60"/>
        <v>26</v>
      </c>
      <c r="CV18" s="25">
        <f>IF($CU18&gt;=RAF,"",IF($CU18-CV$103&lt;BeginnAlter,"",ROUND(v^($CU18+FaktorAlter)*$L18*$D18*0.5*(VLOOKUP($CU18-CV$103,Männer!$G$9:$J$102,4)+VLOOKUP($CU18-CV$103+1,Männer!$G$9:$J$102,4))*0.5*(VLOOKUP($CU18-CV$103,Männer!$AZ$9:$BD$102,5)+VLOOKUP($CU18-CV$103+1,Männer!$AZ$9:$BD$102,5)),RundDx)))</f>
        <v>5196624642</v>
      </c>
      <c r="CW18" s="25">
        <f>IF($CU18&gt;=RAF,"",IF($CU18-CW$103&lt;BeginnAlter,"",ROUND(v^($CU18+FaktorAlter)*$L18*$D18*0.5*(VLOOKUP($CU18-CW$103,Männer!$G$9:$J$102,4)+VLOOKUP($CU18-CW$103+1,Männer!$G$9:$J$102,4))*0.5*(VLOOKUP($CU18-CW$103,Männer!$AZ$9:$BD$102,5)+VLOOKUP($CU18-CW$103+1,Männer!$AZ$9:$BD$102,5)),RundDx)))</f>
        <v>5296407115</v>
      </c>
      <c r="CX18" s="25">
        <f>IF($CU18&gt;=RAF,"",IF($CU18-CX$103&lt;BeginnAlter,"",ROUND(v^($CU18+FaktorAlter)*$L18*$D18*0.5*(VLOOKUP($CU18-CX$103,Männer!$G$9:$J$102,4)+VLOOKUP($CU18-CX$103+1,Männer!$G$9:$J$102,4))*0.5*(VLOOKUP($CU18-CX$103,Männer!$AZ$9:$BD$102,5)+VLOOKUP($CU18-CX$103+1,Männer!$AZ$9:$BD$102,5)),RundDx)))</f>
        <v>5394175621</v>
      </c>
      <c r="CY18" s="25">
        <f>IF($CU18&gt;=RAF,"",IF($CU18-CY$103&lt;BeginnAlter,"",ROUND(v^($CU18+FaktorAlter)*$L18*$D18*0.5*(VLOOKUP($CU18-CY$103,Männer!$G$9:$J$102,4)+VLOOKUP($CU18-CY$103+1,Männer!$G$9:$J$102,4))*0.5*(VLOOKUP($CU18-CY$103,Männer!$AZ$9:$BD$102,5)+VLOOKUP($CU18-CY$103+1,Männer!$AZ$9:$BD$102,5)),RundDx)))</f>
        <v>5490221036</v>
      </c>
      <c r="CZ18" s="25">
        <f>IF($CU18&gt;=RAF,"",IF($CU18-CZ$103&lt;BeginnAlter,"",ROUND(v^($CU18+FaktorAlter)*$L18*$D18*0.5*(VLOOKUP($CU18-CZ$103,Männer!$G$9:$J$102,4)+VLOOKUP($CU18-CZ$103+1,Männer!$G$9:$J$102,4))*0.5*(VLOOKUP($CU18-CZ$103,Männer!$AZ$9:$BD$102,5)+VLOOKUP($CU18-CZ$103+1,Männer!$AZ$9:$BD$102,5)),RundDx)))</f>
        <v>5584430557</v>
      </c>
      <c r="DA18" s="25">
        <f>IF($CU18&gt;=RAF,"",IF($CU18-DA$103&lt;BeginnAlter,"",ROUND(v^($CU18+FaktorAlter)*$L18*$D18*0.5*(VLOOKUP($CU18-DA$103,Männer!$G$9:$J$102,4)+VLOOKUP($CU18-DA$103+1,Männer!$G$9:$J$102,4))*0.5*(VLOOKUP($CU18-DA$103,Männer!$AZ$9:$BD$102,5)+VLOOKUP($CU18-DA$103+1,Männer!$AZ$9:$BD$102,5)),RundDx)))</f>
        <v>5676722283</v>
      </c>
      <c r="DB18" s="25">
        <f>IF($CU18&gt;=RAF,"",IF($CU18-DB$103&lt;BeginnAlter,"",ROUND(v^($CU18+FaktorAlter)*$L18*$D18*0.5*(VLOOKUP($CU18-DB$103,Männer!$G$9:$J$102,4)+VLOOKUP($CU18-DB$103+1,Männer!$G$9:$J$102,4))*0.5*(VLOOKUP($CU18-DB$103,Männer!$AZ$9:$BD$102,5)+VLOOKUP($CU18-DB$103+1,Männer!$AZ$9:$BD$102,5)),RundDx)))</f>
        <v>5767286423</v>
      </c>
      <c r="DC18" s="25">
        <f>IF($CU18&gt;=RAF,"",IF($CU18-DC$103&lt;BeginnAlter,"",ROUND(v^($CU18+FaktorAlter)*$L18*$D18*0.5*(VLOOKUP($CU18-DC$103,Männer!$G$9:$J$102,4)+VLOOKUP($CU18-DC$103+1,Männer!$G$9:$J$102,4))*0.5*(VLOOKUP($CU18-DC$103,Männer!$AZ$9:$BD$102,5)+VLOOKUP($CU18-DC$103+1,Männer!$AZ$9:$BD$102,5)),RundDx)))</f>
        <v>5855987946</v>
      </c>
      <c r="DD18" s="25">
        <f>IF($CU18&gt;=RAF,"",IF($CU18-DD$103&lt;BeginnAlter,"",ROUND(v^($CU18+FaktorAlter)*$L18*$D18*0.5*(VLOOKUP($CU18-DD$103,Männer!$G$9:$J$102,4)+VLOOKUP($CU18-DD$103+1,Männer!$G$9:$J$102,4))*0.5*(VLOOKUP($CU18-DD$103,Männer!$AZ$9:$BD$102,5)+VLOOKUP($CU18-DD$103+1,Männer!$AZ$9:$BD$102,5)),RundDx)))</f>
        <v>5942891277</v>
      </c>
      <c r="DE18" s="25">
        <f>IF($CU18&gt;=RAF,"",IF($CU18-DE$103&lt;BeginnAlter,"",ROUND(v^($CU18+FaktorAlter)*$L18*$D18*0.5*(VLOOKUP($CU18-DE$103,Männer!$G$9:$J$102,4)+VLOOKUP($CU18-DE$103+1,Männer!$G$9:$J$102,4))*0.5*(VLOOKUP($CU18-DE$103,Männer!$AZ$9:$BD$102,5)+VLOOKUP($CU18-DE$103+1,Männer!$AZ$9:$BD$102,5)),RundDx)))</f>
        <v>6028066511</v>
      </c>
      <c r="DF18" s="25">
        <f>IF($CU18&gt;=RAF,"",IF($CU18-DF$103&lt;BeginnAlter,"",ROUND(v^($CU18+FaktorAlter)*$L18*$D18*0.5*(VLOOKUP($CU18-DF$103,Männer!$G$9:$J$102,4)+VLOOKUP($CU18-DF$103+1,Männer!$G$9:$J$102,4))*0.5*(VLOOKUP($CU18-DF$103,Männer!$AZ$9:$BD$102,5)+VLOOKUP($CU18-DF$103+1,Männer!$AZ$9:$BD$102,5)),RundDx)))</f>
        <v>6111558363</v>
      </c>
      <c r="DG18" s="25">
        <f>IF($CU18&gt;=RAF,"",IF($CU18-DG$103&lt;BeginnAlter,"",ROUND(v^($CU18+FaktorAlter)*$L18*$D18*0.5*(VLOOKUP($CU18-DG$103,Männer!$G$9:$J$102,4)+VLOOKUP($CU18-DG$103+1,Männer!$G$9:$J$102,4))*0.5*(VLOOKUP($CU18-DG$103,Männer!$AZ$9:$BD$102,5)+VLOOKUP($CU18-DG$103+1,Männer!$AZ$9:$BD$102,5)),RundDx)))</f>
        <v>6193383980</v>
      </c>
      <c r="DH18" s="25">
        <f>IF($CU18&gt;=RAF,"",IF($CU18-DH$103&lt;BeginnAlter,"",ROUND(v^($CU18+FaktorAlter)*$L18*$D18*0.5*(VLOOKUP($CU18-DH$103,Männer!$G$9:$J$102,4)+VLOOKUP($CU18-DH$103+1,Männer!$G$9:$J$102,4))*0.5*(VLOOKUP($CU18-DH$103,Männer!$AZ$9:$BD$102,5)+VLOOKUP($CU18-DH$103+1,Männer!$AZ$9:$BD$102,5)),RundDx)))</f>
        <v>6273516298</v>
      </c>
      <c r="DI18" s="25">
        <f>IF($CU18&gt;=RAF,"",IF($CU18-DI$103&lt;BeginnAlter,"",ROUND(v^($CU18+FaktorAlter)*$L18*$D18*0.5*(VLOOKUP($CU18-DI$103,Männer!$G$9:$J$102,4)+VLOOKUP($CU18-DI$103+1,Männer!$G$9:$J$102,4))*0.5*(VLOOKUP($CU18-DI$103,Männer!$AZ$9:$BD$102,5)+VLOOKUP($CU18-DI$103+1,Männer!$AZ$9:$BD$102,5)),RundDx)))</f>
        <v>6352042277</v>
      </c>
      <c r="DJ18" s="25">
        <f>IF($CU18&gt;=RAF,"",IF($CU18-DJ$103&lt;BeginnAlter,"",ROUND(v^($CU18+FaktorAlter)*$L18*$D18*0.5*(VLOOKUP($CU18-DJ$103,Männer!$G$9:$J$102,4)+VLOOKUP($CU18-DJ$103+1,Männer!$G$9:$J$102,4))*0.5*(VLOOKUP($CU18-DJ$103,Männer!$AZ$9:$BD$102,5)+VLOOKUP($CU18-DJ$103+1,Männer!$AZ$9:$BD$102,5)),RundDx)))</f>
        <v>6428911700</v>
      </c>
      <c r="DK18" s="25">
        <f>IF($CU18&gt;=RAF,"",IF($CU18-DK$103&lt;BeginnAlter,"",ROUND(v^($CU18+FaktorAlter)*$L18*$D18*0.5*(VLOOKUP($CU18-DK$103,Männer!$G$9:$J$102,4)+VLOOKUP($CU18-DK$103+1,Männer!$G$9:$J$102,4))*0.5*(VLOOKUP($CU18-DK$103,Männer!$AZ$9:$BD$102,5)+VLOOKUP($CU18-DK$103+1,Männer!$AZ$9:$BD$102,5)),RundDx)))</f>
        <v>6504328847</v>
      </c>
      <c r="DL18" s="25">
        <f>IF($CU18&gt;=RAF,"",IF($CU18-DL$103&lt;BeginnAlter,"",ROUND(v^($CU18+FaktorAlter)*$L18*$D18*0.5*(VLOOKUP($CU18-DL$103,Männer!$G$9:$J$102,4)+VLOOKUP($CU18-DL$103+1,Männer!$G$9:$J$102,4))*0.5*(VLOOKUP($CU18-DL$103,Männer!$AZ$9:$BD$102,5)+VLOOKUP($CU18-DL$103+1,Männer!$AZ$9:$BD$102,5)),RundDx)))</f>
        <v>6578260675</v>
      </c>
      <c r="DM18" s="25">
        <f>IF($CU18&gt;=RAF,"",IF($CU18-DM$103&lt;BeginnAlter,"",ROUND(v^($CU18+FaktorAlter)*$L18*$D18*0.5*(VLOOKUP($CU18-DM$103,Männer!$G$9:$J$102,4)+VLOOKUP($CU18-DM$103+1,Männer!$G$9:$J$102,4))*0.5*(VLOOKUP($CU18-DM$103,Männer!$AZ$9:$BD$102,5)+VLOOKUP($CU18-DM$103+1,Männer!$AZ$9:$BD$102,5)),RundDx)))</f>
        <v>6650519982</v>
      </c>
      <c r="DN18" s="25">
        <f>IF($CU18&gt;=RAF,"",IF($CU18-DN$103&lt;BeginnAlter,"",ROUND(v^($CU18+FaktorAlter)*$L18*$D18*0.5*(VLOOKUP($CU18-DN$103,Männer!$G$9:$J$102,4)+VLOOKUP($CU18-DN$103+1,Männer!$G$9:$J$102,4))*0.5*(VLOOKUP($CU18-DN$103,Männer!$AZ$9:$BD$102,5)+VLOOKUP($CU18-DN$103+1,Männer!$AZ$9:$BD$102,5)),RundDx)))</f>
        <v>6721435386</v>
      </c>
      <c r="DO18" s="25">
        <f>IF($CU18&gt;=RAF,"",IF($CU18-DO$103&lt;BeginnAlter,"",ROUND(v^($CU18+FaktorAlter)*$L18*$D18*0.5*(VLOOKUP($CU18-DO$103,Männer!$G$9:$J$102,4)+VLOOKUP($CU18-DO$103+1,Männer!$G$9:$J$102,4))*0.5*(VLOOKUP($CU18-DO$103,Männer!$AZ$9:$BD$102,5)+VLOOKUP($CU18-DO$103+1,Männer!$AZ$9:$BD$102,5)),RundDx)))</f>
        <v>6790980388</v>
      </c>
      <c r="DP18" s="25">
        <f>IF($CU18&gt;=RAF,"",IF($CU18-DP$103&lt;BeginnAlter,"",ROUND(v^($CU18+FaktorAlter)*$L18*$D18*0.5*(VLOOKUP($CU18-DP$103,Männer!$G$9:$J$102,4)+VLOOKUP($CU18-DP$103+1,Männer!$G$9:$J$102,4))*0.5*(VLOOKUP($CU18-DP$103,Männer!$AZ$9:$BD$102,5)+VLOOKUP($CU18-DP$103+1,Männer!$AZ$9:$BD$102,5)),RundDx)))</f>
        <v>6859123566</v>
      </c>
      <c r="DQ18" s="25">
        <f>IF($CU18&gt;=RAF,"",IF($CU18-DQ$103&lt;BeginnAlter,"",ROUND(v^($CU18+FaktorAlter)*$L18*$D18*0.5*(VLOOKUP($CU18-DQ$103,Männer!$G$9:$J$102,4)+VLOOKUP($CU18-DQ$103+1,Männer!$G$9:$J$102,4))*0.5*(VLOOKUP($CU18-DQ$103,Männer!$AZ$9:$BD$102,5)+VLOOKUP($CU18-DQ$103+1,Männer!$AZ$9:$BD$102,5)),RundDx)))</f>
        <v>6925904158</v>
      </c>
      <c r="DR18" s="25">
        <f>IF($CU18&gt;=RAF,"",IF($CU18-DR$103&lt;BeginnAlter,"",ROUND(v^($CU18+FaktorAlter)*$L18*$D18*0.5*(VLOOKUP($CU18-DR$103,Männer!$G$9:$J$102,4)+VLOOKUP($CU18-DR$103+1,Männer!$G$9:$J$102,4))*0.5*(VLOOKUP($CU18-DR$103,Männer!$AZ$9:$BD$102,5)+VLOOKUP($CU18-DR$103+1,Männer!$AZ$9:$BD$102,5)),RundDx)))</f>
        <v>6991291109</v>
      </c>
      <c r="DS18" s="25">
        <f>IF($CU18&gt;=RAF,"",IF($CU18-DS$103&lt;BeginnAlter,"",ROUND(v^($CU18+FaktorAlter)*$L18*$D18*0.5*(VLOOKUP($CU18-DS$103,Männer!$G$9:$J$102,4)+VLOOKUP($CU18-DS$103+1,Männer!$G$9:$J$102,4))*0.5*(VLOOKUP($CU18-DS$103,Männer!$AZ$9:$BD$102,5)+VLOOKUP($CU18-DS$103+1,Männer!$AZ$9:$BD$102,5)),RundDx)))</f>
        <v>7055458038</v>
      </c>
      <c r="DT18" s="25">
        <f>IF($CU18&gt;=RAF,"",IF($CU18-DT$103&lt;BeginnAlter,"",ROUND(v^($CU18+FaktorAlter)*$L18*$D18*0.5*(VLOOKUP($CU18-DT$103,Männer!$G$9:$J$102,4)+VLOOKUP($CU18-DT$103+1,Männer!$G$9:$J$102,4))*0.5*(VLOOKUP($CU18-DT$103,Männer!$AZ$9:$BD$102,5)+VLOOKUP($CU18-DT$103+1,Männer!$AZ$9:$BD$102,5)),RundDx)))</f>
        <v>7118266180</v>
      </c>
      <c r="DU18" s="25" t="str">
        <f>IF($CU18&gt;=RAF,"",IF($CU18-DU$103&lt;BeginnAlter,"",ROUND(v^($CU18+FaktorAlter)*$L18*$D18*0.5*(VLOOKUP($CU18-DU$103,Männer!$G$9:$J$102,4)+VLOOKUP($CU18-DU$103+1,Männer!$G$9:$J$102,4))*0.5*(VLOOKUP($CU18-DU$103,Männer!$AZ$9:$BD$102,5)+VLOOKUP($CU18-DU$103+1,Männer!$AZ$9:$BD$102,5)),RundDx)))</f>
        <v/>
      </c>
      <c r="DV18" s="25" t="str">
        <f>IF($CU18&gt;=RAF,"",IF($CU18-DV$103&lt;BeginnAlter,"",ROUND(v^($CU18+FaktorAlter)*$L18*$D18*0.5*(VLOOKUP($CU18-DV$103,Männer!$G$9:$J$102,4)+VLOOKUP($CU18-DV$103+1,Männer!$G$9:$J$102,4))*0.5*(VLOOKUP($CU18-DV$103,Männer!$AZ$9:$BD$102,5)+VLOOKUP($CU18-DV$103+1,Männer!$AZ$9:$BD$102,5)),RundDx)))</f>
        <v/>
      </c>
      <c r="DW18" s="25" t="str">
        <f>IF($CU18&gt;=RAF,"",IF($CU18-DW$103&lt;BeginnAlter,"",ROUND(v^($CU18+FaktorAlter)*$L18*$D18*0.5*(VLOOKUP($CU18-DW$103,Männer!$G$9:$J$102,4)+VLOOKUP($CU18-DW$103+1,Männer!$G$9:$J$102,4))*0.5*(VLOOKUP($CU18-DW$103,Männer!$AZ$9:$BD$102,5)+VLOOKUP($CU18-DW$103+1,Männer!$AZ$9:$BD$102,5)),RundDx)))</f>
        <v/>
      </c>
      <c r="DX18" s="25" t="str">
        <f>IF($CU18&gt;=RAF,"",IF($CU18-DX$103&lt;BeginnAlter,"",ROUND(v^($CU18+FaktorAlter)*$L18*$D18*0.5*(VLOOKUP($CU18-DX$103,Männer!$G$9:$J$102,4)+VLOOKUP($CU18-DX$103+1,Männer!$G$9:$J$102,4))*0.5*(VLOOKUP($CU18-DX$103,Männer!$AZ$9:$BD$102,5)+VLOOKUP($CU18-DX$103+1,Männer!$AZ$9:$BD$102,5)),RundDx)))</f>
        <v/>
      </c>
      <c r="DY18" s="25" t="str">
        <f>IF($CU18&gt;=RAF,"",IF($CU18-DY$103&lt;BeginnAlter,"",ROUND(v^($CU18+FaktorAlter)*$L18*$D18*0.5*(VLOOKUP($CU18-DY$103,Männer!$G$9:$J$102,4)+VLOOKUP($CU18-DY$103+1,Männer!$G$9:$J$102,4))*0.5*(VLOOKUP($CU18-DY$103,Männer!$AZ$9:$BD$102,5)+VLOOKUP($CU18-DY$103+1,Männer!$AZ$9:$BD$102,5)),RundDx)))</f>
        <v/>
      </c>
      <c r="DZ18" s="25" t="str">
        <f>IF($CU18&gt;=RAF,"",IF($CU18-DZ$103&lt;BeginnAlter,"",ROUND(v^($CU18+FaktorAlter)*$L18*$D18*0.5*(VLOOKUP($CU18-DZ$103,Männer!$G$9:$J$102,4)+VLOOKUP($CU18-DZ$103+1,Männer!$G$9:$J$102,4))*0.5*(VLOOKUP($CU18-DZ$103,Männer!$AZ$9:$BD$102,5)+VLOOKUP($CU18-DZ$103+1,Männer!$AZ$9:$BD$102,5)),RundDx)))</f>
        <v/>
      </c>
      <c r="EA18" s="43">
        <f>IF($CU18&gt;=RAF,"",IF($CU18-EA$103&lt;BeginnAlter,"",ROUND((SUM(CV18:CV$56)+SUM(FN$9:FN$56))/VLOOKUP($CU18,$AH$9:$AI$102,2)/VLOOKUP($CU18-EA$103,Männer!$G$9:$J$102,4),Rundäx)))</f>
        <v>6.7530000000000001</v>
      </c>
      <c r="EB18" s="43">
        <f>IF($CU18&gt;=RAF,"",IF($CU18-EB$103&lt;BeginnAlter,"",ROUND((SUM(CW18:CW$56)+SUM(FO$9:FO$56))/VLOOKUP($CU18,$AH$9:$AI$102,2)/VLOOKUP($CU18-EB$103,Männer!$G$9:$J$102,4),Rundäx)))</f>
        <v>6.9619999999999997</v>
      </c>
      <c r="EC18" s="43">
        <f>IF($CU18&gt;=RAF,"",IF($CU18-EC$103&lt;BeginnAlter,"",ROUND((SUM(CX18:CX$56)+SUM(FP$9:FP$56))/VLOOKUP($CU18,$AH$9:$AI$102,2)/VLOOKUP($CU18-EC$103,Männer!$G$9:$J$102,4),Rundäx)))</f>
        <v>7.1710000000000003</v>
      </c>
      <c r="ED18" s="43">
        <f>IF($CU18&gt;=RAF,"",IF($CU18-ED$103&lt;BeginnAlter,"",ROUND((SUM(CY18:CY$56)+SUM(FQ$9:FQ$56))/VLOOKUP($CU18,$AH$9:$AI$102,2)/VLOOKUP($CU18-ED$103,Männer!$G$9:$J$102,4),Rundäx)))</f>
        <v>7.38</v>
      </c>
      <c r="EE18" s="43">
        <f>IF($CU18&gt;=RAF,"",IF($CU18-EE$103&lt;BeginnAlter,"",ROUND((SUM(CZ18:CZ$56)+SUM(FR$9:FR$56))/VLOOKUP($CU18,$AH$9:$AI$102,2)/VLOOKUP($CU18-EE$103,Männer!$G$9:$J$102,4),Rundäx)))</f>
        <v>7.5880000000000001</v>
      </c>
      <c r="EF18" s="43">
        <f>IF($CU18&gt;=RAF,"",IF($CU18-EF$103&lt;BeginnAlter,"",ROUND((SUM(DA18:DA$56)+SUM(FS$9:FS$56))/VLOOKUP($CU18,$AH$9:$AI$102,2)/VLOOKUP($CU18-EF$103,Männer!$G$9:$J$102,4),Rundäx)))</f>
        <v>7.7969999999999997</v>
      </c>
      <c r="EG18" s="43">
        <f>IF($CU18&gt;=RAF,"",IF($CU18-EG$103&lt;BeginnAlter,"",ROUND((SUM(DB18:DB$56)+SUM(FT$9:FT$56))/VLOOKUP($CU18,$AH$9:$AI$102,2)/VLOOKUP($CU18-EG$103,Männer!$G$9:$J$102,4),Rundäx)))</f>
        <v>8.0060000000000002</v>
      </c>
      <c r="EH18" s="43">
        <f>IF($CU18&gt;=RAF,"",IF($CU18-EH$103&lt;BeginnAlter,"",ROUND((SUM(DC18:DC$56)+SUM(FU$9:FU$56))/VLOOKUP($CU18,$AH$9:$AI$102,2)/VLOOKUP($CU18-EH$103,Männer!$G$9:$J$102,4),Rundäx)))</f>
        <v>8.2149999999999999</v>
      </c>
      <c r="EI18" s="89"/>
      <c r="EJ18" s="35">
        <f t="shared" si="61"/>
        <v>26</v>
      </c>
      <c r="EK18" s="43">
        <f>IF($CU18&gt;=RAF,"",IF($CU18-EK$103&lt;BeginnAlter,"",ROUND((SUM(DD18:DD$56)+SUM(FV$9:FV$56))/VLOOKUP($CU18,$AH$9:$AI$102,2)/VLOOKUP($CU18-EK$103,Männer!$G$9:$J$102,4),Rundäx)))</f>
        <v>8.423</v>
      </c>
      <c r="EL18" s="43">
        <f>IF($CU18&gt;=RAF,"",IF($CU18-EL$103&lt;BeginnAlter,"",ROUND((SUM(DE18:DE$56)+SUM(FW$9:FW$56))/VLOOKUP($CU18,$AH$9:$AI$102,2)/VLOOKUP($CU18-EL$103,Männer!$G$9:$J$102,4),Rundäx)))</f>
        <v>8.6319999999999997</v>
      </c>
      <c r="EM18" s="43">
        <f>IF($CU18&gt;=RAF,"",IF($CU18-EM$103&lt;BeginnAlter,"",ROUND((SUM(DF18:DF$56)+SUM(FX$9:FX$56))/VLOOKUP($CU18,$AH$9:$AI$102,2)/VLOOKUP($CU18-EM$103,Männer!$G$9:$J$102,4),Rundäx)))</f>
        <v>8.84</v>
      </c>
      <c r="EN18" s="43">
        <f>IF($CU18&gt;=RAF,"",IF($CU18-EN$103&lt;BeginnAlter,"",ROUND((SUM(DG18:DG$56)+SUM(FY$9:FY$56))/VLOOKUP($CU18,$AH$9:$AI$102,2)/VLOOKUP($CU18-EN$103,Männer!$G$9:$J$102,4),Rundäx)))</f>
        <v>9.048</v>
      </c>
      <c r="EO18" s="43">
        <f>IF($CU18&gt;=RAF,"",IF($CU18-EO$103&lt;BeginnAlter,"",ROUND((SUM(DH18:DH$56)+SUM(FZ$9:FZ$56))/VLOOKUP($CU18,$AH$9:$AI$102,2)/VLOOKUP($CU18-EO$103,Männer!$G$9:$J$102,4),Rundäx)))</f>
        <v>9.2560000000000002</v>
      </c>
      <c r="EP18" s="43">
        <f>IF($CU18&gt;=RAF,"",IF($CU18-EP$103&lt;BeginnAlter,"",ROUND((SUM(DI18:DI$56)+SUM(GA$9:GA$56))/VLOOKUP($CU18,$AH$9:$AI$102,2)/VLOOKUP($CU18-EP$103,Männer!$G$9:$J$102,4),Rundäx)))</f>
        <v>9.4629999999999992</v>
      </c>
      <c r="EQ18" s="43">
        <f>IF($CU18&gt;=RAF,"",IF($CU18-EQ$103&lt;BeginnAlter,"",ROUND((SUM(DJ18:DJ$56)+SUM(GB$9:GB$56))/VLOOKUP($CU18,$AH$9:$AI$102,2)/VLOOKUP($CU18-EQ$103,Männer!$G$9:$J$102,4),Rundäx)))</f>
        <v>9.67</v>
      </c>
      <c r="ER18" s="43">
        <f>IF($CU18&gt;=RAF,"",IF($CU18-ER$103&lt;BeginnAlter,"",ROUND((SUM(DK18:DK$56)+SUM(GC$9:GC$56))/VLOOKUP($CU18,$AH$9:$AI$102,2)/VLOOKUP($CU18-ER$103,Männer!$G$9:$J$102,4),Rundäx)))</f>
        <v>9.8759999999999994</v>
      </c>
      <c r="ES18" s="89"/>
      <c r="ET18" s="35">
        <f t="shared" si="62"/>
        <v>26</v>
      </c>
      <c r="EU18" s="43">
        <f>IF($CU18&gt;=RAF,"",IF($CU18-EU$103&lt;BeginnAlter,"",ROUND((SUM(DL18:DL$56)+SUM(GD$9:GD$56))/VLOOKUP($CU18,$AH$9:$AI$102,2)/VLOOKUP($CU18-EU$103,Männer!$G$9:$J$102,4),Rundäx)))</f>
        <v>10.082000000000001</v>
      </c>
      <c r="EV18" s="43">
        <f>IF($CU18&gt;=RAF,"",IF($CU18-EV$103&lt;BeginnAlter,"",ROUND((SUM(DM18:DM$56)+SUM(GE$9:GE$56))/VLOOKUP($CU18,$AH$9:$AI$102,2)/VLOOKUP($CU18-EV$103,Männer!$G$9:$J$102,4),Rundäx)))</f>
        <v>10.286</v>
      </c>
      <c r="EW18" s="43">
        <f>IF($CU18&gt;=RAF,"",IF($CU18-EW$103&lt;BeginnAlter,"",ROUND((SUM(DN18:DN$56)+SUM(GF$9:GF$56))/VLOOKUP($CU18,$AH$9:$AI$102,2)/VLOOKUP($CU18-EW$103,Männer!$G$9:$J$102,4),Rundäx)))</f>
        <v>10.49</v>
      </c>
      <c r="EX18" s="43">
        <f>IF($CU18&gt;=RAF,"",IF($CU18-EX$103&lt;BeginnAlter,"",ROUND((SUM(DO18:DO$56)+SUM(GG$9:GG$56))/VLOOKUP($CU18,$AH$9:$AI$102,2)/VLOOKUP($CU18-EX$103,Männer!$G$9:$J$102,4),Rundäx)))</f>
        <v>10.693</v>
      </c>
      <c r="EY18" s="43">
        <f>IF($CU18&gt;=RAF,"",IF($CU18-EY$103&lt;BeginnAlter,"",ROUND((SUM(DP18:DP$56)+SUM(GH$9:GH$56))/VLOOKUP($CU18,$AH$9:$AI$102,2)/VLOOKUP($CU18-EY$103,Männer!$G$9:$J$102,4),Rundäx)))</f>
        <v>10.895</v>
      </c>
      <c r="EZ18" s="43">
        <f>IF($CU18&gt;=RAF,"",IF($CU18-EZ$103&lt;BeginnAlter,"",ROUND((SUM(DQ18:DQ$56)+SUM(GI$9:GI$56))/VLOOKUP($CU18,$AH$9:$AI$102,2)/VLOOKUP($CU18-EZ$103,Männer!$G$9:$J$102,4),Rundäx)))</f>
        <v>11.097</v>
      </c>
      <c r="FA18" s="43">
        <f>IF($CU18&gt;=RAF,"",IF($CU18-FA$103&lt;BeginnAlter,"",ROUND((SUM(DR18:DR$56)+SUM(GJ$9:GJ$56))/VLOOKUP($CU18,$AH$9:$AI$102,2)/VLOOKUP($CU18-FA$103,Männer!$G$9:$J$102,4),Rundäx)))</f>
        <v>11.298999999999999</v>
      </c>
      <c r="FB18" s="43">
        <f>IF($CU18&gt;=RAF,"",IF($CU18-FB$103&lt;BeginnAlter,"",ROUND((SUM(DS18:DS$56)+SUM(GK$9:GK$56))/VLOOKUP($CU18,$AH$9:$AI$102,2)/VLOOKUP($CU18-FB$103,Männer!$G$9:$J$102,4),Rundäx)))</f>
        <v>11.502000000000001</v>
      </c>
      <c r="FC18" s="89"/>
      <c r="FD18" s="35">
        <f t="shared" si="63"/>
        <v>26</v>
      </c>
      <c r="FE18" s="43">
        <f>IF($CU18&gt;=RAF,"",IF($CU18-FE$103&lt;BeginnAlter,"",ROUND((SUM(DT18:DT$56)+SUM(GL$9:GL$56))/VLOOKUP($CU18,$AH$9:$AI$102,2)/VLOOKUP($CU18-FE$103,Männer!$G$9:$J$102,4),Rundäx)))</f>
        <v>11.704000000000001</v>
      </c>
      <c r="FF18" s="43" t="str">
        <f>IF($CU18&gt;=RAF,"",IF($CU18-FF$103&lt;BeginnAlter,"",ROUND((SUM(DU18:DU$56)+SUM(GM$9:GM$56))/VLOOKUP($CU18,$AH$9:$AI$102,2)/VLOOKUP($CU18-FF$103,Männer!$G$9:$J$102,4),Rundäx)))</f>
        <v/>
      </c>
      <c r="FG18" s="43" t="str">
        <f>IF($CU18&gt;=RAF,"",IF($CU18-FG$103&lt;BeginnAlter,"",ROUND((SUM(DV18:DV$56)+SUM(GN$9:GN$56))/VLOOKUP($CU18,$AH$9:$AI$102,2)/VLOOKUP($CU18-FG$103,Männer!$G$9:$J$102,4),Rundäx)))</f>
        <v/>
      </c>
      <c r="FH18" s="43" t="str">
        <f>IF($CU18&gt;=RAF,"",IF($CU18-FH$103&lt;BeginnAlter,"",ROUND((SUM(DW18:DW$56)+SUM(GO$9:GO$56))/VLOOKUP($CU18,$AH$9:$AI$102,2)/VLOOKUP($CU18-FH$103,Männer!$G$9:$J$102,4),Rundäx)))</f>
        <v/>
      </c>
      <c r="FI18" s="43" t="str">
        <f>IF($CU18&gt;=RAF,"",IF($CU18-FI$103&lt;BeginnAlter,"",ROUND((SUM(DX18:DX$56)+SUM(GP$9:GP$56))/VLOOKUP($CU18,$AH$9:$AI$102,2)/VLOOKUP($CU18-FI$103,Männer!$G$9:$J$102,4),Rundäx)))</f>
        <v/>
      </c>
      <c r="FJ18" s="43" t="str">
        <f>IF($CU18&gt;=RAF,"",IF($CU18-FJ$103&lt;BeginnAlter,"",ROUND((SUM(DY18:DY$56)+SUM(GQ$9:GQ$56))/VLOOKUP($CU18,$AH$9:$AI$102,2)/VLOOKUP($CU18-FJ$103,Männer!$G$9:$J$102,4),Rundäx)))</f>
        <v/>
      </c>
      <c r="FK18" s="43" t="str">
        <f>IF($CU18&gt;=RAF,"",IF($CU18-FK$103&lt;BeginnAlter,"",ROUND((SUM(DZ18:DZ$56)+SUM(GR$9:GR$56))/VLOOKUP($CU18,$AH$9:$AI$102,2)/VLOOKUP($CU18-FK$103,Männer!$G$9:$J$102,4),Rundäx)))</f>
        <v/>
      </c>
      <c r="FL18" s="89"/>
      <c r="FM18" s="35">
        <f t="shared" si="64"/>
        <v>73</v>
      </c>
      <c r="FN18" s="25">
        <f>ROUND(v^($FM18+FaktorAlter)*VLOOKUP($FM18,$G$9:$J$102,4)*VLOOKUP($FM18,$A$9:$E$102,5)*0.5*(VLOOKUP($FM18-FN$103,Männer!$G$9:$J$102,4)+VLOOKUP($FM18-FN$103+1,Männer!$G$9:$J$102,4))*0.5*(VLOOKUP($FM18-FN$103,Männer!$AZ$9:$BD$102,5)+VLOOKUP($FM18-FN$103+1,Männer!$AZ$9:$BD$102,5)),RundDx)</f>
        <v>25231183</v>
      </c>
      <c r="FO18" s="25">
        <f>ROUND(v^($FM18+FaktorAlter)*VLOOKUP($FM18,$G$9:$J$102,4)*VLOOKUP($FM18,$A$9:$E$102,5)*0.5*(VLOOKUP($FM18-FO$103,Männer!$G$9:$J$102,4)+VLOOKUP($FM18-FO$103+1,Männer!$G$9:$J$102,4))*0.5*(VLOOKUP($FM18-FO$103,Männer!$AZ$9:$BD$102,5)+VLOOKUP($FM18-FO$103+1,Männer!$AZ$9:$BD$102,5)),RundDx)</f>
        <v>31747385</v>
      </c>
      <c r="FP18" s="25">
        <f>ROUND(v^($FM18+FaktorAlter)*VLOOKUP($FM18,$G$9:$J$102,4)*VLOOKUP($FM18,$A$9:$E$102,5)*0.5*(VLOOKUP($FM18-FP$103,Männer!$G$9:$J$102,4)+VLOOKUP($FM18-FP$103+1,Männer!$G$9:$J$102,4))*0.5*(VLOOKUP($FM18-FP$103,Männer!$AZ$9:$BD$102,5)+VLOOKUP($FM18-FP$103+1,Männer!$AZ$9:$BD$102,5)),RundDx)</f>
        <v>39071665</v>
      </c>
      <c r="FQ18" s="25">
        <f>ROUND(v^($FM18+FaktorAlter)*VLOOKUP($FM18,$G$9:$J$102,4)*VLOOKUP($FM18,$A$9:$E$102,5)*0.5*(VLOOKUP($FM18-FQ$103,Männer!$G$9:$J$102,4)+VLOOKUP($FM18-FQ$103+1,Männer!$G$9:$J$102,4))*0.5*(VLOOKUP($FM18-FQ$103,Männer!$AZ$9:$BD$102,5)+VLOOKUP($FM18-FQ$103+1,Männer!$AZ$9:$BD$102,5)),RundDx)</f>
        <v>47183148</v>
      </c>
      <c r="FR18" s="25">
        <f>ROUND(v^($FM18+FaktorAlter)*VLOOKUP($FM18,$G$9:$J$102,4)*VLOOKUP($FM18,$A$9:$E$102,5)*0.5*(VLOOKUP($FM18-FR$103,Männer!$G$9:$J$102,4)+VLOOKUP($FM18-FR$103+1,Männer!$G$9:$J$102,4))*0.5*(VLOOKUP($FM18-FR$103,Männer!$AZ$9:$BD$102,5)+VLOOKUP($FM18-FR$103+1,Männer!$AZ$9:$BD$102,5)),RundDx)</f>
        <v>56054413</v>
      </c>
      <c r="FS18" s="25">
        <f>ROUND(v^($FM18+FaktorAlter)*VLOOKUP($FM18,$G$9:$J$102,4)*VLOOKUP($FM18,$A$9:$E$102,5)*0.5*(VLOOKUP($FM18-FS$103,Männer!$G$9:$J$102,4)+VLOOKUP($FM18-FS$103+1,Männer!$G$9:$J$102,4))*0.5*(VLOOKUP($FM18-FS$103,Männer!$AZ$9:$BD$102,5)+VLOOKUP($FM18-FS$103+1,Männer!$AZ$9:$BD$102,5)),RundDx)</f>
        <v>65639692</v>
      </c>
      <c r="FT18" s="25">
        <f>ROUND(v^($FM18+FaktorAlter)*VLOOKUP($FM18,$G$9:$J$102,4)*VLOOKUP($FM18,$A$9:$E$102,5)*0.5*(VLOOKUP($FM18-FT$103,Männer!$G$9:$J$102,4)+VLOOKUP($FM18-FT$103+1,Männer!$G$9:$J$102,4))*0.5*(VLOOKUP($FM18-FT$103,Männer!$AZ$9:$BD$102,5)+VLOOKUP($FM18-FT$103+1,Männer!$AZ$9:$BD$102,5)),RundDx)</f>
        <v>75903003</v>
      </c>
      <c r="FU18" s="25">
        <f>ROUND(v^($FM18+FaktorAlter)*VLOOKUP($FM18,$G$9:$J$102,4)*VLOOKUP($FM18,$A$9:$E$102,5)*0.5*(VLOOKUP($FM18-FU$103,Männer!$G$9:$J$102,4)+VLOOKUP($FM18-FU$103+1,Männer!$G$9:$J$102,4))*0.5*(VLOOKUP($FM18-FU$103,Männer!$AZ$9:$BD$102,5)+VLOOKUP($FM18-FU$103+1,Männer!$AZ$9:$BD$102,5)),RundDx)</f>
        <v>86802807</v>
      </c>
      <c r="FV18" s="25">
        <f>ROUND(v^($FM18+FaktorAlter)*VLOOKUP($FM18,$G$9:$J$102,4)*VLOOKUP($FM18,$A$9:$E$102,5)*0.5*(VLOOKUP($FM18-FV$103,Männer!$G$9:$J$102,4)+VLOOKUP($FM18-FV$103+1,Männer!$G$9:$J$102,4))*0.5*(VLOOKUP($FM18-FV$103,Männer!$AZ$9:$BD$102,5)+VLOOKUP($FM18-FV$103+1,Männer!$AZ$9:$BD$102,5)),RundDx)</f>
        <v>98281571</v>
      </c>
      <c r="FW18" s="25">
        <f>ROUND(v^($FM18+FaktorAlter)*VLOOKUP($FM18,$G$9:$J$102,4)*VLOOKUP($FM18,$A$9:$E$102,5)*0.5*(VLOOKUP($FM18-FW$103,Männer!$G$9:$J$102,4)+VLOOKUP($FM18-FW$103+1,Männer!$G$9:$J$102,4))*0.5*(VLOOKUP($FM18-FW$103,Männer!$AZ$9:$BD$102,5)+VLOOKUP($FM18-FW$103+1,Männer!$AZ$9:$BD$102,5)),RundDx)</f>
        <v>110284160</v>
      </c>
      <c r="FX18" s="25">
        <f>ROUND(v^($FM18+FaktorAlter)*VLOOKUP($FM18,$G$9:$J$102,4)*VLOOKUP($FM18,$A$9:$E$102,5)*0.5*(VLOOKUP($FM18-FX$103,Männer!$G$9:$J$102,4)+VLOOKUP($FM18-FX$103+1,Männer!$G$9:$J$102,4))*0.5*(VLOOKUP($FM18-FX$103,Männer!$AZ$9:$BD$102,5)+VLOOKUP($FM18-FX$103+1,Männer!$AZ$9:$BD$102,5)),RundDx)</f>
        <v>122752694</v>
      </c>
      <c r="FY18" s="25">
        <f>ROUND(v^($FM18+FaktorAlter)*VLOOKUP($FM18,$G$9:$J$102,4)*VLOOKUP($FM18,$A$9:$E$102,5)*0.5*(VLOOKUP($FM18-FY$103,Männer!$G$9:$J$102,4)+VLOOKUP($FM18-FY$103+1,Männer!$G$9:$J$102,4))*0.5*(VLOOKUP($FM18-FY$103,Männer!$AZ$9:$BD$102,5)+VLOOKUP($FM18-FY$103+1,Männer!$AZ$9:$BD$102,5)),RundDx)</f>
        <v>135624903</v>
      </c>
      <c r="FZ18" s="25">
        <f>ROUND(v^($FM18+FaktorAlter)*VLOOKUP($FM18,$G$9:$J$102,4)*VLOOKUP($FM18,$A$9:$E$102,5)*0.5*(VLOOKUP($FM18-FZ$103,Männer!$G$9:$J$102,4)+VLOOKUP($FM18-FZ$103+1,Männer!$G$9:$J$102,4))*0.5*(VLOOKUP($FM18-FZ$103,Männer!$AZ$9:$BD$102,5)+VLOOKUP($FM18-FZ$103+1,Männer!$AZ$9:$BD$102,5)),RundDx)</f>
        <v>148831568</v>
      </c>
      <c r="GA18" s="25">
        <f>ROUND(v^($FM18+FaktorAlter)*VLOOKUP($FM18,$G$9:$J$102,4)*VLOOKUP($FM18,$A$9:$E$102,5)*0.5*(VLOOKUP($FM18-GA$103,Männer!$G$9:$J$102,4)+VLOOKUP($FM18-GA$103+1,Männer!$G$9:$J$102,4))*0.5*(VLOOKUP($FM18-GA$103,Männer!$AZ$9:$BD$102,5)+VLOOKUP($FM18-GA$103+1,Männer!$AZ$9:$BD$102,5)),RundDx)</f>
        <v>162288354</v>
      </c>
      <c r="GB18" s="25">
        <f>ROUND(v^($FM18+FaktorAlter)*VLOOKUP($FM18,$G$9:$J$102,4)*VLOOKUP($FM18,$A$9:$E$102,5)*0.5*(VLOOKUP($FM18-GB$103,Männer!$G$9:$J$102,4)+VLOOKUP($FM18-GB$103+1,Männer!$G$9:$J$102,4))*0.5*(VLOOKUP($FM18-GB$103,Männer!$AZ$9:$BD$102,5)+VLOOKUP($FM18-GB$103+1,Männer!$AZ$9:$BD$102,5)),RundDx)</f>
        <v>175932472</v>
      </c>
      <c r="GC18" s="25">
        <f>ROUND(v^($FM18+FaktorAlter)*VLOOKUP($FM18,$G$9:$J$102,4)*VLOOKUP($FM18,$A$9:$E$102,5)*0.5*(VLOOKUP($FM18-GC$103,Männer!$G$9:$J$102,4)+VLOOKUP($FM18-GC$103+1,Männer!$G$9:$J$102,4))*0.5*(VLOOKUP($FM18-GC$103,Männer!$AZ$9:$BD$102,5)+VLOOKUP($FM18-GC$103+1,Männer!$AZ$9:$BD$102,5)),RundDx)</f>
        <v>189686095</v>
      </c>
      <c r="GD18" s="25">
        <f>ROUND(v^($FM18+FaktorAlter)*VLOOKUP($FM18,$G$9:$J$102,4)*VLOOKUP($FM18,$A$9:$E$102,5)*0.5*(VLOOKUP($FM18-GD$103,Männer!$G$9:$J$102,4)+VLOOKUP($FM18-GD$103+1,Männer!$G$9:$J$102,4))*0.5*(VLOOKUP($FM18-GD$103,Männer!$AZ$9:$BD$102,5)+VLOOKUP($FM18-GD$103+1,Männer!$AZ$9:$BD$102,5)),RundDx)</f>
        <v>203542134</v>
      </c>
      <c r="GE18" s="25">
        <f>ROUND(v^($FM18+FaktorAlter)*VLOOKUP($FM18,$G$9:$J$102,4)*VLOOKUP($FM18,$A$9:$E$102,5)*0.5*(VLOOKUP($FM18-GE$103,Männer!$G$9:$J$102,4)+VLOOKUP($FM18-GE$103+1,Männer!$G$9:$J$102,4))*0.5*(VLOOKUP($FM18-GE$103,Männer!$AZ$9:$BD$102,5)+VLOOKUP($FM18-GE$103+1,Männer!$AZ$9:$BD$102,5)),RundDx)</f>
        <v>217483460</v>
      </c>
      <c r="GF18" s="25">
        <f>ROUND(v^($FM18+FaktorAlter)*VLOOKUP($FM18,$G$9:$J$102,4)*VLOOKUP($FM18,$A$9:$E$102,5)*0.5*(VLOOKUP($FM18-GF$103,Männer!$G$9:$J$102,4)+VLOOKUP($FM18-GF$103+1,Männer!$G$9:$J$102,4))*0.5*(VLOOKUP($FM18-GF$103,Männer!$AZ$9:$BD$102,5)+VLOOKUP($FM18-GF$103+1,Männer!$AZ$9:$BD$102,5)),RundDx)</f>
        <v>231444222</v>
      </c>
      <c r="GG18" s="25">
        <f>ROUND(v^($FM18+FaktorAlter)*VLOOKUP($FM18,$G$9:$J$102,4)*VLOOKUP($FM18,$A$9:$E$102,5)*0.5*(VLOOKUP($FM18-GG$103,Männer!$G$9:$J$102,4)+VLOOKUP($FM18-GG$103+1,Männer!$G$9:$J$102,4))*0.5*(VLOOKUP($FM18-GG$103,Männer!$AZ$9:$BD$102,5)+VLOOKUP($FM18-GG$103+1,Männer!$AZ$9:$BD$102,5)),RundDx)</f>
        <v>245416063</v>
      </c>
      <c r="GH18" s="25">
        <f>ROUND(v^($FM18+FaktorAlter)*VLOOKUP($FM18,$G$9:$J$102,4)*VLOOKUP($FM18,$A$9:$E$102,5)*0.5*(VLOOKUP($FM18-GH$103,Männer!$G$9:$J$102,4)+VLOOKUP($FM18-GH$103+1,Männer!$G$9:$J$102,4))*0.5*(VLOOKUP($FM18-GH$103,Männer!$AZ$9:$BD$102,5)+VLOOKUP($FM18-GH$103+1,Männer!$AZ$9:$BD$102,5)),RundDx)</f>
        <v>259448539</v>
      </c>
      <c r="GI18" s="25">
        <f>ROUND(v^($FM18+FaktorAlter)*VLOOKUP($FM18,$G$9:$J$102,4)*VLOOKUP($FM18,$A$9:$E$102,5)*0.5*(VLOOKUP($FM18-GI$103,Männer!$G$9:$J$102,4)+VLOOKUP($FM18-GI$103+1,Männer!$G$9:$J$102,4))*0.5*(VLOOKUP($FM18-GI$103,Männer!$AZ$9:$BD$102,5)+VLOOKUP($FM18-GI$103+1,Männer!$AZ$9:$BD$102,5)),RundDx)</f>
        <v>273582120</v>
      </c>
      <c r="GJ18" s="25">
        <f>ROUND(v^($FM18+FaktorAlter)*VLOOKUP($FM18,$G$9:$J$102,4)*VLOOKUP($FM18,$A$9:$E$102,5)*0.5*(VLOOKUP($FM18-GJ$103,Männer!$G$9:$J$102,4)+VLOOKUP($FM18-GJ$103+1,Männer!$G$9:$J$102,4))*0.5*(VLOOKUP($FM18-GJ$103,Männer!$AZ$9:$BD$102,5)+VLOOKUP($FM18-GJ$103+1,Männer!$AZ$9:$BD$102,5)),RundDx)</f>
        <v>287781915</v>
      </c>
      <c r="GK18" s="25">
        <f>ROUND(v^($FM18+FaktorAlter)*VLOOKUP($FM18,$G$9:$J$102,4)*VLOOKUP($FM18,$A$9:$E$102,5)*0.5*(VLOOKUP($FM18-GK$103,Männer!$G$9:$J$102,4)+VLOOKUP($FM18-GK$103+1,Männer!$G$9:$J$102,4))*0.5*(VLOOKUP($FM18-GK$103,Männer!$AZ$9:$BD$102,5)+VLOOKUP($FM18-GK$103+1,Männer!$AZ$9:$BD$102,5)),RundDx)</f>
        <v>302082508</v>
      </c>
      <c r="GL18" s="25">
        <f>ROUND(v^($FM18+FaktorAlter)*VLOOKUP($FM18,$G$9:$J$102,4)*VLOOKUP($FM18,$A$9:$E$102,5)*0.5*(VLOOKUP($FM18-GL$103,Männer!$G$9:$J$102,4)+VLOOKUP($FM18-GL$103+1,Männer!$G$9:$J$102,4))*0.5*(VLOOKUP($FM18-GL$103,Männer!$AZ$9:$BD$102,5)+VLOOKUP($FM18-GL$103+1,Männer!$AZ$9:$BD$102,5)),RundDx)</f>
        <v>316556888</v>
      </c>
      <c r="GM18" s="25">
        <f>ROUND(v^($FM18+FaktorAlter)*VLOOKUP($FM18,$G$9:$J$102,4)*VLOOKUP($FM18,$A$9:$E$102,5)*0.5*(VLOOKUP($FM18-GM$103,Männer!$G$9:$J$102,4)+VLOOKUP($FM18-GM$103+1,Männer!$G$9:$J$102,4))*0.5*(VLOOKUP($FM18-GM$103,Männer!$AZ$9:$BD$102,5)+VLOOKUP($FM18-GM$103+1,Männer!$AZ$9:$BD$102,5)),RundDx)</f>
        <v>331232494</v>
      </c>
      <c r="GN18" s="25">
        <f>ROUND(v^($FM18+FaktorAlter)*VLOOKUP($FM18,$G$9:$J$102,4)*VLOOKUP($FM18,$A$9:$E$102,5)*0.5*(VLOOKUP($FM18-GN$103,Männer!$G$9:$J$102,4)+VLOOKUP($FM18-GN$103+1,Männer!$G$9:$J$102,4))*0.5*(VLOOKUP($FM18-GN$103,Männer!$AZ$9:$BD$102,5)+VLOOKUP($FM18-GN$103+1,Männer!$AZ$9:$BD$102,5)),RundDx)</f>
        <v>346144712</v>
      </c>
      <c r="GO18" s="25">
        <f>ROUND(v^($FM18+FaktorAlter)*VLOOKUP($FM18,$G$9:$J$102,4)*VLOOKUP($FM18,$A$9:$E$102,5)*0.5*(VLOOKUP($FM18-GO$103,Männer!$G$9:$J$102,4)+VLOOKUP($FM18-GO$103+1,Männer!$G$9:$J$102,4))*0.5*(VLOOKUP($FM18-GO$103,Männer!$AZ$9:$BD$102,5)+VLOOKUP($FM18-GO$103+1,Männer!$AZ$9:$BD$102,5)),RundDx)</f>
        <v>361315772</v>
      </c>
      <c r="GP18" s="25">
        <f>ROUND(v^($FM18+FaktorAlter)*VLOOKUP($FM18,$G$9:$J$102,4)*VLOOKUP($FM18,$A$9:$E$102,5)*0.5*(VLOOKUP($FM18-GP$103,Männer!$G$9:$J$102,4)+VLOOKUP($FM18-GP$103+1,Männer!$G$9:$J$102,4))*0.5*(VLOOKUP($FM18-GP$103,Männer!$AZ$9:$BD$102,5)+VLOOKUP($FM18-GP$103+1,Männer!$AZ$9:$BD$102,5)),RundDx)</f>
        <v>376757884</v>
      </c>
      <c r="GQ18" s="25">
        <f>ROUND(v^($FM18+FaktorAlter)*VLOOKUP($FM18,$G$9:$J$102,4)*VLOOKUP($FM18,$A$9:$E$102,5)*0.5*(VLOOKUP($FM18-GQ$103,Männer!$G$9:$J$102,4)+VLOOKUP($FM18-GQ$103+1,Männer!$G$9:$J$102,4))*0.5*(VLOOKUP($FM18-GQ$103,Männer!$AZ$9:$BD$102,5)+VLOOKUP($FM18-GQ$103+1,Männer!$AZ$9:$BD$102,5)),RundDx)</f>
        <v>392498642</v>
      </c>
      <c r="GR18" s="25">
        <f>ROUND(v^($FM18+FaktorAlter)*VLOOKUP($FM18,$G$9:$J$102,4)*VLOOKUP($FM18,$A$9:$E$102,5)*0.5*(VLOOKUP($FM18-GR$103,Männer!$G$9:$J$102,4)+VLOOKUP($FM18-GR$103+1,Männer!$G$9:$J$102,4))*0.5*(VLOOKUP($FM18-GR$103,Männer!$AZ$9:$BD$102,5)+VLOOKUP($FM18-GR$103+1,Männer!$AZ$9:$BD$102,5)),RundDx)</f>
        <v>408519422</v>
      </c>
      <c r="GS18" s="24">
        <f>ROUND(SUM(FN18:FN$56)/VLOOKUP($FM18,$AQ$9:$AR$102,2)/VLOOKUP($FM18-GS$103,Männer!$G$9:$J$102,4),Rundäx)</f>
        <v>0.245</v>
      </c>
      <c r="GT18" s="24">
        <f>ROUND(SUM(FO18:FO$56)/VLOOKUP($FM18,$AQ$9:$AR$102,2)/VLOOKUP($FM18-GT$103,Männer!$G$9:$J$102,4),Rundäx)</f>
        <v>0.29199999999999998</v>
      </c>
      <c r="GU18" s="24">
        <f>ROUND(SUM(FP18:FP$56)/VLOOKUP($FM18,$AQ$9:$AR$102,2)/VLOOKUP($FM18-GU$103,Männer!$G$9:$J$102,4),Rundäx)</f>
        <v>0.34499999999999997</v>
      </c>
      <c r="GV18" s="24">
        <f>ROUND(SUM(FQ18:FQ$56)/VLOOKUP($FM18,$AQ$9:$AR$102,2)/VLOOKUP($FM18-GV$103,Männer!$G$9:$J$102,4),Rundäx)</f>
        <v>0.40699999999999997</v>
      </c>
      <c r="GW18" s="24">
        <f>ROUND(SUM(FR18:FR$56)/VLOOKUP($FM18,$AQ$9:$AR$102,2)/VLOOKUP($FM18-GW$103,Männer!$G$9:$J$102,4),Rundäx)</f>
        <v>0.47699999999999998</v>
      </c>
      <c r="GX18" s="24">
        <f>ROUND(SUM(FS18:FS$56)/VLOOKUP($FM18,$AQ$9:$AR$102,2)/VLOOKUP($FM18-GX$103,Männer!$G$9:$J$102,4),Rundäx)</f>
        <v>0.55600000000000005</v>
      </c>
      <c r="GY18" s="24">
        <f>ROUND(SUM(FT18:FT$56)/VLOOKUP($FM18,$AQ$9:$AR$102,2)/VLOOKUP($FM18-GY$103,Männer!$G$9:$J$102,4),Rundäx)</f>
        <v>0.64500000000000002</v>
      </c>
      <c r="GZ18" s="24">
        <f>ROUND(SUM(FU18:FU$56)/VLOOKUP($FM18,$AQ$9:$AR$102,2)/VLOOKUP($FM18-GZ$103,Männer!$G$9:$J$102,4),Rundäx)</f>
        <v>0.74399999999999999</v>
      </c>
      <c r="HA18" s="89"/>
      <c r="HB18" s="35">
        <f t="shared" si="65"/>
        <v>73</v>
      </c>
      <c r="HC18" s="24">
        <f>ROUND(SUM(FV18:FV$56)/VLOOKUP($FM18,$AQ$9:$AR$102,2)/VLOOKUP($FM18-HC$103,Männer!$G$9:$J$102,4),Rundäx)</f>
        <v>0.85499999999999998</v>
      </c>
      <c r="HD18" s="24">
        <f>ROUND(SUM(FW18:FW$56)/VLOOKUP($FM18,$AQ$9:$AR$102,2)/VLOOKUP($FM18-HD$103,Männer!$G$9:$J$102,4),Rundäx)</f>
        <v>0.97699999999999998</v>
      </c>
      <c r="HE18" s="24">
        <f>ROUND(SUM(FX18:FX$56)/VLOOKUP($FM18,$AQ$9:$AR$102,2)/VLOOKUP($FM18-HE$103,Männer!$G$9:$J$102,4),Rundäx)</f>
        <v>1.111</v>
      </c>
      <c r="HF18" s="24">
        <f>ROUND(SUM(FY18:FY$56)/VLOOKUP($FM18,$AQ$9:$AR$102,2)/VLOOKUP($FM18-HF$103,Männer!$G$9:$J$102,4),Rundäx)</f>
        <v>1.258</v>
      </c>
      <c r="HG18" s="24">
        <f>ROUND(SUM(FZ18:FZ$56)/VLOOKUP($FM18,$AQ$9:$AR$102,2)/VLOOKUP($FM18-HG$103,Männer!$G$9:$J$102,4),Rundäx)</f>
        <v>1.417</v>
      </c>
      <c r="HH18" s="24">
        <f>ROUND(SUM(GA18:GA$56)/VLOOKUP($FM18,$AQ$9:$AR$102,2)/VLOOKUP($FM18-HH$103,Männer!$G$9:$J$102,4),Rundäx)</f>
        <v>1.589</v>
      </c>
      <c r="HI18" s="24">
        <f>ROUND(SUM(GB18:GB$56)/VLOOKUP($FM18,$AQ$9:$AR$102,2)/VLOOKUP($FM18-HI$103,Männer!$G$9:$J$102,4),Rundäx)</f>
        <v>1.7749999999999999</v>
      </c>
      <c r="HJ18" s="24">
        <f>ROUND(SUM(GC18:GC$56)/VLOOKUP($FM18,$AQ$9:$AR$102,2)/VLOOKUP($FM18-HJ$103,Männer!$G$9:$J$102,4),Rundäx)</f>
        <v>1.974</v>
      </c>
      <c r="HK18" s="89"/>
      <c r="HL18" s="35">
        <f t="shared" si="66"/>
        <v>73</v>
      </c>
      <c r="HM18" s="24">
        <f>ROUND(SUM(GD18:GD$56)/VLOOKUP($FM18,$AQ$9:$AR$102,2)/VLOOKUP($FM18-HM$103,Männer!$G$9:$J$102,4),Rundäx)</f>
        <v>2.1850000000000001</v>
      </c>
      <c r="HN18" s="24">
        <f>ROUND(SUM(GE18:GE$56)/VLOOKUP($FM18,$AQ$9:$AR$102,2)/VLOOKUP($FM18-HN$103,Männer!$G$9:$J$102,4),Rundäx)</f>
        <v>2.4079999999999999</v>
      </c>
      <c r="HO18" s="24">
        <f>ROUND(SUM(GF18:GF$56)/VLOOKUP($FM18,$AQ$9:$AR$102,2)/VLOOKUP($FM18-HO$103,Männer!$G$9:$J$102,4),Rundäx)</f>
        <v>2.645</v>
      </c>
      <c r="HP18" s="24">
        <f>ROUND(SUM(GG18:GG$56)/VLOOKUP($FM18,$AQ$9:$AR$102,2)/VLOOKUP($FM18-HP$103,Männer!$G$9:$J$102,4),Rundäx)</f>
        <v>2.8919999999999999</v>
      </c>
      <c r="HQ18" s="24">
        <f>ROUND(SUM(GH18:GH$56)/VLOOKUP($FM18,$AQ$9:$AR$102,2)/VLOOKUP($FM18-HQ$103,Männer!$G$9:$J$102,4),Rundäx)</f>
        <v>3.1509999999999998</v>
      </c>
      <c r="HR18" s="24">
        <f>ROUND(SUM(GI18:GI$56)/VLOOKUP($FM18,$AQ$9:$AR$102,2)/VLOOKUP($FM18-HR$103,Männer!$G$9:$J$102,4),Rundäx)</f>
        <v>3.419</v>
      </c>
      <c r="HS18" s="24">
        <f>ROUND(SUM(GJ18:GJ$56)/VLOOKUP($FM18,$AQ$9:$AR$102,2)/VLOOKUP($FM18-HS$103,Männer!$G$9:$J$102,4),Rundäx)</f>
        <v>3.6970000000000001</v>
      </c>
      <c r="HT18" s="24">
        <f>ROUND(SUM(GK18:GK$56)/VLOOKUP($FM18,$AQ$9:$AR$102,2)/VLOOKUP($FM18-HT$103,Männer!$G$9:$J$102,4),Rundäx)</f>
        <v>3.9849999999999999</v>
      </c>
      <c r="HU18" s="89"/>
      <c r="HV18" s="35">
        <f t="shared" si="67"/>
        <v>73</v>
      </c>
      <c r="HW18" s="24">
        <f>ROUND(SUM(GL18:GL$56)/VLOOKUP($FM18,$AQ$9:$AR$102,2)/VLOOKUP($FM18-HW$103,Männer!$G$9:$J$102,4),Rundäx)</f>
        <v>4.28</v>
      </c>
      <c r="HX18" s="24">
        <f>ROUND(SUM(GM18:GM$56)/VLOOKUP($FM18,$AQ$9:$AR$102,2)/VLOOKUP($FM18-HX$103,Männer!$G$9:$J$102,4),Rundäx)</f>
        <v>4.5839999999999996</v>
      </c>
      <c r="HY18" s="24">
        <f>ROUND(SUM(GN18:GN$56)/VLOOKUP($FM18,$AQ$9:$AR$102,2)/VLOOKUP($FM18-HY$103,Männer!$G$9:$J$102,4),Rundäx)</f>
        <v>4.8949999999999996</v>
      </c>
      <c r="HZ18" s="24">
        <f>ROUND(SUM(GO18:GO$56)/VLOOKUP($FM18,$AQ$9:$AR$102,2)/VLOOKUP($FM18-HZ$103,Männer!$G$9:$J$102,4),Rundäx)</f>
        <v>5.2140000000000004</v>
      </c>
      <c r="IA18" s="24">
        <f>ROUND(SUM(GP18:GP$56)/VLOOKUP($FM18,$AQ$9:$AR$102,2)/VLOOKUP($FM18-IA$103,Männer!$G$9:$J$102,4),Rundäx)</f>
        <v>5.54</v>
      </c>
      <c r="IB18" s="24">
        <f>ROUND(SUM(GQ18:GQ$56)/VLOOKUP($FM18,$AQ$9:$AR$102,2)/VLOOKUP($FM18-IB$103,Männer!$G$9:$J$102,4),Rundäx)</f>
        <v>5.8730000000000002</v>
      </c>
      <c r="IC18" s="24">
        <f>ROUND(SUM(GR18:GR$56)/VLOOKUP($FM18,$AQ$9:$AR$102,2)/VLOOKUP($FM18-IC$103,Männer!$G$9:$J$102,4),Rundäx)</f>
        <v>6.2130000000000001</v>
      </c>
      <c r="ID18" s="89"/>
      <c r="IE18" s="9">
        <f t="shared" si="68"/>
        <v>26</v>
      </c>
      <c r="IF18" s="11">
        <f t="shared" si="25"/>
        <v>130</v>
      </c>
      <c r="IG18" s="11">
        <f>IF($IE18&lt;RAF,IF(S19&lt;=RAK,ROUND(SUM(IF18:INDEX(Daky,RAF-BeginnAlter))+INDEX(Day,RAF-BeginnAlter+1)*INDEX(äky,1),RundDx),0),"")</f>
        <v>6065</v>
      </c>
      <c r="IH18" s="11">
        <f>IF($IE18&lt;RAF,IF(S19&lt;=RAK,ROUND(SUM(IG18:INDEX(Naky,RAF-BeginnAlter))+INDEX(Day,RAF-BeginnAlter+1)*INDEX(äky,1),RundDx),0),"")</f>
        <v>76636</v>
      </c>
      <c r="II18" s="10">
        <f t="shared" si="26"/>
        <v>0.109</v>
      </c>
      <c r="IJ18" s="11">
        <f t="shared" si="27"/>
        <v>3163</v>
      </c>
      <c r="IK18" s="11">
        <f>IF($IE18&lt;RAF,IF(S19&lt;=RAK,SUM(IJ18:INDEX(Diky,RAF-BeginnAlter))+INDEX(Diy,RAF-BeginnAlter+1)*INDEX(äky,1),0),"")</f>
        <v>223904</v>
      </c>
      <c r="IL18" s="10">
        <f t="shared" si="28"/>
        <v>1.9750000000000001</v>
      </c>
      <c r="IM18" s="89"/>
      <c r="IN18" s="9">
        <f t="shared" si="29"/>
        <v>73</v>
      </c>
      <c r="IO18" s="11"/>
      <c r="IP18" s="11"/>
      <c r="IQ18" s="10"/>
      <c r="IR18" s="86"/>
    </row>
    <row r="19" spans="1:252" ht="15.75" customHeight="1" x14ac:dyDescent="0.25">
      <c r="A19" s="9">
        <f t="shared" si="4"/>
        <v>27</v>
      </c>
      <c r="B19" s="93">
        <v>3.7653142409123716E-4</v>
      </c>
      <c r="C19" s="93">
        <v>1.0583526459874808E-3</v>
      </c>
      <c r="D19" s="93">
        <v>2.0433079467981584E-2</v>
      </c>
      <c r="E19" s="93">
        <v>4.6111590047914763E-4</v>
      </c>
      <c r="F19" s="89"/>
      <c r="G19" s="9">
        <f t="shared" si="5"/>
        <v>27</v>
      </c>
      <c r="H19" s="11">
        <f t="shared" si="30"/>
        <v>99410</v>
      </c>
      <c r="I19" s="25">
        <f t="shared" si="31"/>
        <v>348</v>
      </c>
      <c r="J19" s="25">
        <f t="shared" si="32"/>
        <v>99758</v>
      </c>
      <c r="K19" s="30">
        <f>IF(J19&gt;0,ROUND(SUM(J19:J$102)/J19-0.5,Rundex),"")</f>
        <v>55.22</v>
      </c>
      <c r="L19" s="25">
        <f t="shared" si="6"/>
        <v>198227</v>
      </c>
      <c r="M19" s="30">
        <f>IF(L19&gt;0,ROUND(SUM(L19:L$102)/L19-0.5,Rundex),"")</f>
        <v>35.200000000000003</v>
      </c>
      <c r="N19" s="89"/>
      <c r="O19" s="9">
        <f t="shared" si="49"/>
        <v>27</v>
      </c>
      <c r="P19" s="94">
        <v>0.1133811789146027</v>
      </c>
      <c r="Q19" s="95">
        <v>31.016936152832866</v>
      </c>
      <c r="R19" s="94">
        <v>8.0460000000000004E-2</v>
      </c>
      <c r="S19" s="95">
        <v>0.32</v>
      </c>
      <c r="T19" s="28">
        <v>4.6111590047914763E-4</v>
      </c>
      <c r="U19" s="11">
        <f t="shared" si="33"/>
        <v>99758</v>
      </c>
      <c r="V19" s="30">
        <f>IF(U19&gt;0,ROUND(SUM(U19:U$102)/U19-0.5,Rundex),"")</f>
        <v>56.51</v>
      </c>
      <c r="W19" s="89"/>
      <c r="X19" s="9">
        <f t="shared" si="50"/>
        <v>27</v>
      </c>
      <c r="Y19" s="11">
        <f t="shared" si="34"/>
        <v>54516</v>
      </c>
      <c r="Z19" s="11">
        <f>IF($X19&lt;RAF,SUM(Y19:INDEX(Day,RAF-BeginnAlter))," ")</f>
        <v>1299535</v>
      </c>
      <c r="AA19" s="11">
        <f t="shared" si="0"/>
        <v>20</v>
      </c>
      <c r="AB19" s="11">
        <f>IF($X19&lt;RAF,SUM(AA19:INDEX(Cay,RAF-BeginnAlter))," ")</f>
        <v>1352</v>
      </c>
      <c r="AC19" s="11">
        <f t="shared" si="1"/>
        <v>57</v>
      </c>
      <c r="AD19" s="11">
        <f>IF($X19&lt;RAF,SUM(AC19:INDEX(Caiy,RAF-BeginnAlter))," ")</f>
        <v>8302</v>
      </c>
      <c r="AE19" s="10">
        <f t="shared" si="35"/>
        <v>23.838000000000001</v>
      </c>
      <c r="AF19" s="10">
        <f t="shared" si="36"/>
        <v>23.516999999999999</v>
      </c>
      <c r="AG19" s="89"/>
      <c r="AH19" s="9">
        <f t="shared" si="51"/>
        <v>27</v>
      </c>
      <c r="AI19" s="11">
        <f t="shared" si="37"/>
        <v>108706</v>
      </c>
      <c r="AJ19" s="11">
        <f>IF($AH19&gt;RAF," ",IF($AH19&lt;RAF,SUM(AI19:INDEX(Diy,RAF-BeginnAlter))+INDEX(Ny,RAF-BeginnAlter+1),INDEX(Ny,RAF-BeginnAlter+1)))</f>
        <v>2402764</v>
      </c>
      <c r="AK19" s="11">
        <f>IF($AH19&lt;RAF,SUM(AI19:INDEX(Diy,RAF-BeginnAlter))," ")</f>
        <v>2036670</v>
      </c>
      <c r="AL19" s="10">
        <f t="shared" si="38"/>
        <v>22.103000000000002</v>
      </c>
      <c r="AM19" s="10">
        <f t="shared" si="39"/>
        <v>21.645</v>
      </c>
      <c r="AN19" s="10">
        <f t="shared" si="40"/>
        <v>18.736000000000001</v>
      </c>
      <c r="AO19" s="10">
        <f t="shared" si="41"/>
        <v>18.369</v>
      </c>
      <c r="AP19" s="89"/>
      <c r="AQ19" s="9">
        <f t="shared" si="52"/>
        <v>27</v>
      </c>
      <c r="AR19" s="11">
        <f t="shared" si="42"/>
        <v>54706</v>
      </c>
      <c r="AS19" s="11">
        <f>SUM(AR19:AR$96)</f>
        <v>1734455</v>
      </c>
      <c r="AT19" s="25">
        <f>IF($AQ19&lt;RAF,SUM(AR19:INDEX(Dy,RAF-BeginnAlter))," ")</f>
        <v>1368361</v>
      </c>
      <c r="AU19" s="24">
        <f t="shared" si="43"/>
        <v>31.704999999999998</v>
      </c>
      <c r="AV19" s="24">
        <f t="shared" si="44"/>
        <v>31.247</v>
      </c>
      <c r="AW19" s="24">
        <f t="shared" si="45"/>
        <v>25.013000000000002</v>
      </c>
      <c r="AX19" s="24">
        <f t="shared" si="46"/>
        <v>24.736999999999998</v>
      </c>
      <c r="AY19" s="89"/>
      <c r="AZ19" s="9">
        <f t="shared" si="53"/>
        <v>27</v>
      </c>
      <c r="BA19" s="11">
        <f t="shared" si="47"/>
        <v>54706</v>
      </c>
      <c r="BB19" s="11">
        <f>SUM(BA19:BA$96)</f>
        <v>1757244</v>
      </c>
      <c r="BC19" s="10">
        <f t="shared" si="48"/>
        <v>32.122</v>
      </c>
      <c r="BD19" s="10">
        <f t="shared" si="7"/>
        <v>31.663</v>
      </c>
      <c r="BE19" s="89"/>
      <c r="BF19" s="9">
        <f t="shared" si="54"/>
        <v>10</v>
      </c>
      <c r="BG19" s="10">
        <f t="shared" si="8"/>
        <v>12.896000000000001</v>
      </c>
      <c r="BH19" s="10">
        <f t="shared" si="9"/>
        <v>12.766</v>
      </c>
      <c r="BI19" s="89"/>
      <c r="BJ19" s="9">
        <f t="shared" si="55"/>
        <v>27</v>
      </c>
      <c r="BK19" s="11">
        <f t="shared" si="10"/>
        <v>1233</v>
      </c>
      <c r="BL19" s="11">
        <f>IF(BJ19&lt;RAF,SUM(BK19:INDEX(Daiy,RAF-BeginnAlter))," ")</f>
        <v>155423</v>
      </c>
      <c r="BM19" s="11">
        <f>IF(BJ19&lt;RAF,SUM(BL19:INDEX(Naiy,RAF-BeginnAlter))," ")</f>
        <v>3867120</v>
      </c>
      <c r="BN19" s="10">
        <f t="shared" si="11"/>
        <v>4.9189999999999996</v>
      </c>
      <c r="BO19" s="10">
        <f t="shared" si="12"/>
        <v>2.851</v>
      </c>
      <c r="BP19" s="89"/>
      <c r="BQ19" s="9">
        <f t="shared" si="56"/>
        <v>27</v>
      </c>
      <c r="BR19" s="11">
        <f t="shared" si="13"/>
        <v>1042</v>
      </c>
      <c r="BS19" s="11">
        <f>IF(BQ19&lt;RAF,SUM(BR19:INDEX(Daiys,RAF-BeginnAlter))," ")</f>
        <v>68102</v>
      </c>
      <c r="BT19" s="11">
        <f>IF(BQ19&lt;RAF,SUM(BS19:INDEX(Naiys,RAF-BeginnAlter))," ")</f>
        <v>1341002</v>
      </c>
      <c r="BU19" s="10">
        <f t="shared" si="14"/>
        <v>6.5209999999999999</v>
      </c>
      <c r="BV19" s="10">
        <f t="shared" si="15"/>
        <v>1.2490000000000001</v>
      </c>
      <c r="BW19" s="89"/>
      <c r="BX19" s="9">
        <f t="shared" si="57"/>
        <v>27</v>
      </c>
      <c r="BY19" s="10">
        <f t="shared" si="16"/>
        <v>15.004329321993104</v>
      </c>
      <c r="BZ19" s="11">
        <f t="shared" si="17"/>
        <v>77</v>
      </c>
      <c r="CA19" s="11">
        <f>IF(S20&lt;=RAK,IF($BX19&lt;RAF,SUM(BZ19:INDEX(Dazy,RAF-BeginnAlter)),""),"")</f>
        <v>16088</v>
      </c>
      <c r="CB19" s="10">
        <f t="shared" si="18"/>
        <v>0.29499999999999998</v>
      </c>
      <c r="CC19" s="11">
        <f t="shared" si="19"/>
        <v>30670</v>
      </c>
      <c r="CD19" s="10">
        <f t="shared" si="20"/>
        <v>22.125</v>
      </c>
      <c r="CE19" s="10">
        <f t="shared" si="21"/>
        <v>2E-3</v>
      </c>
      <c r="CF19" s="89"/>
      <c r="CG19" s="9">
        <f t="shared" si="58"/>
        <v>27</v>
      </c>
      <c r="CH19" s="11">
        <f>IF(CG19&lt;RAF,ROUND(v^($CG19+FaktorAlter)*$H19*($B19*0.5*($P19+$P20)*(VLOOKUP(TRUNC(0.5*($Q19+$Q20),0),Männer!$AZ$9:$BD$95,5)+(0.5*($Q19+$Q20)-TRUNC(0.5*($Q19+$Q20),0))*(VLOOKUP(TRUNC(0.5*($Q19+$Q20)+1,0),Männer!$AZ$9:$BD$95,5)-VLOOKUP(TRUNC(0.5*($Q19+$Q20),0),Männer!$AZ$9:$BD$95,5)))+$C19*0.5*($CN19+$CN20)),RundDx),"")</f>
        <v>178</v>
      </c>
      <c r="CI19" s="11">
        <f>IF(CG19&lt;RAF,ROUND(SUM(CH19:INDEX(Dawy,RAF-BeginnAlter))+INDEX(Day,RAF-BeginnAlter+1)*INDEX(äwy,1),RundDx),"")</f>
        <v>13774</v>
      </c>
      <c r="CJ19" s="11">
        <f>IF(CG19&lt;RAF,ROUND(SUM(CI19:INDEX(Nawy,RAF-BeginnAlter))+INDEX(Day,RAF-BeginnAlter+1)*INDEX(äwy,1),RundDx),"")</f>
        <v>310899</v>
      </c>
      <c r="CK19" s="10">
        <f t="shared" si="22"/>
        <v>0.253</v>
      </c>
      <c r="CL19" s="11">
        <f>IF(CG19&lt;RAF,ROUND(v^($CG19+FaktorAlter)*$L19*$D19*0.5*($P19+$P20)*(VLOOKUP(TRUNC(0.5*($Q19+$Q20),0),Männer!$AZ$9:$BD$95,5)+(0.5*($Q19+$Q20)-TRUNC(0.5*($Q19+$Q20),0))*(VLOOKUP(TRUNC(0.5*($Q19+$Q20)+1,0),Männer!$AZ$9:$BD$95,5)-VLOOKUP(TRUNC(0.5*($Q19+$Q20),0),Männer!$AZ$9:$BD$95,5))),RundDx),"")</f>
        <v>7220</v>
      </c>
      <c r="CM19" s="11">
        <f>IF(CG19&lt;RAF,SUM(CL19:INDEX(Diwy,RAF-BeginnAlter))+INDEX(Diy,RAF-BeginnAlter+1)*INDEX(äwy,1),"")</f>
        <v>211424.304</v>
      </c>
      <c r="CN19" s="10">
        <f t="shared" si="23"/>
        <v>1.9450000000000001</v>
      </c>
      <c r="CO19" s="89"/>
      <c r="CP19" s="9">
        <f t="shared" si="59"/>
        <v>74</v>
      </c>
      <c r="CQ19" s="11">
        <f>ROUND(v^($CP19+FaktorAlter)*VLOOKUP(CP19,G$9:J$102,4)*VLOOKUP(CP19,A$9:E$102,5)*0.5*(VLOOKUP(CP19,O$9:P$102,2)+VLOOKUP(CP19+1,O$9:P$102,2))*(VLOOKUP(TRUNC(0.5*(VLOOKUP(CP19,O$9:Q$102,3)+VLOOKUP(CP19+1,O$9:Q$102,3)),0),Männer!$AZ$9:$BD$95,5)+(0.5*(VLOOKUP(CP19,O$9:Q$102,3)+VLOOKUP(CP19+1,O$9:Q$102,3))-TRUNC(0.5*(VLOOKUP(CP19,O$9:Q$102,3)+VLOOKUP(CP19+1,O$9:Q$102,3)),0))*(VLOOKUP(TRUNC(0.5*(VLOOKUP(CP19,O$9:Q$102,3)+VLOOKUP(CP19+1,O$9:Q$102,3))+1,0),Männer!$AZ$9:$BD$95,5)-VLOOKUP(TRUNC(0.5*(VLOOKUP(CP19,O$9:Q$102,3)+VLOOKUP(CP19+1,O$9:Q$102,3)),0),Männer!$AZ$9:$BD$95,5))),RundDx)</f>
        <v>70</v>
      </c>
      <c r="CR19" s="11">
        <f>SUM(CQ19:CQ$56)</f>
        <v>452</v>
      </c>
      <c r="CS19" s="24">
        <f t="shared" si="24"/>
        <v>0.03</v>
      </c>
      <c r="CT19" s="89"/>
      <c r="CU19" s="35">
        <f t="shared" si="60"/>
        <v>27</v>
      </c>
      <c r="CV19" s="25">
        <f>IF($CU19&gt;=RAF,"",IF($CU19-CV$103&lt;BeginnAlter,"",ROUND(v^($CU19+FaktorAlter)*$L19*$D19*0.5*(VLOOKUP($CU19-CV$103,Männer!$G$9:$J$102,4)+VLOOKUP($CU19-CV$103+1,Männer!$G$9:$J$102,4))*0.5*(VLOOKUP($CU19-CV$103,Männer!$AZ$9:$BD$102,5)+VLOOKUP($CU19-CV$103+1,Männer!$AZ$9:$BD$102,5)),RundDx)))</f>
        <v>5080807880</v>
      </c>
      <c r="CW19" s="25">
        <f>IF($CU19&gt;=RAF,"",IF($CU19-CW$103&lt;BeginnAlter,"",ROUND(v^($CU19+FaktorAlter)*$L19*$D19*0.5*(VLOOKUP($CU19-CW$103,Männer!$G$9:$J$102,4)+VLOOKUP($CU19-CW$103+1,Männer!$G$9:$J$102,4))*0.5*(VLOOKUP($CU19-CW$103,Männer!$AZ$9:$BD$102,5)+VLOOKUP($CU19-CW$103+1,Männer!$AZ$9:$BD$102,5)),RundDx)))</f>
        <v>5182314313</v>
      </c>
      <c r="CX19" s="25">
        <f>IF($CU19&gt;=RAF,"",IF($CU19-CX$103&lt;BeginnAlter,"",ROUND(v^($CU19+FaktorAlter)*$L19*$D19*0.5*(VLOOKUP($CU19-CX$103,Männer!$G$9:$J$102,4)+VLOOKUP($CU19-CX$103+1,Männer!$G$9:$J$102,4))*0.5*(VLOOKUP($CU19-CX$103,Männer!$AZ$9:$BD$102,5)+VLOOKUP($CU19-CX$103+1,Männer!$AZ$9:$BD$102,5)),RundDx)))</f>
        <v>5281822008</v>
      </c>
      <c r="CY19" s="25">
        <f>IF($CU19&gt;=RAF,"",IF($CU19-CY$103&lt;BeginnAlter,"",ROUND(v^($CU19+FaktorAlter)*$L19*$D19*0.5*(VLOOKUP($CU19-CY$103,Männer!$G$9:$J$102,4)+VLOOKUP($CU19-CY$103+1,Männer!$G$9:$J$102,4))*0.5*(VLOOKUP($CU19-CY$103,Männer!$AZ$9:$BD$102,5)+VLOOKUP($CU19-CY$103+1,Männer!$AZ$9:$BD$102,5)),RundDx)))</f>
        <v>5379321282</v>
      </c>
      <c r="CZ19" s="25">
        <f>IF($CU19&gt;=RAF,"",IF($CU19-CZ$103&lt;BeginnAlter,"",ROUND(v^($CU19+FaktorAlter)*$L19*$D19*0.5*(VLOOKUP($CU19-CZ$103,Männer!$G$9:$J$102,4)+VLOOKUP($CU19-CZ$103+1,Männer!$G$9:$J$102,4))*0.5*(VLOOKUP($CU19-CZ$103,Männer!$AZ$9:$BD$102,5)+VLOOKUP($CU19-CZ$103+1,Männer!$AZ$9:$BD$102,5)),RundDx)))</f>
        <v>5475102209</v>
      </c>
      <c r="DA19" s="25">
        <f>IF($CU19&gt;=RAF,"",IF($CU19-DA$103&lt;BeginnAlter,"",ROUND(v^($CU19+FaktorAlter)*$L19*$D19*0.5*(VLOOKUP($CU19-DA$103,Männer!$G$9:$J$102,4)+VLOOKUP($CU19-DA$103+1,Männer!$G$9:$J$102,4))*0.5*(VLOOKUP($CU19-DA$103,Männer!$AZ$9:$BD$102,5)+VLOOKUP($CU19-DA$103+1,Männer!$AZ$9:$BD$102,5)),RundDx)))</f>
        <v>5569052298</v>
      </c>
      <c r="DB19" s="25">
        <f>IF($CU19&gt;=RAF,"",IF($CU19-DB$103&lt;BeginnAlter,"",ROUND(v^($CU19+FaktorAlter)*$L19*$D19*0.5*(VLOOKUP($CU19-DB$103,Männer!$G$9:$J$102,4)+VLOOKUP($CU19-DB$103+1,Männer!$G$9:$J$102,4))*0.5*(VLOOKUP($CU19-DB$103,Männer!$AZ$9:$BD$102,5)+VLOOKUP($CU19-DB$103+1,Männer!$AZ$9:$BD$102,5)),RundDx)))</f>
        <v>5661089874</v>
      </c>
      <c r="DC19" s="25">
        <f>IF($CU19&gt;=RAF,"",IF($CU19-DC$103&lt;BeginnAlter,"",ROUND(v^($CU19+FaktorAlter)*$L19*$D19*0.5*(VLOOKUP($CU19-DC$103,Männer!$G$9:$J$102,4)+VLOOKUP($CU19-DC$103+1,Männer!$G$9:$J$102,4))*0.5*(VLOOKUP($CU19-DC$103,Männer!$AZ$9:$BD$102,5)+VLOOKUP($CU19-DC$103+1,Männer!$AZ$9:$BD$102,5)),RundDx)))</f>
        <v>5751404621</v>
      </c>
      <c r="DD19" s="25">
        <f>IF($CU19&gt;=RAF,"",IF($CU19-DD$103&lt;BeginnAlter,"",ROUND(v^($CU19+FaktorAlter)*$L19*$D19*0.5*(VLOOKUP($CU19-DD$103,Männer!$G$9:$J$102,4)+VLOOKUP($CU19-DD$103+1,Männer!$G$9:$J$102,4))*0.5*(VLOOKUP($CU19-DD$103,Männer!$AZ$9:$BD$102,5)+VLOOKUP($CU19-DD$103+1,Männer!$AZ$9:$BD$102,5)),RundDx)))</f>
        <v>5839861880</v>
      </c>
      <c r="DE19" s="25">
        <f>IF($CU19&gt;=RAF,"",IF($CU19-DE$103&lt;BeginnAlter,"",ROUND(v^($CU19+FaktorAlter)*$L19*$D19*0.5*(VLOOKUP($CU19-DE$103,Männer!$G$9:$J$102,4)+VLOOKUP($CU19-DE$103+1,Männer!$G$9:$J$102,4))*0.5*(VLOOKUP($CU19-DE$103,Männer!$AZ$9:$BD$102,5)+VLOOKUP($CU19-DE$103+1,Männer!$AZ$9:$BD$102,5)),RundDx)))</f>
        <v>5926525899</v>
      </c>
      <c r="DF19" s="25">
        <f>IF($CU19&gt;=RAF,"",IF($CU19-DF$103&lt;BeginnAlter,"",ROUND(v^($CU19+FaktorAlter)*$L19*$D19*0.5*(VLOOKUP($CU19-DF$103,Männer!$G$9:$J$102,4)+VLOOKUP($CU19-DF$103+1,Männer!$G$9:$J$102,4))*0.5*(VLOOKUP($CU19-DF$103,Männer!$AZ$9:$BD$102,5)+VLOOKUP($CU19-DF$103+1,Männer!$AZ$9:$BD$102,5)),RundDx)))</f>
        <v>6011466580</v>
      </c>
      <c r="DG19" s="25">
        <f>IF($CU19&gt;=RAF,"",IF($CU19-DG$103&lt;BeginnAlter,"",ROUND(v^($CU19+FaktorAlter)*$L19*$D19*0.5*(VLOOKUP($CU19-DG$103,Männer!$G$9:$J$102,4)+VLOOKUP($CU19-DG$103+1,Männer!$G$9:$J$102,4))*0.5*(VLOOKUP($CU19-DG$103,Männer!$AZ$9:$BD$102,5)+VLOOKUP($CU19-DG$103+1,Männer!$AZ$9:$BD$102,5)),RundDx)))</f>
        <v>6094728514</v>
      </c>
      <c r="DH19" s="25">
        <f>IF($CU19&gt;=RAF,"",IF($CU19-DH$103&lt;BeginnAlter,"",ROUND(v^($CU19+FaktorAlter)*$L19*$D19*0.5*(VLOOKUP($CU19-DH$103,Männer!$G$9:$J$102,4)+VLOOKUP($CU19-DH$103+1,Männer!$G$9:$J$102,4))*0.5*(VLOOKUP($CU19-DH$103,Männer!$AZ$9:$BD$102,5)+VLOOKUP($CU19-DH$103+1,Männer!$AZ$9:$BD$102,5)),RundDx)))</f>
        <v>6176328802</v>
      </c>
      <c r="DI19" s="25">
        <f>IF($CU19&gt;=RAF,"",IF($CU19-DI$103&lt;BeginnAlter,"",ROUND(v^($CU19+FaktorAlter)*$L19*$D19*0.5*(VLOOKUP($CU19-DI$103,Männer!$G$9:$J$102,4)+VLOOKUP($CU19-DI$103+1,Männer!$G$9:$J$102,4))*0.5*(VLOOKUP($CU19-DI$103,Männer!$AZ$9:$BD$102,5)+VLOOKUP($CU19-DI$103+1,Männer!$AZ$9:$BD$102,5)),RundDx)))</f>
        <v>6256240454</v>
      </c>
      <c r="DJ19" s="25">
        <f>IF($CU19&gt;=RAF,"",IF($CU19-DJ$103&lt;BeginnAlter,"",ROUND(v^($CU19+FaktorAlter)*$L19*$D19*0.5*(VLOOKUP($CU19-DJ$103,Männer!$G$9:$J$102,4)+VLOOKUP($CU19-DJ$103+1,Männer!$G$9:$J$102,4))*0.5*(VLOOKUP($CU19-DJ$103,Männer!$AZ$9:$BD$102,5)+VLOOKUP($CU19-DJ$103+1,Männer!$AZ$9:$BD$102,5)),RundDx)))</f>
        <v>6334550189</v>
      </c>
      <c r="DK19" s="25">
        <f>IF($CU19&gt;=RAF,"",IF($CU19-DK$103&lt;BeginnAlter,"",ROUND(v^($CU19+FaktorAlter)*$L19*$D19*0.5*(VLOOKUP($CU19-DK$103,Männer!$G$9:$J$102,4)+VLOOKUP($CU19-DK$103+1,Männer!$G$9:$J$102,4))*0.5*(VLOOKUP($CU19-DK$103,Männer!$AZ$9:$BD$102,5)+VLOOKUP($CU19-DK$103+1,Männer!$AZ$9:$BD$102,5)),RundDx)))</f>
        <v>6411207932</v>
      </c>
      <c r="DL19" s="25">
        <f>IF($CU19&gt;=RAF,"",IF($CU19-DL$103&lt;BeginnAlter,"",ROUND(v^($CU19+FaktorAlter)*$L19*$D19*0.5*(VLOOKUP($CU19-DL$103,Männer!$G$9:$J$102,4)+VLOOKUP($CU19-DL$103+1,Männer!$G$9:$J$102,4))*0.5*(VLOOKUP($CU19-DL$103,Männer!$AZ$9:$BD$102,5)+VLOOKUP($CU19-DL$103+1,Männer!$AZ$9:$BD$102,5)),RundDx)))</f>
        <v>6486417397</v>
      </c>
      <c r="DM19" s="25">
        <f>IF($CU19&gt;=RAF,"",IF($CU19-DM$103&lt;BeginnAlter,"",ROUND(v^($CU19+FaktorAlter)*$L19*$D19*0.5*(VLOOKUP($CU19-DM$103,Männer!$G$9:$J$102,4)+VLOOKUP($CU19-DM$103+1,Männer!$G$9:$J$102,4))*0.5*(VLOOKUP($CU19-DM$103,Männer!$AZ$9:$BD$102,5)+VLOOKUP($CU19-DM$103+1,Männer!$AZ$9:$BD$102,5)),RundDx)))</f>
        <v>6560145634</v>
      </c>
      <c r="DN19" s="25">
        <f>IF($CU19&gt;=RAF,"",IF($CU19-DN$103&lt;BeginnAlter,"",ROUND(v^($CU19+FaktorAlter)*$L19*$D19*0.5*(VLOOKUP($CU19-DN$103,Männer!$G$9:$J$102,4)+VLOOKUP($CU19-DN$103+1,Männer!$G$9:$J$102,4))*0.5*(VLOOKUP($CU19-DN$103,Männer!$AZ$9:$BD$102,5)+VLOOKUP($CU19-DN$103+1,Männer!$AZ$9:$BD$102,5)),RundDx)))</f>
        <v>6632205955</v>
      </c>
      <c r="DO19" s="25">
        <f>IF($CU19&gt;=RAF,"",IF($CU19-DO$103&lt;BeginnAlter,"",ROUND(v^($CU19+FaktorAlter)*$L19*$D19*0.5*(VLOOKUP($CU19-DO$103,Männer!$G$9:$J$102,4)+VLOOKUP($CU19-DO$103+1,Männer!$G$9:$J$102,4))*0.5*(VLOOKUP($CU19-DO$103,Männer!$AZ$9:$BD$102,5)+VLOOKUP($CU19-DO$103+1,Männer!$AZ$9:$BD$102,5)),RundDx)))</f>
        <v>6702926074</v>
      </c>
      <c r="DP19" s="25">
        <f>IF($CU19&gt;=RAF,"",IF($CU19-DP$103&lt;BeginnAlter,"",ROUND(v^($CU19+FaktorAlter)*$L19*$D19*0.5*(VLOOKUP($CU19-DP$103,Männer!$G$9:$J$102,4)+VLOOKUP($CU19-DP$103+1,Männer!$G$9:$J$102,4))*0.5*(VLOOKUP($CU19-DP$103,Männer!$AZ$9:$BD$102,5)+VLOOKUP($CU19-DP$103+1,Männer!$AZ$9:$BD$102,5)),RundDx)))</f>
        <v>6772279564</v>
      </c>
      <c r="DQ19" s="25">
        <f>IF($CU19&gt;=RAF,"",IF($CU19-DQ$103&lt;BeginnAlter,"",ROUND(v^($CU19+FaktorAlter)*$L19*$D19*0.5*(VLOOKUP($CU19-DQ$103,Männer!$G$9:$J$102,4)+VLOOKUP($CU19-DQ$103+1,Männer!$G$9:$J$102,4))*0.5*(VLOOKUP($CU19-DQ$103,Männer!$AZ$9:$BD$102,5)+VLOOKUP($CU19-DQ$103+1,Männer!$AZ$9:$BD$102,5)),RundDx)))</f>
        <v>6840235091</v>
      </c>
      <c r="DR19" s="25">
        <f>IF($CU19&gt;=RAF,"",IF($CU19-DR$103&lt;BeginnAlter,"",ROUND(v^($CU19+FaktorAlter)*$L19*$D19*0.5*(VLOOKUP($CU19-DR$103,Männer!$G$9:$J$102,4)+VLOOKUP($CU19-DR$103+1,Männer!$G$9:$J$102,4))*0.5*(VLOOKUP($CU19-DR$103,Männer!$AZ$9:$BD$102,5)+VLOOKUP($CU19-DR$103+1,Männer!$AZ$9:$BD$102,5)),RundDx)))</f>
        <v>6906831785</v>
      </c>
      <c r="DS19" s="25">
        <f>IF($CU19&gt;=RAF,"",IF($CU19-DS$103&lt;BeginnAlter,"",ROUND(v^($CU19+FaktorAlter)*$L19*$D19*0.5*(VLOOKUP($CU19-DS$103,Männer!$G$9:$J$102,4)+VLOOKUP($CU19-DS$103+1,Männer!$G$9:$J$102,4))*0.5*(VLOOKUP($CU19-DS$103,Männer!$AZ$9:$BD$102,5)+VLOOKUP($CU19-DS$103+1,Männer!$AZ$9:$BD$102,5)),RundDx)))</f>
        <v>6972038675</v>
      </c>
      <c r="DT19" s="25">
        <f>IF($CU19&gt;=RAF,"",IF($CU19-DT$103&lt;BeginnAlter,"",ROUND(v^($CU19+FaktorAlter)*$L19*$D19*0.5*(VLOOKUP($CU19-DT$103,Männer!$G$9:$J$102,4)+VLOOKUP($CU19-DT$103+1,Männer!$G$9:$J$102,4))*0.5*(VLOOKUP($CU19-DT$103,Männer!$AZ$9:$BD$102,5)+VLOOKUP($CU19-DT$103+1,Männer!$AZ$9:$BD$102,5)),RundDx)))</f>
        <v>7036028903</v>
      </c>
      <c r="DU19" s="25">
        <f>IF($CU19&gt;=RAF,"",IF($CU19-DU$103&lt;BeginnAlter,"",ROUND(v^($CU19+FaktorAlter)*$L19*$D19*0.5*(VLOOKUP($CU19-DU$103,Männer!$G$9:$J$102,4)+VLOOKUP($CU19-DU$103+1,Männer!$G$9:$J$102,4))*0.5*(VLOOKUP($CU19-DU$103,Männer!$AZ$9:$BD$102,5)+VLOOKUP($CU19-DU$103+1,Männer!$AZ$9:$BD$102,5)),RundDx)))</f>
        <v>7098664085</v>
      </c>
      <c r="DV19" s="25" t="str">
        <f>IF($CU19&gt;=RAF,"",IF($CU19-DV$103&lt;BeginnAlter,"",ROUND(v^($CU19+FaktorAlter)*$L19*$D19*0.5*(VLOOKUP($CU19-DV$103,Männer!$G$9:$J$102,4)+VLOOKUP($CU19-DV$103+1,Männer!$G$9:$J$102,4))*0.5*(VLOOKUP($CU19-DV$103,Männer!$AZ$9:$BD$102,5)+VLOOKUP($CU19-DV$103+1,Männer!$AZ$9:$BD$102,5)),RundDx)))</f>
        <v/>
      </c>
      <c r="DW19" s="25" t="str">
        <f>IF($CU19&gt;=RAF,"",IF($CU19-DW$103&lt;BeginnAlter,"",ROUND(v^($CU19+FaktorAlter)*$L19*$D19*0.5*(VLOOKUP($CU19-DW$103,Männer!$G$9:$J$102,4)+VLOOKUP($CU19-DW$103+1,Männer!$G$9:$J$102,4))*0.5*(VLOOKUP($CU19-DW$103,Männer!$AZ$9:$BD$102,5)+VLOOKUP($CU19-DW$103+1,Männer!$AZ$9:$BD$102,5)),RundDx)))</f>
        <v/>
      </c>
      <c r="DX19" s="25" t="str">
        <f>IF($CU19&gt;=RAF,"",IF($CU19-DX$103&lt;BeginnAlter,"",ROUND(v^($CU19+FaktorAlter)*$L19*$D19*0.5*(VLOOKUP($CU19-DX$103,Männer!$G$9:$J$102,4)+VLOOKUP($CU19-DX$103+1,Männer!$G$9:$J$102,4))*0.5*(VLOOKUP($CU19-DX$103,Männer!$AZ$9:$BD$102,5)+VLOOKUP($CU19-DX$103+1,Männer!$AZ$9:$BD$102,5)),RundDx)))</f>
        <v/>
      </c>
      <c r="DY19" s="25" t="str">
        <f>IF($CU19&gt;=RAF,"",IF($CU19-DY$103&lt;BeginnAlter,"",ROUND(v^($CU19+FaktorAlter)*$L19*$D19*0.5*(VLOOKUP($CU19-DY$103,Männer!$G$9:$J$102,4)+VLOOKUP($CU19-DY$103+1,Männer!$G$9:$J$102,4))*0.5*(VLOOKUP($CU19-DY$103,Männer!$AZ$9:$BD$102,5)+VLOOKUP($CU19-DY$103+1,Männer!$AZ$9:$BD$102,5)),RundDx)))</f>
        <v/>
      </c>
      <c r="DZ19" s="25" t="str">
        <f>IF($CU19&gt;=RAF,"",IF($CU19-DZ$103&lt;BeginnAlter,"",ROUND(v^($CU19+FaktorAlter)*$L19*$D19*0.5*(VLOOKUP($CU19-DZ$103,Männer!$G$9:$J$102,4)+VLOOKUP($CU19-DZ$103+1,Männer!$G$9:$J$102,4))*0.5*(VLOOKUP($CU19-DZ$103,Männer!$AZ$9:$BD$102,5)+VLOOKUP($CU19-DZ$103+1,Männer!$AZ$9:$BD$102,5)),RundDx)))</f>
        <v/>
      </c>
      <c r="EA19" s="43">
        <f>IF($CU19&gt;=RAF,"",IF($CU19-EA$103&lt;BeginnAlter,"",ROUND((SUM(CV19:CV$56)+SUM(FN$9:FN$56))/VLOOKUP($CU19,$AH$9:$AI$102,2)/VLOOKUP($CU19-EA$103,Männer!$G$9:$J$102,4),Rundäx)))</f>
        <v>6.5659999999999998</v>
      </c>
      <c r="EB19" s="43">
        <f>IF($CU19&gt;=RAF,"",IF($CU19-EB$103&lt;BeginnAlter,"",ROUND((SUM(CW19:CW$56)+SUM(FO$9:FO$56))/VLOOKUP($CU19,$AH$9:$AI$102,2)/VLOOKUP($CU19-EB$103,Männer!$G$9:$J$102,4),Rundäx)))</f>
        <v>6.7750000000000004</v>
      </c>
      <c r="EC19" s="43">
        <f>IF($CU19&gt;=RAF,"",IF($CU19-EC$103&lt;BeginnAlter,"",ROUND((SUM(CX19:CX$56)+SUM(FP$9:FP$56))/VLOOKUP($CU19,$AH$9:$AI$102,2)/VLOOKUP($CU19-EC$103,Männer!$G$9:$J$102,4),Rundäx)))</f>
        <v>6.984</v>
      </c>
      <c r="ED19" s="43">
        <f>IF($CU19&gt;=RAF,"",IF($CU19-ED$103&lt;BeginnAlter,"",ROUND((SUM(CY19:CY$56)+SUM(FQ$9:FQ$56))/VLOOKUP($CU19,$AH$9:$AI$102,2)/VLOOKUP($CU19-ED$103,Männer!$G$9:$J$102,4),Rundäx)))</f>
        <v>7.1929999999999996</v>
      </c>
      <c r="EE19" s="43">
        <f>IF($CU19&gt;=RAF,"",IF($CU19-EE$103&lt;BeginnAlter,"",ROUND((SUM(CZ19:CZ$56)+SUM(FR$9:FR$56))/VLOOKUP($CU19,$AH$9:$AI$102,2)/VLOOKUP($CU19-EE$103,Männer!$G$9:$J$102,4),Rundäx)))</f>
        <v>7.4020000000000001</v>
      </c>
      <c r="EF19" s="43">
        <f>IF($CU19&gt;=RAF,"",IF($CU19-EF$103&lt;BeginnAlter,"",ROUND((SUM(DA19:DA$56)+SUM(FS$9:FS$56))/VLOOKUP($CU19,$AH$9:$AI$102,2)/VLOOKUP($CU19-EF$103,Männer!$G$9:$J$102,4),Rundäx)))</f>
        <v>7.6120000000000001</v>
      </c>
      <c r="EG19" s="43">
        <f>IF($CU19&gt;=RAF,"",IF($CU19-EG$103&lt;BeginnAlter,"",ROUND((SUM(DB19:DB$56)+SUM(FT$9:FT$56))/VLOOKUP($CU19,$AH$9:$AI$102,2)/VLOOKUP($CU19-EG$103,Männer!$G$9:$J$102,4),Rundäx)))</f>
        <v>7.8209999999999997</v>
      </c>
      <c r="EH19" s="43">
        <f>IF($CU19&gt;=RAF,"",IF($CU19-EH$103&lt;BeginnAlter,"",ROUND((SUM(DC19:DC$56)+SUM(FU$9:FU$56))/VLOOKUP($CU19,$AH$9:$AI$102,2)/VLOOKUP($CU19-EH$103,Männer!$G$9:$J$102,4),Rundäx)))</f>
        <v>8.0299999999999994</v>
      </c>
      <c r="EI19" s="89"/>
      <c r="EJ19" s="35">
        <f t="shared" si="61"/>
        <v>27</v>
      </c>
      <c r="EK19" s="43">
        <f>IF($CU19&gt;=RAF,"",IF($CU19-EK$103&lt;BeginnAlter,"",ROUND((SUM(DD19:DD$56)+SUM(FV$9:FV$56))/VLOOKUP($CU19,$AH$9:$AI$102,2)/VLOOKUP($CU19-EK$103,Männer!$G$9:$J$102,4),Rundäx)))</f>
        <v>8.24</v>
      </c>
      <c r="EL19" s="43">
        <f>IF($CU19&gt;=RAF,"",IF($CU19-EL$103&lt;BeginnAlter,"",ROUND((SUM(DE19:DE$56)+SUM(FW$9:FW$56))/VLOOKUP($CU19,$AH$9:$AI$102,2)/VLOOKUP($CU19-EL$103,Männer!$G$9:$J$102,4),Rundäx)))</f>
        <v>8.4499999999999993</v>
      </c>
      <c r="EM19" s="43">
        <f>IF($CU19&gt;=RAF,"",IF($CU19-EM$103&lt;BeginnAlter,"",ROUND((SUM(DF19:DF$56)+SUM(FX$9:FX$56))/VLOOKUP($CU19,$AH$9:$AI$102,2)/VLOOKUP($CU19-EM$103,Männer!$G$9:$J$102,4),Rundäx)))</f>
        <v>8.6590000000000007</v>
      </c>
      <c r="EN19" s="43">
        <f>IF($CU19&gt;=RAF,"",IF($CU19-EN$103&lt;BeginnAlter,"",ROUND((SUM(DG19:DG$56)+SUM(FY$9:FY$56))/VLOOKUP($CU19,$AH$9:$AI$102,2)/VLOOKUP($CU19-EN$103,Männer!$G$9:$J$102,4),Rundäx)))</f>
        <v>8.8689999999999998</v>
      </c>
      <c r="EO19" s="43">
        <f>IF($CU19&gt;=RAF,"",IF($CU19-EO$103&lt;BeginnAlter,"",ROUND((SUM(DH19:DH$56)+SUM(FZ$9:FZ$56))/VLOOKUP($CU19,$AH$9:$AI$102,2)/VLOOKUP($CU19-EO$103,Männer!$G$9:$J$102,4),Rundäx)))</f>
        <v>9.0790000000000006</v>
      </c>
      <c r="EP19" s="43">
        <f>IF($CU19&gt;=RAF,"",IF($CU19-EP$103&lt;BeginnAlter,"",ROUND((SUM(DI19:DI$56)+SUM(GA$9:GA$56))/VLOOKUP($CU19,$AH$9:$AI$102,2)/VLOOKUP($CU19-EP$103,Männer!$G$9:$J$102,4),Rundäx)))</f>
        <v>9.2880000000000003</v>
      </c>
      <c r="EQ19" s="43">
        <f>IF($CU19&gt;=RAF,"",IF($CU19-EQ$103&lt;BeginnAlter,"",ROUND((SUM(DJ19:DJ$56)+SUM(GB$9:GB$56))/VLOOKUP($CU19,$AH$9:$AI$102,2)/VLOOKUP($CU19-EQ$103,Männer!$G$9:$J$102,4),Rundäx)))</f>
        <v>9.4969999999999999</v>
      </c>
      <c r="ER19" s="43">
        <f>IF($CU19&gt;=RAF,"",IF($CU19-ER$103&lt;BeginnAlter,"",ROUND((SUM(DK19:DK$56)+SUM(GC$9:GC$56))/VLOOKUP($CU19,$AH$9:$AI$102,2)/VLOOKUP($CU19-ER$103,Männer!$G$9:$J$102,4),Rundäx)))</f>
        <v>9.7059999999999995</v>
      </c>
      <c r="ES19" s="89"/>
      <c r="ET19" s="35">
        <f t="shared" si="62"/>
        <v>27</v>
      </c>
      <c r="EU19" s="43">
        <f>IF($CU19&gt;=RAF,"",IF($CU19-EU$103&lt;BeginnAlter,"",ROUND((SUM(DL19:DL$56)+SUM(GD$9:GD$56))/VLOOKUP($CU19,$AH$9:$AI$102,2)/VLOOKUP($CU19-EU$103,Männer!$G$9:$J$102,4),Rundäx)))</f>
        <v>9.9139999999999997</v>
      </c>
      <c r="EV19" s="43">
        <f>IF($CU19&gt;=RAF,"",IF($CU19-EV$103&lt;BeginnAlter,"",ROUND((SUM(DM19:DM$56)+SUM(GE$9:GE$56))/VLOOKUP($CU19,$AH$9:$AI$102,2)/VLOOKUP($CU19-EV$103,Männer!$G$9:$J$102,4),Rundäx)))</f>
        <v>10.121</v>
      </c>
      <c r="EW19" s="43">
        <f>IF($CU19&gt;=RAF,"",IF($CU19-EW$103&lt;BeginnAlter,"",ROUND((SUM(DN19:DN$56)+SUM(GF$9:GF$56))/VLOOKUP($CU19,$AH$9:$AI$102,2)/VLOOKUP($CU19-EW$103,Männer!$G$9:$J$102,4),Rundäx)))</f>
        <v>10.327999999999999</v>
      </c>
      <c r="EX19" s="43">
        <f>IF($CU19&gt;=RAF,"",IF($CU19-EX$103&lt;BeginnAlter,"",ROUND((SUM(DO19:DO$56)+SUM(GG$9:GG$56))/VLOOKUP($CU19,$AH$9:$AI$102,2)/VLOOKUP($CU19-EX$103,Männer!$G$9:$J$102,4),Rundäx)))</f>
        <v>10.534000000000001</v>
      </c>
      <c r="EY19" s="43">
        <f>IF($CU19&gt;=RAF,"",IF($CU19-EY$103&lt;BeginnAlter,"",ROUND((SUM(DP19:DP$56)+SUM(GH$9:GH$56))/VLOOKUP($CU19,$AH$9:$AI$102,2)/VLOOKUP($CU19-EY$103,Männer!$G$9:$J$102,4),Rundäx)))</f>
        <v>10.739000000000001</v>
      </c>
      <c r="EZ19" s="43">
        <f>IF($CU19&gt;=RAF,"",IF($CU19-EZ$103&lt;BeginnAlter,"",ROUND((SUM(DQ19:DQ$56)+SUM(GI$9:GI$56))/VLOOKUP($CU19,$AH$9:$AI$102,2)/VLOOKUP($CU19-EZ$103,Männer!$G$9:$J$102,4),Rundäx)))</f>
        <v>10.943</v>
      </c>
      <c r="FA19" s="43">
        <f>IF($CU19&gt;=RAF,"",IF($CU19-FA$103&lt;BeginnAlter,"",ROUND((SUM(DR19:DR$56)+SUM(GJ$9:GJ$56))/VLOOKUP($CU19,$AH$9:$AI$102,2)/VLOOKUP($CU19-FA$103,Männer!$G$9:$J$102,4),Rundäx)))</f>
        <v>11.147</v>
      </c>
      <c r="FB19" s="43">
        <f>IF($CU19&gt;=RAF,"",IF($CU19-FB$103&lt;BeginnAlter,"",ROUND((SUM(DS19:DS$56)+SUM(GK$9:GK$56))/VLOOKUP($CU19,$AH$9:$AI$102,2)/VLOOKUP($CU19-FB$103,Männer!$G$9:$J$102,4),Rundäx)))</f>
        <v>11.351000000000001</v>
      </c>
      <c r="FC19" s="89"/>
      <c r="FD19" s="35">
        <f t="shared" si="63"/>
        <v>27</v>
      </c>
      <c r="FE19" s="43">
        <f>IF($CU19&gt;=RAF,"",IF($CU19-FE$103&lt;BeginnAlter,"",ROUND((SUM(DT19:DT$56)+SUM(GL$9:GL$56))/VLOOKUP($CU19,$AH$9:$AI$102,2)/VLOOKUP($CU19-FE$103,Männer!$G$9:$J$102,4),Rundäx)))</f>
        <v>11.555</v>
      </c>
      <c r="FF19" s="43">
        <f>IF($CU19&gt;=RAF,"",IF($CU19-FF$103&lt;BeginnAlter,"",ROUND((SUM(DU19:DU$56)+SUM(GM$9:GM$56))/VLOOKUP($CU19,$AH$9:$AI$102,2)/VLOOKUP($CU19-FF$103,Männer!$G$9:$J$102,4),Rundäx)))</f>
        <v>11.757999999999999</v>
      </c>
      <c r="FG19" s="43" t="str">
        <f>IF($CU19&gt;=RAF,"",IF($CU19-FG$103&lt;BeginnAlter,"",ROUND((SUM(DV19:DV$56)+SUM(GN$9:GN$56))/VLOOKUP($CU19,$AH$9:$AI$102,2)/VLOOKUP($CU19-FG$103,Männer!$G$9:$J$102,4),Rundäx)))</f>
        <v/>
      </c>
      <c r="FH19" s="43" t="str">
        <f>IF($CU19&gt;=RAF,"",IF($CU19-FH$103&lt;BeginnAlter,"",ROUND((SUM(DW19:DW$56)+SUM(GO$9:GO$56))/VLOOKUP($CU19,$AH$9:$AI$102,2)/VLOOKUP($CU19-FH$103,Männer!$G$9:$J$102,4),Rundäx)))</f>
        <v/>
      </c>
      <c r="FI19" s="43" t="str">
        <f>IF($CU19&gt;=RAF,"",IF($CU19-FI$103&lt;BeginnAlter,"",ROUND((SUM(DX19:DX$56)+SUM(GP$9:GP$56))/VLOOKUP($CU19,$AH$9:$AI$102,2)/VLOOKUP($CU19-FI$103,Männer!$G$9:$J$102,4),Rundäx)))</f>
        <v/>
      </c>
      <c r="FJ19" s="43" t="str">
        <f>IF($CU19&gt;=RAF,"",IF($CU19-FJ$103&lt;BeginnAlter,"",ROUND((SUM(DY19:DY$56)+SUM(GQ$9:GQ$56))/VLOOKUP($CU19,$AH$9:$AI$102,2)/VLOOKUP($CU19-FJ$103,Männer!$G$9:$J$102,4),Rundäx)))</f>
        <v/>
      </c>
      <c r="FK19" s="43" t="str">
        <f>IF($CU19&gt;=RAF,"",IF($CU19-FK$103&lt;BeginnAlter,"",ROUND((SUM(DZ19:DZ$56)+SUM(GR$9:GR$56))/VLOOKUP($CU19,$AH$9:$AI$102,2)/VLOOKUP($CU19-FK$103,Männer!$G$9:$J$102,4),Rundäx)))</f>
        <v/>
      </c>
      <c r="FL19" s="89"/>
      <c r="FM19" s="35">
        <f t="shared" si="64"/>
        <v>74</v>
      </c>
      <c r="FN19" s="25">
        <f>ROUND(v^($FM19+FaktorAlter)*VLOOKUP($FM19,$G$9:$J$102,4)*VLOOKUP($FM19,$A$9:$E$102,5)*0.5*(VLOOKUP($FM19-FN$103,Männer!$G$9:$J$102,4)+VLOOKUP($FM19-FN$103+1,Männer!$G$9:$J$102,4))*0.5*(VLOOKUP($FM19-FN$103,Männer!$AZ$9:$BD$102,5)+VLOOKUP($FM19-FN$103+1,Männer!$AZ$9:$BD$102,5)),RundDx)</f>
        <v>19547325</v>
      </c>
      <c r="FO19" s="25">
        <f>ROUND(v^($FM19+FaktorAlter)*VLOOKUP($FM19,$G$9:$J$102,4)*VLOOKUP($FM19,$A$9:$E$102,5)*0.5*(VLOOKUP($FM19-FO$103,Männer!$G$9:$J$102,4)+VLOOKUP($FM19-FO$103+1,Männer!$G$9:$J$102,4))*0.5*(VLOOKUP($FM19-FO$103,Männer!$AZ$9:$BD$102,5)+VLOOKUP($FM19-FO$103+1,Männer!$AZ$9:$BD$102,5)),RundDx)</f>
        <v>25209358</v>
      </c>
      <c r="FP19" s="25">
        <f>ROUND(v^($FM19+FaktorAlter)*VLOOKUP($FM19,$G$9:$J$102,4)*VLOOKUP($FM19,$A$9:$E$102,5)*0.5*(VLOOKUP($FM19-FP$103,Männer!$G$9:$J$102,4)+VLOOKUP($FM19-FP$103+1,Männer!$G$9:$J$102,4))*0.5*(VLOOKUP($FM19-FP$103,Männer!$AZ$9:$BD$102,5)+VLOOKUP($FM19-FP$103+1,Männer!$AZ$9:$BD$102,5)),RundDx)</f>
        <v>31719924</v>
      </c>
      <c r="FQ19" s="25">
        <f>ROUND(v^($FM19+FaktorAlter)*VLOOKUP($FM19,$G$9:$J$102,4)*VLOOKUP($FM19,$A$9:$E$102,5)*0.5*(VLOOKUP($FM19-FQ$103,Männer!$G$9:$J$102,4)+VLOOKUP($FM19-FQ$103+1,Männer!$G$9:$J$102,4))*0.5*(VLOOKUP($FM19-FQ$103,Männer!$AZ$9:$BD$102,5)+VLOOKUP($FM19-FQ$103+1,Männer!$AZ$9:$BD$102,5)),RundDx)</f>
        <v>39037869</v>
      </c>
      <c r="FR19" s="25">
        <f>ROUND(v^($FM19+FaktorAlter)*VLOOKUP($FM19,$G$9:$J$102,4)*VLOOKUP($FM19,$A$9:$E$102,5)*0.5*(VLOOKUP($FM19-FR$103,Männer!$G$9:$J$102,4)+VLOOKUP($FM19-FR$103+1,Männer!$G$9:$J$102,4))*0.5*(VLOOKUP($FM19-FR$103,Männer!$AZ$9:$BD$102,5)+VLOOKUP($FM19-FR$103+1,Männer!$AZ$9:$BD$102,5)),RundDx)</f>
        <v>47142335</v>
      </c>
      <c r="FS19" s="25">
        <f>ROUND(v^($FM19+FaktorAlter)*VLOOKUP($FM19,$G$9:$J$102,4)*VLOOKUP($FM19,$A$9:$E$102,5)*0.5*(VLOOKUP($FM19-FS$103,Männer!$G$9:$J$102,4)+VLOOKUP($FM19-FS$103+1,Männer!$G$9:$J$102,4))*0.5*(VLOOKUP($FM19-FS$103,Männer!$AZ$9:$BD$102,5)+VLOOKUP($FM19-FS$103+1,Männer!$AZ$9:$BD$102,5)),RundDx)</f>
        <v>56005926</v>
      </c>
      <c r="FT19" s="25">
        <f>ROUND(v^($FM19+FaktorAlter)*VLOOKUP($FM19,$G$9:$J$102,4)*VLOOKUP($FM19,$A$9:$E$102,5)*0.5*(VLOOKUP($FM19-FT$103,Männer!$G$9:$J$102,4)+VLOOKUP($FM19-FT$103+1,Männer!$G$9:$J$102,4))*0.5*(VLOOKUP($FM19-FT$103,Männer!$AZ$9:$BD$102,5)+VLOOKUP($FM19-FT$103+1,Männer!$AZ$9:$BD$102,5)),RundDx)</f>
        <v>65582914</v>
      </c>
      <c r="FU19" s="25">
        <f>ROUND(v^($FM19+FaktorAlter)*VLOOKUP($FM19,$G$9:$J$102,4)*VLOOKUP($FM19,$A$9:$E$102,5)*0.5*(VLOOKUP($FM19-FU$103,Männer!$G$9:$J$102,4)+VLOOKUP($FM19-FU$103+1,Männer!$G$9:$J$102,4))*0.5*(VLOOKUP($FM19-FU$103,Männer!$AZ$9:$BD$102,5)+VLOOKUP($FM19-FU$103+1,Männer!$AZ$9:$BD$102,5)),RundDx)</f>
        <v>75837348</v>
      </c>
      <c r="FV19" s="25">
        <f>ROUND(v^($FM19+FaktorAlter)*VLOOKUP($FM19,$G$9:$J$102,4)*VLOOKUP($FM19,$A$9:$E$102,5)*0.5*(VLOOKUP($FM19-FV$103,Männer!$G$9:$J$102,4)+VLOOKUP($FM19-FV$103+1,Männer!$G$9:$J$102,4))*0.5*(VLOOKUP($FM19-FV$103,Männer!$AZ$9:$BD$102,5)+VLOOKUP($FM19-FV$103+1,Männer!$AZ$9:$BD$102,5)),RundDx)</f>
        <v>86727724</v>
      </c>
      <c r="FW19" s="25">
        <f>ROUND(v^($FM19+FaktorAlter)*VLOOKUP($FM19,$G$9:$J$102,4)*VLOOKUP($FM19,$A$9:$E$102,5)*0.5*(VLOOKUP($FM19-FW$103,Männer!$G$9:$J$102,4)+VLOOKUP($FM19-FW$103+1,Männer!$G$9:$J$102,4))*0.5*(VLOOKUP($FM19-FW$103,Männer!$AZ$9:$BD$102,5)+VLOOKUP($FM19-FW$103+1,Männer!$AZ$9:$BD$102,5)),RundDx)</f>
        <v>98196558</v>
      </c>
      <c r="FX19" s="25">
        <f>ROUND(v^($FM19+FaktorAlter)*VLOOKUP($FM19,$G$9:$J$102,4)*VLOOKUP($FM19,$A$9:$E$102,5)*0.5*(VLOOKUP($FM19-FX$103,Männer!$G$9:$J$102,4)+VLOOKUP($FM19-FX$103+1,Männer!$G$9:$J$102,4))*0.5*(VLOOKUP($FM19-FX$103,Männer!$AZ$9:$BD$102,5)+VLOOKUP($FM19-FX$103+1,Männer!$AZ$9:$BD$102,5)),RundDx)</f>
        <v>110188765</v>
      </c>
      <c r="FY19" s="25">
        <f>ROUND(v^($FM19+FaktorAlter)*VLOOKUP($FM19,$G$9:$J$102,4)*VLOOKUP($FM19,$A$9:$E$102,5)*0.5*(VLOOKUP($FM19-FY$103,Männer!$G$9:$J$102,4)+VLOOKUP($FM19-FY$103+1,Männer!$G$9:$J$102,4))*0.5*(VLOOKUP($FM19-FY$103,Männer!$AZ$9:$BD$102,5)+VLOOKUP($FM19-FY$103+1,Männer!$AZ$9:$BD$102,5)),RundDx)</f>
        <v>122646514</v>
      </c>
      <c r="FZ19" s="25">
        <f>ROUND(v^($FM19+FaktorAlter)*VLOOKUP($FM19,$G$9:$J$102,4)*VLOOKUP($FM19,$A$9:$E$102,5)*0.5*(VLOOKUP($FM19-FZ$103,Männer!$G$9:$J$102,4)+VLOOKUP($FM19-FZ$103+1,Männer!$G$9:$J$102,4))*0.5*(VLOOKUP($FM19-FZ$103,Männer!$AZ$9:$BD$102,5)+VLOOKUP($FM19-FZ$103+1,Männer!$AZ$9:$BD$102,5)),RundDx)</f>
        <v>135507588</v>
      </c>
      <c r="GA19" s="25">
        <f>ROUND(v^($FM19+FaktorAlter)*VLOOKUP($FM19,$G$9:$J$102,4)*VLOOKUP($FM19,$A$9:$E$102,5)*0.5*(VLOOKUP($FM19-GA$103,Männer!$G$9:$J$102,4)+VLOOKUP($FM19-GA$103+1,Männer!$G$9:$J$102,4))*0.5*(VLOOKUP($FM19-GA$103,Männer!$AZ$9:$BD$102,5)+VLOOKUP($FM19-GA$103+1,Männer!$AZ$9:$BD$102,5)),RundDx)</f>
        <v>148702829</v>
      </c>
      <c r="GB19" s="25">
        <f>ROUND(v^($FM19+FaktorAlter)*VLOOKUP($FM19,$G$9:$J$102,4)*VLOOKUP($FM19,$A$9:$E$102,5)*0.5*(VLOOKUP($FM19-GB$103,Männer!$G$9:$J$102,4)+VLOOKUP($FM19-GB$103+1,Männer!$G$9:$J$102,4))*0.5*(VLOOKUP($FM19-GB$103,Männer!$AZ$9:$BD$102,5)+VLOOKUP($FM19-GB$103+1,Männer!$AZ$9:$BD$102,5)),RundDx)</f>
        <v>162147975</v>
      </c>
      <c r="GC19" s="25">
        <f>ROUND(v^($FM19+FaktorAlter)*VLOOKUP($FM19,$G$9:$J$102,4)*VLOOKUP($FM19,$A$9:$E$102,5)*0.5*(VLOOKUP($FM19-GC$103,Männer!$G$9:$J$102,4)+VLOOKUP($FM19-GC$103+1,Männer!$G$9:$J$102,4))*0.5*(VLOOKUP($FM19-GC$103,Männer!$AZ$9:$BD$102,5)+VLOOKUP($FM19-GC$103+1,Männer!$AZ$9:$BD$102,5)),RundDx)</f>
        <v>175780292</v>
      </c>
      <c r="GD19" s="25">
        <f>ROUND(v^($FM19+FaktorAlter)*VLOOKUP($FM19,$G$9:$J$102,4)*VLOOKUP($FM19,$A$9:$E$102,5)*0.5*(VLOOKUP($FM19-GD$103,Männer!$G$9:$J$102,4)+VLOOKUP($FM19-GD$103+1,Männer!$G$9:$J$102,4))*0.5*(VLOOKUP($FM19-GD$103,Männer!$AZ$9:$BD$102,5)+VLOOKUP($FM19-GD$103+1,Männer!$AZ$9:$BD$102,5)),RundDx)</f>
        <v>189522017</v>
      </c>
      <c r="GE19" s="25">
        <f>ROUND(v^($FM19+FaktorAlter)*VLOOKUP($FM19,$G$9:$J$102,4)*VLOOKUP($FM19,$A$9:$E$102,5)*0.5*(VLOOKUP($FM19-GE$103,Männer!$G$9:$J$102,4)+VLOOKUP($FM19-GE$103+1,Männer!$G$9:$J$102,4))*0.5*(VLOOKUP($FM19-GE$103,Männer!$AZ$9:$BD$102,5)+VLOOKUP($FM19-GE$103+1,Männer!$AZ$9:$BD$102,5)),RundDx)</f>
        <v>203366071</v>
      </c>
      <c r="GF19" s="25">
        <f>ROUND(v^($FM19+FaktorAlter)*VLOOKUP($FM19,$G$9:$J$102,4)*VLOOKUP($FM19,$A$9:$E$102,5)*0.5*(VLOOKUP($FM19-GF$103,Männer!$G$9:$J$102,4)+VLOOKUP($FM19-GF$103+1,Männer!$G$9:$J$102,4))*0.5*(VLOOKUP($FM19-GF$103,Männer!$AZ$9:$BD$102,5)+VLOOKUP($FM19-GF$103+1,Männer!$AZ$9:$BD$102,5)),RundDx)</f>
        <v>217295338</v>
      </c>
      <c r="GG19" s="25">
        <f>ROUND(v^($FM19+FaktorAlter)*VLOOKUP($FM19,$G$9:$J$102,4)*VLOOKUP($FM19,$A$9:$E$102,5)*0.5*(VLOOKUP($FM19-GG$103,Männer!$G$9:$J$102,4)+VLOOKUP($FM19-GG$103+1,Männer!$G$9:$J$102,4))*0.5*(VLOOKUP($FM19-GG$103,Männer!$AZ$9:$BD$102,5)+VLOOKUP($FM19-GG$103+1,Männer!$AZ$9:$BD$102,5)),RundDx)</f>
        <v>231244024</v>
      </c>
      <c r="GH19" s="25">
        <f>ROUND(v^($FM19+FaktorAlter)*VLOOKUP($FM19,$G$9:$J$102,4)*VLOOKUP($FM19,$A$9:$E$102,5)*0.5*(VLOOKUP($FM19-GH$103,Männer!$G$9:$J$102,4)+VLOOKUP($FM19-GH$103+1,Männer!$G$9:$J$102,4))*0.5*(VLOOKUP($FM19-GH$103,Männer!$AZ$9:$BD$102,5)+VLOOKUP($FM19-GH$103+1,Männer!$AZ$9:$BD$102,5)),RundDx)</f>
        <v>245203780</v>
      </c>
      <c r="GI19" s="25">
        <f>ROUND(v^($FM19+FaktorAlter)*VLOOKUP($FM19,$G$9:$J$102,4)*VLOOKUP($FM19,$A$9:$E$102,5)*0.5*(VLOOKUP($FM19-GI$103,Männer!$G$9:$J$102,4)+VLOOKUP($FM19-GI$103+1,Männer!$G$9:$J$102,4))*0.5*(VLOOKUP($FM19-GI$103,Männer!$AZ$9:$BD$102,5)+VLOOKUP($FM19-GI$103+1,Männer!$AZ$9:$BD$102,5)),RundDx)</f>
        <v>259224117</v>
      </c>
      <c r="GJ19" s="25">
        <f>ROUND(v^($FM19+FaktorAlter)*VLOOKUP($FM19,$G$9:$J$102,4)*VLOOKUP($FM19,$A$9:$E$102,5)*0.5*(VLOOKUP($FM19-GJ$103,Männer!$G$9:$J$102,4)+VLOOKUP($FM19-GJ$103+1,Männer!$G$9:$J$102,4))*0.5*(VLOOKUP($FM19-GJ$103,Männer!$AZ$9:$BD$102,5)+VLOOKUP($FM19-GJ$103+1,Männer!$AZ$9:$BD$102,5)),RundDx)</f>
        <v>273345473</v>
      </c>
      <c r="GK19" s="25">
        <f>ROUND(v^($FM19+FaktorAlter)*VLOOKUP($FM19,$G$9:$J$102,4)*VLOOKUP($FM19,$A$9:$E$102,5)*0.5*(VLOOKUP($FM19-GK$103,Männer!$G$9:$J$102,4)+VLOOKUP($FM19-GK$103+1,Männer!$G$9:$J$102,4))*0.5*(VLOOKUP($FM19-GK$103,Männer!$AZ$9:$BD$102,5)+VLOOKUP($FM19-GK$103+1,Männer!$AZ$9:$BD$102,5)),RundDx)</f>
        <v>287532985</v>
      </c>
      <c r="GL19" s="25">
        <f>ROUND(v^($FM19+FaktorAlter)*VLOOKUP($FM19,$G$9:$J$102,4)*VLOOKUP($FM19,$A$9:$E$102,5)*0.5*(VLOOKUP($FM19-GL$103,Männer!$G$9:$J$102,4)+VLOOKUP($FM19-GL$103+1,Männer!$G$9:$J$102,4))*0.5*(VLOOKUP($FM19-GL$103,Männer!$AZ$9:$BD$102,5)+VLOOKUP($FM19-GL$103+1,Männer!$AZ$9:$BD$102,5)),RundDx)</f>
        <v>301821208</v>
      </c>
      <c r="GM19" s="25">
        <f>ROUND(v^($FM19+FaktorAlter)*VLOOKUP($FM19,$G$9:$J$102,4)*VLOOKUP($FM19,$A$9:$E$102,5)*0.5*(VLOOKUP($FM19-GM$103,Männer!$G$9:$J$102,4)+VLOOKUP($FM19-GM$103+1,Männer!$G$9:$J$102,4))*0.5*(VLOOKUP($FM19-GM$103,Männer!$AZ$9:$BD$102,5)+VLOOKUP($FM19-GM$103+1,Männer!$AZ$9:$BD$102,5)),RundDx)</f>
        <v>316283068</v>
      </c>
      <c r="GN19" s="25">
        <f>ROUND(v^($FM19+FaktorAlter)*VLOOKUP($FM19,$G$9:$J$102,4)*VLOOKUP($FM19,$A$9:$E$102,5)*0.5*(VLOOKUP($FM19-GN$103,Männer!$G$9:$J$102,4)+VLOOKUP($FM19-GN$103+1,Männer!$G$9:$J$102,4))*0.5*(VLOOKUP($FM19-GN$103,Männer!$AZ$9:$BD$102,5)+VLOOKUP($FM19-GN$103+1,Männer!$AZ$9:$BD$102,5)),RundDx)</f>
        <v>330945980</v>
      </c>
      <c r="GO19" s="25">
        <f>ROUND(v^($FM19+FaktorAlter)*VLOOKUP($FM19,$G$9:$J$102,4)*VLOOKUP($FM19,$A$9:$E$102,5)*0.5*(VLOOKUP($FM19-GO$103,Männer!$G$9:$J$102,4)+VLOOKUP($FM19-GO$103+1,Männer!$G$9:$J$102,4))*0.5*(VLOOKUP($FM19-GO$103,Männer!$AZ$9:$BD$102,5)+VLOOKUP($FM19-GO$103+1,Männer!$AZ$9:$BD$102,5)),RundDx)</f>
        <v>345845299</v>
      </c>
      <c r="GP19" s="25">
        <f>ROUND(v^($FM19+FaktorAlter)*VLOOKUP($FM19,$G$9:$J$102,4)*VLOOKUP($FM19,$A$9:$E$102,5)*0.5*(VLOOKUP($FM19-GP$103,Männer!$G$9:$J$102,4)+VLOOKUP($FM19-GP$103+1,Männer!$G$9:$J$102,4))*0.5*(VLOOKUP($FM19-GP$103,Männer!$AZ$9:$BD$102,5)+VLOOKUP($FM19-GP$103+1,Männer!$AZ$9:$BD$102,5)),RundDx)</f>
        <v>361003235</v>
      </c>
      <c r="GQ19" s="25">
        <f>ROUND(v^($FM19+FaktorAlter)*VLOOKUP($FM19,$G$9:$J$102,4)*VLOOKUP($FM19,$A$9:$E$102,5)*0.5*(VLOOKUP($FM19-GQ$103,Männer!$G$9:$J$102,4)+VLOOKUP($FM19-GQ$103+1,Männer!$G$9:$J$102,4))*0.5*(VLOOKUP($FM19-GQ$103,Männer!$AZ$9:$BD$102,5)+VLOOKUP($FM19-GQ$103+1,Männer!$AZ$9:$BD$102,5)),RundDx)</f>
        <v>376431990</v>
      </c>
      <c r="GR19" s="25">
        <f>ROUND(v^($FM19+FaktorAlter)*VLOOKUP($FM19,$G$9:$J$102,4)*VLOOKUP($FM19,$A$9:$E$102,5)*0.5*(VLOOKUP($FM19-GR$103,Männer!$G$9:$J$102,4)+VLOOKUP($FM19-GR$103+1,Männer!$G$9:$J$102,4))*0.5*(VLOOKUP($FM19-GR$103,Männer!$AZ$9:$BD$102,5)+VLOOKUP($FM19-GR$103+1,Männer!$AZ$9:$BD$102,5)),RundDx)</f>
        <v>392159133</v>
      </c>
      <c r="GS19" s="24">
        <f>ROUND(SUM(FN19:FN$56)/VLOOKUP($FM19,$AQ$9:$AR$102,2)/VLOOKUP($FM19-GS$103,Männer!$G$9:$J$102,4),Rundäx)</f>
        <v>0.221</v>
      </c>
      <c r="GT19" s="24">
        <f>ROUND(SUM(FO19:FO$56)/VLOOKUP($FM19,$AQ$9:$AR$102,2)/VLOOKUP($FM19-GT$103,Männer!$G$9:$J$102,4),Rundäx)</f>
        <v>0.26600000000000001</v>
      </c>
      <c r="GU19" s="24">
        <f>ROUND(SUM(FP19:FP$56)/VLOOKUP($FM19,$AQ$9:$AR$102,2)/VLOOKUP($FM19-GU$103,Männer!$G$9:$J$102,4),Rundäx)</f>
        <v>0.318</v>
      </c>
      <c r="GV19" s="24">
        <f>ROUND(SUM(FQ19:FQ$56)/VLOOKUP($FM19,$AQ$9:$AR$102,2)/VLOOKUP($FM19-GV$103,Männer!$G$9:$J$102,4),Rundäx)</f>
        <v>0.377</v>
      </c>
      <c r="GW19" s="24">
        <f>ROUND(SUM(FR19:FR$56)/VLOOKUP($FM19,$AQ$9:$AR$102,2)/VLOOKUP($FM19-GW$103,Männer!$G$9:$J$102,4),Rundäx)</f>
        <v>0.44600000000000001</v>
      </c>
      <c r="GX19" s="24">
        <f>ROUND(SUM(FS19:FS$56)/VLOOKUP($FM19,$AQ$9:$AR$102,2)/VLOOKUP($FM19-GX$103,Männer!$G$9:$J$102,4),Rundäx)</f>
        <v>0.52300000000000002</v>
      </c>
      <c r="GY19" s="24">
        <f>ROUND(SUM(FT19:FT$56)/VLOOKUP($FM19,$AQ$9:$AR$102,2)/VLOOKUP($FM19-GY$103,Männer!$G$9:$J$102,4),Rundäx)</f>
        <v>0.61099999999999999</v>
      </c>
      <c r="GZ19" s="24">
        <f>ROUND(SUM(FU19:FU$56)/VLOOKUP($FM19,$AQ$9:$AR$102,2)/VLOOKUP($FM19-GZ$103,Männer!$G$9:$J$102,4),Rundäx)</f>
        <v>0.71</v>
      </c>
      <c r="HA19" s="89"/>
      <c r="HB19" s="35">
        <f t="shared" si="65"/>
        <v>74</v>
      </c>
      <c r="HC19" s="24">
        <f>ROUND(SUM(FV19:FV$56)/VLOOKUP($FM19,$AQ$9:$AR$102,2)/VLOOKUP($FM19-HC$103,Männer!$G$9:$J$102,4),Rundäx)</f>
        <v>0.82</v>
      </c>
      <c r="HD19" s="24">
        <f>ROUND(SUM(FW19:FW$56)/VLOOKUP($FM19,$AQ$9:$AR$102,2)/VLOOKUP($FM19-HD$103,Männer!$G$9:$J$102,4),Rundäx)</f>
        <v>0.94199999999999995</v>
      </c>
      <c r="HE19" s="24">
        <f>ROUND(SUM(FX19:FX$56)/VLOOKUP($FM19,$AQ$9:$AR$102,2)/VLOOKUP($FM19-HE$103,Männer!$G$9:$J$102,4),Rundäx)</f>
        <v>1.0760000000000001</v>
      </c>
      <c r="HF19" s="24">
        <f>ROUND(SUM(FY19:FY$56)/VLOOKUP($FM19,$AQ$9:$AR$102,2)/VLOOKUP($FM19-HF$103,Männer!$G$9:$J$102,4),Rundäx)</f>
        <v>1.2230000000000001</v>
      </c>
      <c r="HG19" s="24">
        <f>ROUND(SUM(FZ19:FZ$56)/VLOOKUP($FM19,$AQ$9:$AR$102,2)/VLOOKUP($FM19-HG$103,Männer!$G$9:$J$102,4),Rundäx)</f>
        <v>1.383</v>
      </c>
      <c r="HH19" s="24">
        <f>ROUND(SUM(GA19:GA$56)/VLOOKUP($FM19,$AQ$9:$AR$102,2)/VLOOKUP($FM19-HH$103,Männer!$G$9:$J$102,4),Rundäx)</f>
        <v>1.5569999999999999</v>
      </c>
      <c r="HI19" s="24">
        <f>ROUND(SUM(GB19:GB$56)/VLOOKUP($FM19,$AQ$9:$AR$102,2)/VLOOKUP($FM19-HI$103,Männer!$G$9:$J$102,4),Rundäx)</f>
        <v>1.744</v>
      </c>
      <c r="HJ19" s="24">
        <f>ROUND(SUM(GC19:GC$56)/VLOOKUP($FM19,$AQ$9:$AR$102,2)/VLOOKUP($FM19-HJ$103,Männer!$G$9:$J$102,4),Rundäx)</f>
        <v>1.944</v>
      </c>
      <c r="HK19" s="89"/>
      <c r="HL19" s="35">
        <f t="shared" si="66"/>
        <v>74</v>
      </c>
      <c r="HM19" s="24">
        <f>ROUND(SUM(GD19:GD$56)/VLOOKUP($FM19,$AQ$9:$AR$102,2)/VLOOKUP($FM19-HM$103,Männer!$G$9:$J$102,4),Rundäx)</f>
        <v>2.1579999999999999</v>
      </c>
      <c r="HN19" s="24">
        <f>ROUND(SUM(GE19:GE$56)/VLOOKUP($FM19,$AQ$9:$AR$102,2)/VLOOKUP($FM19-HN$103,Männer!$G$9:$J$102,4),Rundäx)</f>
        <v>2.383</v>
      </c>
      <c r="HO19" s="24">
        <f>ROUND(SUM(GF19:GF$56)/VLOOKUP($FM19,$AQ$9:$AR$102,2)/VLOOKUP($FM19-HO$103,Männer!$G$9:$J$102,4),Rundäx)</f>
        <v>2.6219999999999999</v>
      </c>
      <c r="HP19" s="24">
        <f>ROUND(SUM(GG19:GG$56)/VLOOKUP($FM19,$AQ$9:$AR$102,2)/VLOOKUP($FM19-HP$103,Männer!$G$9:$J$102,4),Rundäx)</f>
        <v>2.8730000000000002</v>
      </c>
      <c r="HQ19" s="24">
        <f>ROUND(SUM(GH19:GH$56)/VLOOKUP($FM19,$AQ$9:$AR$102,2)/VLOOKUP($FM19-HQ$103,Männer!$G$9:$J$102,4),Rundäx)</f>
        <v>3.1339999999999999</v>
      </c>
      <c r="HR19" s="24">
        <f>ROUND(SUM(GI19:GI$56)/VLOOKUP($FM19,$AQ$9:$AR$102,2)/VLOOKUP($FM19-HR$103,Männer!$G$9:$J$102,4),Rundäx)</f>
        <v>3.4060000000000001</v>
      </c>
      <c r="HS19" s="24">
        <f>ROUND(SUM(GJ19:GJ$56)/VLOOKUP($FM19,$AQ$9:$AR$102,2)/VLOOKUP($FM19-HS$103,Männer!$G$9:$J$102,4),Rundäx)</f>
        <v>3.6869999999999998</v>
      </c>
      <c r="HT19" s="24">
        <f>ROUND(SUM(GK19:GK$56)/VLOOKUP($FM19,$AQ$9:$AR$102,2)/VLOOKUP($FM19-HT$103,Männer!$G$9:$J$102,4),Rundäx)</f>
        <v>3.9780000000000002</v>
      </c>
      <c r="HU19" s="89"/>
      <c r="HV19" s="35">
        <f t="shared" si="67"/>
        <v>74</v>
      </c>
      <c r="HW19" s="24">
        <f>ROUND(SUM(GL19:GL$56)/VLOOKUP($FM19,$AQ$9:$AR$102,2)/VLOOKUP($FM19-HW$103,Männer!$G$9:$J$102,4),Rundäx)</f>
        <v>4.2770000000000001</v>
      </c>
      <c r="HX19" s="24">
        <f>ROUND(SUM(GM19:GM$56)/VLOOKUP($FM19,$AQ$9:$AR$102,2)/VLOOKUP($FM19-HX$103,Männer!$G$9:$J$102,4),Rundäx)</f>
        <v>4.5830000000000002</v>
      </c>
      <c r="HY19" s="24">
        <f>ROUND(SUM(GN19:GN$56)/VLOOKUP($FM19,$AQ$9:$AR$102,2)/VLOOKUP($FM19-HY$103,Männer!$G$9:$J$102,4),Rundäx)</f>
        <v>4.8970000000000002</v>
      </c>
      <c r="HZ19" s="24">
        <f>ROUND(SUM(GO19:GO$56)/VLOOKUP($FM19,$AQ$9:$AR$102,2)/VLOOKUP($FM19-HZ$103,Männer!$G$9:$J$102,4),Rundäx)</f>
        <v>5.218</v>
      </c>
      <c r="IA19" s="24">
        <f>ROUND(SUM(GP19:GP$56)/VLOOKUP($FM19,$AQ$9:$AR$102,2)/VLOOKUP($FM19-IA$103,Männer!$G$9:$J$102,4),Rundäx)</f>
        <v>5.5460000000000003</v>
      </c>
      <c r="IB19" s="24">
        <f>ROUND(SUM(GQ19:GQ$56)/VLOOKUP($FM19,$AQ$9:$AR$102,2)/VLOOKUP($FM19-IB$103,Männer!$G$9:$J$102,4),Rundäx)</f>
        <v>5.8810000000000002</v>
      </c>
      <c r="IC19" s="24">
        <f>ROUND(SUM(GR19:GR$56)/VLOOKUP($FM19,$AQ$9:$AR$102,2)/VLOOKUP($FM19-IC$103,Männer!$G$9:$J$102,4),Rundäx)</f>
        <v>6.2220000000000004</v>
      </c>
      <c r="ID19" s="89"/>
      <c r="IE19" s="9">
        <f t="shared" si="68"/>
        <v>27</v>
      </c>
      <c r="IF19" s="11">
        <f t="shared" si="25"/>
        <v>152</v>
      </c>
      <c r="IG19" s="11">
        <f>IF($IE19&lt;RAF,IF(S20&lt;=RAK,ROUND(SUM(IF19:INDEX(Daky,RAF-BeginnAlter))+INDEX(Day,RAF-BeginnAlter+1)*INDEX(äky,1),RundDx),0),"")</f>
        <v>5935</v>
      </c>
      <c r="IH19" s="11">
        <f>IF($IE19&lt;RAF,IF(S20&lt;=RAK,ROUND(SUM(IG19:INDEX(Naky,RAF-BeginnAlter))+INDEX(Day,RAF-BeginnAlter+1)*INDEX(äky,1),RundDx),0),"")</f>
        <v>70571</v>
      </c>
      <c r="II19" s="10">
        <f t="shared" si="26"/>
        <v>0.109</v>
      </c>
      <c r="IJ19" s="11">
        <f t="shared" si="27"/>
        <v>3763</v>
      </c>
      <c r="IK19" s="11">
        <f>IF($IE19&lt;RAF,IF(S20&lt;=RAK,SUM(IJ19:INDEX(Diky,RAF-BeginnAlter))+INDEX(Diy,RAF-BeginnAlter+1)*INDEX(äky,1),0),"")</f>
        <v>220741</v>
      </c>
      <c r="IL19" s="10">
        <f t="shared" si="28"/>
        <v>2.0310000000000001</v>
      </c>
      <c r="IM19" s="89"/>
      <c r="IN19" s="9">
        <f t="shared" si="29"/>
        <v>74</v>
      </c>
      <c r="IO19" s="11"/>
      <c r="IP19" s="11"/>
      <c r="IQ19" s="10"/>
      <c r="IR19" s="86"/>
    </row>
    <row r="20" spans="1:252" ht="15.75" customHeight="1" x14ac:dyDescent="0.25">
      <c r="A20" s="9">
        <f t="shared" si="4"/>
        <v>28</v>
      </c>
      <c r="B20" s="93">
        <v>3.7964096489413474E-4</v>
      </c>
      <c r="C20" s="93">
        <v>1.1999301480059516E-3</v>
      </c>
      <c r="D20" s="93">
        <v>2.1082613650473772E-2</v>
      </c>
      <c r="E20" s="93">
        <v>4.9141527599483315E-4</v>
      </c>
      <c r="F20" s="89"/>
      <c r="G20" s="9">
        <f t="shared" si="5"/>
        <v>28</v>
      </c>
      <c r="H20" s="11">
        <f t="shared" si="30"/>
        <v>99267</v>
      </c>
      <c r="I20" s="25">
        <f t="shared" si="31"/>
        <v>445</v>
      </c>
      <c r="J20" s="25">
        <f t="shared" si="32"/>
        <v>99712</v>
      </c>
      <c r="K20" s="30">
        <f>IF(J20&gt;0,ROUND(SUM(J20:J$102)/J20-0.5,Rundex),"")</f>
        <v>54.25</v>
      </c>
      <c r="L20" s="25">
        <f t="shared" si="6"/>
        <v>194177</v>
      </c>
      <c r="M20" s="30">
        <f>IF(L20&gt;0,ROUND(SUM(L20:L$102)/L20-0.5,Rundex),"")</f>
        <v>34.93</v>
      </c>
      <c r="N20" s="89"/>
      <c r="O20" s="9">
        <f t="shared" si="49"/>
        <v>28</v>
      </c>
      <c r="P20" s="94">
        <v>0.1215</v>
      </c>
      <c r="Q20" s="95">
        <v>31.954467233572739</v>
      </c>
      <c r="R20" s="94">
        <v>0.1</v>
      </c>
      <c r="S20" s="95">
        <v>0.4</v>
      </c>
      <c r="T20" s="28">
        <v>4.9141527599483315E-4</v>
      </c>
      <c r="U20" s="11">
        <f t="shared" si="33"/>
        <v>99712</v>
      </c>
      <c r="V20" s="30">
        <f>IF(U20&gt;0,ROUND(SUM(U20:U$102)/U20-0.5,Rundex),"")</f>
        <v>55.54</v>
      </c>
      <c r="W20" s="89"/>
      <c r="X20" s="9">
        <f t="shared" si="50"/>
        <v>28</v>
      </c>
      <c r="Y20" s="11">
        <f t="shared" si="34"/>
        <v>53239</v>
      </c>
      <c r="Z20" s="11">
        <f>IF($X20&lt;RAF,SUM(Y20:INDEX(Day,RAF-BeginnAlter))," ")</f>
        <v>1245019</v>
      </c>
      <c r="AA20" s="11">
        <f t="shared" si="0"/>
        <v>20</v>
      </c>
      <c r="AB20" s="11">
        <f>IF($X20&lt;RAF,SUM(AA20:INDEX(Cay,RAF-BeginnAlter))," ")</f>
        <v>1332</v>
      </c>
      <c r="AC20" s="11">
        <f t="shared" si="1"/>
        <v>63</v>
      </c>
      <c r="AD20" s="11">
        <f>IF($X20&lt;RAF,SUM(AC20:INDEX(Caiy,RAF-BeginnAlter))," ")</f>
        <v>8245</v>
      </c>
      <c r="AE20" s="10">
        <f t="shared" si="35"/>
        <v>23.385000000000002</v>
      </c>
      <c r="AF20" s="10">
        <f t="shared" si="36"/>
        <v>23.068000000000001</v>
      </c>
      <c r="AG20" s="89"/>
      <c r="AH20" s="9">
        <f t="shared" si="51"/>
        <v>28</v>
      </c>
      <c r="AI20" s="11">
        <f t="shared" si="37"/>
        <v>104142</v>
      </c>
      <c r="AJ20" s="11">
        <f>IF($AH20&gt;RAF," ",IF($AH20&lt;RAF,SUM(AI20:INDEX(Diy,RAF-BeginnAlter))+INDEX(Ny,RAF-BeginnAlter+1),INDEX(Ny,RAF-BeginnAlter+1)))</f>
        <v>2294058</v>
      </c>
      <c r="AK20" s="11">
        <f>IF($AH20&lt;RAF,SUM(AI20:INDEX(Diy,RAF-BeginnAlter))," ")</f>
        <v>1927964</v>
      </c>
      <c r="AL20" s="10">
        <f t="shared" si="38"/>
        <v>22.027999999999999</v>
      </c>
      <c r="AM20" s="10">
        <f t="shared" si="39"/>
        <v>21.57</v>
      </c>
      <c r="AN20" s="10">
        <f t="shared" si="40"/>
        <v>18.513000000000002</v>
      </c>
      <c r="AO20" s="10">
        <f t="shared" si="41"/>
        <v>18.149999999999999</v>
      </c>
      <c r="AP20" s="89"/>
      <c r="AQ20" s="9">
        <f t="shared" si="52"/>
        <v>28</v>
      </c>
      <c r="AR20" s="11">
        <f t="shared" si="42"/>
        <v>53478</v>
      </c>
      <c r="AS20" s="11">
        <f>SUM(AR20:AR$96)</f>
        <v>1679749</v>
      </c>
      <c r="AT20" s="25">
        <f>IF($AQ20&lt;RAF,SUM(AR20:INDEX(Dy,RAF-BeginnAlter))," ")</f>
        <v>1313655</v>
      </c>
      <c r="AU20" s="24">
        <f t="shared" si="43"/>
        <v>31.41</v>
      </c>
      <c r="AV20" s="24">
        <f t="shared" si="44"/>
        <v>30.952000000000002</v>
      </c>
      <c r="AW20" s="24">
        <f t="shared" si="45"/>
        <v>24.564</v>
      </c>
      <c r="AX20" s="24">
        <f t="shared" si="46"/>
        <v>24.292000000000002</v>
      </c>
      <c r="AY20" s="89"/>
      <c r="AZ20" s="9">
        <f t="shared" si="53"/>
        <v>28</v>
      </c>
      <c r="BA20" s="11">
        <f t="shared" si="47"/>
        <v>53478</v>
      </c>
      <c r="BB20" s="11">
        <f>SUM(BA20:BA$96)</f>
        <v>1702538</v>
      </c>
      <c r="BC20" s="10">
        <f t="shared" si="48"/>
        <v>31.835999999999999</v>
      </c>
      <c r="BD20" s="10">
        <f t="shared" si="7"/>
        <v>31.378</v>
      </c>
      <c r="BE20" s="89"/>
      <c r="BF20" s="9">
        <f t="shared" si="54"/>
        <v>11</v>
      </c>
      <c r="BG20" s="10">
        <f t="shared" si="8"/>
        <v>12.164</v>
      </c>
      <c r="BH20" s="10">
        <f t="shared" si="9"/>
        <v>12.041</v>
      </c>
      <c r="BI20" s="89"/>
      <c r="BJ20" s="9">
        <f t="shared" si="55"/>
        <v>28</v>
      </c>
      <c r="BK20" s="11">
        <f t="shared" si="10"/>
        <v>1361</v>
      </c>
      <c r="BL20" s="11">
        <f>IF(BJ20&lt;RAF,SUM(BK20:INDEX(Daiy,RAF-BeginnAlter))," ")</f>
        <v>154190</v>
      </c>
      <c r="BM20" s="11">
        <f>IF(BJ20&lt;RAF,SUM(BL20:INDEX(Naiy,RAF-BeginnAlter))," ")</f>
        <v>3711697</v>
      </c>
      <c r="BN20" s="10">
        <f t="shared" si="11"/>
        <v>5.0369999999999999</v>
      </c>
      <c r="BO20" s="10">
        <f t="shared" si="12"/>
        <v>2.8959999999999999</v>
      </c>
      <c r="BP20" s="89"/>
      <c r="BQ20" s="9">
        <f t="shared" si="56"/>
        <v>28</v>
      </c>
      <c r="BR20" s="11">
        <f t="shared" si="13"/>
        <v>1140</v>
      </c>
      <c r="BS20" s="11">
        <f>IF(BQ20&lt;RAF,SUM(BR20:INDEX(Daiys,RAF-BeginnAlter))," ")</f>
        <v>67060</v>
      </c>
      <c r="BT20" s="11">
        <f>IF(BQ20&lt;RAF,SUM(BS20:INDEX(Naiys,RAF-BeginnAlter))," ")</f>
        <v>1272900</v>
      </c>
      <c r="BU20" s="10">
        <f t="shared" si="14"/>
        <v>6.6740000000000004</v>
      </c>
      <c r="BV20" s="10">
        <f t="shared" si="15"/>
        <v>1.26</v>
      </c>
      <c r="BW20" s="89"/>
      <c r="BX20" s="9">
        <f t="shared" si="57"/>
        <v>28</v>
      </c>
      <c r="BY20" s="10">
        <f t="shared" si="16"/>
        <v>14.997068190404727</v>
      </c>
      <c r="BZ20" s="11">
        <f t="shared" si="17"/>
        <v>111</v>
      </c>
      <c r="CA20" s="11">
        <f>IF(S21&lt;=RAK,IF($BX20&lt;RAF,SUM(BZ20:INDEX(Dazy,RAF-BeginnAlter)),""),"")</f>
        <v>16011</v>
      </c>
      <c r="CB20" s="10">
        <f t="shared" si="18"/>
        <v>0.30099999999999999</v>
      </c>
      <c r="CC20" s="11">
        <f t="shared" si="19"/>
        <v>29966</v>
      </c>
      <c r="CD20" s="10">
        <f t="shared" si="20"/>
        <v>21.713000000000001</v>
      </c>
      <c r="CE20" s="10">
        <f t="shared" si="21"/>
        <v>2E-3</v>
      </c>
      <c r="CF20" s="89"/>
      <c r="CG20" s="9">
        <f t="shared" si="58"/>
        <v>28</v>
      </c>
      <c r="CH20" s="11">
        <f>IF(CG20&lt;RAF,ROUND(v^($CG20+FaktorAlter)*$H20*($B20*0.5*($P20+$P21)*(VLOOKUP(TRUNC(0.5*($Q20+$Q21),0),Männer!$AZ$9:$BD$95,5)+(0.5*($Q20+$Q21)-TRUNC(0.5*($Q20+$Q21),0))*(VLOOKUP(TRUNC(0.5*($Q20+$Q21)+1,0),Männer!$AZ$9:$BD$95,5)-VLOOKUP(TRUNC(0.5*($Q20+$Q21),0),Männer!$AZ$9:$BD$95,5)))+$C20*0.5*($CN20+$CN21)),RundDx),"")</f>
        <v>194</v>
      </c>
      <c r="CI20" s="11">
        <f>IF(CG20&lt;RAF,ROUND(SUM(CH20:INDEX(Dawy,RAF-BeginnAlter))+INDEX(Day,RAF-BeginnAlter+1)*INDEX(äwy,1),RundDx),"")</f>
        <v>13596</v>
      </c>
      <c r="CJ20" s="11">
        <f>IF(CG20&lt;RAF,ROUND(SUM(CI20:INDEX(Nawy,RAF-BeginnAlter))+INDEX(Day,RAF-BeginnAlter+1)*INDEX(äwy,1),RundDx),"")</f>
        <v>297125</v>
      </c>
      <c r="CK20" s="10">
        <f t="shared" si="22"/>
        <v>0.255</v>
      </c>
      <c r="CL20" s="11">
        <f>IF(CG20&lt;RAF,ROUND(v^($CG20+FaktorAlter)*$L20*$D20*0.5*($P20+$P21)*(VLOOKUP(TRUNC(0.5*($Q20+$Q21),0),Männer!$AZ$9:$BD$95,5)+(0.5*($Q20+$Q21)-TRUNC(0.5*($Q20+$Q21),0))*(VLOOKUP(TRUNC(0.5*($Q20+$Q21)+1,0),Männer!$AZ$9:$BD$95,5)-VLOOKUP(TRUNC(0.5*($Q20+$Q21),0),Männer!$AZ$9:$BD$95,5))),RundDx),"")</f>
        <v>7609</v>
      </c>
      <c r="CM20" s="11">
        <f>IF(CG20&lt;RAF,SUM(CL20:INDEX(Diwy,RAF-BeginnAlter))+INDEX(Diy,RAF-BeginnAlter+1)*INDEX(äwy,1),"")</f>
        <v>204204.304</v>
      </c>
      <c r="CN20" s="10">
        <f t="shared" si="23"/>
        <v>1.9610000000000001</v>
      </c>
      <c r="CO20" s="89"/>
      <c r="CP20" s="9">
        <f t="shared" si="59"/>
        <v>75</v>
      </c>
      <c r="CQ20" s="11">
        <f>ROUND(v^($CP20+FaktorAlter)*VLOOKUP(CP20,G$9:J$102,4)*VLOOKUP(CP20,A$9:E$102,5)*0.5*(VLOOKUP(CP20,O$9:P$102,2)+VLOOKUP(CP20+1,O$9:P$102,2))*(VLOOKUP(TRUNC(0.5*(VLOOKUP(CP20,O$9:Q$102,3)+VLOOKUP(CP20+1,O$9:Q$102,3)),0),Männer!$AZ$9:$BD$95,5)+(0.5*(VLOOKUP(CP20,O$9:Q$102,3)+VLOOKUP(CP20+1,O$9:Q$102,3))-TRUNC(0.5*(VLOOKUP(CP20,O$9:Q$102,3)+VLOOKUP(CP20+1,O$9:Q$102,3)),0))*(VLOOKUP(TRUNC(0.5*(VLOOKUP(CP20,O$9:Q$102,3)+VLOOKUP(CP20+1,O$9:Q$102,3))+1,0),Männer!$AZ$9:$BD$95,5)-VLOOKUP(TRUNC(0.5*(VLOOKUP(CP20,O$9:Q$102,3)+VLOOKUP(CP20+1,O$9:Q$102,3)),0),Männer!$AZ$9:$BD$95,5))),RundDx)</f>
        <v>55</v>
      </c>
      <c r="CR20" s="11">
        <f>SUM(CQ20:CQ$56)</f>
        <v>382</v>
      </c>
      <c r="CS20" s="24">
        <f t="shared" si="24"/>
        <v>2.5999999999999999E-2</v>
      </c>
      <c r="CT20" s="89"/>
      <c r="CU20" s="35">
        <f t="shared" si="60"/>
        <v>28</v>
      </c>
      <c r="CV20" s="25">
        <f>IF($CU20&gt;=RAF,"",IF($CU20-CV$103&lt;BeginnAlter,"",ROUND(v^($CU20+FaktorAlter)*$L20*$D20*0.5*(VLOOKUP($CU20-CV$103,Männer!$G$9:$J$102,4)+VLOOKUP($CU20-CV$103+1,Männer!$G$9:$J$102,4))*0.5*(VLOOKUP($CU20-CV$103,Männer!$AZ$9:$BD$102,5)+VLOOKUP($CU20-CV$103+1,Männer!$AZ$9:$BD$102,5)),RundDx)))</f>
        <v>4920069776</v>
      </c>
      <c r="CW20" s="25">
        <f>IF($CU20&gt;=RAF,"",IF($CU20-CW$103&lt;BeginnAlter,"",ROUND(v^($CU20+FaktorAlter)*$L20*$D20*0.5*(VLOOKUP($CU20-CW$103,Männer!$G$9:$J$102,4)+VLOOKUP($CU20-CW$103+1,Männer!$G$9:$J$102,4))*0.5*(VLOOKUP($CU20-CW$103,Männer!$AZ$9:$BD$102,5)+VLOOKUP($CU20-CW$103+1,Männer!$AZ$9:$BD$102,5)),RundDx)))</f>
        <v>5022212231</v>
      </c>
      <c r="CX20" s="25">
        <f>IF($CU20&gt;=RAF,"",IF($CU20-CX$103&lt;BeginnAlter,"",ROUND(v^($CU20+FaktorAlter)*$L20*$D20*0.5*(VLOOKUP($CU20-CX$103,Männer!$G$9:$J$102,4)+VLOOKUP($CU20-CX$103+1,Männer!$G$9:$J$102,4))*0.5*(VLOOKUP($CU20-CX$103,Männer!$AZ$9:$BD$102,5)+VLOOKUP($CU20-CX$103+1,Männer!$AZ$9:$BD$102,5)),RundDx)))</f>
        <v>5122548017</v>
      </c>
      <c r="CY20" s="25">
        <f>IF($CU20&gt;=RAF,"",IF($CU20-CY$103&lt;BeginnAlter,"",ROUND(v^($CU20+FaktorAlter)*$L20*$D20*0.5*(VLOOKUP($CU20-CY$103,Männer!$G$9:$J$102,4)+VLOOKUP($CU20-CY$103+1,Männer!$G$9:$J$102,4))*0.5*(VLOOKUP($CU20-CY$103,Männer!$AZ$9:$BD$102,5)+VLOOKUP($CU20-CY$103+1,Männer!$AZ$9:$BD$102,5)),RundDx)))</f>
        <v>5220908115</v>
      </c>
      <c r="CZ20" s="25">
        <f>IF($CU20&gt;=RAF,"",IF($CU20-CZ$103&lt;BeginnAlter,"",ROUND(v^($CU20+FaktorAlter)*$L20*$D20*0.5*(VLOOKUP($CU20-CZ$103,Männer!$G$9:$J$102,4)+VLOOKUP($CU20-CZ$103+1,Männer!$G$9:$J$102,4))*0.5*(VLOOKUP($CU20-CZ$103,Männer!$AZ$9:$BD$102,5)+VLOOKUP($CU20-CZ$103+1,Männer!$AZ$9:$BD$102,5)),RundDx)))</f>
        <v>5317282955</v>
      </c>
      <c r="DA20" s="25">
        <f>IF($CU20&gt;=RAF,"",IF($CU20-DA$103&lt;BeginnAlter,"",ROUND(v^($CU20+FaktorAlter)*$L20*$D20*0.5*(VLOOKUP($CU20-DA$103,Männer!$G$9:$J$102,4)+VLOOKUP($CU20-DA$103+1,Männer!$G$9:$J$102,4))*0.5*(VLOOKUP($CU20-DA$103,Männer!$AZ$9:$BD$102,5)+VLOOKUP($CU20-DA$103+1,Männer!$AZ$9:$BD$102,5)),RundDx)))</f>
        <v>5411959266</v>
      </c>
      <c r="DB20" s="25">
        <f>IF($CU20&gt;=RAF,"",IF($CU20-DB$103&lt;BeginnAlter,"",ROUND(v^($CU20+FaktorAlter)*$L20*$D20*0.5*(VLOOKUP($CU20-DB$103,Männer!$G$9:$J$102,4)+VLOOKUP($CU20-DB$103+1,Männer!$G$9:$J$102,4))*0.5*(VLOOKUP($CU20-DB$103,Männer!$AZ$9:$BD$102,5)+VLOOKUP($CU20-DB$103+1,Männer!$AZ$9:$BD$102,5)),RundDx)))</f>
        <v>5504825853</v>
      </c>
      <c r="DC20" s="25">
        <f>IF($CU20&gt;=RAF,"",IF($CU20-DC$103&lt;BeginnAlter,"",ROUND(v^($CU20+FaktorAlter)*$L20*$D20*0.5*(VLOOKUP($CU20-DC$103,Männer!$G$9:$J$102,4)+VLOOKUP($CU20-DC$103+1,Männer!$G$9:$J$102,4))*0.5*(VLOOKUP($CU20-DC$103,Männer!$AZ$9:$BD$102,5)+VLOOKUP($CU20-DC$103+1,Männer!$AZ$9:$BD$102,5)),RundDx)))</f>
        <v>5595801983</v>
      </c>
      <c r="DD20" s="25">
        <f>IF($CU20&gt;=RAF,"",IF($CU20-DD$103&lt;BeginnAlter,"",ROUND(v^($CU20+FaktorAlter)*$L20*$D20*0.5*(VLOOKUP($CU20-DD$103,Männer!$G$9:$J$102,4)+VLOOKUP($CU20-DD$103+1,Männer!$G$9:$J$102,4))*0.5*(VLOOKUP($CU20-DD$103,Männer!$AZ$9:$BD$102,5)+VLOOKUP($CU20-DD$103+1,Männer!$AZ$9:$BD$102,5)),RundDx)))</f>
        <v>5685075153</v>
      </c>
      <c r="DE20" s="25">
        <f>IF($CU20&gt;=RAF,"",IF($CU20-DE$103&lt;BeginnAlter,"",ROUND(v^($CU20+FaktorAlter)*$L20*$D20*0.5*(VLOOKUP($CU20-DE$103,Männer!$G$9:$J$102,4)+VLOOKUP($CU20-DE$103+1,Männer!$G$9:$J$102,4))*0.5*(VLOOKUP($CU20-DE$103,Männer!$AZ$9:$BD$102,5)+VLOOKUP($CU20-DE$103+1,Männer!$AZ$9:$BD$102,5)),RundDx)))</f>
        <v>5772512258</v>
      </c>
      <c r="DF20" s="25">
        <f>IF($CU20&gt;=RAF,"",IF($CU20-DF$103&lt;BeginnAlter,"",ROUND(v^($CU20+FaktorAlter)*$L20*$D20*0.5*(VLOOKUP($CU20-DF$103,Männer!$G$9:$J$102,4)+VLOOKUP($CU20-DF$103+1,Männer!$G$9:$J$102,4))*0.5*(VLOOKUP($CU20-DF$103,Männer!$AZ$9:$BD$102,5)+VLOOKUP($CU20-DF$103+1,Männer!$AZ$9:$BD$102,5)),RundDx)))</f>
        <v>5858176803</v>
      </c>
      <c r="DG20" s="25">
        <f>IF($CU20&gt;=RAF,"",IF($CU20-DG$103&lt;BeginnAlter,"",ROUND(v^($CU20+FaktorAlter)*$L20*$D20*0.5*(VLOOKUP($CU20-DG$103,Männer!$G$9:$J$102,4)+VLOOKUP($CU20-DG$103+1,Männer!$G$9:$J$102,4))*0.5*(VLOOKUP($CU20-DG$103,Männer!$AZ$9:$BD$102,5)+VLOOKUP($CU20-DG$103+1,Männer!$AZ$9:$BD$102,5)),RundDx)))</f>
        <v>5942137884</v>
      </c>
      <c r="DH20" s="25">
        <f>IF($CU20&gt;=RAF,"",IF($CU20-DH$103&lt;BeginnAlter,"",ROUND(v^($CU20+FaktorAlter)*$L20*$D20*0.5*(VLOOKUP($CU20-DH$103,Männer!$G$9:$J$102,4)+VLOOKUP($CU20-DH$103+1,Männer!$G$9:$J$102,4))*0.5*(VLOOKUP($CU20-DH$103,Männer!$AZ$9:$BD$102,5)+VLOOKUP($CU20-DH$103+1,Männer!$AZ$9:$BD$102,5)),RundDx)))</f>
        <v>6024439580</v>
      </c>
      <c r="DI20" s="25">
        <f>IF($CU20&gt;=RAF,"",IF($CU20-DI$103&lt;BeginnAlter,"",ROUND(v^($CU20+FaktorAlter)*$L20*$D20*0.5*(VLOOKUP($CU20-DI$103,Männer!$G$9:$J$102,4)+VLOOKUP($CU20-DI$103+1,Männer!$G$9:$J$102,4))*0.5*(VLOOKUP($CU20-DI$103,Männer!$AZ$9:$BD$102,5)+VLOOKUP($CU20-DI$103+1,Männer!$AZ$9:$BD$102,5)),RundDx)))</f>
        <v>6105098792</v>
      </c>
      <c r="DJ20" s="25">
        <f>IF($CU20&gt;=RAF,"",IF($CU20-DJ$103&lt;BeginnAlter,"",ROUND(v^($CU20+FaktorAlter)*$L20*$D20*0.5*(VLOOKUP($CU20-DJ$103,Männer!$G$9:$J$102,4)+VLOOKUP($CU20-DJ$103+1,Männer!$G$9:$J$102,4))*0.5*(VLOOKUP($CU20-DJ$103,Männer!$AZ$9:$BD$102,5)+VLOOKUP($CU20-DJ$103+1,Männer!$AZ$9:$BD$102,5)),RundDx)))</f>
        <v>6184088844</v>
      </c>
      <c r="DK20" s="25">
        <f>IF($CU20&gt;=RAF,"",IF($CU20-DK$103&lt;BeginnAlter,"",ROUND(v^($CU20+FaktorAlter)*$L20*$D20*0.5*(VLOOKUP($CU20-DK$103,Männer!$G$9:$J$102,4)+VLOOKUP($CU20-DK$103+1,Männer!$G$9:$J$102,4))*0.5*(VLOOKUP($CU20-DK$103,Männer!$AZ$9:$BD$102,5)+VLOOKUP($CU20-DK$103+1,Männer!$AZ$9:$BD$102,5)),RundDx)))</f>
        <v>6261495454</v>
      </c>
      <c r="DL20" s="25">
        <f>IF($CU20&gt;=RAF,"",IF($CU20-DL$103&lt;BeginnAlter,"",ROUND(v^($CU20+FaktorAlter)*$L20*$D20*0.5*(VLOOKUP($CU20-DL$103,Männer!$G$9:$J$102,4)+VLOOKUP($CU20-DL$103+1,Männer!$G$9:$J$102,4))*0.5*(VLOOKUP($CU20-DL$103,Männer!$AZ$9:$BD$102,5)+VLOOKUP($CU20-DL$103+1,Männer!$AZ$9:$BD$102,5)),RundDx)))</f>
        <v>6337269122</v>
      </c>
      <c r="DM20" s="25">
        <f>IF($CU20&gt;=RAF,"",IF($CU20-DM$103&lt;BeginnAlter,"",ROUND(v^($CU20+FaktorAlter)*$L20*$D20*0.5*(VLOOKUP($CU20-DM$103,Männer!$G$9:$J$102,4)+VLOOKUP($CU20-DM$103+1,Männer!$G$9:$J$102,4))*0.5*(VLOOKUP($CU20-DM$103,Männer!$AZ$9:$BD$102,5)+VLOOKUP($CU20-DM$103+1,Männer!$AZ$9:$BD$102,5)),RundDx)))</f>
        <v>6411611216</v>
      </c>
      <c r="DN20" s="25">
        <f>IF($CU20&gt;=RAF,"",IF($CU20-DN$103&lt;BeginnAlter,"",ROUND(v^($CU20+FaktorAlter)*$L20*$D20*0.5*(VLOOKUP($CU20-DN$103,Männer!$G$9:$J$102,4)+VLOOKUP($CU20-DN$103+1,Männer!$G$9:$J$102,4))*0.5*(VLOOKUP($CU20-DN$103,Männer!$AZ$9:$BD$102,5)+VLOOKUP($CU20-DN$103+1,Männer!$AZ$9:$BD$102,5)),RundDx)))</f>
        <v>6484489164</v>
      </c>
      <c r="DO20" s="25">
        <f>IF($CU20&gt;=RAF,"",IF($CU20-DO$103&lt;BeginnAlter,"",ROUND(v^($CU20+FaktorAlter)*$L20*$D20*0.5*(VLOOKUP($CU20-DO$103,Männer!$G$9:$J$102,4)+VLOOKUP($CU20-DO$103+1,Männer!$G$9:$J$102,4))*0.5*(VLOOKUP($CU20-DO$103,Männer!$AZ$9:$BD$102,5)+VLOOKUP($CU20-DO$103+1,Männer!$AZ$9:$BD$102,5)),RundDx)))</f>
        <v>6555718432</v>
      </c>
      <c r="DP20" s="25">
        <f>IF($CU20&gt;=RAF,"",IF($CU20-DP$103&lt;BeginnAlter,"",ROUND(v^($CU20+FaktorAlter)*$L20*$D20*0.5*(VLOOKUP($CU20-DP$103,Männer!$G$9:$J$102,4)+VLOOKUP($CU20-DP$103+1,Männer!$G$9:$J$102,4))*0.5*(VLOOKUP($CU20-DP$103,Männer!$AZ$9:$BD$102,5)+VLOOKUP($CU20-DP$103+1,Männer!$AZ$9:$BD$102,5)),RundDx)))</f>
        <v>6625622954</v>
      </c>
      <c r="DQ20" s="25">
        <f>IF($CU20&gt;=RAF,"",IF($CU20-DQ$103&lt;BeginnAlter,"",ROUND(v^($CU20+FaktorAlter)*$L20*$D20*0.5*(VLOOKUP($CU20-DQ$103,Männer!$G$9:$J$102,4)+VLOOKUP($CU20-DQ$103+1,Männer!$G$9:$J$102,4))*0.5*(VLOOKUP($CU20-DQ$103,Männer!$AZ$9:$BD$102,5)+VLOOKUP($CU20-DQ$103+1,Männer!$AZ$9:$BD$102,5)),RundDx)))</f>
        <v>6694176609</v>
      </c>
      <c r="DR20" s="25">
        <f>IF($CU20&gt;=RAF,"",IF($CU20-DR$103&lt;BeginnAlter,"",ROUND(v^($CU20+FaktorAlter)*$L20*$D20*0.5*(VLOOKUP($CU20-DR$103,Männer!$G$9:$J$102,4)+VLOOKUP($CU20-DR$103+1,Männer!$G$9:$J$102,4))*0.5*(VLOOKUP($CU20-DR$103,Männer!$AZ$9:$BD$102,5)+VLOOKUP($CU20-DR$103+1,Männer!$AZ$9:$BD$102,5)),RundDx)))</f>
        <v>6761348422</v>
      </c>
      <c r="DS20" s="25">
        <f>IF($CU20&gt;=RAF,"",IF($CU20-DS$103&lt;BeginnAlter,"",ROUND(v^($CU20+FaktorAlter)*$L20*$D20*0.5*(VLOOKUP($CU20-DS$103,Männer!$G$9:$J$102,4)+VLOOKUP($CU20-DS$103+1,Männer!$G$9:$J$102,4))*0.5*(VLOOKUP($CU20-DS$103,Männer!$AZ$9:$BD$102,5)+VLOOKUP($CU20-DS$103+1,Männer!$AZ$9:$BD$102,5)),RundDx)))</f>
        <v>6827177073</v>
      </c>
      <c r="DT20" s="25">
        <f>IF($CU20&gt;=RAF,"",IF($CU20-DT$103&lt;BeginnAlter,"",ROUND(v^($CU20+FaktorAlter)*$L20*$D20*0.5*(VLOOKUP($CU20-DT$103,Männer!$G$9:$J$102,4)+VLOOKUP($CU20-DT$103+1,Männer!$G$9:$J$102,4))*0.5*(VLOOKUP($CU20-DT$103,Männer!$AZ$9:$BD$102,5)+VLOOKUP($CU20-DT$103+1,Männer!$AZ$9:$BD$102,5)),RundDx)))</f>
        <v>6891631949</v>
      </c>
      <c r="DU20" s="25">
        <f>IF($CU20&gt;=RAF,"",IF($CU20-DU$103&lt;BeginnAlter,"",ROUND(v^($CU20+FaktorAlter)*$L20*$D20*0.5*(VLOOKUP($CU20-DU$103,Männer!$G$9:$J$102,4)+VLOOKUP($CU20-DU$103+1,Männer!$G$9:$J$102,4))*0.5*(VLOOKUP($CU20-DU$103,Männer!$AZ$9:$BD$102,5)+VLOOKUP($CU20-DU$103+1,Männer!$AZ$9:$BD$102,5)),RundDx)))</f>
        <v>6954884194</v>
      </c>
      <c r="DV20" s="25">
        <f>IF($CU20&gt;=RAF,"",IF($CU20-DV$103&lt;BeginnAlter,"",ROUND(v^($CU20+FaktorAlter)*$L20*$D20*0.5*(VLOOKUP($CU20-DV$103,Männer!$G$9:$J$102,4)+VLOOKUP($CU20-DV$103+1,Männer!$G$9:$J$102,4))*0.5*(VLOOKUP($CU20-DV$103,Männer!$AZ$9:$BD$102,5)+VLOOKUP($CU20-DV$103+1,Männer!$AZ$9:$BD$102,5)),RundDx)))</f>
        <v>7016797021</v>
      </c>
      <c r="DW20" s="25" t="str">
        <f>IF($CU20&gt;=RAF,"",IF($CU20-DW$103&lt;BeginnAlter,"",ROUND(v^($CU20+FaktorAlter)*$L20*$D20*0.5*(VLOOKUP($CU20-DW$103,Männer!$G$9:$J$102,4)+VLOOKUP($CU20-DW$103+1,Männer!$G$9:$J$102,4))*0.5*(VLOOKUP($CU20-DW$103,Männer!$AZ$9:$BD$102,5)+VLOOKUP($CU20-DW$103+1,Männer!$AZ$9:$BD$102,5)),RundDx)))</f>
        <v/>
      </c>
      <c r="DX20" s="25" t="str">
        <f>IF($CU20&gt;=RAF,"",IF($CU20-DX$103&lt;BeginnAlter,"",ROUND(v^($CU20+FaktorAlter)*$L20*$D20*0.5*(VLOOKUP($CU20-DX$103,Männer!$G$9:$J$102,4)+VLOOKUP($CU20-DX$103+1,Männer!$G$9:$J$102,4))*0.5*(VLOOKUP($CU20-DX$103,Männer!$AZ$9:$BD$102,5)+VLOOKUP($CU20-DX$103+1,Männer!$AZ$9:$BD$102,5)),RundDx)))</f>
        <v/>
      </c>
      <c r="DY20" s="25" t="str">
        <f>IF($CU20&gt;=RAF,"",IF($CU20-DY$103&lt;BeginnAlter,"",ROUND(v^($CU20+FaktorAlter)*$L20*$D20*0.5*(VLOOKUP($CU20-DY$103,Männer!$G$9:$J$102,4)+VLOOKUP($CU20-DY$103+1,Männer!$G$9:$J$102,4))*0.5*(VLOOKUP($CU20-DY$103,Männer!$AZ$9:$BD$102,5)+VLOOKUP($CU20-DY$103+1,Männer!$AZ$9:$BD$102,5)),RundDx)))</f>
        <v/>
      </c>
      <c r="DZ20" s="25" t="str">
        <f>IF($CU20&gt;=RAF,"",IF($CU20-DZ$103&lt;BeginnAlter,"",ROUND(v^($CU20+FaktorAlter)*$L20*$D20*0.5*(VLOOKUP($CU20-DZ$103,Männer!$G$9:$J$102,4)+VLOOKUP($CU20-DZ$103+1,Männer!$G$9:$J$102,4))*0.5*(VLOOKUP($CU20-DZ$103,Männer!$AZ$9:$BD$102,5)+VLOOKUP($CU20-DZ$103+1,Männer!$AZ$9:$BD$102,5)),RundDx)))</f>
        <v/>
      </c>
      <c r="EA20" s="43">
        <f>IF($CU20&gt;=RAF,"",IF($CU20-EA$103&lt;BeginnAlter,"",ROUND((SUM(CV20:CV$56)+SUM(FN$9:FN$56))/VLOOKUP($CU20,$AH$9:$AI$102,2)/VLOOKUP($CU20-EA$103,Männer!$G$9:$J$102,4),Rundäx)))</f>
        <v>6.367</v>
      </c>
      <c r="EB20" s="43">
        <f>IF($CU20&gt;=RAF,"",IF($CU20-EB$103&lt;BeginnAlter,"",ROUND((SUM(CW20:CW$56)+SUM(FO$9:FO$56))/VLOOKUP($CU20,$AH$9:$AI$102,2)/VLOOKUP($CU20-EB$103,Männer!$G$9:$J$102,4),Rundäx)))</f>
        <v>6.5750000000000002</v>
      </c>
      <c r="EC20" s="43">
        <f>IF($CU20&gt;=RAF,"",IF($CU20-EC$103&lt;BeginnAlter,"",ROUND((SUM(CX20:CX$56)+SUM(FP$9:FP$56))/VLOOKUP($CU20,$AH$9:$AI$102,2)/VLOOKUP($CU20-EC$103,Männer!$G$9:$J$102,4),Rundäx)))</f>
        <v>6.7839999999999998</v>
      </c>
      <c r="ED20" s="43">
        <f>IF($CU20&gt;=RAF,"",IF($CU20-ED$103&lt;BeginnAlter,"",ROUND((SUM(CY20:CY$56)+SUM(FQ$9:FQ$56))/VLOOKUP($CU20,$AH$9:$AI$102,2)/VLOOKUP($CU20-ED$103,Männer!$G$9:$J$102,4),Rundäx)))</f>
        <v>6.9930000000000003</v>
      </c>
      <c r="EE20" s="43">
        <f>IF($CU20&gt;=RAF,"",IF($CU20-EE$103&lt;BeginnAlter,"",ROUND((SUM(CZ20:CZ$56)+SUM(FR$9:FR$56))/VLOOKUP($CU20,$AH$9:$AI$102,2)/VLOOKUP($CU20-EE$103,Männer!$G$9:$J$102,4),Rundäx)))</f>
        <v>7.202</v>
      </c>
      <c r="EF20" s="43">
        <f>IF($CU20&gt;=RAF,"",IF($CU20-EF$103&lt;BeginnAlter,"",ROUND((SUM(DA20:DA$56)+SUM(FS$9:FS$56))/VLOOKUP($CU20,$AH$9:$AI$102,2)/VLOOKUP($CU20-EF$103,Männer!$G$9:$J$102,4),Rundäx)))</f>
        <v>7.4119999999999999</v>
      </c>
      <c r="EG20" s="43">
        <f>IF($CU20&gt;=RAF,"",IF($CU20-EG$103&lt;BeginnAlter,"",ROUND((SUM(DB20:DB$56)+SUM(FT$9:FT$56))/VLOOKUP($CU20,$AH$9:$AI$102,2)/VLOOKUP($CU20-EG$103,Männer!$G$9:$J$102,4),Rundäx)))</f>
        <v>7.6210000000000004</v>
      </c>
      <c r="EH20" s="43">
        <f>IF($CU20&gt;=RAF,"",IF($CU20-EH$103&lt;BeginnAlter,"",ROUND((SUM(DC20:DC$56)+SUM(FU$9:FU$56))/VLOOKUP($CU20,$AH$9:$AI$102,2)/VLOOKUP($CU20-EH$103,Männer!$G$9:$J$102,4),Rundäx)))</f>
        <v>7.8310000000000004</v>
      </c>
      <c r="EI20" s="89"/>
      <c r="EJ20" s="35">
        <f t="shared" si="61"/>
        <v>28</v>
      </c>
      <c r="EK20" s="43">
        <f>IF($CU20&gt;=RAF,"",IF($CU20-EK$103&lt;BeginnAlter,"",ROUND((SUM(DD20:DD$56)+SUM(FV$9:FV$56))/VLOOKUP($CU20,$AH$9:$AI$102,2)/VLOOKUP($CU20-EK$103,Männer!$G$9:$J$102,4),Rundäx)))</f>
        <v>8.0410000000000004</v>
      </c>
      <c r="EL20" s="43">
        <f>IF($CU20&gt;=RAF,"",IF($CU20-EL$103&lt;BeginnAlter,"",ROUND((SUM(DE20:DE$56)+SUM(FW$9:FW$56))/VLOOKUP($CU20,$AH$9:$AI$102,2)/VLOOKUP($CU20-EL$103,Männer!$G$9:$J$102,4),Rundäx)))</f>
        <v>8.2520000000000007</v>
      </c>
      <c r="EM20" s="43">
        <f>IF($CU20&gt;=RAF,"",IF($CU20-EM$103&lt;BeginnAlter,"",ROUND((SUM(DF20:DF$56)+SUM(FX$9:FX$56))/VLOOKUP($CU20,$AH$9:$AI$102,2)/VLOOKUP($CU20-EM$103,Männer!$G$9:$J$102,4),Rundäx)))</f>
        <v>8.4629999999999992</v>
      </c>
      <c r="EN20" s="43">
        <f>IF($CU20&gt;=RAF,"",IF($CU20-EN$103&lt;BeginnAlter,"",ROUND((SUM(DG20:DG$56)+SUM(FY$9:FY$56))/VLOOKUP($CU20,$AH$9:$AI$102,2)/VLOOKUP($CU20-EN$103,Männer!$G$9:$J$102,4),Rundäx)))</f>
        <v>8.6739999999999995</v>
      </c>
      <c r="EO20" s="43">
        <f>IF($CU20&gt;=RAF,"",IF($CU20-EO$103&lt;BeginnAlter,"",ROUND((SUM(DH20:DH$56)+SUM(FZ$9:FZ$56))/VLOOKUP($CU20,$AH$9:$AI$102,2)/VLOOKUP($CU20-EO$103,Männer!$G$9:$J$102,4),Rundäx)))</f>
        <v>8.8849999999999998</v>
      </c>
      <c r="EP20" s="43">
        <f>IF($CU20&gt;=RAF,"",IF($CU20-EP$103&lt;BeginnAlter,"",ROUND((SUM(DI20:DI$56)+SUM(GA$9:GA$56))/VLOOKUP($CU20,$AH$9:$AI$102,2)/VLOOKUP($CU20-EP$103,Männer!$G$9:$J$102,4),Rundäx)))</f>
        <v>9.0960000000000001</v>
      </c>
      <c r="EQ20" s="43">
        <f>IF($CU20&gt;=RAF,"",IF($CU20-EQ$103&lt;BeginnAlter,"",ROUND((SUM(DJ20:DJ$56)+SUM(GB$9:GB$56))/VLOOKUP($CU20,$AH$9:$AI$102,2)/VLOOKUP($CU20-EQ$103,Männer!$G$9:$J$102,4),Rundäx)))</f>
        <v>9.3070000000000004</v>
      </c>
      <c r="ER20" s="43">
        <f>IF($CU20&gt;=RAF,"",IF($CU20-ER$103&lt;BeginnAlter,"",ROUND((SUM(DK20:DK$56)+SUM(GC$9:GC$56))/VLOOKUP($CU20,$AH$9:$AI$102,2)/VLOOKUP($CU20-ER$103,Männer!$G$9:$J$102,4),Rundäx)))</f>
        <v>9.5180000000000007</v>
      </c>
      <c r="ES20" s="89"/>
      <c r="ET20" s="35">
        <f t="shared" si="62"/>
        <v>28</v>
      </c>
      <c r="EU20" s="43">
        <f>IF($CU20&gt;=RAF,"",IF($CU20-EU$103&lt;BeginnAlter,"",ROUND((SUM(DL20:DL$56)+SUM(GD$9:GD$56))/VLOOKUP($CU20,$AH$9:$AI$102,2)/VLOOKUP($CU20-EU$103,Männer!$G$9:$J$102,4),Rundäx)))</f>
        <v>9.7289999999999992</v>
      </c>
      <c r="EV20" s="43">
        <f>IF($CU20&gt;=RAF,"",IF($CU20-EV$103&lt;BeginnAlter,"",ROUND((SUM(DM20:DM$56)+SUM(GE$9:GE$56))/VLOOKUP($CU20,$AH$9:$AI$102,2)/VLOOKUP($CU20-EV$103,Männer!$G$9:$J$102,4),Rundäx)))</f>
        <v>9.9390000000000001</v>
      </c>
      <c r="EW20" s="43">
        <f>IF($CU20&gt;=RAF,"",IF($CU20-EW$103&lt;BeginnAlter,"",ROUND((SUM(DN20:DN$56)+SUM(GF$9:GF$56))/VLOOKUP($CU20,$AH$9:$AI$102,2)/VLOOKUP($CU20-EW$103,Männer!$G$9:$J$102,4),Rundäx)))</f>
        <v>10.148999999999999</v>
      </c>
      <c r="EX20" s="43">
        <f>IF($CU20&gt;=RAF,"",IF($CU20-EX$103&lt;BeginnAlter,"",ROUND((SUM(DO20:DO$56)+SUM(GG$9:GG$56))/VLOOKUP($CU20,$AH$9:$AI$102,2)/VLOOKUP($CU20-EX$103,Männer!$G$9:$J$102,4),Rundäx)))</f>
        <v>10.356999999999999</v>
      </c>
      <c r="EY20" s="43">
        <f>IF($CU20&gt;=RAF,"",IF($CU20-EY$103&lt;BeginnAlter,"",ROUND((SUM(DP20:DP$56)+SUM(GH$9:GH$56))/VLOOKUP($CU20,$AH$9:$AI$102,2)/VLOOKUP($CU20-EY$103,Männer!$G$9:$J$102,4),Rundäx)))</f>
        <v>10.565</v>
      </c>
      <c r="EZ20" s="43">
        <f>IF($CU20&gt;=RAF,"",IF($CU20-EZ$103&lt;BeginnAlter,"",ROUND((SUM(DQ20:DQ$56)+SUM(GI$9:GI$56))/VLOOKUP($CU20,$AH$9:$AI$102,2)/VLOOKUP($CU20-EZ$103,Männer!$G$9:$J$102,4),Rundäx)))</f>
        <v>10.771000000000001</v>
      </c>
      <c r="FA20" s="43">
        <f>IF($CU20&gt;=RAF,"",IF($CU20-FA$103&lt;BeginnAlter,"",ROUND((SUM(DR20:DR$56)+SUM(GJ$9:GJ$56))/VLOOKUP($CU20,$AH$9:$AI$102,2)/VLOOKUP($CU20-FA$103,Männer!$G$9:$J$102,4),Rundäx)))</f>
        <v>10.978</v>
      </c>
      <c r="FB20" s="43">
        <f>IF($CU20&gt;=RAF,"",IF($CU20-FB$103&lt;BeginnAlter,"",ROUND((SUM(DS20:DS$56)+SUM(GK$9:GK$56))/VLOOKUP($CU20,$AH$9:$AI$102,2)/VLOOKUP($CU20-FB$103,Männer!$G$9:$J$102,4),Rundäx)))</f>
        <v>11.183</v>
      </c>
      <c r="FC20" s="89"/>
      <c r="FD20" s="35">
        <f t="shared" si="63"/>
        <v>28</v>
      </c>
      <c r="FE20" s="43">
        <f>IF($CU20&gt;=RAF,"",IF($CU20-FE$103&lt;BeginnAlter,"",ROUND((SUM(DT20:DT$56)+SUM(GL$9:GL$56))/VLOOKUP($CU20,$AH$9:$AI$102,2)/VLOOKUP($CU20-FE$103,Männer!$G$9:$J$102,4),Rundäx)))</f>
        <v>11.388999999999999</v>
      </c>
      <c r="FF20" s="43">
        <f>IF($CU20&gt;=RAF,"",IF($CU20-FF$103&lt;BeginnAlter,"",ROUND((SUM(DU20:DU$56)+SUM(GM$9:GM$56))/VLOOKUP($CU20,$AH$9:$AI$102,2)/VLOOKUP($CU20-FF$103,Männer!$G$9:$J$102,4),Rundäx)))</f>
        <v>11.593999999999999</v>
      </c>
      <c r="FG20" s="43">
        <f>IF($CU20&gt;=RAF,"",IF($CU20-FG$103&lt;BeginnAlter,"",ROUND((SUM(DV20:DV$56)+SUM(GN$9:GN$56))/VLOOKUP($CU20,$AH$9:$AI$102,2)/VLOOKUP($CU20-FG$103,Männer!$G$9:$J$102,4),Rundäx)))</f>
        <v>11.8</v>
      </c>
      <c r="FH20" s="43" t="str">
        <f>IF($CU20&gt;=RAF,"",IF($CU20-FH$103&lt;BeginnAlter,"",ROUND((SUM(DW20:DW$56)+SUM(GO$9:GO$56))/VLOOKUP($CU20,$AH$9:$AI$102,2)/VLOOKUP($CU20-FH$103,Männer!$G$9:$J$102,4),Rundäx)))</f>
        <v/>
      </c>
      <c r="FI20" s="43" t="str">
        <f>IF($CU20&gt;=RAF,"",IF($CU20-FI$103&lt;BeginnAlter,"",ROUND((SUM(DX20:DX$56)+SUM(GP$9:GP$56))/VLOOKUP($CU20,$AH$9:$AI$102,2)/VLOOKUP($CU20-FI$103,Männer!$G$9:$J$102,4),Rundäx)))</f>
        <v/>
      </c>
      <c r="FJ20" s="43" t="str">
        <f>IF($CU20&gt;=RAF,"",IF($CU20-FJ$103&lt;BeginnAlter,"",ROUND((SUM(DY20:DY$56)+SUM(GQ$9:GQ$56))/VLOOKUP($CU20,$AH$9:$AI$102,2)/VLOOKUP($CU20-FJ$103,Männer!$G$9:$J$102,4),Rundäx)))</f>
        <v/>
      </c>
      <c r="FK20" s="43" t="str">
        <f>IF($CU20&gt;=RAF,"",IF($CU20-FK$103&lt;BeginnAlter,"",ROUND((SUM(DZ20:DZ$56)+SUM(GR$9:GR$56))/VLOOKUP($CU20,$AH$9:$AI$102,2)/VLOOKUP($CU20-FK$103,Männer!$G$9:$J$102,4),Rundäx)))</f>
        <v/>
      </c>
      <c r="FL20" s="89"/>
      <c r="FM20" s="35">
        <f t="shared" si="64"/>
        <v>75</v>
      </c>
      <c r="FN20" s="25">
        <f>ROUND(v^($FM20+FaktorAlter)*VLOOKUP($FM20,$G$9:$J$102,4)*VLOOKUP($FM20,$A$9:$E$102,5)*0.5*(VLOOKUP($FM20-FN$103,Männer!$G$9:$J$102,4)+VLOOKUP($FM20-FN$103+1,Männer!$G$9:$J$102,4))*0.5*(VLOOKUP($FM20-FN$103,Männer!$AZ$9:$BD$102,5)+VLOOKUP($FM20-FN$103+1,Männer!$AZ$9:$BD$102,5)),RundDx)</f>
        <v>14955502</v>
      </c>
      <c r="FO20" s="25">
        <f>ROUND(v^($FM20+FaktorAlter)*VLOOKUP($FM20,$G$9:$J$102,4)*VLOOKUP($FM20,$A$9:$E$102,5)*0.5*(VLOOKUP($FM20-FO$103,Männer!$G$9:$J$102,4)+VLOOKUP($FM20-FO$103+1,Männer!$G$9:$J$102,4))*0.5*(VLOOKUP($FM20-FO$103,Männer!$AZ$9:$BD$102,5)+VLOOKUP($FM20-FO$103+1,Männer!$AZ$9:$BD$102,5)),RundDx)</f>
        <v>19813589</v>
      </c>
      <c r="FP20" s="25">
        <f>ROUND(v^($FM20+FaktorAlter)*VLOOKUP($FM20,$G$9:$J$102,4)*VLOOKUP($FM20,$A$9:$E$102,5)*0.5*(VLOOKUP($FM20-FP$103,Männer!$G$9:$J$102,4)+VLOOKUP($FM20-FP$103+1,Männer!$G$9:$J$102,4))*0.5*(VLOOKUP($FM20-FP$103,Männer!$AZ$9:$BD$102,5)+VLOOKUP($FM20-FP$103+1,Männer!$AZ$9:$BD$102,5)),RundDx)</f>
        <v>25552747</v>
      </c>
      <c r="FQ20" s="25">
        <f>ROUND(v^($FM20+FaktorAlter)*VLOOKUP($FM20,$G$9:$J$102,4)*VLOOKUP($FM20,$A$9:$E$102,5)*0.5*(VLOOKUP($FM20-FQ$103,Männer!$G$9:$J$102,4)+VLOOKUP($FM20-FQ$103+1,Männer!$G$9:$J$102,4))*0.5*(VLOOKUP($FM20-FQ$103,Männer!$AZ$9:$BD$102,5)+VLOOKUP($FM20-FQ$103+1,Männer!$AZ$9:$BD$102,5)),RundDx)</f>
        <v>32151997</v>
      </c>
      <c r="FR20" s="25">
        <f>ROUND(v^($FM20+FaktorAlter)*VLOOKUP($FM20,$G$9:$J$102,4)*VLOOKUP($FM20,$A$9:$E$102,5)*0.5*(VLOOKUP($FM20-FR$103,Männer!$G$9:$J$102,4)+VLOOKUP($FM20-FR$103+1,Männer!$G$9:$J$102,4))*0.5*(VLOOKUP($FM20-FR$103,Männer!$AZ$9:$BD$102,5)+VLOOKUP($FM20-FR$103+1,Männer!$AZ$9:$BD$102,5)),RundDx)</f>
        <v>39569623</v>
      </c>
      <c r="FS20" s="25">
        <f>ROUND(v^($FM20+FaktorAlter)*VLOOKUP($FM20,$G$9:$J$102,4)*VLOOKUP($FM20,$A$9:$E$102,5)*0.5*(VLOOKUP($FM20-FS$103,Männer!$G$9:$J$102,4)+VLOOKUP($FM20-FS$103+1,Männer!$G$9:$J$102,4))*0.5*(VLOOKUP($FM20-FS$103,Männer!$AZ$9:$BD$102,5)+VLOOKUP($FM20-FS$103+1,Männer!$AZ$9:$BD$102,5)),RundDx)</f>
        <v>47784484</v>
      </c>
      <c r="FT20" s="25">
        <f>ROUND(v^($FM20+FaktorAlter)*VLOOKUP($FM20,$G$9:$J$102,4)*VLOOKUP($FM20,$A$9:$E$102,5)*0.5*(VLOOKUP($FM20-FT$103,Männer!$G$9:$J$102,4)+VLOOKUP($FM20-FT$103+1,Männer!$G$9:$J$102,4))*0.5*(VLOOKUP($FM20-FT$103,Männer!$AZ$9:$BD$102,5)+VLOOKUP($FM20-FT$103+1,Männer!$AZ$9:$BD$102,5)),RundDx)</f>
        <v>56768811</v>
      </c>
      <c r="FU20" s="25">
        <f>ROUND(v^($FM20+FaktorAlter)*VLOOKUP($FM20,$G$9:$J$102,4)*VLOOKUP($FM20,$A$9:$E$102,5)*0.5*(VLOOKUP($FM20-FU$103,Männer!$G$9:$J$102,4)+VLOOKUP($FM20-FU$103+1,Männer!$G$9:$J$102,4))*0.5*(VLOOKUP($FM20-FU$103,Männer!$AZ$9:$BD$102,5)+VLOOKUP($FM20-FU$103+1,Männer!$AZ$9:$BD$102,5)),RundDx)</f>
        <v>66476252</v>
      </c>
      <c r="FV20" s="25">
        <f>ROUND(v^($FM20+FaktorAlter)*VLOOKUP($FM20,$G$9:$J$102,4)*VLOOKUP($FM20,$A$9:$E$102,5)*0.5*(VLOOKUP($FM20-FV$103,Männer!$G$9:$J$102,4)+VLOOKUP($FM20-FV$103+1,Männer!$G$9:$J$102,4))*0.5*(VLOOKUP($FM20-FV$103,Männer!$AZ$9:$BD$102,5)+VLOOKUP($FM20-FV$103+1,Männer!$AZ$9:$BD$102,5)),RundDx)</f>
        <v>76870366</v>
      </c>
      <c r="FW20" s="25">
        <f>ROUND(v^($FM20+FaktorAlter)*VLOOKUP($FM20,$G$9:$J$102,4)*VLOOKUP($FM20,$A$9:$E$102,5)*0.5*(VLOOKUP($FM20-FW$103,Männer!$G$9:$J$102,4)+VLOOKUP($FM20-FW$103+1,Männer!$G$9:$J$102,4))*0.5*(VLOOKUP($FM20-FW$103,Männer!$AZ$9:$BD$102,5)+VLOOKUP($FM20-FW$103+1,Männer!$AZ$9:$BD$102,5)),RundDx)</f>
        <v>87909085</v>
      </c>
      <c r="FX20" s="25">
        <f>ROUND(v^($FM20+FaktorAlter)*VLOOKUP($FM20,$G$9:$J$102,4)*VLOOKUP($FM20,$A$9:$E$102,5)*0.5*(VLOOKUP($FM20-FX$103,Männer!$G$9:$J$102,4)+VLOOKUP($FM20-FX$103+1,Männer!$G$9:$J$102,4))*0.5*(VLOOKUP($FM20-FX$103,Männer!$AZ$9:$BD$102,5)+VLOOKUP($FM20-FX$103+1,Männer!$AZ$9:$BD$102,5)),RundDx)</f>
        <v>99534142</v>
      </c>
      <c r="FY20" s="25">
        <f>ROUND(v^($FM20+FaktorAlter)*VLOOKUP($FM20,$G$9:$J$102,4)*VLOOKUP($FM20,$A$9:$E$102,5)*0.5*(VLOOKUP($FM20-FY$103,Männer!$G$9:$J$102,4)+VLOOKUP($FM20-FY$103+1,Männer!$G$9:$J$102,4))*0.5*(VLOOKUP($FM20-FY$103,Männer!$AZ$9:$BD$102,5)+VLOOKUP($FM20-FY$103+1,Männer!$AZ$9:$BD$102,5)),RundDx)</f>
        <v>111689701</v>
      </c>
      <c r="FZ20" s="25">
        <f>ROUND(v^($FM20+FaktorAlter)*VLOOKUP($FM20,$G$9:$J$102,4)*VLOOKUP($FM20,$A$9:$E$102,5)*0.5*(VLOOKUP($FM20-FZ$103,Männer!$G$9:$J$102,4)+VLOOKUP($FM20-FZ$103+1,Männer!$G$9:$J$102,4))*0.5*(VLOOKUP($FM20-FZ$103,Männer!$AZ$9:$BD$102,5)+VLOOKUP($FM20-FZ$103+1,Männer!$AZ$9:$BD$102,5)),RundDx)</f>
        <v>124317143</v>
      </c>
      <c r="GA20" s="25">
        <f>ROUND(v^($FM20+FaktorAlter)*VLOOKUP($FM20,$G$9:$J$102,4)*VLOOKUP($FM20,$A$9:$E$102,5)*0.5*(VLOOKUP($FM20-GA$103,Männer!$G$9:$J$102,4)+VLOOKUP($FM20-GA$103+1,Männer!$G$9:$J$102,4))*0.5*(VLOOKUP($FM20-GA$103,Männer!$AZ$9:$BD$102,5)+VLOOKUP($FM20-GA$103+1,Männer!$AZ$9:$BD$102,5)),RundDx)</f>
        <v>137353404</v>
      </c>
      <c r="GB20" s="25">
        <f>ROUND(v^($FM20+FaktorAlter)*VLOOKUP($FM20,$G$9:$J$102,4)*VLOOKUP($FM20,$A$9:$E$102,5)*0.5*(VLOOKUP($FM20-GB$103,Männer!$G$9:$J$102,4)+VLOOKUP($FM20-GB$103+1,Männer!$G$9:$J$102,4))*0.5*(VLOOKUP($FM20-GB$103,Männer!$AZ$9:$BD$102,5)+VLOOKUP($FM20-GB$103+1,Männer!$AZ$9:$BD$102,5)),RundDx)</f>
        <v>150728384</v>
      </c>
      <c r="GC20" s="25">
        <f>ROUND(v^($FM20+FaktorAlter)*VLOOKUP($FM20,$G$9:$J$102,4)*VLOOKUP($FM20,$A$9:$E$102,5)*0.5*(VLOOKUP($FM20-GC$103,Männer!$G$9:$J$102,4)+VLOOKUP($FM20-GC$103+1,Männer!$G$9:$J$102,4))*0.5*(VLOOKUP($FM20-GC$103,Männer!$AZ$9:$BD$102,5)+VLOOKUP($FM20-GC$103+1,Männer!$AZ$9:$BD$102,5)),RundDx)</f>
        <v>164356673</v>
      </c>
      <c r="GD20" s="25">
        <f>ROUND(v^($FM20+FaktorAlter)*VLOOKUP($FM20,$G$9:$J$102,4)*VLOOKUP($FM20,$A$9:$E$102,5)*0.5*(VLOOKUP($FM20-GD$103,Männer!$G$9:$J$102,4)+VLOOKUP($FM20-GD$103+1,Männer!$G$9:$J$102,4))*0.5*(VLOOKUP($FM20-GD$103,Männer!$AZ$9:$BD$102,5)+VLOOKUP($FM20-GD$103+1,Männer!$AZ$9:$BD$102,5)),RundDx)</f>
        <v>178174682</v>
      </c>
      <c r="GE20" s="25">
        <f>ROUND(v^($FM20+FaktorAlter)*VLOOKUP($FM20,$G$9:$J$102,4)*VLOOKUP($FM20,$A$9:$E$102,5)*0.5*(VLOOKUP($FM20-GE$103,Männer!$G$9:$J$102,4)+VLOOKUP($FM20-GE$103+1,Männer!$G$9:$J$102,4))*0.5*(VLOOKUP($FM20-GE$103,Männer!$AZ$9:$BD$102,5)+VLOOKUP($FM20-GE$103+1,Männer!$AZ$9:$BD$102,5)),RundDx)</f>
        <v>192103591</v>
      </c>
      <c r="GF20" s="25">
        <f>ROUND(v^($FM20+FaktorAlter)*VLOOKUP($FM20,$G$9:$J$102,4)*VLOOKUP($FM20,$A$9:$E$102,5)*0.5*(VLOOKUP($FM20-GF$103,Männer!$G$9:$J$102,4)+VLOOKUP($FM20-GF$103+1,Männer!$G$9:$J$102,4))*0.5*(VLOOKUP($FM20-GF$103,Männer!$AZ$9:$BD$102,5)+VLOOKUP($FM20-GF$103+1,Männer!$AZ$9:$BD$102,5)),RundDx)</f>
        <v>206136221</v>
      </c>
      <c r="GG20" s="25">
        <f>ROUND(v^($FM20+FaktorAlter)*VLOOKUP($FM20,$G$9:$J$102,4)*VLOOKUP($FM20,$A$9:$E$102,5)*0.5*(VLOOKUP($FM20-GG$103,Männer!$G$9:$J$102,4)+VLOOKUP($FM20-GG$103+1,Männer!$G$9:$J$102,4))*0.5*(VLOOKUP($FM20-GG$103,Männer!$AZ$9:$BD$102,5)+VLOOKUP($FM20-GG$103+1,Männer!$AZ$9:$BD$102,5)),RundDx)</f>
        <v>220255225</v>
      </c>
      <c r="GH20" s="25">
        <f>ROUND(v^($FM20+FaktorAlter)*VLOOKUP($FM20,$G$9:$J$102,4)*VLOOKUP($FM20,$A$9:$E$102,5)*0.5*(VLOOKUP($FM20-GH$103,Männer!$G$9:$J$102,4)+VLOOKUP($FM20-GH$103+1,Männer!$G$9:$J$102,4))*0.5*(VLOOKUP($FM20-GH$103,Männer!$AZ$9:$BD$102,5)+VLOOKUP($FM20-GH$103+1,Männer!$AZ$9:$BD$102,5)),RundDx)</f>
        <v>234393913</v>
      </c>
      <c r="GI20" s="25">
        <f>ROUND(v^($FM20+FaktorAlter)*VLOOKUP($FM20,$G$9:$J$102,4)*VLOOKUP($FM20,$A$9:$E$102,5)*0.5*(VLOOKUP($FM20-GI$103,Männer!$G$9:$J$102,4)+VLOOKUP($FM20-GI$103+1,Männer!$G$9:$J$102,4))*0.5*(VLOOKUP($FM20-GI$103,Männer!$AZ$9:$BD$102,5)+VLOOKUP($FM20-GI$103+1,Männer!$AZ$9:$BD$102,5)),RundDx)</f>
        <v>248543822</v>
      </c>
      <c r="GJ20" s="25">
        <f>ROUND(v^($FM20+FaktorAlter)*VLOOKUP($FM20,$G$9:$J$102,4)*VLOOKUP($FM20,$A$9:$E$102,5)*0.5*(VLOOKUP($FM20-GJ$103,Männer!$G$9:$J$102,4)+VLOOKUP($FM20-GJ$103+1,Männer!$G$9:$J$102,4))*0.5*(VLOOKUP($FM20-GJ$103,Männer!$AZ$9:$BD$102,5)+VLOOKUP($FM20-GJ$103+1,Männer!$AZ$9:$BD$102,5)),RundDx)</f>
        <v>262755138</v>
      </c>
      <c r="GK20" s="25">
        <f>ROUND(v^($FM20+FaktorAlter)*VLOOKUP($FM20,$G$9:$J$102,4)*VLOOKUP($FM20,$A$9:$E$102,5)*0.5*(VLOOKUP($FM20-GK$103,Männer!$G$9:$J$102,4)+VLOOKUP($FM20-GK$103+1,Männer!$G$9:$J$102,4))*0.5*(VLOOKUP($FM20-GK$103,Männer!$AZ$9:$BD$102,5)+VLOOKUP($FM20-GK$103+1,Männer!$AZ$9:$BD$102,5)),RundDx)</f>
        <v>277068848</v>
      </c>
      <c r="GL20" s="25">
        <f>ROUND(v^($FM20+FaktorAlter)*VLOOKUP($FM20,$G$9:$J$102,4)*VLOOKUP($FM20,$A$9:$E$102,5)*0.5*(VLOOKUP($FM20-GL$103,Männer!$G$9:$J$102,4)+VLOOKUP($FM20-GL$103+1,Männer!$G$9:$J$102,4))*0.5*(VLOOKUP($FM20-GL$103,Männer!$AZ$9:$BD$102,5)+VLOOKUP($FM20-GL$103+1,Männer!$AZ$9:$BD$102,5)),RundDx)</f>
        <v>291449615</v>
      </c>
      <c r="GM20" s="25">
        <f>ROUND(v^($FM20+FaktorAlter)*VLOOKUP($FM20,$G$9:$J$102,4)*VLOOKUP($FM20,$A$9:$E$102,5)*0.5*(VLOOKUP($FM20-GM$103,Männer!$G$9:$J$102,4)+VLOOKUP($FM20-GM$103+1,Männer!$G$9:$J$102,4))*0.5*(VLOOKUP($FM20-GM$103,Männer!$AZ$9:$BD$102,5)+VLOOKUP($FM20-GM$103+1,Männer!$AZ$9:$BD$102,5)),RundDx)</f>
        <v>305932464</v>
      </c>
      <c r="GN20" s="25">
        <f>ROUND(v^($FM20+FaktorAlter)*VLOOKUP($FM20,$G$9:$J$102,4)*VLOOKUP($FM20,$A$9:$E$102,5)*0.5*(VLOOKUP($FM20-GN$103,Männer!$G$9:$J$102,4)+VLOOKUP($FM20-GN$103+1,Männer!$G$9:$J$102,4))*0.5*(VLOOKUP($FM20-GN$103,Männer!$AZ$9:$BD$102,5)+VLOOKUP($FM20-GN$103+1,Männer!$AZ$9:$BD$102,5)),RundDx)</f>
        <v>320591316</v>
      </c>
      <c r="GO20" s="25">
        <f>ROUND(v^($FM20+FaktorAlter)*VLOOKUP($FM20,$G$9:$J$102,4)*VLOOKUP($FM20,$A$9:$E$102,5)*0.5*(VLOOKUP($FM20-GO$103,Männer!$G$9:$J$102,4)+VLOOKUP($FM20-GO$103+1,Männer!$G$9:$J$102,4))*0.5*(VLOOKUP($FM20-GO$103,Männer!$AZ$9:$BD$102,5)+VLOOKUP($FM20-GO$103+1,Männer!$AZ$9:$BD$102,5)),RundDx)</f>
        <v>335453959</v>
      </c>
      <c r="GP20" s="25">
        <f>ROUND(v^($FM20+FaktorAlter)*VLOOKUP($FM20,$G$9:$J$102,4)*VLOOKUP($FM20,$A$9:$E$102,5)*0.5*(VLOOKUP($FM20-GP$103,Männer!$G$9:$J$102,4)+VLOOKUP($FM20-GP$103+1,Männer!$G$9:$J$102,4))*0.5*(VLOOKUP($FM20-GP$103,Männer!$AZ$9:$BD$102,5)+VLOOKUP($FM20-GP$103+1,Männer!$AZ$9:$BD$102,5)),RundDx)</f>
        <v>350556229</v>
      </c>
      <c r="GQ20" s="25">
        <f>ROUND(v^($FM20+FaktorAlter)*VLOOKUP($FM20,$G$9:$J$102,4)*VLOOKUP($FM20,$A$9:$E$102,5)*0.5*(VLOOKUP($FM20-GQ$103,Männer!$G$9:$J$102,4)+VLOOKUP($FM20-GQ$103+1,Männer!$G$9:$J$102,4))*0.5*(VLOOKUP($FM20-GQ$103,Männer!$AZ$9:$BD$102,5)+VLOOKUP($FM20-GQ$103+1,Männer!$AZ$9:$BD$102,5)),RundDx)</f>
        <v>365920639</v>
      </c>
      <c r="GR20" s="25">
        <f>ROUND(v^($FM20+FaktorAlter)*VLOOKUP($FM20,$G$9:$J$102,4)*VLOOKUP($FM20,$A$9:$E$102,5)*0.5*(VLOOKUP($FM20-GR$103,Männer!$G$9:$J$102,4)+VLOOKUP($FM20-GR$103+1,Männer!$G$9:$J$102,4))*0.5*(VLOOKUP($FM20-GR$103,Männer!$AZ$9:$BD$102,5)+VLOOKUP($FM20-GR$103+1,Männer!$AZ$9:$BD$102,5)),RundDx)</f>
        <v>381559557</v>
      </c>
      <c r="GS20" s="24">
        <f>ROUND(SUM(FN20:FN$56)/VLOOKUP($FM20,$AQ$9:$AR$102,2)/VLOOKUP($FM20-GS$103,Männer!$G$9:$J$102,4),Rundäx)</f>
        <v>0.20100000000000001</v>
      </c>
      <c r="GT20" s="24">
        <f>ROUND(SUM(FO20:FO$56)/VLOOKUP($FM20,$AQ$9:$AR$102,2)/VLOOKUP($FM20-GT$103,Männer!$G$9:$J$102,4),Rundäx)</f>
        <v>0.24399999999999999</v>
      </c>
      <c r="GU20" s="24">
        <f>ROUND(SUM(FP20:FP$56)/VLOOKUP($FM20,$AQ$9:$AR$102,2)/VLOOKUP($FM20-GU$103,Männer!$G$9:$J$102,4),Rundäx)</f>
        <v>0.29399999999999998</v>
      </c>
      <c r="GV20" s="24">
        <f>ROUND(SUM(FQ20:FQ$56)/VLOOKUP($FM20,$AQ$9:$AR$102,2)/VLOOKUP($FM20-GV$103,Männer!$G$9:$J$102,4),Rundäx)</f>
        <v>0.35199999999999998</v>
      </c>
      <c r="GW20" s="24">
        <f>ROUND(SUM(FR20:FR$56)/VLOOKUP($FM20,$AQ$9:$AR$102,2)/VLOOKUP($FM20-GW$103,Männer!$G$9:$J$102,4),Rundäx)</f>
        <v>0.41899999999999998</v>
      </c>
      <c r="GX20" s="24">
        <f>ROUND(SUM(FS20:FS$56)/VLOOKUP($FM20,$AQ$9:$AR$102,2)/VLOOKUP($FM20-GX$103,Männer!$G$9:$J$102,4),Rundäx)</f>
        <v>0.495</v>
      </c>
      <c r="GY20" s="24">
        <f>ROUND(SUM(FT20:FT$56)/VLOOKUP($FM20,$AQ$9:$AR$102,2)/VLOOKUP($FM20-GY$103,Männer!$G$9:$J$102,4),Rundäx)</f>
        <v>0.58199999999999996</v>
      </c>
      <c r="GZ20" s="24">
        <f>ROUND(SUM(FU20:FU$56)/VLOOKUP($FM20,$AQ$9:$AR$102,2)/VLOOKUP($FM20-GZ$103,Männer!$G$9:$J$102,4),Rundäx)</f>
        <v>0.68</v>
      </c>
      <c r="HA20" s="89"/>
      <c r="HB20" s="35">
        <f t="shared" si="65"/>
        <v>75</v>
      </c>
      <c r="HC20" s="24">
        <f>ROUND(SUM(FV20:FV$56)/VLOOKUP($FM20,$AQ$9:$AR$102,2)/VLOOKUP($FM20-HC$103,Männer!$G$9:$J$102,4),Rundäx)</f>
        <v>0.78900000000000003</v>
      </c>
      <c r="HD20" s="24">
        <f>ROUND(SUM(FW20:FW$56)/VLOOKUP($FM20,$AQ$9:$AR$102,2)/VLOOKUP($FM20-HD$103,Männer!$G$9:$J$102,4),Rundäx)</f>
        <v>0.91100000000000003</v>
      </c>
      <c r="HE20" s="24">
        <f>ROUND(SUM(FX20:FX$56)/VLOOKUP($FM20,$AQ$9:$AR$102,2)/VLOOKUP($FM20-HE$103,Männer!$G$9:$J$102,4),Rundäx)</f>
        <v>1.046</v>
      </c>
      <c r="HF20" s="24">
        <f>ROUND(SUM(FY20:FY$56)/VLOOKUP($FM20,$AQ$9:$AR$102,2)/VLOOKUP($FM20-HF$103,Männer!$G$9:$J$102,4),Rundäx)</f>
        <v>1.194</v>
      </c>
      <c r="HG20" s="24">
        <f>ROUND(SUM(FZ20:FZ$56)/VLOOKUP($FM20,$AQ$9:$AR$102,2)/VLOOKUP($FM20-HG$103,Männer!$G$9:$J$102,4),Rundäx)</f>
        <v>1.355</v>
      </c>
      <c r="HH20" s="24">
        <f>ROUND(SUM(GA20:GA$56)/VLOOKUP($FM20,$AQ$9:$AR$102,2)/VLOOKUP($FM20-HH$103,Männer!$G$9:$J$102,4),Rundäx)</f>
        <v>1.53</v>
      </c>
      <c r="HI20" s="24">
        <f>ROUND(SUM(GB20:GB$56)/VLOOKUP($FM20,$AQ$9:$AR$102,2)/VLOOKUP($FM20-HI$103,Männer!$G$9:$J$102,4),Rundäx)</f>
        <v>1.7190000000000001</v>
      </c>
      <c r="HJ20" s="24">
        <f>ROUND(SUM(GC20:GC$56)/VLOOKUP($FM20,$AQ$9:$AR$102,2)/VLOOKUP($FM20-HJ$103,Männer!$G$9:$J$102,4),Rundäx)</f>
        <v>1.921</v>
      </c>
      <c r="HK20" s="89"/>
      <c r="HL20" s="35">
        <f t="shared" si="66"/>
        <v>75</v>
      </c>
      <c r="HM20" s="24">
        <f>ROUND(SUM(GD20:GD$56)/VLOOKUP($FM20,$AQ$9:$AR$102,2)/VLOOKUP($FM20-HM$103,Männer!$G$9:$J$102,4),Rundäx)</f>
        <v>2.1360000000000001</v>
      </c>
      <c r="HN20" s="24">
        <f>ROUND(SUM(GE20:GE$56)/VLOOKUP($FM20,$AQ$9:$AR$102,2)/VLOOKUP($FM20-HN$103,Männer!$G$9:$J$102,4),Rundäx)</f>
        <v>2.3650000000000002</v>
      </c>
      <c r="HO20" s="24">
        <f>ROUND(SUM(GF20:GF$56)/VLOOKUP($FM20,$AQ$9:$AR$102,2)/VLOOKUP($FM20-HO$103,Männer!$G$9:$J$102,4),Rundäx)</f>
        <v>2.6059999999999999</v>
      </c>
      <c r="HP20" s="24">
        <f>ROUND(SUM(GG20:GG$56)/VLOOKUP($FM20,$AQ$9:$AR$102,2)/VLOOKUP($FM20-HP$103,Männer!$G$9:$J$102,4),Rundäx)</f>
        <v>2.859</v>
      </c>
      <c r="HQ20" s="24">
        <f>ROUND(SUM(GH20:GH$56)/VLOOKUP($FM20,$AQ$9:$AR$102,2)/VLOOKUP($FM20-HQ$103,Männer!$G$9:$J$102,4),Rundäx)</f>
        <v>3.1240000000000001</v>
      </c>
      <c r="HR20" s="24">
        <f>ROUND(SUM(GI20:GI$56)/VLOOKUP($FM20,$AQ$9:$AR$102,2)/VLOOKUP($FM20-HR$103,Männer!$G$9:$J$102,4),Rundäx)</f>
        <v>3.399</v>
      </c>
      <c r="HS20" s="24">
        <f>ROUND(SUM(GJ20:GJ$56)/VLOOKUP($FM20,$AQ$9:$AR$102,2)/VLOOKUP($FM20-HS$103,Männer!$G$9:$J$102,4),Rundäx)</f>
        <v>3.6840000000000002</v>
      </c>
      <c r="HT20" s="24">
        <f>ROUND(SUM(GK20:GK$56)/VLOOKUP($FM20,$AQ$9:$AR$102,2)/VLOOKUP($FM20-HT$103,Männer!$G$9:$J$102,4),Rundäx)</f>
        <v>3.9780000000000002</v>
      </c>
      <c r="HU20" s="89"/>
      <c r="HV20" s="35">
        <f t="shared" si="67"/>
        <v>75</v>
      </c>
      <c r="HW20" s="24">
        <f>ROUND(SUM(GL20:GL$56)/VLOOKUP($FM20,$AQ$9:$AR$102,2)/VLOOKUP($FM20-HW$103,Männer!$G$9:$J$102,4),Rundäx)</f>
        <v>4.28</v>
      </c>
      <c r="HX20" s="24">
        <f>ROUND(SUM(GM20:GM$56)/VLOOKUP($FM20,$AQ$9:$AR$102,2)/VLOOKUP($FM20-HX$103,Männer!$G$9:$J$102,4),Rundäx)</f>
        <v>4.59</v>
      </c>
      <c r="HY20" s="24">
        <f>ROUND(SUM(GN20:GN$56)/VLOOKUP($FM20,$AQ$9:$AR$102,2)/VLOOKUP($FM20-HY$103,Männer!$G$9:$J$102,4),Rundäx)</f>
        <v>4.907</v>
      </c>
      <c r="HZ20" s="24">
        <f>ROUND(SUM(GO20:GO$56)/VLOOKUP($FM20,$AQ$9:$AR$102,2)/VLOOKUP($FM20-HZ$103,Männer!$G$9:$J$102,4),Rundäx)</f>
        <v>5.2309999999999999</v>
      </c>
      <c r="IA20" s="24">
        <f>ROUND(SUM(GP20:GP$56)/VLOOKUP($FM20,$AQ$9:$AR$102,2)/VLOOKUP($FM20-IA$103,Männer!$G$9:$J$102,4),Rundäx)</f>
        <v>5.56</v>
      </c>
      <c r="IB20" s="24">
        <f>ROUND(SUM(GQ20:GQ$56)/VLOOKUP($FM20,$AQ$9:$AR$102,2)/VLOOKUP($FM20-IB$103,Männer!$G$9:$J$102,4),Rundäx)</f>
        <v>5.8970000000000002</v>
      </c>
      <c r="IC20" s="24">
        <f>ROUND(SUM(GR20:GR$56)/VLOOKUP($FM20,$AQ$9:$AR$102,2)/VLOOKUP($FM20-IC$103,Männer!$G$9:$J$102,4),Rundäx)</f>
        <v>6.24</v>
      </c>
      <c r="ID20" s="89"/>
      <c r="IE20" s="9">
        <f t="shared" si="68"/>
        <v>28</v>
      </c>
      <c r="IF20" s="11">
        <f t="shared" si="25"/>
        <v>177</v>
      </c>
      <c r="IG20" s="11">
        <f>IF($IE20&lt;RAF,IF(S21&lt;=RAK,ROUND(SUM(IF20:INDEX(Daky,RAF-BeginnAlter))+INDEX(Day,RAF-BeginnAlter+1)*INDEX(äky,1),RundDx),0),"")</f>
        <v>5783</v>
      </c>
      <c r="IH20" s="11">
        <f>IF($IE20&lt;RAF,IF(S21&lt;=RAK,ROUND(SUM(IG20:INDEX(Naky,RAF-BeginnAlter))+INDEX(Day,RAF-BeginnAlter+1)*INDEX(äky,1),RundDx),0),"")</f>
        <v>64636</v>
      </c>
      <c r="II20" s="10">
        <f t="shared" si="26"/>
        <v>0.109</v>
      </c>
      <c r="IJ20" s="11">
        <f t="shared" si="27"/>
        <v>4830</v>
      </c>
      <c r="IK20" s="11">
        <f>IF($IE20&lt;RAF,IF(S21&lt;=RAK,SUM(IJ20:INDEX(Diky,RAF-BeginnAlter))+INDEX(Diy,RAF-BeginnAlter+1)*INDEX(äky,1),0),"")</f>
        <v>216978</v>
      </c>
      <c r="IL20" s="10">
        <f t="shared" si="28"/>
        <v>2.0830000000000002</v>
      </c>
      <c r="IM20" s="89"/>
      <c r="IN20" s="9">
        <f t="shared" si="29"/>
        <v>75</v>
      </c>
      <c r="IO20" s="11"/>
      <c r="IP20" s="11"/>
      <c r="IQ20" s="10"/>
      <c r="IR20" s="86"/>
    </row>
    <row r="21" spans="1:252" ht="15.75" customHeight="1" x14ac:dyDescent="0.25">
      <c r="A21" s="9">
        <f t="shared" si="4"/>
        <v>29</v>
      </c>
      <c r="B21" s="93">
        <v>3.7728531104672038E-4</v>
      </c>
      <c r="C21" s="93">
        <v>1.3403492778332855E-3</v>
      </c>
      <c r="D21" s="93">
        <v>2.1602652111043234E-2</v>
      </c>
      <c r="E21" s="93">
        <v>5.1172451160408361E-4</v>
      </c>
      <c r="F21" s="89"/>
      <c r="G21" s="9">
        <f t="shared" si="5"/>
        <v>29</v>
      </c>
      <c r="H21" s="11">
        <f t="shared" si="30"/>
        <v>99110</v>
      </c>
      <c r="I21" s="25">
        <f t="shared" si="31"/>
        <v>553</v>
      </c>
      <c r="J21" s="25">
        <f t="shared" si="32"/>
        <v>99663</v>
      </c>
      <c r="K21" s="30">
        <f>IF(J21&gt;0,ROUND(SUM(J21:J$102)/J21-0.5,Rundex),"")</f>
        <v>53.28</v>
      </c>
      <c r="L21" s="25">
        <f t="shared" si="6"/>
        <v>190083</v>
      </c>
      <c r="M21" s="30">
        <f>IF(L21&gt;0,ROUND(SUM(L21:L$102)/L21-0.5,Rundex),"")</f>
        <v>34.67</v>
      </c>
      <c r="N21" s="89"/>
      <c r="O21" s="9">
        <f t="shared" si="49"/>
        <v>29</v>
      </c>
      <c r="P21" s="94">
        <v>0.13200000000000001</v>
      </c>
      <c r="Q21" s="95">
        <v>32.891998314312616</v>
      </c>
      <c r="R21" s="94">
        <v>0.13500000000000001</v>
      </c>
      <c r="S21" s="95">
        <v>0.5</v>
      </c>
      <c r="T21" s="28">
        <v>5.1172451160408361E-4</v>
      </c>
      <c r="U21" s="11">
        <f t="shared" si="33"/>
        <v>99663</v>
      </c>
      <c r="V21" s="30">
        <f>IF(U21&gt;0,ROUND(SUM(U21:U$102)/U21-0.5,Rundex),"")</f>
        <v>54.56</v>
      </c>
      <c r="W21" s="89"/>
      <c r="X21" s="9">
        <f t="shared" si="50"/>
        <v>29</v>
      </c>
      <c r="Y21" s="11">
        <f t="shared" si="34"/>
        <v>51985</v>
      </c>
      <c r="Z21" s="11">
        <f>IF($X21&lt;RAF,SUM(Y21:INDEX(Day,RAF-BeginnAlter))," ")</f>
        <v>1191780</v>
      </c>
      <c r="AA21" s="11">
        <f t="shared" si="0"/>
        <v>19</v>
      </c>
      <c r="AB21" s="11">
        <f>IF($X21&lt;RAF,SUM(AA21:INDEX(Cay,RAF-BeginnAlter))," ")</f>
        <v>1312</v>
      </c>
      <c r="AC21" s="11">
        <f t="shared" si="1"/>
        <v>69</v>
      </c>
      <c r="AD21" s="11">
        <f>IF($X21&lt;RAF,SUM(AC21:INDEX(Caiy,RAF-BeginnAlter))," ")</f>
        <v>8182</v>
      </c>
      <c r="AE21" s="10">
        <f t="shared" si="35"/>
        <v>22.925000000000001</v>
      </c>
      <c r="AF21" s="10">
        <f t="shared" si="36"/>
        <v>22.611000000000001</v>
      </c>
      <c r="AG21" s="89"/>
      <c r="AH21" s="9">
        <f t="shared" si="51"/>
        <v>29</v>
      </c>
      <c r="AI21" s="11">
        <f t="shared" si="37"/>
        <v>99703</v>
      </c>
      <c r="AJ21" s="11">
        <f>IF($AH21&gt;RAF," ",IF($AH21&lt;RAF,SUM(AI21:INDEX(Diy,RAF-BeginnAlter))+INDEX(Ny,RAF-BeginnAlter+1),INDEX(Ny,RAF-BeginnAlter+1)))</f>
        <v>2189916</v>
      </c>
      <c r="AK21" s="11">
        <f>IF($AH21&lt;RAF,SUM(AI21:INDEX(Diy,RAF-BeginnAlter))," ")</f>
        <v>1823822</v>
      </c>
      <c r="AL21" s="10">
        <f t="shared" si="38"/>
        <v>21.963999999999999</v>
      </c>
      <c r="AM21" s="10">
        <f t="shared" si="39"/>
        <v>21.506</v>
      </c>
      <c r="AN21" s="10">
        <f t="shared" si="40"/>
        <v>18.292999999999999</v>
      </c>
      <c r="AO21" s="10">
        <f t="shared" si="41"/>
        <v>17.934000000000001</v>
      </c>
      <c r="AP21" s="89"/>
      <c r="AQ21" s="9">
        <f t="shared" si="52"/>
        <v>29</v>
      </c>
      <c r="AR21" s="11">
        <f t="shared" si="42"/>
        <v>52275</v>
      </c>
      <c r="AS21" s="11">
        <f>SUM(AR21:AR$96)</f>
        <v>1626271</v>
      </c>
      <c r="AT21" s="25">
        <f>IF($AQ21&lt;RAF,SUM(AR21:INDEX(Dy,RAF-BeginnAlter))," ")</f>
        <v>1260177</v>
      </c>
      <c r="AU21" s="24">
        <f t="shared" si="43"/>
        <v>31.11</v>
      </c>
      <c r="AV21" s="24">
        <f t="shared" si="44"/>
        <v>30.652000000000001</v>
      </c>
      <c r="AW21" s="24">
        <f t="shared" si="45"/>
        <v>24.106999999999999</v>
      </c>
      <c r="AX21" s="24">
        <f t="shared" si="46"/>
        <v>23.838999999999999</v>
      </c>
      <c r="AY21" s="89"/>
      <c r="AZ21" s="9">
        <f t="shared" si="53"/>
        <v>29</v>
      </c>
      <c r="BA21" s="11">
        <f t="shared" si="47"/>
        <v>52275</v>
      </c>
      <c r="BB21" s="11">
        <f>SUM(BA21:BA$96)</f>
        <v>1649060</v>
      </c>
      <c r="BC21" s="10">
        <f t="shared" si="48"/>
        <v>31.545999999999999</v>
      </c>
      <c r="BD21" s="10">
        <f t="shared" si="7"/>
        <v>31.088000000000001</v>
      </c>
      <c r="BE21" s="89"/>
      <c r="BF21" s="9">
        <f t="shared" si="54"/>
        <v>12</v>
      </c>
      <c r="BG21" s="10">
        <f t="shared" si="8"/>
        <v>11.414999999999999</v>
      </c>
      <c r="BH21" s="10">
        <f t="shared" si="9"/>
        <v>11.3</v>
      </c>
      <c r="BI21" s="89"/>
      <c r="BJ21" s="9">
        <f t="shared" si="55"/>
        <v>29</v>
      </c>
      <c r="BK21" s="11">
        <f t="shared" si="10"/>
        <v>1480</v>
      </c>
      <c r="BL21" s="11">
        <f>IF(BJ21&lt;RAF,SUM(BK21:INDEX(Daiy,RAF-BeginnAlter))," ")</f>
        <v>152829</v>
      </c>
      <c r="BM21" s="11">
        <f>IF(BJ21&lt;RAF,SUM(BL21:INDEX(Naiy,RAF-BeginnAlter))," ")</f>
        <v>3557507</v>
      </c>
      <c r="BN21" s="10">
        <f t="shared" si="11"/>
        <v>5.1589999999999998</v>
      </c>
      <c r="BO21" s="10">
        <f t="shared" si="12"/>
        <v>2.94</v>
      </c>
      <c r="BP21" s="89"/>
      <c r="BQ21" s="9">
        <f t="shared" si="56"/>
        <v>29</v>
      </c>
      <c r="BR21" s="11">
        <f t="shared" si="13"/>
        <v>1228</v>
      </c>
      <c r="BS21" s="11">
        <f>IF(BQ21&lt;RAF,SUM(BR21:INDEX(Daiys,RAF-BeginnAlter))," ")</f>
        <v>65920</v>
      </c>
      <c r="BT21" s="11">
        <f>IF(BQ21&lt;RAF,SUM(BS21:INDEX(Naiys,RAF-BeginnAlter))," ")</f>
        <v>1205840</v>
      </c>
      <c r="BU21" s="10">
        <f t="shared" si="14"/>
        <v>6.8310000000000004</v>
      </c>
      <c r="BV21" s="10">
        <f t="shared" si="15"/>
        <v>1.268</v>
      </c>
      <c r="BW21" s="89"/>
      <c r="BX21" s="9">
        <f t="shared" si="57"/>
        <v>29</v>
      </c>
      <c r="BY21" s="10">
        <f t="shared" si="16"/>
        <v>14.999681659248946</v>
      </c>
      <c r="BZ21" s="11">
        <f t="shared" si="17"/>
        <v>168</v>
      </c>
      <c r="CA21" s="11">
        <f>IF(S22&lt;=RAK,IF($BX21&lt;RAF,SUM(BZ21:INDEX(Dazy,RAF-BeginnAlter)),""),"")</f>
        <v>15900</v>
      </c>
      <c r="CB21" s="10">
        <f t="shared" si="18"/>
        <v>0.30599999999999999</v>
      </c>
      <c r="CC21" s="11">
        <f t="shared" si="19"/>
        <v>29287</v>
      </c>
      <c r="CD21" s="10">
        <f t="shared" si="20"/>
        <v>21.306000000000001</v>
      </c>
      <c r="CE21" s="10">
        <f t="shared" si="21"/>
        <v>2E-3</v>
      </c>
      <c r="CF21" s="89"/>
      <c r="CG21" s="9">
        <f t="shared" si="58"/>
        <v>29</v>
      </c>
      <c r="CH21" s="11">
        <f>IF(CG21&lt;RAF,ROUND(v^($CG21+FaktorAlter)*$H21*($B21*0.5*($P21+$P22)*(VLOOKUP(TRUNC(0.5*($Q21+$Q22),0),Männer!$AZ$9:$BD$95,5)+(0.5*($Q21+$Q22)-TRUNC(0.5*($Q21+$Q22),0))*(VLOOKUP(TRUNC(0.5*($Q21+$Q22)+1,0),Männer!$AZ$9:$BD$95,5)-VLOOKUP(TRUNC(0.5*($Q21+$Q22),0),Männer!$AZ$9:$BD$95,5)))+$C21*0.5*($CN21+$CN22)),RundDx),"")</f>
        <v>208</v>
      </c>
      <c r="CI21" s="11">
        <f>IF(CG21&lt;RAF,ROUND(SUM(CH21:INDEX(Dawy,RAF-BeginnAlter))+INDEX(Day,RAF-BeginnAlter+1)*INDEX(äwy,1),RundDx),"")</f>
        <v>13402</v>
      </c>
      <c r="CJ21" s="11">
        <f>IF(CG21&lt;RAF,ROUND(SUM(CI21:INDEX(Nawy,RAF-BeginnAlter))+INDEX(Day,RAF-BeginnAlter+1)*INDEX(äwy,1),RundDx),"")</f>
        <v>283529</v>
      </c>
      <c r="CK21" s="10">
        <f t="shared" si="22"/>
        <v>0.25800000000000001</v>
      </c>
      <c r="CL21" s="11">
        <f>IF(CG21&lt;RAF,ROUND(v^($CG21+FaktorAlter)*$L21*$D21*0.5*($P21+$P22)*(VLOOKUP(TRUNC(0.5*($Q21+$Q22),0),Männer!$AZ$9:$BD$95,5)+(0.5*($Q21+$Q22)-TRUNC(0.5*($Q21+$Q22),0))*(VLOOKUP(TRUNC(0.5*($Q21+$Q22)+1,0),Männer!$AZ$9:$BD$95,5)-VLOOKUP(TRUNC(0.5*($Q21+$Q22),0),Männer!$AZ$9:$BD$95,5))),RundDx),"")</f>
        <v>7938</v>
      </c>
      <c r="CM21" s="11">
        <f>IF(CG21&lt;RAF,SUM(CL21:INDEX(Diwy,RAF-BeginnAlter))+INDEX(Diy,RAF-BeginnAlter+1)*INDEX(äwy,1),"")</f>
        <v>196595.304</v>
      </c>
      <c r="CN21" s="10">
        <f t="shared" si="23"/>
        <v>1.972</v>
      </c>
      <c r="CO21" s="89"/>
      <c r="CP21" s="9">
        <f t="shared" si="59"/>
        <v>76</v>
      </c>
      <c r="CQ21" s="11">
        <f>ROUND(v^($CP21+FaktorAlter)*VLOOKUP(CP21,G$9:J$102,4)*VLOOKUP(CP21,A$9:E$102,5)*0.5*(VLOOKUP(CP21,O$9:P$102,2)+VLOOKUP(CP21+1,O$9:P$102,2))*(VLOOKUP(TRUNC(0.5*(VLOOKUP(CP21,O$9:Q$102,3)+VLOOKUP(CP21+1,O$9:Q$102,3)),0),Männer!$AZ$9:$BD$95,5)+(0.5*(VLOOKUP(CP21,O$9:Q$102,3)+VLOOKUP(CP21+1,O$9:Q$102,3))-TRUNC(0.5*(VLOOKUP(CP21,O$9:Q$102,3)+VLOOKUP(CP21+1,O$9:Q$102,3)),0))*(VLOOKUP(TRUNC(0.5*(VLOOKUP(CP21,O$9:Q$102,3)+VLOOKUP(CP21+1,O$9:Q$102,3))+1,0),Männer!$AZ$9:$BD$95,5)-VLOOKUP(TRUNC(0.5*(VLOOKUP(CP21,O$9:Q$102,3)+VLOOKUP(CP21+1,O$9:Q$102,3)),0),Männer!$AZ$9:$BD$95,5))),RundDx)</f>
        <v>43</v>
      </c>
      <c r="CR21" s="11">
        <f>SUM(CQ21:CQ$56)</f>
        <v>327</v>
      </c>
      <c r="CS21" s="24">
        <f t="shared" si="24"/>
        <v>2.4E-2</v>
      </c>
      <c r="CT21" s="89"/>
      <c r="CU21" s="35">
        <f t="shared" si="60"/>
        <v>29</v>
      </c>
      <c r="CV21" s="25">
        <f>IF($CU21&gt;=RAF,"",IF($CU21-CV$103&lt;BeginnAlter,"",ROUND(v^($CU21+FaktorAlter)*$L21*$D21*0.5*(VLOOKUP($CU21-CV$103,Männer!$G$9:$J$102,4)+VLOOKUP($CU21-CV$103+1,Männer!$G$9:$J$102,4))*0.5*(VLOOKUP($CU21-CV$103,Männer!$AZ$9:$BD$102,5)+VLOOKUP($CU21-CV$103+1,Männer!$AZ$9:$BD$102,5)),RundDx)))</f>
        <v>4724476412</v>
      </c>
      <c r="CW21" s="25">
        <f>IF($CU21&gt;=RAF,"",IF($CU21-CW$103&lt;BeginnAlter,"",ROUND(v^($CU21+FaktorAlter)*$L21*$D21*0.5*(VLOOKUP($CU21-CW$103,Männer!$G$9:$J$102,4)+VLOOKUP($CU21-CW$103+1,Männer!$G$9:$J$102,4))*0.5*(VLOOKUP($CU21-CW$103,Männer!$AZ$9:$BD$102,5)+VLOOKUP($CU21-CW$103+1,Männer!$AZ$9:$BD$102,5)),RundDx)))</f>
        <v>4826541643</v>
      </c>
      <c r="CX21" s="25">
        <f>IF($CU21&gt;=RAF,"",IF($CU21-CX$103&lt;BeginnAlter,"",ROUND(v^($CU21+FaktorAlter)*$L21*$D21*0.5*(VLOOKUP($CU21-CX$103,Männer!$G$9:$J$102,4)+VLOOKUP($CU21-CX$103+1,Männer!$G$9:$J$102,4))*0.5*(VLOOKUP($CU21-CX$103,Männer!$AZ$9:$BD$102,5)+VLOOKUP($CU21-CX$103+1,Männer!$AZ$9:$BD$102,5)),RundDx)))</f>
        <v>4926742419</v>
      </c>
      <c r="CY21" s="25">
        <f>IF($CU21&gt;=RAF,"",IF($CU21-CY$103&lt;BeginnAlter,"",ROUND(v^($CU21+FaktorAlter)*$L21*$D21*0.5*(VLOOKUP($CU21-CY$103,Männer!$G$9:$J$102,4)+VLOOKUP($CU21-CY$103+1,Männer!$G$9:$J$102,4))*0.5*(VLOOKUP($CU21-CY$103,Männer!$AZ$9:$BD$102,5)+VLOOKUP($CU21-CY$103+1,Männer!$AZ$9:$BD$102,5)),RundDx)))</f>
        <v>5025170870</v>
      </c>
      <c r="CZ21" s="25">
        <f>IF($CU21&gt;=RAF,"",IF($CU21-CZ$103&lt;BeginnAlter,"",ROUND(v^($CU21+FaktorAlter)*$L21*$D21*0.5*(VLOOKUP($CU21-CZ$103,Männer!$G$9:$J$102,4)+VLOOKUP($CU21-CZ$103+1,Männer!$G$9:$J$102,4))*0.5*(VLOOKUP($CU21-CZ$103,Männer!$AZ$9:$BD$102,5)+VLOOKUP($CU21-CZ$103+1,Männer!$AZ$9:$BD$102,5)),RundDx)))</f>
        <v>5121661191</v>
      </c>
      <c r="DA21" s="25">
        <f>IF($CU21&gt;=RAF,"",IF($CU21-DA$103&lt;BeginnAlter,"",ROUND(v^($CU21+FaktorAlter)*$L21*$D21*0.5*(VLOOKUP($CU21-DA$103,Männer!$G$9:$J$102,4)+VLOOKUP($CU21-DA$103+1,Männer!$G$9:$J$102,4))*0.5*(VLOOKUP($CU21-DA$103,Männer!$AZ$9:$BD$102,5)+VLOOKUP($CU21-DA$103+1,Männer!$AZ$9:$BD$102,5)),RundDx)))</f>
        <v>5216203992</v>
      </c>
      <c r="DB21" s="25">
        <f>IF($CU21&gt;=RAF,"",IF($CU21-DB$103&lt;BeginnAlter,"",ROUND(v^($CU21+FaktorAlter)*$L21*$D21*0.5*(VLOOKUP($CU21-DB$103,Männer!$G$9:$J$102,4)+VLOOKUP($CU21-DB$103+1,Männer!$G$9:$J$102,4))*0.5*(VLOOKUP($CU21-DB$103,Männer!$AZ$9:$BD$102,5)+VLOOKUP($CU21-DB$103+1,Männer!$AZ$9:$BD$102,5)),RundDx)))</f>
        <v>5309080552</v>
      </c>
      <c r="DC21" s="25">
        <f>IF($CU21&gt;=RAF,"",IF($CU21-DC$103&lt;BeginnAlter,"",ROUND(v^($CU21+FaktorAlter)*$L21*$D21*0.5*(VLOOKUP($CU21-DC$103,Männer!$G$9:$J$102,4)+VLOOKUP($CU21-DC$103+1,Männer!$G$9:$J$102,4))*0.5*(VLOOKUP($CU21-DC$103,Männer!$AZ$9:$BD$102,5)+VLOOKUP($CU21-DC$103+1,Männer!$AZ$9:$BD$102,5)),RundDx)))</f>
        <v>5400181790</v>
      </c>
      <c r="DD21" s="25">
        <f>IF($CU21&gt;=RAF,"",IF($CU21-DD$103&lt;BeginnAlter,"",ROUND(v^($CU21+FaktorAlter)*$L21*$D21*0.5*(VLOOKUP($CU21-DD$103,Männer!$G$9:$J$102,4)+VLOOKUP($CU21-DD$103+1,Männer!$G$9:$J$102,4))*0.5*(VLOOKUP($CU21-DD$103,Männer!$AZ$9:$BD$102,5)+VLOOKUP($CU21-DD$103+1,Männer!$AZ$9:$BD$102,5)),RundDx)))</f>
        <v>5489428508</v>
      </c>
      <c r="DE21" s="25">
        <f>IF($CU21&gt;=RAF,"",IF($CU21-DE$103&lt;BeginnAlter,"",ROUND(v^($CU21+FaktorAlter)*$L21*$D21*0.5*(VLOOKUP($CU21-DE$103,Männer!$G$9:$J$102,4)+VLOOKUP($CU21-DE$103+1,Männer!$G$9:$J$102,4))*0.5*(VLOOKUP($CU21-DE$103,Männer!$AZ$9:$BD$102,5)+VLOOKUP($CU21-DE$103+1,Männer!$AZ$9:$BD$102,5)),RundDx)))</f>
        <v>5577004639</v>
      </c>
      <c r="DF21" s="25">
        <f>IF($CU21&gt;=RAF,"",IF($CU21-DF$103&lt;BeginnAlter,"",ROUND(v^($CU21+FaktorAlter)*$L21*$D21*0.5*(VLOOKUP($CU21-DF$103,Männer!$G$9:$J$102,4)+VLOOKUP($CU21-DF$103+1,Männer!$G$9:$J$102,4))*0.5*(VLOOKUP($CU21-DF$103,Männer!$AZ$9:$BD$102,5)+VLOOKUP($CU21-DF$103+1,Männer!$AZ$9:$BD$102,5)),RundDx)))</f>
        <v>5662779607</v>
      </c>
      <c r="DG21" s="25">
        <f>IF($CU21&gt;=RAF,"",IF($CU21-DG$103&lt;BeginnAlter,"",ROUND(v^($CU21+FaktorAlter)*$L21*$D21*0.5*(VLOOKUP($CU21-DG$103,Männer!$G$9:$J$102,4)+VLOOKUP($CU21-DG$103+1,Männer!$G$9:$J$102,4))*0.5*(VLOOKUP($CU21-DG$103,Männer!$AZ$9:$BD$102,5)+VLOOKUP($CU21-DG$103+1,Männer!$AZ$9:$BD$102,5)),RundDx)))</f>
        <v>5746815710</v>
      </c>
      <c r="DH21" s="25">
        <f>IF($CU21&gt;=RAF,"",IF($CU21-DH$103&lt;BeginnAlter,"",ROUND(v^($CU21+FaktorAlter)*$L21*$D21*0.5*(VLOOKUP($CU21-DH$103,Männer!$G$9:$J$102,4)+VLOOKUP($CU21-DH$103+1,Männer!$G$9:$J$102,4))*0.5*(VLOOKUP($CU21-DH$103,Männer!$AZ$9:$BD$102,5)+VLOOKUP($CU21-DH$103+1,Männer!$AZ$9:$BD$102,5)),RundDx)))</f>
        <v>5829180733</v>
      </c>
      <c r="DI21" s="25">
        <f>IF($CU21&gt;=RAF,"",IF($CU21-DI$103&lt;BeginnAlter,"",ROUND(v^($CU21+FaktorAlter)*$L21*$D21*0.5*(VLOOKUP($CU21-DI$103,Männer!$G$9:$J$102,4)+VLOOKUP($CU21-DI$103+1,Männer!$G$9:$J$102,4))*0.5*(VLOOKUP($CU21-DI$103,Männer!$AZ$9:$BD$102,5)+VLOOKUP($CU21-DI$103+1,Männer!$AZ$9:$BD$102,5)),RundDx)))</f>
        <v>5909917914</v>
      </c>
      <c r="DJ21" s="25">
        <f>IF($CU21&gt;=RAF,"",IF($CU21-DJ$103&lt;BeginnAlter,"",ROUND(v^($CU21+FaktorAlter)*$L21*$D21*0.5*(VLOOKUP($CU21-DJ$103,Männer!$G$9:$J$102,4)+VLOOKUP($CU21-DJ$103+1,Männer!$G$9:$J$102,4))*0.5*(VLOOKUP($CU21-DJ$103,Männer!$AZ$9:$BD$102,5)+VLOOKUP($CU21-DJ$103+1,Männer!$AZ$9:$BD$102,5)),RundDx)))</f>
        <v>5989043833</v>
      </c>
      <c r="DK21" s="25">
        <f>IF($CU21&gt;=RAF,"",IF($CU21-DK$103&lt;BeginnAlter,"",ROUND(v^($CU21+FaktorAlter)*$L21*$D21*0.5*(VLOOKUP($CU21-DK$103,Männer!$G$9:$J$102,4)+VLOOKUP($CU21-DK$103+1,Männer!$G$9:$J$102,4))*0.5*(VLOOKUP($CU21-DK$103,Männer!$AZ$9:$BD$102,5)+VLOOKUP($CU21-DK$103+1,Männer!$AZ$9:$BD$102,5)),RundDx)))</f>
        <v>6066532322</v>
      </c>
      <c r="DL21" s="25">
        <f>IF($CU21&gt;=RAF,"",IF($CU21-DL$103&lt;BeginnAlter,"",ROUND(v^($CU21+FaktorAlter)*$L21*$D21*0.5*(VLOOKUP($CU21-DL$103,Männer!$G$9:$J$102,4)+VLOOKUP($CU21-DL$103+1,Männer!$G$9:$J$102,4))*0.5*(VLOOKUP($CU21-DL$103,Männer!$AZ$9:$BD$102,5)+VLOOKUP($CU21-DL$103+1,Männer!$AZ$9:$BD$102,5)),RundDx)))</f>
        <v>6142467470</v>
      </c>
      <c r="DM21" s="25">
        <f>IF($CU21&gt;=RAF,"",IF($CU21-DM$103&lt;BeginnAlter,"",ROUND(v^($CU21+FaktorAlter)*$L21*$D21*0.5*(VLOOKUP($CU21-DM$103,Männer!$G$9:$J$102,4)+VLOOKUP($CU21-DM$103+1,Männer!$G$9:$J$102,4))*0.5*(VLOOKUP($CU21-DM$103,Männer!$AZ$9:$BD$102,5)+VLOOKUP($CU21-DM$103+1,Männer!$AZ$9:$BD$102,5)),RundDx)))</f>
        <v>6216800718</v>
      </c>
      <c r="DN21" s="25">
        <f>IF($CU21&gt;=RAF,"",IF($CU21-DN$103&lt;BeginnAlter,"",ROUND(v^($CU21+FaktorAlter)*$L21*$D21*0.5*(VLOOKUP($CU21-DN$103,Männer!$G$9:$J$102,4)+VLOOKUP($CU21-DN$103+1,Männer!$G$9:$J$102,4))*0.5*(VLOOKUP($CU21-DN$103,Männer!$AZ$9:$BD$102,5)+VLOOKUP($CU21-DN$103+1,Männer!$AZ$9:$BD$102,5)),RundDx)))</f>
        <v>6289729605</v>
      </c>
      <c r="DO21" s="25">
        <f>IF($CU21&gt;=RAF,"",IF($CU21-DO$103&lt;BeginnAlter,"",ROUND(v^($CU21+FaktorAlter)*$L21*$D21*0.5*(VLOOKUP($CU21-DO$103,Männer!$G$9:$J$102,4)+VLOOKUP($CU21-DO$103+1,Männer!$G$9:$J$102,4))*0.5*(VLOOKUP($CU21-DO$103,Männer!$AZ$9:$BD$102,5)+VLOOKUP($CU21-DO$103+1,Männer!$AZ$9:$BD$102,5)),RundDx)))</f>
        <v>6361222178</v>
      </c>
      <c r="DP21" s="25">
        <f>IF($CU21&gt;=RAF,"",IF($CU21-DP$103&lt;BeginnAlter,"",ROUND(v^($CU21+FaktorAlter)*$L21*$D21*0.5*(VLOOKUP($CU21-DP$103,Männer!$G$9:$J$102,4)+VLOOKUP($CU21-DP$103+1,Männer!$G$9:$J$102,4))*0.5*(VLOOKUP($CU21-DP$103,Männer!$AZ$9:$BD$102,5)+VLOOKUP($CU21-DP$103+1,Männer!$AZ$9:$BD$102,5)),RundDx)))</f>
        <v>6431097412</v>
      </c>
      <c r="DQ21" s="25">
        <f>IF($CU21&gt;=RAF,"",IF($CU21-DQ$103&lt;BeginnAlter,"",ROUND(v^($CU21+FaktorAlter)*$L21*$D21*0.5*(VLOOKUP($CU21-DQ$103,Männer!$G$9:$J$102,4)+VLOOKUP($CU21-DQ$103+1,Männer!$G$9:$J$102,4))*0.5*(VLOOKUP($CU21-DQ$103,Männer!$AZ$9:$BD$102,5)+VLOOKUP($CU21-DQ$103+1,Männer!$AZ$9:$BD$102,5)),RundDx)))</f>
        <v>6499673083</v>
      </c>
      <c r="DR21" s="25">
        <f>IF($CU21&gt;=RAF,"",IF($CU21-DR$103&lt;BeginnAlter,"",ROUND(v^($CU21+FaktorAlter)*$L21*$D21*0.5*(VLOOKUP($CU21-DR$103,Männer!$G$9:$J$102,4)+VLOOKUP($CU21-DR$103+1,Männer!$G$9:$J$102,4))*0.5*(VLOOKUP($CU21-DR$103,Männer!$AZ$9:$BD$102,5)+VLOOKUP($CU21-DR$103+1,Männer!$AZ$9:$BD$102,5)),RundDx)))</f>
        <v>6566923567</v>
      </c>
      <c r="DS21" s="25">
        <f>IF($CU21&gt;=RAF,"",IF($CU21-DS$103&lt;BeginnAlter,"",ROUND(v^($CU21+FaktorAlter)*$L21*$D21*0.5*(VLOOKUP($CU21-DS$103,Männer!$G$9:$J$102,4)+VLOOKUP($CU21-DS$103+1,Männer!$G$9:$J$102,4))*0.5*(VLOOKUP($CU21-DS$103,Männer!$AZ$9:$BD$102,5)+VLOOKUP($CU21-DS$103+1,Männer!$AZ$9:$BD$102,5)),RundDx)))</f>
        <v>6632818476</v>
      </c>
      <c r="DT21" s="25">
        <f>IF($CU21&gt;=RAF,"",IF($CU21-DT$103&lt;BeginnAlter,"",ROUND(v^($CU21+FaktorAlter)*$L21*$D21*0.5*(VLOOKUP($CU21-DT$103,Männer!$G$9:$J$102,4)+VLOOKUP($CU21-DT$103+1,Männer!$G$9:$J$102,4))*0.5*(VLOOKUP($CU21-DT$103,Männer!$AZ$9:$BD$102,5)+VLOOKUP($CU21-DT$103+1,Männer!$AZ$9:$BD$102,5)),RundDx)))</f>
        <v>6697395757</v>
      </c>
      <c r="DU21" s="25">
        <f>IF($CU21&gt;=RAF,"",IF($CU21-DU$103&lt;BeginnAlter,"",ROUND(v^($CU21+FaktorAlter)*$L21*$D21*0.5*(VLOOKUP($CU21-DU$103,Männer!$G$9:$J$102,4)+VLOOKUP($CU21-DU$103+1,Männer!$G$9:$J$102,4))*0.5*(VLOOKUP($CU21-DU$103,Männer!$AZ$9:$BD$102,5)+VLOOKUP($CU21-DU$103+1,Männer!$AZ$9:$BD$102,5)),RundDx)))</f>
        <v>6760625377</v>
      </c>
      <c r="DV21" s="25">
        <f>IF($CU21&gt;=RAF,"",IF($CU21-DV$103&lt;BeginnAlter,"",ROUND(v^($CU21+FaktorAlter)*$L21*$D21*0.5*(VLOOKUP($CU21-DV$103,Männer!$G$9:$J$102,4)+VLOOKUP($CU21-DV$103+1,Männer!$G$9:$J$102,4))*0.5*(VLOOKUP($CU21-DV$103,Männer!$AZ$9:$BD$102,5)+VLOOKUP($CU21-DV$103+1,Männer!$AZ$9:$BD$102,5)),RundDx)))</f>
        <v>6822675227</v>
      </c>
      <c r="DW21" s="25">
        <f>IF($CU21&gt;=RAF,"",IF($CU21-DW$103&lt;BeginnAlter,"",ROUND(v^($CU21+FaktorAlter)*$L21*$D21*0.5*(VLOOKUP($CU21-DW$103,Männer!$G$9:$J$102,4)+VLOOKUP($CU21-DW$103+1,Männer!$G$9:$J$102,4))*0.5*(VLOOKUP($CU21-DW$103,Männer!$AZ$9:$BD$102,5)+VLOOKUP($CU21-DW$103+1,Männer!$AZ$9:$BD$102,5)),RundDx)))</f>
        <v>6883411122</v>
      </c>
      <c r="DX21" s="25" t="str">
        <f>IF($CU21&gt;=RAF,"",IF($CU21-DX$103&lt;BeginnAlter,"",ROUND(v^($CU21+FaktorAlter)*$L21*$D21*0.5*(VLOOKUP($CU21-DX$103,Männer!$G$9:$J$102,4)+VLOOKUP($CU21-DX$103+1,Männer!$G$9:$J$102,4))*0.5*(VLOOKUP($CU21-DX$103,Männer!$AZ$9:$BD$102,5)+VLOOKUP($CU21-DX$103+1,Männer!$AZ$9:$BD$102,5)),RundDx)))</f>
        <v/>
      </c>
      <c r="DY21" s="25" t="str">
        <f>IF($CU21&gt;=RAF,"",IF($CU21-DY$103&lt;BeginnAlter,"",ROUND(v^($CU21+FaktorAlter)*$L21*$D21*0.5*(VLOOKUP($CU21-DY$103,Männer!$G$9:$J$102,4)+VLOOKUP($CU21-DY$103+1,Männer!$G$9:$J$102,4))*0.5*(VLOOKUP($CU21-DY$103,Männer!$AZ$9:$BD$102,5)+VLOOKUP($CU21-DY$103+1,Männer!$AZ$9:$BD$102,5)),RundDx)))</f>
        <v/>
      </c>
      <c r="DZ21" s="25" t="str">
        <f>IF($CU21&gt;=RAF,"",IF($CU21-DZ$103&lt;BeginnAlter,"",ROUND(v^($CU21+FaktorAlter)*$L21*$D21*0.5*(VLOOKUP($CU21-DZ$103,Männer!$G$9:$J$102,4)+VLOOKUP($CU21-DZ$103+1,Männer!$G$9:$J$102,4))*0.5*(VLOOKUP($CU21-DZ$103,Männer!$AZ$9:$BD$102,5)+VLOOKUP($CU21-DZ$103+1,Männer!$AZ$9:$BD$102,5)),RundDx)))</f>
        <v/>
      </c>
      <c r="EA21" s="43">
        <f>IF($CU21&gt;=RAF,"",IF($CU21-EA$103&lt;BeginnAlter,"",ROUND((SUM(CV21:CV$56)+SUM(FN$9:FN$56))/VLOOKUP($CU21,$AH$9:$AI$102,2)/VLOOKUP($CU21-EA$103,Männer!$G$9:$J$102,4),Rundäx)))</f>
        <v>6.157</v>
      </c>
      <c r="EB21" s="43">
        <f>IF($CU21&gt;=RAF,"",IF($CU21-EB$103&lt;BeginnAlter,"",ROUND((SUM(CW21:CW$56)+SUM(FO$9:FO$56))/VLOOKUP($CU21,$AH$9:$AI$102,2)/VLOOKUP($CU21-EB$103,Männer!$G$9:$J$102,4),Rundäx)))</f>
        <v>6.3639999999999999</v>
      </c>
      <c r="EC21" s="43">
        <f>IF($CU21&gt;=RAF,"",IF($CU21-EC$103&lt;BeginnAlter,"",ROUND((SUM(CX21:CX$56)+SUM(FP$9:FP$56))/VLOOKUP($CU21,$AH$9:$AI$102,2)/VLOOKUP($CU21-EC$103,Männer!$G$9:$J$102,4),Rundäx)))</f>
        <v>6.5730000000000004</v>
      </c>
      <c r="ED21" s="43">
        <f>IF($CU21&gt;=RAF,"",IF($CU21-ED$103&lt;BeginnAlter,"",ROUND((SUM(CY21:CY$56)+SUM(FQ$9:FQ$56))/VLOOKUP($CU21,$AH$9:$AI$102,2)/VLOOKUP($CU21-ED$103,Männer!$G$9:$J$102,4),Rundäx)))</f>
        <v>6.7809999999999997</v>
      </c>
      <c r="EE21" s="43">
        <f>IF($CU21&gt;=RAF,"",IF($CU21-EE$103&lt;BeginnAlter,"",ROUND((SUM(CZ21:CZ$56)+SUM(FR$9:FR$56))/VLOOKUP($CU21,$AH$9:$AI$102,2)/VLOOKUP($CU21-EE$103,Männer!$G$9:$J$102,4),Rundäx)))</f>
        <v>6.99</v>
      </c>
      <c r="EF21" s="43">
        <f>IF($CU21&gt;=RAF,"",IF($CU21-EF$103&lt;BeginnAlter,"",ROUND((SUM(DA21:DA$56)+SUM(FS$9:FS$56))/VLOOKUP($CU21,$AH$9:$AI$102,2)/VLOOKUP($CU21-EF$103,Männer!$G$9:$J$102,4),Rundäx)))</f>
        <v>7.2</v>
      </c>
      <c r="EG21" s="43">
        <f>IF($CU21&gt;=RAF,"",IF($CU21-EG$103&lt;BeginnAlter,"",ROUND((SUM(DB21:DB$56)+SUM(FT$9:FT$56))/VLOOKUP($CU21,$AH$9:$AI$102,2)/VLOOKUP($CU21-EG$103,Männer!$G$9:$J$102,4),Rundäx)))</f>
        <v>7.4089999999999998</v>
      </c>
      <c r="EH21" s="43">
        <f>IF($CU21&gt;=RAF,"",IF($CU21-EH$103&lt;BeginnAlter,"",ROUND((SUM(DC21:DC$56)+SUM(FU$9:FU$56))/VLOOKUP($CU21,$AH$9:$AI$102,2)/VLOOKUP($CU21-EH$103,Männer!$G$9:$J$102,4),Rundäx)))</f>
        <v>7.62</v>
      </c>
      <c r="EI21" s="89"/>
      <c r="EJ21" s="35">
        <f t="shared" si="61"/>
        <v>29</v>
      </c>
      <c r="EK21" s="43">
        <f>IF($CU21&gt;=RAF,"",IF($CU21-EK$103&lt;BeginnAlter,"",ROUND((SUM(DD21:DD$56)+SUM(FV$9:FV$56))/VLOOKUP($CU21,$AH$9:$AI$102,2)/VLOOKUP($CU21-EK$103,Männer!$G$9:$J$102,4),Rundäx)))</f>
        <v>7.83</v>
      </c>
      <c r="EL21" s="43">
        <f>IF($CU21&gt;=RAF,"",IF($CU21-EL$103&lt;BeginnAlter,"",ROUND((SUM(DE21:DE$56)+SUM(FW$9:FW$56))/VLOOKUP($CU21,$AH$9:$AI$102,2)/VLOOKUP($CU21-EL$103,Männer!$G$9:$J$102,4),Rundäx)))</f>
        <v>8.0410000000000004</v>
      </c>
      <c r="EM21" s="43">
        <f>IF($CU21&gt;=RAF,"",IF($CU21-EM$103&lt;BeginnAlter,"",ROUND((SUM(DF21:DF$56)+SUM(FX$9:FX$56))/VLOOKUP($CU21,$AH$9:$AI$102,2)/VLOOKUP($CU21-EM$103,Männer!$G$9:$J$102,4),Rundäx)))</f>
        <v>8.2530000000000001</v>
      </c>
      <c r="EN21" s="43">
        <f>IF($CU21&gt;=RAF,"",IF($CU21-EN$103&lt;BeginnAlter,"",ROUND((SUM(DG21:DG$56)+SUM(FY$9:FY$56))/VLOOKUP($CU21,$AH$9:$AI$102,2)/VLOOKUP($CU21-EN$103,Männer!$G$9:$J$102,4),Rundäx)))</f>
        <v>8.4649999999999999</v>
      </c>
      <c r="EO21" s="43">
        <f>IF($CU21&gt;=RAF,"",IF($CU21-EO$103&lt;BeginnAlter,"",ROUND((SUM(DH21:DH$56)+SUM(FZ$9:FZ$56))/VLOOKUP($CU21,$AH$9:$AI$102,2)/VLOOKUP($CU21-EO$103,Männer!$G$9:$J$102,4),Rundäx)))</f>
        <v>8.6769999999999996</v>
      </c>
      <c r="EP21" s="43">
        <f>IF($CU21&gt;=RAF,"",IF($CU21-EP$103&lt;BeginnAlter,"",ROUND((SUM(DI21:DI$56)+SUM(GA$9:GA$56))/VLOOKUP($CU21,$AH$9:$AI$102,2)/VLOOKUP($CU21-EP$103,Männer!$G$9:$J$102,4),Rundäx)))</f>
        <v>8.89</v>
      </c>
      <c r="EQ21" s="43">
        <f>IF($CU21&gt;=RAF,"",IF($CU21-EQ$103&lt;BeginnAlter,"",ROUND((SUM(DJ21:DJ$56)+SUM(GB$9:GB$56))/VLOOKUP($CU21,$AH$9:$AI$102,2)/VLOOKUP($CU21-EQ$103,Männer!$G$9:$J$102,4),Rundäx)))</f>
        <v>9.1029999999999998</v>
      </c>
      <c r="ER21" s="43">
        <f>IF($CU21&gt;=RAF,"",IF($CU21-ER$103&lt;BeginnAlter,"",ROUND((SUM(DK21:DK$56)+SUM(GC$9:GC$56))/VLOOKUP($CU21,$AH$9:$AI$102,2)/VLOOKUP($CU21-ER$103,Männer!$G$9:$J$102,4),Rundäx)))</f>
        <v>9.3160000000000007</v>
      </c>
      <c r="ES21" s="89"/>
      <c r="ET21" s="35">
        <f t="shared" si="62"/>
        <v>29</v>
      </c>
      <c r="EU21" s="43">
        <f>IF($CU21&gt;=RAF,"",IF($CU21-EU$103&lt;BeginnAlter,"",ROUND((SUM(DL21:DL$56)+SUM(GD$9:GD$56))/VLOOKUP($CU21,$AH$9:$AI$102,2)/VLOOKUP($CU21-EU$103,Männer!$G$9:$J$102,4),Rundäx)))</f>
        <v>9.5289999999999999</v>
      </c>
      <c r="EV21" s="43">
        <f>IF($CU21&gt;=RAF,"",IF($CU21-EV$103&lt;BeginnAlter,"",ROUND((SUM(DM21:DM$56)+SUM(GE$9:GE$56))/VLOOKUP($CU21,$AH$9:$AI$102,2)/VLOOKUP($CU21-EV$103,Männer!$G$9:$J$102,4),Rundäx)))</f>
        <v>9.7420000000000009</v>
      </c>
      <c r="EW21" s="43">
        <f>IF($CU21&gt;=RAF,"",IF($CU21-EW$103&lt;BeginnAlter,"",ROUND((SUM(DN21:DN$56)+SUM(GF$9:GF$56))/VLOOKUP($CU21,$AH$9:$AI$102,2)/VLOOKUP($CU21-EW$103,Männer!$G$9:$J$102,4),Rundäx)))</f>
        <v>9.9540000000000006</v>
      </c>
      <c r="EX21" s="43">
        <f>IF($CU21&gt;=RAF,"",IF($CU21-EX$103&lt;BeginnAlter,"",ROUND((SUM(DO21:DO$56)+SUM(GG$9:GG$56))/VLOOKUP($CU21,$AH$9:$AI$102,2)/VLOOKUP($CU21-EX$103,Männer!$G$9:$J$102,4),Rundäx)))</f>
        <v>10.164999999999999</v>
      </c>
      <c r="EY21" s="43">
        <f>IF($CU21&gt;=RAF,"",IF($CU21-EY$103&lt;BeginnAlter,"",ROUND((SUM(DP21:DP$56)+SUM(GH$9:GH$56))/VLOOKUP($CU21,$AH$9:$AI$102,2)/VLOOKUP($CU21-EY$103,Männer!$G$9:$J$102,4),Rundäx)))</f>
        <v>10.375999999999999</v>
      </c>
      <c r="EZ21" s="43">
        <f>IF($CU21&gt;=RAF,"",IF($CU21-EZ$103&lt;BeginnAlter,"",ROUND((SUM(DQ21:DQ$56)+SUM(GI$9:GI$56))/VLOOKUP($CU21,$AH$9:$AI$102,2)/VLOOKUP($CU21-EZ$103,Männer!$G$9:$J$102,4),Rundäx)))</f>
        <v>10.585000000000001</v>
      </c>
      <c r="FA21" s="43">
        <f>IF($CU21&gt;=RAF,"",IF($CU21-FA$103&lt;BeginnAlter,"",ROUND((SUM(DR21:DR$56)+SUM(GJ$9:GJ$56))/VLOOKUP($CU21,$AH$9:$AI$102,2)/VLOOKUP($CU21-FA$103,Männer!$G$9:$J$102,4),Rundäx)))</f>
        <v>10.794</v>
      </c>
      <c r="FB21" s="43">
        <f>IF($CU21&gt;=RAF,"",IF($CU21-FB$103&lt;BeginnAlter,"",ROUND((SUM(DS21:DS$56)+SUM(GK$9:GK$56))/VLOOKUP($CU21,$AH$9:$AI$102,2)/VLOOKUP($CU21-FB$103,Männer!$G$9:$J$102,4),Rundäx)))</f>
        <v>11.002000000000001</v>
      </c>
      <c r="FC21" s="89"/>
      <c r="FD21" s="35">
        <f t="shared" si="63"/>
        <v>29</v>
      </c>
      <c r="FE21" s="43">
        <f>IF($CU21&gt;=RAF,"",IF($CU21-FE$103&lt;BeginnAlter,"",ROUND((SUM(DT21:DT$56)+SUM(GL$9:GL$56))/VLOOKUP($CU21,$AH$9:$AI$102,2)/VLOOKUP($CU21-FE$103,Männer!$G$9:$J$102,4),Rundäx)))</f>
        <v>11.209</v>
      </c>
      <c r="FF21" s="43">
        <f>IF($CU21&gt;=RAF,"",IF($CU21-FF$103&lt;BeginnAlter,"",ROUND((SUM(DU21:DU$56)+SUM(GM$9:GM$56))/VLOOKUP($CU21,$AH$9:$AI$102,2)/VLOOKUP($CU21-FF$103,Männer!$G$9:$J$102,4),Rundäx)))</f>
        <v>11.416</v>
      </c>
      <c r="FG21" s="43">
        <f>IF($CU21&gt;=RAF,"",IF($CU21-FG$103&lt;BeginnAlter,"",ROUND((SUM(DV21:DV$56)+SUM(GN$9:GN$56))/VLOOKUP($CU21,$AH$9:$AI$102,2)/VLOOKUP($CU21-FG$103,Männer!$G$9:$J$102,4),Rundäx)))</f>
        <v>11.624000000000001</v>
      </c>
      <c r="FH21" s="43">
        <f>IF($CU21&gt;=RAF,"",IF($CU21-FH$103&lt;BeginnAlter,"",ROUND((SUM(DW21:DW$56)+SUM(GO$9:GO$56))/VLOOKUP($CU21,$AH$9:$AI$102,2)/VLOOKUP($CU21-FH$103,Männer!$G$9:$J$102,4),Rundäx)))</f>
        <v>11.831</v>
      </c>
      <c r="FI21" s="43" t="str">
        <f>IF($CU21&gt;=RAF,"",IF($CU21-FI$103&lt;BeginnAlter,"",ROUND((SUM(DX21:DX$56)+SUM(GP$9:GP$56))/VLOOKUP($CU21,$AH$9:$AI$102,2)/VLOOKUP($CU21-FI$103,Männer!$G$9:$J$102,4),Rundäx)))</f>
        <v/>
      </c>
      <c r="FJ21" s="43" t="str">
        <f>IF($CU21&gt;=RAF,"",IF($CU21-FJ$103&lt;BeginnAlter,"",ROUND((SUM(DY21:DY$56)+SUM(GQ$9:GQ$56))/VLOOKUP($CU21,$AH$9:$AI$102,2)/VLOOKUP($CU21-FJ$103,Männer!$G$9:$J$102,4),Rundäx)))</f>
        <v/>
      </c>
      <c r="FK21" s="43" t="str">
        <f>IF($CU21&gt;=RAF,"",IF($CU21-FK$103&lt;BeginnAlter,"",ROUND((SUM(DZ21:DZ$56)+SUM(GR$9:GR$56))/VLOOKUP($CU21,$AH$9:$AI$102,2)/VLOOKUP($CU21-FK$103,Männer!$G$9:$J$102,4),Rundäx)))</f>
        <v/>
      </c>
      <c r="FL21" s="89"/>
      <c r="FM21" s="35">
        <f t="shared" si="64"/>
        <v>76</v>
      </c>
      <c r="FN21" s="25">
        <f>ROUND(v^($FM21+FaktorAlter)*VLOOKUP($FM21,$G$9:$J$102,4)*VLOOKUP($FM21,$A$9:$E$102,5)*0.5*(VLOOKUP($FM21-FN$103,Männer!$G$9:$J$102,4)+VLOOKUP($FM21-FN$103+1,Männer!$G$9:$J$102,4))*0.5*(VLOOKUP($FM21-FN$103,Männer!$AZ$9:$BD$102,5)+VLOOKUP($FM21-FN$103+1,Männer!$AZ$9:$BD$102,5)),RundDx)</f>
        <v>11372551</v>
      </c>
      <c r="FO21" s="25">
        <f>ROUND(v^($FM21+FaktorAlter)*VLOOKUP($FM21,$G$9:$J$102,4)*VLOOKUP($FM21,$A$9:$E$102,5)*0.5*(VLOOKUP($FM21-FO$103,Männer!$G$9:$J$102,4)+VLOOKUP($FM21-FO$103+1,Männer!$G$9:$J$102,4))*0.5*(VLOOKUP($FM21-FO$103,Männer!$AZ$9:$BD$102,5)+VLOOKUP($FM21-FO$103+1,Männer!$AZ$9:$BD$102,5)),RundDx)</f>
        <v>15531870</v>
      </c>
      <c r="FP21" s="25">
        <f>ROUND(v^($FM21+FaktorAlter)*VLOOKUP($FM21,$G$9:$J$102,4)*VLOOKUP($FM21,$A$9:$E$102,5)*0.5*(VLOOKUP($FM21-FP$103,Männer!$G$9:$J$102,4)+VLOOKUP($FM21-FP$103+1,Männer!$G$9:$J$102,4))*0.5*(VLOOKUP($FM21-FP$103,Männer!$AZ$9:$BD$102,5)+VLOOKUP($FM21-FP$103+1,Männer!$AZ$9:$BD$102,5)),RundDx)</f>
        <v>20577182</v>
      </c>
      <c r="FQ21" s="25">
        <f>ROUND(v^($FM21+FaktorAlter)*VLOOKUP($FM21,$G$9:$J$102,4)*VLOOKUP($FM21,$A$9:$E$102,5)*0.5*(VLOOKUP($FM21-FQ$103,Männer!$G$9:$J$102,4)+VLOOKUP($FM21-FQ$103+1,Männer!$G$9:$J$102,4))*0.5*(VLOOKUP($FM21-FQ$103,Männer!$AZ$9:$BD$102,5)+VLOOKUP($FM21-FQ$103+1,Männer!$AZ$9:$BD$102,5)),RundDx)</f>
        <v>26537521</v>
      </c>
      <c r="FR21" s="25">
        <f>ROUND(v^($FM21+FaktorAlter)*VLOOKUP($FM21,$G$9:$J$102,4)*VLOOKUP($FM21,$A$9:$E$102,5)*0.5*(VLOOKUP($FM21-FR$103,Männer!$G$9:$J$102,4)+VLOOKUP($FM21-FR$103+1,Männer!$G$9:$J$102,4))*0.5*(VLOOKUP($FM21-FR$103,Männer!$AZ$9:$BD$102,5)+VLOOKUP($FM21-FR$103+1,Männer!$AZ$9:$BD$102,5)),RundDx)</f>
        <v>33391098</v>
      </c>
      <c r="FS21" s="25">
        <f>ROUND(v^($FM21+FaktorAlter)*VLOOKUP($FM21,$G$9:$J$102,4)*VLOOKUP($FM21,$A$9:$E$102,5)*0.5*(VLOOKUP($FM21-FS$103,Männer!$G$9:$J$102,4)+VLOOKUP($FM21-FS$103+1,Männer!$G$9:$J$102,4))*0.5*(VLOOKUP($FM21-FS$103,Männer!$AZ$9:$BD$102,5)+VLOOKUP($FM21-FS$103+1,Männer!$AZ$9:$BD$102,5)),RundDx)</f>
        <v>41094591</v>
      </c>
      <c r="FT21" s="25">
        <f>ROUND(v^($FM21+FaktorAlter)*VLOOKUP($FM21,$G$9:$J$102,4)*VLOOKUP($FM21,$A$9:$E$102,5)*0.5*(VLOOKUP($FM21-FT$103,Männer!$G$9:$J$102,4)+VLOOKUP($FM21-FT$103+1,Männer!$G$9:$J$102,4))*0.5*(VLOOKUP($FM21-FT$103,Männer!$AZ$9:$BD$102,5)+VLOOKUP($FM21-FT$103+1,Männer!$AZ$9:$BD$102,5)),RundDx)</f>
        <v>49626044</v>
      </c>
      <c r="FU21" s="25">
        <f>ROUND(v^($FM21+FaktorAlter)*VLOOKUP($FM21,$G$9:$J$102,4)*VLOOKUP($FM21,$A$9:$E$102,5)*0.5*(VLOOKUP($FM21-FU$103,Männer!$G$9:$J$102,4)+VLOOKUP($FM21-FU$103+1,Männer!$G$9:$J$102,4))*0.5*(VLOOKUP($FM21-FU$103,Männer!$AZ$9:$BD$102,5)+VLOOKUP($FM21-FU$103+1,Männer!$AZ$9:$BD$102,5)),RundDx)</f>
        <v>58956616</v>
      </c>
      <c r="FV21" s="25">
        <f>ROUND(v^($FM21+FaktorAlter)*VLOOKUP($FM21,$G$9:$J$102,4)*VLOOKUP($FM21,$A$9:$E$102,5)*0.5*(VLOOKUP($FM21-FV$103,Männer!$G$9:$J$102,4)+VLOOKUP($FM21-FV$103+1,Männer!$G$9:$J$102,4))*0.5*(VLOOKUP($FM21-FV$103,Männer!$AZ$9:$BD$102,5)+VLOOKUP($FM21-FV$103+1,Männer!$AZ$9:$BD$102,5)),RundDx)</f>
        <v>69038171</v>
      </c>
      <c r="FW21" s="25">
        <f>ROUND(v^($FM21+FaktorAlter)*VLOOKUP($FM21,$G$9:$J$102,4)*VLOOKUP($FM21,$A$9:$E$102,5)*0.5*(VLOOKUP($FM21-FW$103,Männer!$G$9:$J$102,4)+VLOOKUP($FM21-FW$103+1,Männer!$G$9:$J$102,4))*0.5*(VLOOKUP($FM21-FW$103,Männer!$AZ$9:$BD$102,5)+VLOOKUP($FM21-FW$103+1,Männer!$AZ$9:$BD$102,5)),RundDx)</f>
        <v>79832862</v>
      </c>
      <c r="FX21" s="25">
        <f>ROUND(v^($FM21+FaktorAlter)*VLOOKUP($FM21,$G$9:$J$102,4)*VLOOKUP($FM21,$A$9:$E$102,5)*0.5*(VLOOKUP($FM21-FX$103,Männer!$G$9:$J$102,4)+VLOOKUP($FM21-FX$103+1,Männer!$G$9:$J$102,4))*0.5*(VLOOKUP($FM21-FX$103,Männer!$AZ$9:$BD$102,5)+VLOOKUP($FM21-FX$103+1,Männer!$AZ$9:$BD$102,5)),RundDx)</f>
        <v>91297001</v>
      </c>
      <c r="FY21" s="25">
        <f>ROUND(v^($FM21+FaktorAlter)*VLOOKUP($FM21,$G$9:$J$102,4)*VLOOKUP($FM21,$A$9:$E$102,5)*0.5*(VLOOKUP($FM21-FY$103,Männer!$G$9:$J$102,4)+VLOOKUP($FM21-FY$103+1,Männer!$G$9:$J$102,4))*0.5*(VLOOKUP($FM21-FY$103,Männer!$AZ$9:$BD$102,5)+VLOOKUP($FM21-FY$103+1,Männer!$AZ$9:$BD$102,5)),RundDx)</f>
        <v>103370074</v>
      </c>
      <c r="FZ21" s="25">
        <f>ROUND(v^($FM21+FaktorAlter)*VLOOKUP($FM21,$G$9:$J$102,4)*VLOOKUP($FM21,$A$9:$E$102,5)*0.5*(VLOOKUP($FM21-FZ$103,Männer!$G$9:$J$102,4)+VLOOKUP($FM21-FZ$103+1,Männer!$G$9:$J$102,4))*0.5*(VLOOKUP($FM21-FZ$103,Männer!$AZ$9:$BD$102,5)+VLOOKUP($FM21-FZ$103+1,Männer!$AZ$9:$BD$102,5)),RundDx)</f>
        <v>115994095</v>
      </c>
      <c r="GA21" s="25">
        <f>ROUND(v^($FM21+FaktorAlter)*VLOOKUP($FM21,$G$9:$J$102,4)*VLOOKUP($FM21,$A$9:$E$102,5)*0.5*(VLOOKUP($FM21-GA$103,Männer!$G$9:$J$102,4)+VLOOKUP($FM21-GA$103+1,Männer!$G$9:$J$102,4))*0.5*(VLOOKUP($FM21-GA$103,Männer!$AZ$9:$BD$102,5)+VLOOKUP($FM21-GA$103+1,Männer!$AZ$9:$BD$102,5)),RundDx)</f>
        <v>129108184</v>
      </c>
      <c r="GB21" s="25">
        <f>ROUND(v^($FM21+FaktorAlter)*VLOOKUP($FM21,$G$9:$J$102,4)*VLOOKUP($FM21,$A$9:$E$102,5)*0.5*(VLOOKUP($FM21-GB$103,Männer!$G$9:$J$102,4)+VLOOKUP($FM21-GB$103+1,Männer!$G$9:$J$102,4))*0.5*(VLOOKUP($FM21-GB$103,Männer!$AZ$9:$BD$102,5)+VLOOKUP($FM21-GB$103+1,Männer!$AZ$9:$BD$102,5)),RundDx)</f>
        <v>142646848</v>
      </c>
      <c r="GC21" s="25">
        <f>ROUND(v^($FM21+FaktorAlter)*VLOOKUP($FM21,$G$9:$J$102,4)*VLOOKUP($FM21,$A$9:$E$102,5)*0.5*(VLOOKUP($FM21-GC$103,Männer!$G$9:$J$102,4)+VLOOKUP($FM21-GC$103+1,Männer!$G$9:$J$102,4))*0.5*(VLOOKUP($FM21-GC$103,Männer!$AZ$9:$BD$102,5)+VLOOKUP($FM21-GC$103+1,Männer!$AZ$9:$BD$102,5)),RundDx)</f>
        <v>156537284</v>
      </c>
      <c r="GD21" s="25">
        <f>ROUND(v^($FM21+FaktorAlter)*VLOOKUP($FM21,$G$9:$J$102,4)*VLOOKUP($FM21,$A$9:$E$102,5)*0.5*(VLOOKUP($FM21-GD$103,Männer!$G$9:$J$102,4)+VLOOKUP($FM21-GD$103+1,Männer!$G$9:$J$102,4))*0.5*(VLOOKUP($FM21-GD$103,Männer!$AZ$9:$BD$102,5)+VLOOKUP($FM21-GD$103+1,Männer!$AZ$9:$BD$102,5)),RundDx)</f>
        <v>170690792</v>
      </c>
      <c r="GE21" s="25">
        <f>ROUND(v^($FM21+FaktorAlter)*VLOOKUP($FM21,$G$9:$J$102,4)*VLOOKUP($FM21,$A$9:$E$102,5)*0.5*(VLOOKUP($FM21-GE$103,Männer!$G$9:$J$102,4)+VLOOKUP($FM21-GE$103+1,Männer!$G$9:$J$102,4))*0.5*(VLOOKUP($FM21-GE$103,Männer!$AZ$9:$BD$102,5)+VLOOKUP($FM21-GE$103+1,Männer!$AZ$9:$BD$102,5)),RundDx)</f>
        <v>185041332</v>
      </c>
      <c r="GF21" s="25">
        <f>ROUND(v^($FM21+FaktorAlter)*VLOOKUP($FM21,$G$9:$J$102,4)*VLOOKUP($FM21,$A$9:$E$102,5)*0.5*(VLOOKUP($FM21-GF$103,Männer!$G$9:$J$102,4)+VLOOKUP($FM21-GF$103+1,Männer!$G$9:$J$102,4))*0.5*(VLOOKUP($FM21-GF$103,Männer!$AZ$9:$BD$102,5)+VLOOKUP($FM21-GF$103+1,Männer!$AZ$9:$BD$102,5)),RundDx)</f>
        <v>199507044</v>
      </c>
      <c r="GG21" s="25">
        <f>ROUND(v^($FM21+FaktorAlter)*VLOOKUP($FM21,$G$9:$J$102,4)*VLOOKUP($FM21,$A$9:$E$102,5)*0.5*(VLOOKUP($FM21-GG$103,Männer!$G$9:$J$102,4)+VLOOKUP($FM21-GG$103+1,Männer!$G$9:$J$102,4))*0.5*(VLOOKUP($FM21-GG$103,Männer!$AZ$9:$BD$102,5)+VLOOKUP($FM21-GG$103+1,Männer!$AZ$9:$BD$102,5)),RundDx)</f>
        <v>214080477</v>
      </c>
      <c r="GH21" s="25">
        <f>ROUND(v^($FM21+FaktorAlter)*VLOOKUP($FM21,$G$9:$J$102,4)*VLOOKUP($FM21,$A$9:$E$102,5)*0.5*(VLOOKUP($FM21-GH$103,Männer!$G$9:$J$102,4)+VLOOKUP($FM21-GH$103+1,Männer!$G$9:$J$102,4))*0.5*(VLOOKUP($FM21-GH$103,Männer!$AZ$9:$BD$102,5)+VLOOKUP($FM21-GH$103+1,Männer!$AZ$9:$BD$102,5)),RundDx)</f>
        <v>228743611</v>
      </c>
      <c r="GI21" s="25">
        <f>ROUND(v^($FM21+FaktorAlter)*VLOOKUP($FM21,$G$9:$J$102,4)*VLOOKUP($FM21,$A$9:$E$102,5)*0.5*(VLOOKUP($FM21-GI$103,Männer!$G$9:$J$102,4)+VLOOKUP($FM21-GI$103+1,Männer!$G$9:$J$102,4))*0.5*(VLOOKUP($FM21-GI$103,Männer!$AZ$9:$BD$102,5)+VLOOKUP($FM21-GI$103+1,Männer!$AZ$9:$BD$102,5)),RundDx)</f>
        <v>243427188</v>
      </c>
      <c r="GJ21" s="25">
        <f>ROUND(v^($FM21+FaktorAlter)*VLOOKUP($FM21,$G$9:$J$102,4)*VLOOKUP($FM21,$A$9:$E$102,5)*0.5*(VLOOKUP($FM21-GJ$103,Männer!$G$9:$J$102,4)+VLOOKUP($FM21-GJ$103+1,Männer!$G$9:$J$102,4))*0.5*(VLOOKUP($FM21-GJ$103,Männer!$AZ$9:$BD$102,5)+VLOOKUP($FM21-GJ$103+1,Männer!$AZ$9:$BD$102,5)),RundDx)</f>
        <v>258122418</v>
      </c>
      <c r="GK21" s="25">
        <f>ROUND(v^($FM21+FaktorAlter)*VLOOKUP($FM21,$G$9:$J$102,4)*VLOOKUP($FM21,$A$9:$E$102,5)*0.5*(VLOOKUP($FM21-GK$103,Männer!$G$9:$J$102,4)+VLOOKUP($FM21-GK$103+1,Männer!$G$9:$J$102,4))*0.5*(VLOOKUP($FM21-GK$103,Männer!$AZ$9:$BD$102,5)+VLOOKUP($FM21-GK$103+1,Männer!$AZ$9:$BD$102,5)),RundDx)</f>
        <v>272881421</v>
      </c>
      <c r="GL21" s="25">
        <f>ROUND(v^($FM21+FaktorAlter)*VLOOKUP($FM21,$G$9:$J$102,4)*VLOOKUP($FM21,$A$9:$E$102,5)*0.5*(VLOOKUP($FM21-GL$103,Männer!$G$9:$J$102,4)+VLOOKUP($FM21-GL$103+1,Männer!$G$9:$J$102,4))*0.5*(VLOOKUP($FM21-GL$103,Männer!$AZ$9:$BD$102,5)+VLOOKUP($FM21-GL$103+1,Männer!$AZ$9:$BD$102,5)),RundDx)</f>
        <v>287746765</v>
      </c>
      <c r="GM21" s="25">
        <f>ROUND(v^($FM21+FaktorAlter)*VLOOKUP($FM21,$G$9:$J$102,4)*VLOOKUP($FM21,$A$9:$E$102,5)*0.5*(VLOOKUP($FM21-GM$103,Männer!$G$9:$J$102,4)+VLOOKUP($FM21-GM$103+1,Männer!$G$9:$J$102,4))*0.5*(VLOOKUP($FM21-GM$103,Männer!$AZ$9:$BD$102,5)+VLOOKUP($FM21-GM$103+1,Männer!$AZ$9:$BD$102,5)),RundDx)</f>
        <v>302681751</v>
      </c>
      <c r="GN21" s="25">
        <f>ROUND(v^($FM21+FaktorAlter)*VLOOKUP($FM21,$G$9:$J$102,4)*VLOOKUP($FM21,$A$9:$E$102,5)*0.5*(VLOOKUP($FM21-GN$103,Männer!$G$9:$J$102,4)+VLOOKUP($FM21-GN$103+1,Männer!$G$9:$J$102,4))*0.5*(VLOOKUP($FM21-GN$103,Männer!$AZ$9:$BD$102,5)+VLOOKUP($FM21-GN$103+1,Männer!$AZ$9:$BD$102,5)),RundDx)</f>
        <v>317722753</v>
      </c>
      <c r="GO21" s="25">
        <f>ROUND(v^($FM21+FaktorAlter)*VLOOKUP($FM21,$G$9:$J$102,4)*VLOOKUP($FM21,$A$9:$E$102,5)*0.5*(VLOOKUP($FM21-GO$103,Männer!$G$9:$J$102,4)+VLOOKUP($FM21-GO$103+1,Männer!$G$9:$J$102,4))*0.5*(VLOOKUP($FM21-GO$103,Männer!$AZ$9:$BD$102,5)+VLOOKUP($FM21-GO$103+1,Männer!$AZ$9:$BD$102,5)),RundDx)</f>
        <v>332946541</v>
      </c>
      <c r="GP21" s="25">
        <f>ROUND(v^($FM21+FaktorAlter)*VLOOKUP($FM21,$G$9:$J$102,4)*VLOOKUP($FM21,$A$9:$E$102,5)*0.5*(VLOOKUP($FM21-GP$103,Männer!$G$9:$J$102,4)+VLOOKUP($FM21-GP$103+1,Männer!$G$9:$J$102,4))*0.5*(VLOOKUP($FM21-GP$103,Männer!$AZ$9:$BD$102,5)+VLOOKUP($FM21-GP$103+1,Männer!$AZ$9:$BD$102,5)),RundDx)</f>
        <v>348381973</v>
      </c>
      <c r="GQ21" s="25">
        <f>ROUND(v^($FM21+FaktorAlter)*VLOOKUP($FM21,$G$9:$J$102,4)*VLOOKUP($FM21,$A$9:$E$102,5)*0.5*(VLOOKUP($FM21-GQ$103,Männer!$G$9:$J$102,4)+VLOOKUP($FM21-GQ$103+1,Männer!$G$9:$J$102,4))*0.5*(VLOOKUP($FM21-GQ$103,Männer!$AZ$9:$BD$102,5)+VLOOKUP($FM21-GQ$103+1,Männer!$AZ$9:$BD$102,5)),RundDx)</f>
        <v>364066267</v>
      </c>
      <c r="GR21" s="25">
        <f>ROUND(v^($FM21+FaktorAlter)*VLOOKUP($FM21,$G$9:$J$102,4)*VLOOKUP($FM21,$A$9:$E$102,5)*0.5*(VLOOKUP($FM21-GR$103,Männer!$G$9:$J$102,4)+VLOOKUP($FM21-GR$103+1,Männer!$G$9:$J$102,4))*0.5*(VLOOKUP($FM21-GR$103,Männer!$AZ$9:$BD$102,5)+VLOOKUP($FM21-GR$103+1,Männer!$AZ$9:$BD$102,5)),RundDx)</f>
        <v>380022804</v>
      </c>
      <c r="GS21" s="24">
        <f>ROUND(SUM(FN21:FN$56)/VLOOKUP($FM21,$AQ$9:$AR$102,2)/VLOOKUP($FM21-GS$103,Männer!$G$9:$J$102,4),Rundäx)</f>
        <v>0.185</v>
      </c>
      <c r="GT21" s="24">
        <f>ROUND(SUM(FO21:FO$56)/VLOOKUP($FM21,$AQ$9:$AR$102,2)/VLOOKUP($FM21-GT$103,Männer!$G$9:$J$102,4),Rundäx)</f>
        <v>0.22600000000000001</v>
      </c>
      <c r="GU21" s="24">
        <f>ROUND(SUM(FP21:FP$56)/VLOOKUP($FM21,$AQ$9:$AR$102,2)/VLOOKUP($FM21-GU$103,Männer!$G$9:$J$102,4),Rundäx)</f>
        <v>0.27400000000000002</v>
      </c>
      <c r="GV21" s="24">
        <f>ROUND(SUM(FQ21:FQ$56)/VLOOKUP($FM21,$AQ$9:$AR$102,2)/VLOOKUP($FM21-GV$103,Männer!$G$9:$J$102,4),Rundäx)</f>
        <v>0.33</v>
      </c>
      <c r="GW21" s="24">
        <f>ROUND(SUM(FR21:FR$56)/VLOOKUP($FM21,$AQ$9:$AR$102,2)/VLOOKUP($FM21-GW$103,Männer!$G$9:$J$102,4),Rundäx)</f>
        <v>0.39600000000000002</v>
      </c>
      <c r="GX21" s="24">
        <f>ROUND(SUM(FS21:FS$56)/VLOOKUP($FM21,$AQ$9:$AR$102,2)/VLOOKUP($FM21-GX$103,Männer!$G$9:$J$102,4),Rundäx)</f>
        <v>0.47099999999999997</v>
      </c>
      <c r="GY21" s="24">
        <f>ROUND(SUM(FT21:FT$56)/VLOOKUP($FM21,$AQ$9:$AR$102,2)/VLOOKUP($FM21-GY$103,Männer!$G$9:$J$102,4),Rundäx)</f>
        <v>0.55700000000000005</v>
      </c>
      <c r="GZ21" s="24">
        <f>ROUND(SUM(FU21:FU$56)/VLOOKUP($FM21,$AQ$9:$AR$102,2)/VLOOKUP($FM21-GZ$103,Männer!$G$9:$J$102,4),Rundäx)</f>
        <v>0.65400000000000003</v>
      </c>
      <c r="HA21" s="89"/>
      <c r="HB21" s="35">
        <f t="shared" si="65"/>
        <v>76</v>
      </c>
      <c r="HC21" s="24">
        <f>ROUND(SUM(FV21:FV$56)/VLOOKUP($FM21,$AQ$9:$AR$102,2)/VLOOKUP($FM21-HC$103,Männer!$G$9:$J$102,4),Rundäx)</f>
        <v>0.76400000000000001</v>
      </c>
      <c r="HD21" s="24">
        <f>ROUND(SUM(FW21:FW$56)/VLOOKUP($FM21,$AQ$9:$AR$102,2)/VLOOKUP($FM21-HD$103,Männer!$G$9:$J$102,4),Rundäx)</f>
        <v>0.88600000000000001</v>
      </c>
      <c r="HE21" s="24">
        <f>ROUND(SUM(FX21:FX$56)/VLOOKUP($FM21,$AQ$9:$AR$102,2)/VLOOKUP($FM21-HE$103,Männer!$G$9:$J$102,4),Rundäx)</f>
        <v>1.0209999999999999</v>
      </c>
      <c r="HF21" s="24">
        <f>ROUND(SUM(FY21:FY$56)/VLOOKUP($FM21,$AQ$9:$AR$102,2)/VLOOKUP($FM21-HF$103,Männer!$G$9:$J$102,4),Rundäx)</f>
        <v>1.17</v>
      </c>
      <c r="HG21" s="24">
        <f>ROUND(SUM(FZ21:FZ$56)/VLOOKUP($FM21,$AQ$9:$AR$102,2)/VLOOKUP($FM21-HG$103,Männer!$G$9:$J$102,4),Rundäx)</f>
        <v>1.3320000000000001</v>
      </c>
      <c r="HH21" s="24">
        <f>ROUND(SUM(GA21:GA$56)/VLOOKUP($FM21,$AQ$9:$AR$102,2)/VLOOKUP($FM21-HH$103,Männer!$G$9:$J$102,4),Rundäx)</f>
        <v>1.5089999999999999</v>
      </c>
      <c r="HI21" s="24">
        <f>ROUND(SUM(GB21:GB$56)/VLOOKUP($FM21,$AQ$9:$AR$102,2)/VLOOKUP($FM21-HI$103,Männer!$G$9:$J$102,4),Rundäx)</f>
        <v>1.6990000000000001</v>
      </c>
      <c r="HJ21" s="24">
        <f>ROUND(SUM(GC21:GC$56)/VLOOKUP($FM21,$AQ$9:$AR$102,2)/VLOOKUP($FM21-HJ$103,Männer!$G$9:$J$102,4),Rundäx)</f>
        <v>1.903</v>
      </c>
      <c r="HK21" s="89"/>
      <c r="HL21" s="35">
        <f t="shared" si="66"/>
        <v>76</v>
      </c>
      <c r="HM21" s="24">
        <f>ROUND(SUM(GD21:GD$56)/VLOOKUP($FM21,$AQ$9:$AR$102,2)/VLOOKUP($FM21-HM$103,Männer!$G$9:$J$102,4),Rundäx)</f>
        <v>2.12</v>
      </c>
      <c r="HN21" s="24">
        <f>ROUND(SUM(GE21:GE$56)/VLOOKUP($FM21,$AQ$9:$AR$102,2)/VLOOKUP($FM21-HN$103,Männer!$G$9:$J$102,4),Rundäx)</f>
        <v>2.351</v>
      </c>
      <c r="HO21" s="24">
        <f>ROUND(SUM(GF21:GF$56)/VLOOKUP($FM21,$AQ$9:$AR$102,2)/VLOOKUP($FM21-HO$103,Männer!$G$9:$J$102,4),Rundäx)</f>
        <v>2.5960000000000001</v>
      </c>
      <c r="HP21" s="24">
        <f>ROUND(SUM(GG21:GG$56)/VLOOKUP($FM21,$AQ$9:$AR$102,2)/VLOOKUP($FM21-HP$103,Männer!$G$9:$J$102,4),Rundäx)</f>
        <v>2.8519999999999999</v>
      </c>
      <c r="HQ21" s="24">
        <f>ROUND(SUM(GH21:GH$56)/VLOOKUP($FM21,$AQ$9:$AR$102,2)/VLOOKUP($FM21-HQ$103,Männer!$G$9:$J$102,4),Rundäx)</f>
        <v>3.1190000000000002</v>
      </c>
      <c r="HR21" s="24">
        <f>ROUND(SUM(GI21:GI$56)/VLOOKUP($FM21,$AQ$9:$AR$102,2)/VLOOKUP($FM21-HR$103,Männer!$G$9:$J$102,4),Rundäx)</f>
        <v>3.3980000000000001</v>
      </c>
      <c r="HS21" s="24">
        <f>ROUND(SUM(GJ21:GJ$56)/VLOOKUP($FM21,$AQ$9:$AR$102,2)/VLOOKUP($FM21-HS$103,Männer!$G$9:$J$102,4),Rundäx)</f>
        <v>3.6869999999999998</v>
      </c>
      <c r="HT21" s="24">
        <f>ROUND(SUM(GK21:GK$56)/VLOOKUP($FM21,$AQ$9:$AR$102,2)/VLOOKUP($FM21-HT$103,Männer!$G$9:$J$102,4),Rundäx)</f>
        <v>3.984</v>
      </c>
      <c r="HU21" s="89"/>
      <c r="HV21" s="35">
        <f t="shared" si="67"/>
        <v>76</v>
      </c>
      <c r="HW21" s="24">
        <f>ROUND(SUM(GL21:GL$56)/VLOOKUP($FM21,$AQ$9:$AR$102,2)/VLOOKUP($FM21-HW$103,Männer!$G$9:$J$102,4),Rundäx)</f>
        <v>4.29</v>
      </c>
      <c r="HX21" s="24">
        <f>ROUND(SUM(GM21:GM$56)/VLOOKUP($FM21,$AQ$9:$AR$102,2)/VLOOKUP($FM21-HX$103,Männer!$G$9:$J$102,4),Rundäx)</f>
        <v>4.6029999999999998</v>
      </c>
      <c r="HY21" s="24">
        <f>ROUND(SUM(GN21:GN$56)/VLOOKUP($FM21,$AQ$9:$AR$102,2)/VLOOKUP($FM21-HY$103,Männer!$G$9:$J$102,4),Rundäx)</f>
        <v>4.9240000000000004</v>
      </c>
      <c r="HZ21" s="24">
        <f>ROUND(SUM(GO21:GO$56)/VLOOKUP($FM21,$AQ$9:$AR$102,2)/VLOOKUP($FM21-HZ$103,Männer!$G$9:$J$102,4),Rundäx)</f>
        <v>5.25</v>
      </c>
      <c r="IA21" s="24">
        <f>ROUND(SUM(GP21:GP$56)/VLOOKUP($FM21,$AQ$9:$AR$102,2)/VLOOKUP($FM21-IA$103,Männer!$G$9:$J$102,4),Rundäx)</f>
        <v>5.5830000000000002</v>
      </c>
      <c r="IB21" s="24">
        <f>ROUND(SUM(GQ21:GQ$56)/VLOOKUP($FM21,$AQ$9:$AR$102,2)/VLOOKUP($FM21-IB$103,Männer!$G$9:$J$102,4),Rundäx)</f>
        <v>5.9210000000000003</v>
      </c>
      <c r="IC21" s="24">
        <f>ROUND(SUM(GR21:GR$56)/VLOOKUP($FM21,$AQ$9:$AR$102,2)/VLOOKUP($FM21-IC$103,Männer!$G$9:$J$102,4),Rundäx)</f>
        <v>6.266</v>
      </c>
      <c r="ID21" s="89"/>
      <c r="IE21" s="9">
        <f t="shared" si="68"/>
        <v>29</v>
      </c>
      <c r="IF21" s="11">
        <f t="shared" si="25"/>
        <v>207</v>
      </c>
      <c r="IG21" s="11">
        <f>IF($IE21&lt;RAF,IF(S22&lt;=RAK,ROUND(SUM(IF21:INDEX(Daky,RAF-BeginnAlter))+INDEX(Day,RAF-BeginnAlter+1)*INDEX(äky,1),RundDx),0),"")</f>
        <v>5606</v>
      </c>
      <c r="IH21" s="11">
        <f>IF($IE21&lt;RAF,IF(S22&lt;=RAK,ROUND(SUM(IG21:INDEX(Naky,RAF-BeginnAlter))+INDEX(Day,RAF-BeginnAlter+1)*INDEX(äky,1),RundDx),0),"")</f>
        <v>58853</v>
      </c>
      <c r="II21" s="10">
        <f t="shared" si="26"/>
        <v>0.108</v>
      </c>
      <c r="IJ21" s="11">
        <f t="shared" si="27"/>
        <v>6533</v>
      </c>
      <c r="IK21" s="11">
        <f>IF($IE21&lt;RAF,IF(S22&lt;=RAK,SUM(IJ21:INDEX(Diky,RAF-BeginnAlter))+INDEX(Diy,RAF-BeginnAlter+1)*INDEX(äky,1),0),"")</f>
        <v>212148</v>
      </c>
      <c r="IL21" s="10">
        <f t="shared" si="28"/>
        <v>2.1280000000000001</v>
      </c>
      <c r="IM21" s="89"/>
      <c r="IN21" s="9">
        <f t="shared" si="29"/>
        <v>76</v>
      </c>
      <c r="IO21" s="11"/>
      <c r="IP21" s="11"/>
      <c r="IQ21" s="10"/>
      <c r="IR21" s="86"/>
    </row>
    <row r="22" spans="1:252" ht="15.75" customHeight="1" x14ac:dyDescent="0.25">
      <c r="A22" s="9">
        <f t="shared" si="4"/>
        <v>30</v>
      </c>
      <c r="B22" s="93">
        <v>3.7112379833631633E-4</v>
      </c>
      <c r="C22" s="93">
        <v>1.4810157334213129E-3</v>
      </c>
      <c r="D22" s="93">
        <v>2.2002249949269137E-2</v>
      </c>
      <c r="E22" s="93">
        <v>5.320644099104932E-4</v>
      </c>
      <c r="F22" s="89"/>
      <c r="G22" s="9">
        <f t="shared" si="5"/>
        <v>30</v>
      </c>
      <c r="H22" s="11">
        <f t="shared" si="30"/>
        <v>98940</v>
      </c>
      <c r="I22" s="25">
        <f t="shared" si="31"/>
        <v>672</v>
      </c>
      <c r="J22" s="25">
        <f t="shared" si="32"/>
        <v>99612</v>
      </c>
      <c r="K22" s="30">
        <f>IF(J22&gt;0,ROUND(SUM(J22:J$102)/J22-0.5,Rundex),"")</f>
        <v>52.3</v>
      </c>
      <c r="L22" s="25">
        <f t="shared" si="6"/>
        <v>185977</v>
      </c>
      <c r="M22" s="30">
        <f>IF(L22&gt;0,ROUND(SUM(L22:L$102)/L22-0.5,Rundex),"")</f>
        <v>34.42</v>
      </c>
      <c r="N22" s="89"/>
      <c r="O22" s="9">
        <f t="shared" si="49"/>
        <v>30</v>
      </c>
      <c r="P22" s="94">
        <v>0.14099999999999999</v>
      </c>
      <c r="Q22" s="95">
        <v>33.829529395052489</v>
      </c>
      <c r="R22" s="94">
        <v>0.19</v>
      </c>
      <c r="S22" s="95">
        <v>0.6</v>
      </c>
      <c r="T22" s="28">
        <v>5.320644099104932E-4</v>
      </c>
      <c r="U22" s="11">
        <f t="shared" si="33"/>
        <v>99612</v>
      </c>
      <c r="V22" s="30">
        <f>IF(U22&gt;0,ROUND(SUM(U22:U$102)/U22-0.5,Rundex),"")</f>
        <v>53.59</v>
      </c>
      <c r="W22" s="89"/>
      <c r="X22" s="9">
        <f t="shared" si="50"/>
        <v>30</v>
      </c>
      <c r="Y22" s="11">
        <f t="shared" si="34"/>
        <v>50754</v>
      </c>
      <c r="Z22" s="11">
        <f>IF($X22&lt;RAF,SUM(Y22:INDEX(Day,RAF-BeginnAlter))," ")</f>
        <v>1139795</v>
      </c>
      <c r="AA22" s="11">
        <f t="shared" si="0"/>
        <v>19</v>
      </c>
      <c r="AB22" s="11">
        <f>IF($X22&lt;RAF,SUM(AA22:INDEX(Cay,RAF-BeginnAlter))," ")</f>
        <v>1293</v>
      </c>
      <c r="AC22" s="11">
        <f t="shared" si="1"/>
        <v>74</v>
      </c>
      <c r="AD22" s="11">
        <f>IF($X22&lt;RAF,SUM(AC22:INDEX(Caiy,RAF-BeginnAlter))," ")</f>
        <v>8113</v>
      </c>
      <c r="AE22" s="10">
        <f t="shared" si="35"/>
        <v>22.457000000000001</v>
      </c>
      <c r="AF22" s="10">
        <f t="shared" si="36"/>
        <v>22.146999999999998</v>
      </c>
      <c r="AG22" s="89"/>
      <c r="AH22" s="9">
        <f t="shared" si="51"/>
        <v>30</v>
      </c>
      <c r="AI22" s="11">
        <f t="shared" si="37"/>
        <v>95402</v>
      </c>
      <c r="AJ22" s="11">
        <f>IF($AH22&gt;RAF," ",IF($AH22&lt;RAF,SUM(AI22:INDEX(Diy,RAF-BeginnAlter))+INDEX(Ny,RAF-BeginnAlter+1),INDEX(Ny,RAF-BeginnAlter+1)))</f>
        <v>2090213</v>
      </c>
      <c r="AK22" s="11">
        <f>IF($AH22&lt;RAF,SUM(AI22:INDEX(Diy,RAF-BeginnAlter))," ")</f>
        <v>1724119</v>
      </c>
      <c r="AL22" s="10">
        <f t="shared" si="38"/>
        <v>21.91</v>
      </c>
      <c r="AM22" s="10">
        <f t="shared" si="39"/>
        <v>21.451000000000001</v>
      </c>
      <c r="AN22" s="10">
        <f t="shared" si="40"/>
        <v>18.071999999999999</v>
      </c>
      <c r="AO22" s="10">
        <f t="shared" si="41"/>
        <v>17.718</v>
      </c>
      <c r="AP22" s="89"/>
      <c r="AQ22" s="9">
        <f t="shared" si="52"/>
        <v>30</v>
      </c>
      <c r="AR22" s="11">
        <f t="shared" si="42"/>
        <v>51099</v>
      </c>
      <c r="AS22" s="11">
        <f>SUM(AR22:AR$96)</f>
        <v>1573996</v>
      </c>
      <c r="AT22" s="25">
        <f>IF($AQ22&lt;RAF,SUM(AR22:INDEX(Dy,RAF-BeginnAlter))," ")</f>
        <v>1207902</v>
      </c>
      <c r="AU22" s="24">
        <f t="shared" si="43"/>
        <v>30.803000000000001</v>
      </c>
      <c r="AV22" s="24">
        <f t="shared" si="44"/>
        <v>30.344999999999999</v>
      </c>
      <c r="AW22" s="24">
        <f t="shared" si="45"/>
        <v>23.638000000000002</v>
      </c>
      <c r="AX22" s="24">
        <f t="shared" si="46"/>
        <v>23.375</v>
      </c>
      <c r="AY22" s="89"/>
      <c r="AZ22" s="9">
        <f t="shared" si="53"/>
        <v>30</v>
      </c>
      <c r="BA22" s="11">
        <f t="shared" si="47"/>
        <v>51099</v>
      </c>
      <c r="BB22" s="11">
        <f>SUM(BA22:BA$96)</f>
        <v>1596785</v>
      </c>
      <c r="BC22" s="10">
        <f t="shared" si="48"/>
        <v>31.248999999999999</v>
      </c>
      <c r="BD22" s="10">
        <f t="shared" si="7"/>
        <v>30.791</v>
      </c>
      <c r="BE22" s="89"/>
      <c r="BF22" s="9">
        <f t="shared" si="54"/>
        <v>13</v>
      </c>
      <c r="BG22" s="10">
        <f t="shared" si="8"/>
        <v>10.648999999999999</v>
      </c>
      <c r="BH22" s="10">
        <f t="shared" si="9"/>
        <v>10.542</v>
      </c>
      <c r="BI22" s="89"/>
      <c r="BJ22" s="9">
        <f t="shared" si="55"/>
        <v>30</v>
      </c>
      <c r="BK22" s="11">
        <f t="shared" si="10"/>
        <v>1593</v>
      </c>
      <c r="BL22" s="11">
        <f>IF(BJ22&lt;RAF,SUM(BK22:INDEX(Daiy,RAF-BeginnAlter))," ")</f>
        <v>151349</v>
      </c>
      <c r="BM22" s="11">
        <f>IF(BJ22&lt;RAF,SUM(BL22:INDEX(Naiy,RAF-BeginnAlter))," ")</f>
        <v>3404678</v>
      </c>
      <c r="BN22" s="10">
        <f t="shared" si="11"/>
        <v>5.2839999999999998</v>
      </c>
      <c r="BO22" s="10">
        <f t="shared" si="12"/>
        <v>2.9820000000000002</v>
      </c>
      <c r="BP22" s="89"/>
      <c r="BQ22" s="9">
        <f t="shared" si="56"/>
        <v>30</v>
      </c>
      <c r="BR22" s="11">
        <f t="shared" si="13"/>
        <v>1309</v>
      </c>
      <c r="BS22" s="11">
        <f>IF(BQ22&lt;RAF,SUM(BR22:INDEX(Daiys,RAF-BeginnAlter))," ")</f>
        <v>64692</v>
      </c>
      <c r="BT22" s="11">
        <f>IF(BQ22&lt;RAF,SUM(BS22:INDEX(Naiys,RAF-BeginnAlter))," ")</f>
        <v>1139920</v>
      </c>
      <c r="BU22" s="10">
        <f t="shared" si="14"/>
        <v>6.9909999999999997</v>
      </c>
      <c r="BV22" s="10">
        <f t="shared" si="15"/>
        <v>1.2749999999999999</v>
      </c>
      <c r="BW22" s="89"/>
      <c r="BX22" s="9">
        <f t="shared" si="57"/>
        <v>30</v>
      </c>
      <c r="BY22" s="10">
        <f t="shared" si="16"/>
        <v>15.010731080743206</v>
      </c>
      <c r="BZ22" s="11">
        <f t="shared" si="17"/>
        <v>244</v>
      </c>
      <c r="CA22" s="11">
        <f>IF(S23&lt;=RAK,IF($BX22&lt;RAF,SUM(BZ22:INDEX(Dazy,RAF-BeginnAlter)),""),"")</f>
        <v>15732</v>
      </c>
      <c r="CB22" s="10">
        <f t="shared" si="18"/>
        <v>0.31</v>
      </c>
      <c r="CC22" s="11">
        <f t="shared" si="19"/>
        <v>28615</v>
      </c>
      <c r="CD22" s="10">
        <f t="shared" si="20"/>
        <v>20.893999999999998</v>
      </c>
      <c r="CE22" s="10">
        <f t="shared" si="21"/>
        <v>2E-3</v>
      </c>
      <c r="CF22" s="89"/>
      <c r="CG22" s="9">
        <f t="shared" si="58"/>
        <v>30</v>
      </c>
      <c r="CH22" s="11">
        <f>IF(CG22&lt;RAF,ROUND(v^($CG22+FaktorAlter)*$H22*($B22*0.5*($P22+$P23)*(VLOOKUP(TRUNC(0.5*($Q22+$Q23),0),Männer!$AZ$9:$BD$95,5)+(0.5*($Q22+$Q23)-TRUNC(0.5*($Q22+$Q23),0))*(VLOOKUP(TRUNC(0.5*($Q22+$Q23)+1,0),Männer!$AZ$9:$BD$95,5)-VLOOKUP(TRUNC(0.5*($Q22+$Q23),0),Männer!$AZ$9:$BD$95,5)))+$C22*0.5*($CN22+$CN23)),RundDx),"")</f>
        <v>220</v>
      </c>
      <c r="CI22" s="11">
        <f>IF(CG22&lt;RAF,ROUND(SUM(CH22:INDEX(Dawy,RAF-BeginnAlter))+INDEX(Day,RAF-BeginnAlter+1)*INDEX(äwy,1),RundDx),"")</f>
        <v>13194</v>
      </c>
      <c r="CJ22" s="11">
        <f>IF(CG22&lt;RAF,ROUND(SUM(CI22:INDEX(Nawy,RAF-BeginnAlter))+INDEX(Day,RAF-BeginnAlter+1)*INDEX(äwy,1),RundDx),"")</f>
        <v>270127</v>
      </c>
      <c r="CK22" s="10">
        <f t="shared" si="22"/>
        <v>0.26</v>
      </c>
      <c r="CL22" s="11">
        <f>IF(CG22&lt;RAF,ROUND(v^($CG22+FaktorAlter)*$L22*$D22*0.5*($P22+$P23)*(VLOOKUP(TRUNC(0.5*($Q22+$Q23),0),Männer!$AZ$9:$BD$95,5)+(0.5*($Q22+$Q23)-TRUNC(0.5*($Q22+$Q23),0))*(VLOOKUP(TRUNC(0.5*($Q22+$Q23)+1,0),Männer!$AZ$9:$BD$95,5)-VLOOKUP(TRUNC(0.5*($Q22+$Q23),0),Männer!$AZ$9:$BD$95,5))),RundDx),"")</f>
        <v>8168</v>
      </c>
      <c r="CM22" s="11">
        <f>IF(CG22&lt;RAF,SUM(CL22:INDEX(Diwy,RAF-BeginnAlter))+INDEX(Diy,RAF-BeginnAlter+1)*INDEX(äwy,1),"")</f>
        <v>188657.304</v>
      </c>
      <c r="CN22" s="10">
        <f t="shared" si="23"/>
        <v>1.9770000000000001</v>
      </c>
      <c r="CO22" s="89"/>
      <c r="CP22" s="9">
        <f t="shared" si="59"/>
        <v>77</v>
      </c>
      <c r="CQ22" s="11">
        <f>ROUND(v^($CP22+FaktorAlter)*VLOOKUP(CP22,G$9:J$102,4)*VLOOKUP(CP22,A$9:E$102,5)*0.5*(VLOOKUP(CP22,O$9:P$102,2)+VLOOKUP(CP22+1,O$9:P$102,2))*(VLOOKUP(TRUNC(0.5*(VLOOKUP(CP22,O$9:Q$102,3)+VLOOKUP(CP22+1,O$9:Q$102,3)),0),Männer!$AZ$9:$BD$95,5)+(0.5*(VLOOKUP(CP22,O$9:Q$102,3)+VLOOKUP(CP22+1,O$9:Q$102,3))-TRUNC(0.5*(VLOOKUP(CP22,O$9:Q$102,3)+VLOOKUP(CP22+1,O$9:Q$102,3)),0))*(VLOOKUP(TRUNC(0.5*(VLOOKUP(CP22,O$9:Q$102,3)+VLOOKUP(CP22+1,O$9:Q$102,3))+1,0),Männer!$AZ$9:$BD$95,5)-VLOOKUP(TRUNC(0.5*(VLOOKUP(CP22,O$9:Q$102,3)+VLOOKUP(CP22+1,O$9:Q$102,3)),0),Männer!$AZ$9:$BD$95,5))),RundDx)</f>
        <v>34</v>
      </c>
      <c r="CR22" s="11">
        <f>SUM(CQ22:CQ$56)</f>
        <v>284</v>
      </c>
      <c r="CS22" s="24">
        <f t="shared" si="24"/>
        <v>2.1000000000000001E-2</v>
      </c>
      <c r="CT22" s="89"/>
      <c r="CU22" s="35">
        <f t="shared" si="60"/>
        <v>30</v>
      </c>
      <c r="CV22" s="25">
        <f>IF($CU22&gt;=RAF,"",IF($CU22-CV$103&lt;BeginnAlter,"",ROUND(v^($CU22+FaktorAlter)*$L22*$D22*0.5*(VLOOKUP($CU22-CV$103,Männer!$G$9:$J$102,4)+VLOOKUP($CU22-CV$103+1,Männer!$G$9:$J$102,4))*0.5*(VLOOKUP($CU22-CV$103,Männer!$AZ$9:$BD$102,5)+VLOOKUP($CU22-CV$103+1,Männer!$AZ$9:$BD$102,5)),RundDx)))</f>
        <v>4502933068</v>
      </c>
      <c r="CW22" s="25">
        <f>IF($CU22&gt;=RAF,"",IF($CU22-CW$103&lt;BeginnAlter,"",ROUND(v^($CU22+FaktorAlter)*$L22*$D22*0.5*(VLOOKUP($CU22-CW$103,Männer!$G$9:$J$102,4)+VLOOKUP($CU22-CW$103+1,Männer!$G$9:$J$102,4))*0.5*(VLOOKUP($CU22-CW$103,Männer!$AZ$9:$BD$102,5)+VLOOKUP($CU22-CW$103+1,Männer!$AZ$9:$BD$102,5)),RundDx)))</f>
        <v>4604329026</v>
      </c>
      <c r="CX22" s="25">
        <f>IF($CU22&gt;=RAF,"",IF($CU22-CX$103&lt;BeginnAlter,"",ROUND(v^($CU22+FaktorAlter)*$L22*$D22*0.5*(VLOOKUP($CU22-CX$103,Männer!$G$9:$J$102,4)+VLOOKUP($CU22-CX$103+1,Männer!$G$9:$J$102,4))*0.5*(VLOOKUP($CU22-CX$103,Männer!$AZ$9:$BD$102,5)+VLOOKUP($CU22-CX$103+1,Männer!$AZ$9:$BD$102,5)),RundDx)))</f>
        <v>4703798651</v>
      </c>
      <c r="CY22" s="25">
        <f>IF($CU22&gt;=RAF,"",IF($CU22-CY$103&lt;BeginnAlter,"",ROUND(v^($CU22+FaktorAlter)*$L22*$D22*0.5*(VLOOKUP($CU22-CY$103,Männer!$G$9:$J$102,4)+VLOOKUP($CU22-CY$103+1,Männer!$G$9:$J$102,4))*0.5*(VLOOKUP($CU22-CY$103,Männer!$AZ$9:$BD$102,5)+VLOOKUP($CU22-CY$103+1,Männer!$AZ$9:$BD$102,5)),RundDx)))</f>
        <v>4801451238</v>
      </c>
      <c r="CZ22" s="25">
        <f>IF($CU22&gt;=RAF,"",IF($CU22-CZ$103&lt;BeginnAlter,"",ROUND(v^($CU22+FaktorAlter)*$L22*$D22*0.5*(VLOOKUP($CU22-CZ$103,Männer!$G$9:$J$102,4)+VLOOKUP($CU22-CZ$103+1,Männer!$G$9:$J$102,4))*0.5*(VLOOKUP($CU22-CZ$103,Männer!$AZ$9:$BD$102,5)+VLOOKUP($CU22-CZ$103+1,Männer!$AZ$9:$BD$102,5)),RundDx)))</f>
        <v>4897376572</v>
      </c>
      <c r="DA22" s="25">
        <f>IF($CU22&gt;=RAF,"",IF($CU22-DA$103&lt;BeginnAlter,"",ROUND(v^($CU22+FaktorAlter)*$L22*$D22*0.5*(VLOOKUP($CU22-DA$103,Männer!$G$9:$J$102,4)+VLOOKUP($CU22-DA$103+1,Männer!$G$9:$J$102,4))*0.5*(VLOOKUP($CU22-DA$103,Männer!$AZ$9:$BD$102,5)+VLOOKUP($CU22-DA$103+1,Männer!$AZ$9:$BD$102,5)),RundDx)))</f>
        <v>4991413063</v>
      </c>
      <c r="DB22" s="25">
        <f>IF($CU22&gt;=RAF,"",IF($CU22-DB$103&lt;BeginnAlter,"",ROUND(v^($CU22+FaktorAlter)*$L22*$D22*0.5*(VLOOKUP($CU22-DB$103,Männer!$G$9:$J$102,4)+VLOOKUP($CU22-DB$103+1,Männer!$G$9:$J$102,4))*0.5*(VLOOKUP($CU22-DB$103,Männer!$AZ$9:$BD$102,5)+VLOOKUP($CU22-DB$103+1,Männer!$AZ$9:$BD$102,5)),RundDx)))</f>
        <v>5083551562</v>
      </c>
      <c r="DC22" s="25">
        <f>IF($CU22&gt;=RAF,"",IF($CU22-DC$103&lt;BeginnAlter,"",ROUND(v^($CU22+FaktorAlter)*$L22*$D22*0.5*(VLOOKUP($CU22-DC$103,Männer!$G$9:$J$102,4)+VLOOKUP($CU22-DC$103+1,Männer!$G$9:$J$102,4))*0.5*(VLOOKUP($CU22-DC$103,Männer!$AZ$9:$BD$102,5)+VLOOKUP($CU22-DC$103+1,Männer!$AZ$9:$BD$102,5)),RundDx)))</f>
        <v>5174066193</v>
      </c>
      <c r="DD22" s="25">
        <f>IF($CU22&gt;=RAF,"",IF($CU22-DD$103&lt;BeginnAlter,"",ROUND(v^($CU22+FaktorAlter)*$L22*$D22*0.5*(VLOOKUP($CU22-DD$103,Männer!$G$9:$J$102,4)+VLOOKUP($CU22-DD$103+1,Männer!$G$9:$J$102,4))*0.5*(VLOOKUP($CU22-DD$103,Männer!$AZ$9:$BD$102,5)+VLOOKUP($CU22-DD$103+1,Männer!$AZ$9:$BD$102,5)),RundDx)))</f>
        <v>5262850650</v>
      </c>
      <c r="DE22" s="25">
        <f>IF($CU22&gt;=RAF,"",IF($CU22-DE$103&lt;BeginnAlter,"",ROUND(v^($CU22+FaktorAlter)*$L22*$D22*0.5*(VLOOKUP($CU22-DE$103,Männer!$G$9:$J$102,4)+VLOOKUP($CU22-DE$103+1,Männer!$G$9:$J$102,4))*0.5*(VLOOKUP($CU22-DE$103,Männer!$AZ$9:$BD$102,5)+VLOOKUP($CU22-DE$103+1,Männer!$AZ$9:$BD$102,5)),RundDx)))</f>
        <v>5349827750</v>
      </c>
      <c r="DF22" s="25">
        <f>IF($CU22&gt;=RAF,"",IF($CU22-DF$103&lt;BeginnAlter,"",ROUND(v^($CU22+FaktorAlter)*$L22*$D22*0.5*(VLOOKUP($CU22-DF$103,Männer!$G$9:$J$102,4)+VLOOKUP($CU22-DF$103+1,Männer!$G$9:$J$102,4))*0.5*(VLOOKUP($CU22-DF$103,Männer!$AZ$9:$BD$102,5)+VLOOKUP($CU22-DF$103+1,Männer!$AZ$9:$BD$102,5)),RundDx)))</f>
        <v>5435176746</v>
      </c>
      <c r="DG22" s="25">
        <f>IF($CU22&gt;=RAF,"",IF($CU22-DG$103&lt;BeginnAlter,"",ROUND(v^($CU22+FaktorAlter)*$L22*$D22*0.5*(VLOOKUP($CU22-DG$103,Männer!$G$9:$J$102,4)+VLOOKUP($CU22-DG$103+1,Männer!$G$9:$J$102,4))*0.5*(VLOOKUP($CU22-DG$103,Männer!$AZ$9:$BD$102,5)+VLOOKUP($CU22-DG$103+1,Männer!$AZ$9:$BD$102,5)),RundDx)))</f>
        <v>5518770385</v>
      </c>
      <c r="DH22" s="25">
        <f>IF($CU22&gt;=RAF,"",IF($CU22-DH$103&lt;BeginnAlter,"",ROUND(v^($CU22+FaktorAlter)*$L22*$D22*0.5*(VLOOKUP($CU22-DH$103,Männer!$G$9:$J$102,4)+VLOOKUP($CU22-DH$103+1,Männer!$G$9:$J$102,4))*0.5*(VLOOKUP($CU22-DH$103,Männer!$AZ$9:$BD$102,5)+VLOOKUP($CU22-DH$103+1,Männer!$AZ$9:$BD$102,5)),RundDx)))</f>
        <v>5600669380</v>
      </c>
      <c r="DI22" s="25">
        <f>IF($CU22&gt;=RAF,"",IF($CU22-DI$103&lt;BeginnAlter,"",ROUND(v^($CU22+FaktorAlter)*$L22*$D22*0.5*(VLOOKUP($CU22-DI$103,Männer!$G$9:$J$102,4)+VLOOKUP($CU22-DI$103+1,Männer!$G$9:$J$102,4))*0.5*(VLOOKUP($CU22-DI$103,Männer!$AZ$9:$BD$102,5)+VLOOKUP($CU22-DI$103+1,Männer!$AZ$9:$BD$102,5)),RundDx)))</f>
        <v>5680939791</v>
      </c>
      <c r="DJ22" s="25">
        <f>IF($CU22&gt;=RAF,"",IF($CU22-DJ$103&lt;BeginnAlter,"",ROUND(v^($CU22+FaktorAlter)*$L22*$D22*0.5*(VLOOKUP($CU22-DJ$103,Männer!$G$9:$J$102,4)+VLOOKUP($CU22-DJ$103+1,Männer!$G$9:$J$102,4))*0.5*(VLOOKUP($CU22-DJ$103,Männer!$AZ$9:$BD$102,5)+VLOOKUP($CU22-DJ$103+1,Männer!$AZ$9:$BD$102,5)),RundDx)))</f>
        <v>5759623758</v>
      </c>
      <c r="DK22" s="25">
        <f>IF($CU22&gt;=RAF,"",IF($CU22-DK$103&lt;BeginnAlter,"",ROUND(v^($CU22+FaktorAlter)*$L22*$D22*0.5*(VLOOKUP($CU22-DK$103,Männer!$G$9:$J$102,4)+VLOOKUP($CU22-DK$103+1,Männer!$G$9:$J$102,4))*0.5*(VLOOKUP($CU22-DK$103,Männer!$AZ$9:$BD$102,5)+VLOOKUP($CU22-DK$103+1,Männer!$AZ$9:$BD$102,5)),RundDx)))</f>
        <v>5836737439</v>
      </c>
      <c r="DL22" s="25">
        <f>IF($CU22&gt;=RAF,"",IF($CU22-DL$103&lt;BeginnAlter,"",ROUND(v^($CU22+FaktorAlter)*$L22*$D22*0.5*(VLOOKUP($CU22-DL$103,Männer!$G$9:$J$102,4)+VLOOKUP($CU22-DL$103+1,Männer!$G$9:$J$102,4))*0.5*(VLOOKUP($CU22-DL$103,Männer!$AZ$9:$BD$102,5)+VLOOKUP($CU22-DL$103+1,Männer!$AZ$9:$BD$102,5)),RundDx)))</f>
        <v>5912255331</v>
      </c>
      <c r="DM22" s="25">
        <f>IF($CU22&gt;=RAF,"",IF($CU22-DM$103&lt;BeginnAlter,"",ROUND(v^($CU22+FaktorAlter)*$L22*$D22*0.5*(VLOOKUP($CU22-DM$103,Männer!$G$9:$J$102,4)+VLOOKUP($CU22-DM$103+1,Männer!$G$9:$J$102,4))*0.5*(VLOOKUP($CU22-DM$103,Männer!$AZ$9:$BD$102,5)+VLOOKUP($CU22-DM$103+1,Männer!$AZ$9:$BD$102,5)),RundDx)))</f>
        <v>5986259384</v>
      </c>
      <c r="DN22" s="25">
        <f>IF($CU22&gt;=RAF,"",IF($CU22-DN$103&lt;BeginnAlter,"",ROUND(v^($CU22+FaktorAlter)*$L22*$D22*0.5*(VLOOKUP($CU22-DN$103,Männer!$G$9:$J$102,4)+VLOOKUP($CU22-DN$103+1,Männer!$G$9:$J$102,4))*0.5*(VLOOKUP($CU22-DN$103,Männer!$AZ$9:$BD$102,5)+VLOOKUP($CU22-DN$103+1,Männer!$AZ$9:$BD$102,5)),RundDx)))</f>
        <v>6058702276</v>
      </c>
      <c r="DO22" s="25">
        <f>IF($CU22&gt;=RAF,"",IF($CU22-DO$103&lt;BeginnAlter,"",ROUND(v^($CU22+FaktorAlter)*$L22*$D22*0.5*(VLOOKUP($CU22-DO$103,Männer!$G$9:$J$102,4)+VLOOKUP($CU22-DO$103+1,Männer!$G$9:$J$102,4))*0.5*(VLOOKUP($CU22-DO$103,Männer!$AZ$9:$BD$102,5)+VLOOKUP($CU22-DO$103+1,Männer!$AZ$9:$BD$102,5)),RundDx)))</f>
        <v>6129776520</v>
      </c>
      <c r="DP22" s="25">
        <f>IF($CU22&gt;=RAF,"",IF($CU22-DP$103&lt;BeginnAlter,"",ROUND(v^($CU22+FaktorAlter)*$L22*$D22*0.5*(VLOOKUP($CU22-DP$103,Männer!$G$9:$J$102,4)+VLOOKUP($CU22-DP$103+1,Männer!$G$9:$J$102,4))*0.5*(VLOOKUP($CU22-DP$103,Männer!$AZ$9:$BD$102,5)+VLOOKUP($CU22-DP$103+1,Männer!$AZ$9:$BD$102,5)),RundDx)))</f>
        <v>6199450977</v>
      </c>
      <c r="DQ22" s="25">
        <f>IF($CU22&gt;=RAF,"",IF($CU22-DQ$103&lt;BeginnAlter,"",ROUND(v^($CU22+FaktorAlter)*$L22*$D22*0.5*(VLOOKUP($CU22-DQ$103,Männer!$G$9:$J$102,4)+VLOOKUP($CU22-DQ$103+1,Männer!$G$9:$J$102,4))*0.5*(VLOOKUP($CU22-DQ$103,Männer!$AZ$9:$BD$102,5)+VLOOKUP($CU22-DQ$103+1,Männer!$AZ$9:$BD$102,5)),RundDx)))</f>
        <v>6267549226</v>
      </c>
      <c r="DR22" s="25">
        <f>IF($CU22&gt;=RAF,"",IF($CU22-DR$103&lt;BeginnAlter,"",ROUND(v^($CU22+FaktorAlter)*$L22*$D22*0.5*(VLOOKUP($CU22-DR$103,Männer!$G$9:$J$102,4)+VLOOKUP($CU22-DR$103+1,Männer!$G$9:$J$102,4))*0.5*(VLOOKUP($CU22-DR$103,Männer!$AZ$9:$BD$102,5)+VLOOKUP($CU22-DR$103+1,Männer!$AZ$9:$BD$102,5)),RundDx)))</f>
        <v>6334380960</v>
      </c>
      <c r="DS22" s="25">
        <f>IF($CU22&gt;=RAF,"",IF($CU22-DS$103&lt;BeginnAlter,"",ROUND(v^($CU22+FaktorAlter)*$L22*$D22*0.5*(VLOOKUP($CU22-DS$103,Männer!$G$9:$J$102,4)+VLOOKUP($CU22-DS$103+1,Männer!$G$9:$J$102,4))*0.5*(VLOOKUP($CU22-DS$103,Männer!$AZ$9:$BD$102,5)+VLOOKUP($CU22-DS$103+1,Männer!$AZ$9:$BD$102,5)),RundDx)))</f>
        <v>6399921207</v>
      </c>
      <c r="DT22" s="25">
        <f>IF($CU22&gt;=RAF,"",IF($CU22-DT$103&lt;BeginnAlter,"",ROUND(v^($CU22+FaktorAlter)*$L22*$D22*0.5*(VLOOKUP($CU22-DT$103,Männer!$G$9:$J$102,4)+VLOOKUP($CU22-DT$103+1,Männer!$G$9:$J$102,4))*0.5*(VLOOKUP($CU22-DT$103,Männer!$AZ$9:$BD$102,5)+VLOOKUP($CU22-DT$103+1,Männer!$AZ$9:$BD$102,5)),RundDx)))</f>
        <v>6464140355</v>
      </c>
      <c r="DU22" s="25">
        <f>IF($CU22&gt;=RAF,"",IF($CU22-DU$103&lt;BeginnAlter,"",ROUND(v^($CU22+FaktorAlter)*$L22*$D22*0.5*(VLOOKUP($CU22-DU$103,Männer!$G$9:$J$102,4)+VLOOKUP($CU22-DU$103+1,Männer!$G$9:$J$102,4))*0.5*(VLOOKUP($CU22-DU$103,Männer!$AZ$9:$BD$102,5)+VLOOKUP($CU22-DU$103+1,Männer!$AZ$9:$BD$102,5)),RundDx)))</f>
        <v>6527075381</v>
      </c>
      <c r="DV22" s="25">
        <f>IF($CU22&gt;=RAF,"",IF($CU22-DV$103&lt;BeginnAlter,"",ROUND(v^($CU22+FaktorAlter)*$L22*$D22*0.5*(VLOOKUP($CU22-DV$103,Männer!$G$9:$J$102,4)+VLOOKUP($CU22-DV$103+1,Männer!$G$9:$J$102,4))*0.5*(VLOOKUP($CU22-DV$103,Männer!$AZ$9:$BD$102,5)+VLOOKUP($CU22-DV$103+1,Männer!$AZ$9:$BD$102,5)),RundDx)))</f>
        <v>6588697019</v>
      </c>
      <c r="DW22" s="25">
        <f>IF($CU22&gt;=RAF,"",IF($CU22-DW$103&lt;BeginnAlter,"",ROUND(v^($CU22+FaktorAlter)*$L22*$D22*0.5*(VLOOKUP($CU22-DW$103,Männer!$G$9:$J$102,4)+VLOOKUP($CU22-DW$103+1,Männer!$G$9:$J$102,4))*0.5*(VLOOKUP($CU22-DW$103,Männer!$AZ$9:$BD$102,5)+VLOOKUP($CU22-DW$103+1,Männer!$AZ$9:$BD$102,5)),RundDx)))</f>
        <v>6649168889</v>
      </c>
      <c r="DX22" s="25">
        <f>IF($CU22&gt;=RAF,"",IF($CU22-DX$103&lt;BeginnAlter,"",ROUND(v^($CU22+FaktorAlter)*$L22*$D22*0.5*(VLOOKUP($CU22-DX$103,Männer!$G$9:$J$102,4)+VLOOKUP($CU22-DX$103+1,Männer!$G$9:$J$102,4))*0.5*(VLOOKUP($CU22-DX$103,Männer!$AZ$9:$BD$102,5)+VLOOKUP($CU22-DX$103+1,Männer!$AZ$9:$BD$102,5)),RundDx)))</f>
        <v>6708360219</v>
      </c>
      <c r="DY22" s="25" t="str">
        <f>IF($CU22&gt;=RAF,"",IF($CU22-DY$103&lt;BeginnAlter,"",ROUND(v^($CU22+FaktorAlter)*$L22*$D22*0.5*(VLOOKUP($CU22-DY$103,Männer!$G$9:$J$102,4)+VLOOKUP($CU22-DY$103+1,Männer!$G$9:$J$102,4))*0.5*(VLOOKUP($CU22-DY$103,Männer!$AZ$9:$BD$102,5)+VLOOKUP($CU22-DY$103+1,Männer!$AZ$9:$BD$102,5)),RundDx)))</f>
        <v/>
      </c>
      <c r="DZ22" s="25" t="str">
        <f>IF($CU22&gt;=RAF,"",IF($CU22-DZ$103&lt;BeginnAlter,"",ROUND(v^($CU22+FaktorAlter)*$L22*$D22*0.5*(VLOOKUP($CU22-DZ$103,Männer!$G$9:$J$102,4)+VLOOKUP($CU22-DZ$103+1,Männer!$G$9:$J$102,4))*0.5*(VLOOKUP($CU22-DZ$103,Männer!$AZ$9:$BD$102,5)+VLOOKUP($CU22-DZ$103+1,Männer!$AZ$9:$BD$102,5)),RundDx)))</f>
        <v/>
      </c>
      <c r="EA22" s="43">
        <f>IF($CU22&gt;=RAF,"",IF($CU22-EA$103&lt;BeginnAlter,"",ROUND((SUM(CV22:CV$56)+SUM(FN$9:FN$56))/VLOOKUP($CU22,$AH$9:$AI$102,2)/VLOOKUP($CU22-EA$103,Männer!$G$9:$J$102,4),Rundäx)))</f>
        <v>5.9379999999999997</v>
      </c>
      <c r="EB22" s="43">
        <f>IF($CU22&gt;=RAF,"",IF($CU22-EB$103&lt;BeginnAlter,"",ROUND((SUM(CW22:CW$56)+SUM(FO$9:FO$56))/VLOOKUP($CU22,$AH$9:$AI$102,2)/VLOOKUP($CU22-EB$103,Männer!$G$9:$J$102,4),Rundäx)))</f>
        <v>6.1449999999999996</v>
      </c>
      <c r="EC22" s="43">
        <f>IF($CU22&gt;=RAF,"",IF($CU22-EC$103&lt;BeginnAlter,"",ROUND((SUM(CX22:CX$56)+SUM(FP$9:FP$56))/VLOOKUP($CU22,$AH$9:$AI$102,2)/VLOOKUP($CU22-EC$103,Männer!$G$9:$J$102,4),Rundäx)))</f>
        <v>6.3520000000000003</v>
      </c>
      <c r="ED22" s="43">
        <f>IF($CU22&gt;=RAF,"",IF($CU22-ED$103&lt;BeginnAlter,"",ROUND((SUM(CY22:CY$56)+SUM(FQ$9:FQ$56))/VLOOKUP($CU22,$AH$9:$AI$102,2)/VLOOKUP($CU22-ED$103,Männer!$G$9:$J$102,4),Rundäx)))</f>
        <v>6.56</v>
      </c>
      <c r="EE22" s="43">
        <f>IF($CU22&gt;=RAF,"",IF($CU22-EE$103&lt;BeginnAlter,"",ROUND((SUM(CZ22:CZ$56)+SUM(FR$9:FR$56))/VLOOKUP($CU22,$AH$9:$AI$102,2)/VLOOKUP($CU22-EE$103,Männer!$G$9:$J$102,4),Rundäx)))</f>
        <v>6.7690000000000001</v>
      </c>
      <c r="EF22" s="43">
        <f>IF($CU22&gt;=RAF,"",IF($CU22-EF$103&lt;BeginnAlter,"",ROUND((SUM(DA22:DA$56)+SUM(FS$9:FS$56))/VLOOKUP($CU22,$AH$9:$AI$102,2)/VLOOKUP($CU22-EF$103,Männer!$G$9:$J$102,4),Rundäx)))</f>
        <v>6.9779999999999998</v>
      </c>
      <c r="EG22" s="43">
        <f>IF($CU22&gt;=RAF,"",IF($CU22-EG$103&lt;BeginnAlter,"",ROUND((SUM(DB22:DB$56)+SUM(FT$9:FT$56))/VLOOKUP($CU22,$AH$9:$AI$102,2)/VLOOKUP($CU22-EG$103,Männer!$G$9:$J$102,4),Rundäx)))</f>
        <v>7.1870000000000003</v>
      </c>
      <c r="EH22" s="43">
        <f>IF($CU22&gt;=RAF,"",IF($CU22-EH$103&lt;BeginnAlter,"",ROUND((SUM(DC22:DC$56)+SUM(FU$9:FU$56))/VLOOKUP($CU22,$AH$9:$AI$102,2)/VLOOKUP($CU22-EH$103,Männer!$G$9:$J$102,4),Rundäx)))</f>
        <v>7.3979999999999997</v>
      </c>
      <c r="EI22" s="89"/>
      <c r="EJ22" s="35">
        <f t="shared" si="61"/>
        <v>30</v>
      </c>
      <c r="EK22" s="43">
        <f>IF($CU22&gt;=RAF,"",IF($CU22-EK$103&lt;BeginnAlter,"",ROUND((SUM(DD22:DD$56)+SUM(FV$9:FV$56))/VLOOKUP($CU22,$AH$9:$AI$102,2)/VLOOKUP($CU22-EK$103,Männer!$G$9:$J$102,4),Rundäx)))</f>
        <v>7.6079999999999997</v>
      </c>
      <c r="EL22" s="43">
        <f>IF($CU22&gt;=RAF,"",IF($CU22-EL$103&lt;BeginnAlter,"",ROUND((SUM(DE22:DE$56)+SUM(FW$9:FW$56))/VLOOKUP($CU22,$AH$9:$AI$102,2)/VLOOKUP($CU22-EL$103,Männer!$G$9:$J$102,4),Rundäx)))</f>
        <v>7.82</v>
      </c>
      <c r="EM22" s="43">
        <f>IF($CU22&gt;=RAF,"",IF($CU22-EM$103&lt;BeginnAlter,"",ROUND((SUM(DF22:DF$56)+SUM(FX$9:FX$56))/VLOOKUP($CU22,$AH$9:$AI$102,2)/VLOOKUP($CU22-EM$103,Männer!$G$9:$J$102,4),Rundäx)))</f>
        <v>8.032</v>
      </c>
      <c r="EN22" s="43">
        <f>IF($CU22&gt;=RAF,"",IF($CU22-EN$103&lt;BeginnAlter,"",ROUND((SUM(DG22:DG$56)+SUM(FY$9:FY$56))/VLOOKUP($CU22,$AH$9:$AI$102,2)/VLOOKUP($CU22-EN$103,Männer!$G$9:$J$102,4),Rundäx)))</f>
        <v>8.2449999999999992</v>
      </c>
      <c r="EO22" s="43">
        <f>IF($CU22&gt;=RAF,"",IF($CU22-EO$103&lt;BeginnAlter,"",ROUND((SUM(DH22:DH$56)+SUM(FZ$9:FZ$56))/VLOOKUP($CU22,$AH$9:$AI$102,2)/VLOOKUP($CU22-EO$103,Männer!$G$9:$J$102,4),Rundäx)))</f>
        <v>8.4580000000000002</v>
      </c>
      <c r="EP22" s="43">
        <f>IF($CU22&gt;=RAF,"",IF($CU22-EP$103&lt;BeginnAlter,"",ROUND((SUM(DI22:DI$56)+SUM(GA$9:GA$56))/VLOOKUP($CU22,$AH$9:$AI$102,2)/VLOOKUP($CU22-EP$103,Männer!$G$9:$J$102,4),Rundäx)))</f>
        <v>8.6720000000000006</v>
      </c>
      <c r="EQ22" s="43">
        <f>IF($CU22&gt;=RAF,"",IF($CU22-EQ$103&lt;BeginnAlter,"",ROUND((SUM(DJ22:DJ$56)+SUM(GB$9:GB$56))/VLOOKUP($CU22,$AH$9:$AI$102,2)/VLOOKUP($CU22-EQ$103,Männer!$G$9:$J$102,4),Rundäx)))</f>
        <v>8.8870000000000005</v>
      </c>
      <c r="ER22" s="43">
        <f>IF($CU22&gt;=RAF,"",IF($CU22-ER$103&lt;BeginnAlter,"",ROUND((SUM(DK22:DK$56)+SUM(GC$9:GC$56))/VLOOKUP($CU22,$AH$9:$AI$102,2)/VLOOKUP($CU22-ER$103,Männer!$G$9:$J$102,4),Rundäx)))</f>
        <v>9.1020000000000003</v>
      </c>
      <c r="ES22" s="89"/>
      <c r="ET22" s="35">
        <f t="shared" si="62"/>
        <v>30</v>
      </c>
      <c r="EU22" s="43">
        <f>IF($CU22&gt;=RAF,"",IF($CU22-EU$103&lt;BeginnAlter,"",ROUND((SUM(DL22:DL$56)+SUM(GD$9:GD$56))/VLOOKUP($CU22,$AH$9:$AI$102,2)/VLOOKUP($CU22-EU$103,Männer!$G$9:$J$102,4),Rundäx)))</f>
        <v>9.3170000000000002</v>
      </c>
      <c r="EV22" s="43">
        <f>IF($CU22&gt;=RAF,"",IF($CU22-EV$103&lt;BeginnAlter,"",ROUND((SUM(DM22:DM$56)+SUM(GE$9:GE$56))/VLOOKUP($CU22,$AH$9:$AI$102,2)/VLOOKUP($CU22-EV$103,Männer!$G$9:$J$102,4),Rundäx)))</f>
        <v>9.532</v>
      </c>
      <c r="EW22" s="43">
        <f>IF($CU22&gt;=RAF,"",IF($CU22-EW$103&lt;BeginnAlter,"",ROUND((SUM(DN22:DN$56)+SUM(GF$9:GF$56))/VLOOKUP($CU22,$AH$9:$AI$102,2)/VLOOKUP($CU22-EW$103,Männer!$G$9:$J$102,4),Rundäx)))</f>
        <v>9.7469999999999999</v>
      </c>
      <c r="EX22" s="43">
        <f>IF($CU22&gt;=RAF,"",IF($CU22-EX$103&lt;BeginnAlter,"",ROUND((SUM(DO22:DO$56)+SUM(GG$9:GG$56))/VLOOKUP($CU22,$AH$9:$AI$102,2)/VLOOKUP($CU22-EX$103,Männer!$G$9:$J$102,4),Rundäx)))</f>
        <v>9.9610000000000003</v>
      </c>
      <c r="EY22" s="43">
        <f>IF($CU22&gt;=RAF,"",IF($CU22-EY$103&lt;BeginnAlter,"",ROUND((SUM(DP22:DP$56)+SUM(GH$9:GH$56))/VLOOKUP($CU22,$AH$9:$AI$102,2)/VLOOKUP($CU22-EY$103,Männer!$G$9:$J$102,4),Rundäx)))</f>
        <v>10.173999999999999</v>
      </c>
      <c r="EZ22" s="43">
        <f>IF($CU22&gt;=RAF,"",IF($CU22-EZ$103&lt;BeginnAlter,"",ROUND((SUM(DQ22:DQ$56)+SUM(GI$9:GI$56))/VLOOKUP($CU22,$AH$9:$AI$102,2)/VLOOKUP($CU22-EZ$103,Männer!$G$9:$J$102,4),Rundäx)))</f>
        <v>10.387</v>
      </c>
      <c r="FA22" s="43">
        <f>IF($CU22&gt;=RAF,"",IF($CU22-FA$103&lt;BeginnAlter,"",ROUND((SUM(DR22:DR$56)+SUM(GJ$9:GJ$56))/VLOOKUP($CU22,$AH$9:$AI$102,2)/VLOOKUP($CU22-FA$103,Männer!$G$9:$J$102,4),Rundäx)))</f>
        <v>10.598000000000001</v>
      </c>
      <c r="FB22" s="43">
        <f>IF($CU22&gt;=RAF,"",IF($CU22-FB$103&lt;BeginnAlter,"",ROUND((SUM(DS22:DS$56)+SUM(GK$9:GK$56))/VLOOKUP($CU22,$AH$9:$AI$102,2)/VLOOKUP($CU22-FB$103,Männer!$G$9:$J$102,4),Rundäx)))</f>
        <v>10.808999999999999</v>
      </c>
      <c r="FC22" s="89"/>
      <c r="FD22" s="35">
        <f t="shared" si="63"/>
        <v>30</v>
      </c>
      <c r="FE22" s="43">
        <f>IF($CU22&gt;=RAF,"",IF($CU22-FE$103&lt;BeginnAlter,"",ROUND((SUM(DT22:DT$56)+SUM(GL$9:GL$56))/VLOOKUP($CU22,$AH$9:$AI$102,2)/VLOOKUP($CU22-FE$103,Männer!$G$9:$J$102,4),Rundäx)))</f>
        <v>11.018000000000001</v>
      </c>
      <c r="FF22" s="43">
        <f>IF($CU22&gt;=RAF,"",IF($CU22-FF$103&lt;BeginnAlter,"",ROUND((SUM(DU22:DU$56)+SUM(GM$9:GM$56))/VLOOKUP($CU22,$AH$9:$AI$102,2)/VLOOKUP($CU22-FF$103,Männer!$G$9:$J$102,4),Rundäx)))</f>
        <v>11.227</v>
      </c>
      <c r="FG22" s="43">
        <f>IF($CU22&gt;=RAF,"",IF($CU22-FG$103&lt;BeginnAlter,"",ROUND((SUM(DV22:DV$56)+SUM(GN$9:GN$56))/VLOOKUP($CU22,$AH$9:$AI$102,2)/VLOOKUP($CU22-FG$103,Männer!$G$9:$J$102,4),Rundäx)))</f>
        <v>11.436</v>
      </c>
      <c r="FH22" s="43">
        <f>IF($CU22&gt;=RAF,"",IF($CU22-FH$103&lt;BeginnAlter,"",ROUND((SUM(DW22:DW$56)+SUM(GO$9:GO$56))/VLOOKUP($CU22,$AH$9:$AI$102,2)/VLOOKUP($CU22-FH$103,Männer!$G$9:$J$102,4),Rundäx)))</f>
        <v>11.645</v>
      </c>
      <c r="FI22" s="43">
        <f>IF($CU22&gt;=RAF,"",IF($CU22-FI$103&lt;BeginnAlter,"",ROUND((SUM(DX22:DX$56)+SUM(GP$9:GP$56))/VLOOKUP($CU22,$AH$9:$AI$102,2)/VLOOKUP($CU22-FI$103,Männer!$G$9:$J$102,4),Rundäx)))</f>
        <v>11.853</v>
      </c>
      <c r="FJ22" s="43" t="str">
        <f>IF($CU22&gt;=RAF,"",IF($CU22-FJ$103&lt;BeginnAlter,"",ROUND((SUM(DY22:DY$56)+SUM(GQ$9:GQ$56))/VLOOKUP($CU22,$AH$9:$AI$102,2)/VLOOKUP($CU22-FJ$103,Männer!$G$9:$J$102,4),Rundäx)))</f>
        <v/>
      </c>
      <c r="FK22" s="43" t="str">
        <f>IF($CU22&gt;=RAF,"",IF($CU22-FK$103&lt;BeginnAlter,"",ROUND((SUM(DZ22:DZ$56)+SUM(GR$9:GR$56))/VLOOKUP($CU22,$AH$9:$AI$102,2)/VLOOKUP($CU22-FK$103,Männer!$G$9:$J$102,4),Rundäx)))</f>
        <v/>
      </c>
      <c r="FL22" s="89"/>
      <c r="FM22" s="35">
        <f t="shared" si="64"/>
        <v>77</v>
      </c>
      <c r="FN22" s="25">
        <f>ROUND(v^($FM22+FaktorAlter)*VLOOKUP($FM22,$G$9:$J$102,4)*VLOOKUP($FM22,$A$9:$E$102,5)*0.5*(VLOOKUP($FM22-FN$103,Männer!$G$9:$J$102,4)+VLOOKUP($FM22-FN$103+1,Männer!$G$9:$J$102,4))*0.5*(VLOOKUP($FM22-FN$103,Männer!$AZ$9:$BD$102,5)+VLOOKUP($FM22-FN$103+1,Männer!$AZ$9:$BD$102,5)),RundDx)</f>
        <v>8566098</v>
      </c>
      <c r="FO22" s="25">
        <f>ROUND(v^($FM22+FaktorAlter)*VLOOKUP($FM22,$G$9:$J$102,4)*VLOOKUP($FM22,$A$9:$E$102,5)*0.5*(VLOOKUP($FM22-FO$103,Männer!$G$9:$J$102,4)+VLOOKUP($FM22-FO$103+1,Männer!$G$9:$J$102,4))*0.5*(VLOOKUP($FM22-FO$103,Männer!$AZ$9:$BD$102,5)+VLOOKUP($FM22-FO$103+1,Männer!$AZ$9:$BD$102,5)),RundDx)</f>
        <v>12112263</v>
      </c>
      <c r="FP22" s="25">
        <f>ROUND(v^($FM22+FaktorAlter)*VLOOKUP($FM22,$G$9:$J$102,4)*VLOOKUP($FM22,$A$9:$E$102,5)*0.5*(VLOOKUP($FM22-FP$103,Männer!$G$9:$J$102,4)+VLOOKUP($FM22-FP$103+1,Männer!$G$9:$J$102,4))*0.5*(VLOOKUP($FM22-FP$103,Männer!$AZ$9:$BD$102,5)+VLOOKUP($FM22-FP$103+1,Männer!$AZ$9:$BD$102,5)),RundDx)</f>
        <v>16542119</v>
      </c>
      <c r="FQ22" s="25">
        <f>ROUND(v^($FM22+FaktorAlter)*VLOOKUP($FM22,$G$9:$J$102,4)*VLOOKUP($FM22,$A$9:$E$102,5)*0.5*(VLOOKUP($FM22-FQ$103,Männer!$G$9:$J$102,4)+VLOOKUP($FM22-FQ$103+1,Männer!$G$9:$J$102,4))*0.5*(VLOOKUP($FM22-FQ$103,Männer!$AZ$9:$BD$102,5)+VLOOKUP($FM22-FQ$103+1,Männer!$AZ$9:$BD$102,5)),RundDx)</f>
        <v>21915596</v>
      </c>
      <c r="FR22" s="25">
        <f>ROUND(v^($FM22+FaktorAlter)*VLOOKUP($FM22,$G$9:$J$102,4)*VLOOKUP($FM22,$A$9:$E$102,5)*0.5*(VLOOKUP($FM22-FR$103,Männer!$G$9:$J$102,4)+VLOOKUP($FM22-FR$103+1,Männer!$G$9:$J$102,4))*0.5*(VLOOKUP($FM22-FR$103,Männer!$AZ$9:$BD$102,5)+VLOOKUP($FM22-FR$103+1,Männer!$AZ$9:$BD$102,5)),RundDx)</f>
        <v>28263617</v>
      </c>
      <c r="FS22" s="25">
        <f>ROUND(v^($FM22+FaktorAlter)*VLOOKUP($FM22,$G$9:$J$102,4)*VLOOKUP($FM22,$A$9:$E$102,5)*0.5*(VLOOKUP($FM22-FS$103,Männer!$G$9:$J$102,4)+VLOOKUP($FM22-FS$103+1,Männer!$G$9:$J$102,4))*0.5*(VLOOKUP($FM22-FS$103,Männer!$AZ$9:$BD$102,5)+VLOOKUP($FM22-FS$103+1,Männer!$AZ$9:$BD$102,5)),RundDx)</f>
        <v>35562975</v>
      </c>
      <c r="FT22" s="25">
        <f>ROUND(v^($FM22+FaktorAlter)*VLOOKUP($FM22,$G$9:$J$102,4)*VLOOKUP($FM22,$A$9:$E$102,5)*0.5*(VLOOKUP($FM22-FT$103,Männer!$G$9:$J$102,4)+VLOOKUP($FM22-FT$103+1,Männer!$G$9:$J$102,4))*0.5*(VLOOKUP($FM22-FT$103,Männer!$AZ$9:$BD$102,5)+VLOOKUP($FM22-FT$103+1,Männer!$AZ$9:$BD$102,5)),RundDx)</f>
        <v>43767531</v>
      </c>
      <c r="FU22" s="25">
        <f>ROUND(v^($FM22+FaktorAlter)*VLOOKUP($FM22,$G$9:$J$102,4)*VLOOKUP($FM22,$A$9:$E$102,5)*0.5*(VLOOKUP($FM22-FU$103,Männer!$G$9:$J$102,4)+VLOOKUP($FM22-FU$103+1,Männer!$G$9:$J$102,4))*0.5*(VLOOKUP($FM22-FU$103,Männer!$AZ$9:$BD$102,5)+VLOOKUP($FM22-FU$103+1,Männer!$AZ$9:$BD$102,5)),RundDx)</f>
        <v>52853900</v>
      </c>
      <c r="FV22" s="25">
        <f>ROUND(v^($FM22+FaktorAlter)*VLOOKUP($FM22,$G$9:$J$102,4)*VLOOKUP($FM22,$A$9:$E$102,5)*0.5*(VLOOKUP($FM22-FV$103,Männer!$G$9:$J$102,4)+VLOOKUP($FM22-FV$103+1,Männer!$G$9:$J$102,4))*0.5*(VLOOKUP($FM22-FV$103,Männer!$AZ$9:$BD$102,5)+VLOOKUP($FM22-FV$103+1,Männer!$AZ$9:$BD$102,5)),RundDx)</f>
        <v>62791366</v>
      </c>
      <c r="FW22" s="25">
        <f>ROUND(v^($FM22+FaktorAlter)*VLOOKUP($FM22,$G$9:$J$102,4)*VLOOKUP($FM22,$A$9:$E$102,5)*0.5*(VLOOKUP($FM22-FW$103,Männer!$G$9:$J$102,4)+VLOOKUP($FM22-FW$103+1,Männer!$G$9:$J$102,4))*0.5*(VLOOKUP($FM22-FW$103,Männer!$AZ$9:$BD$102,5)+VLOOKUP($FM22-FW$103+1,Männer!$AZ$9:$BD$102,5)),RundDx)</f>
        <v>73528661</v>
      </c>
      <c r="FX22" s="25">
        <f>ROUND(v^($FM22+FaktorAlter)*VLOOKUP($FM22,$G$9:$J$102,4)*VLOOKUP($FM22,$A$9:$E$102,5)*0.5*(VLOOKUP($FM22-FX$103,Männer!$G$9:$J$102,4)+VLOOKUP($FM22-FX$103+1,Männer!$G$9:$J$102,4))*0.5*(VLOOKUP($FM22-FX$103,Männer!$AZ$9:$BD$102,5)+VLOOKUP($FM22-FX$103+1,Männer!$AZ$9:$BD$102,5)),RundDx)</f>
        <v>85025478</v>
      </c>
      <c r="FY22" s="25">
        <f>ROUND(v^($FM22+FaktorAlter)*VLOOKUP($FM22,$G$9:$J$102,4)*VLOOKUP($FM22,$A$9:$E$102,5)*0.5*(VLOOKUP($FM22-FY$103,Männer!$G$9:$J$102,4)+VLOOKUP($FM22-FY$103+1,Männer!$G$9:$J$102,4))*0.5*(VLOOKUP($FM22-FY$103,Männer!$AZ$9:$BD$102,5)+VLOOKUP($FM22-FY$103+1,Männer!$AZ$9:$BD$102,5)),RundDx)</f>
        <v>97235286</v>
      </c>
      <c r="FZ22" s="25">
        <f>ROUND(v^($FM22+FaktorAlter)*VLOOKUP($FM22,$G$9:$J$102,4)*VLOOKUP($FM22,$A$9:$E$102,5)*0.5*(VLOOKUP($FM22-FZ$103,Männer!$G$9:$J$102,4)+VLOOKUP($FM22-FZ$103+1,Männer!$G$9:$J$102,4))*0.5*(VLOOKUP($FM22-FZ$103,Männer!$AZ$9:$BD$102,5)+VLOOKUP($FM22-FZ$103+1,Männer!$AZ$9:$BD$102,5)),RundDx)</f>
        <v>110093635</v>
      </c>
      <c r="GA22" s="25">
        <f>ROUND(v^($FM22+FaktorAlter)*VLOOKUP($FM22,$G$9:$J$102,4)*VLOOKUP($FM22,$A$9:$E$102,5)*0.5*(VLOOKUP($FM22-GA$103,Männer!$G$9:$J$102,4)+VLOOKUP($FM22-GA$103+1,Männer!$G$9:$J$102,4))*0.5*(VLOOKUP($FM22-GA$103,Männer!$AZ$9:$BD$102,5)+VLOOKUP($FM22-GA$103+1,Männer!$AZ$9:$BD$102,5)),RundDx)</f>
        <v>123538767</v>
      </c>
      <c r="GB22" s="25">
        <f>ROUND(v^($FM22+FaktorAlter)*VLOOKUP($FM22,$G$9:$J$102,4)*VLOOKUP($FM22,$A$9:$E$102,5)*0.5*(VLOOKUP($FM22-GB$103,Männer!$G$9:$J$102,4)+VLOOKUP($FM22-GB$103+1,Männer!$G$9:$J$102,4))*0.5*(VLOOKUP($FM22-GB$103,Männer!$AZ$9:$BD$102,5)+VLOOKUP($FM22-GB$103+1,Männer!$AZ$9:$BD$102,5)),RundDx)</f>
        <v>137505843</v>
      </c>
      <c r="GC22" s="25">
        <f>ROUND(v^($FM22+FaktorAlter)*VLOOKUP($FM22,$G$9:$J$102,4)*VLOOKUP($FM22,$A$9:$E$102,5)*0.5*(VLOOKUP($FM22-GC$103,Männer!$G$9:$J$102,4)+VLOOKUP($FM22-GC$103+1,Männer!$G$9:$J$102,4))*0.5*(VLOOKUP($FM22-GC$103,Männer!$AZ$9:$BD$102,5)+VLOOKUP($FM22-GC$103+1,Männer!$AZ$9:$BD$102,5)),RundDx)</f>
        <v>151925111</v>
      </c>
      <c r="GD22" s="25">
        <f>ROUND(v^($FM22+FaktorAlter)*VLOOKUP($FM22,$G$9:$J$102,4)*VLOOKUP($FM22,$A$9:$E$102,5)*0.5*(VLOOKUP($FM22-GD$103,Männer!$G$9:$J$102,4)+VLOOKUP($FM22-GD$103+1,Männer!$G$9:$J$102,4))*0.5*(VLOOKUP($FM22-GD$103,Männer!$AZ$9:$BD$102,5)+VLOOKUP($FM22-GD$103+1,Männer!$AZ$9:$BD$102,5)),RundDx)</f>
        <v>166719031</v>
      </c>
      <c r="GE22" s="25">
        <f>ROUND(v^($FM22+FaktorAlter)*VLOOKUP($FM22,$G$9:$J$102,4)*VLOOKUP($FM22,$A$9:$E$102,5)*0.5*(VLOOKUP($FM22-GE$103,Männer!$G$9:$J$102,4)+VLOOKUP($FM22-GE$103+1,Männer!$G$9:$J$102,4))*0.5*(VLOOKUP($FM22-GE$103,Männer!$AZ$9:$BD$102,5)+VLOOKUP($FM22-GE$103+1,Männer!$AZ$9:$BD$102,5)),RundDx)</f>
        <v>181793134</v>
      </c>
      <c r="GF22" s="25">
        <f>ROUND(v^($FM22+FaktorAlter)*VLOOKUP($FM22,$G$9:$J$102,4)*VLOOKUP($FM22,$A$9:$E$102,5)*0.5*(VLOOKUP($FM22-GF$103,Männer!$G$9:$J$102,4)+VLOOKUP($FM22-GF$103+1,Männer!$G$9:$J$102,4))*0.5*(VLOOKUP($FM22-GF$103,Männer!$AZ$9:$BD$102,5)+VLOOKUP($FM22-GF$103+1,Männer!$AZ$9:$BD$102,5)),RundDx)</f>
        <v>197077084</v>
      </c>
      <c r="GG22" s="25">
        <f>ROUND(v^($FM22+FaktorAlter)*VLOOKUP($FM22,$G$9:$J$102,4)*VLOOKUP($FM22,$A$9:$E$102,5)*0.5*(VLOOKUP($FM22-GG$103,Männer!$G$9:$J$102,4)+VLOOKUP($FM22-GG$103+1,Männer!$G$9:$J$102,4))*0.5*(VLOOKUP($FM22-GG$103,Männer!$AZ$9:$BD$102,5)+VLOOKUP($FM22-GG$103+1,Männer!$AZ$9:$BD$102,5)),RundDx)</f>
        <v>212483699</v>
      </c>
      <c r="GH22" s="25">
        <f>ROUND(v^($FM22+FaktorAlter)*VLOOKUP($FM22,$G$9:$J$102,4)*VLOOKUP($FM22,$A$9:$E$102,5)*0.5*(VLOOKUP($FM22-GH$103,Männer!$G$9:$J$102,4)+VLOOKUP($FM22-GH$103+1,Männer!$G$9:$J$102,4))*0.5*(VLOOKUP($FM22-GH$103,Männer!$AZ$9:$BD$102,5)+VLOOKUP($FM22-GH$103+1,Männer!$AZ$9:$BD$102,5)),RundDx)</f>
        <v>228005039</v>
      </c>
      <c r="GI22" s="25">
        <f>ROUND(v^($FM22+FaktorAlter)*VLOOKUP($FM22,$G$9:$J$102,4)*VLOOKUP($FM22,$A$9:$E$102,5)*0.5*(VLOOKUP($FM22-GI$103,Männer!$G$9:$J$102,4)+VLOOKUP($FM22-GI$103+1,Männer!$G$9:$J$102,4))*0.5*(VLOOKUP($FM22-GI$103,Männer!$AZ$9:$BD$102,5)+VLOOKUP($FM22-GI$103+1,Männer!$AZ$9:$BD$102,5)),RundDx)</f>
        <v>243621916</v>
      </c>
      <c r="GJ22" s="25">
        <f>ROUND(v^($FM22+FaktorAlter)*VLOOKUP($FM22,$G$9:$J$102,4)*VLOOKUP($FM22,$A$9:$E$102,5)*0.5*(VLOOKUP($FM22-GJ$103,Männer!$G$9:$J$102,4)+VLOOKUP($FM22-GJ$103+1,Männer!$G$9:$J$102,4))*0.5*(VLOOKUP($FM22-GJ$103,Männer!$AZ$9:$BD$102,5)+VLOOKUP($FM22-GJ$103+1,Männer!$AZ$9:$BD$102,5)),RundDx)</f>
        <v>259260566</v>
      </c>
      <c r="GK22" s="25">
        <f>ROUND(v^($FM22+FaktorAlter)*VLOOKUP($FM22,$G$9:$J$102,4)*VLOOKUP($FM22,$A$9:$E$102,5)*0.5*(VLOOKUP($FM22-GK$103,Männer!$G$9:$J$102,4)+VLOOKUP($FM22-GK$103+1,Männer!$G$9:$J$102,4))*0.5*(VLOOKUP($FM22-GK$103,Männer!$AZ$9:$BD$102,5)+VLOOKUP($FM22-GK$103+1,Männer!$AZ$9:$BD$102,5)),RundDx)</f>
        <v>274911626</v>
      </c>
      <c r="GL22" s="25">
        <f>ROUND(v^($FM22+FaktorAlter)*VLOOKUP($FM22,$G$9:$J$102,4)*VLOOKUP($FM22,$A$9:$E$102,5)*0.5*(VLOOKUP($FM22-GL$103,Männer!$G$9:$J$102,4)+VLOOKUP($FM22-GL$103+1,Männer!$G$9:$J$102,4))*0.5*(VLOOKUP($FM22-GL$103,Männer!$AZ$9:$BD$102,5)+VLOOKUP($FM22-GL$103+1,Männer!$AZ$9:$BD$102,5)),RundDx)</f>
        <v>290630608</v>
      </c>
      <c r="GM22" s="25">
        <f>ROUND(v^($FM22+FaktorAlter)*VLOOKUP($FM22,$G$9:$J$102,4)*VLOOKUP($FM22,$A$9:$E$102,5)*0.5*(VLOOKUP($FM22-GM$103,Männer!$G$9:$J$102,4)+VLOOKUP($FM22-GM$103+1,Männer!$G$9:$J$102,4))*0.5*(VLOOKUP($FM22-GM$103,Männer!$AZ$9:$BD$102,5)+VLOOKUP($FM22-GM$103+1,Männer!$AZ$9:$BD$102,5)),RundDx)</f>
        <v>306462848</v>
      </c>
      <c r="GN22" s="25">
        <f>ROUND(v^($FM22+FaktorAlter)*VLOOKUP($FM22,$G$9:$J$102,4)*VLOOKUP($FM22,$A$9:$E$102,5)*0.5*(VLOOKUP($FM22-GN$103,Männer!$G$9:$J$102,4)+VLOOKUP($FM22-GN$103+1,Männer!$G$9:$J$102,4))*0.5*(VLOOKUP($FM22-GN$103,Männer!$AZ$9:$BD$102,5)+VLOOKUP($FM22-GN$103+1,Männer!$AZ$9:$BD$102,5)),RundDx)</f>
        <v>322369258</v>
      </c>
      <c r="GO22" s="25">
        <f>ROUND(v^($FM22+FaktorAlter)*VLOOKUP($FM22,$G$9:$J$102,4)*VLOOKUP($FM22,$A$9:$E$102,5)*0.5*(VLOOKUP($FM22-GO$103,Männer!$G$9:$J$102,4)+VLOOKUP($FM22-GO$103+1,Männer!$G$9:$J$102,4))*0.5*(VLOOKUP($FM22-GO$103,Männer!$AZ$9:$BD$102,5)+VLOOKUP($FM22-GO$103+1,Männer!$AZ$9:$BD$102,5)),RundDx)</f>
        <v>338388581</v>
      </c>
      <c r="GP22" s="25">
        <f>ROUND(v^($FM22+FaktorAlter)*VLOOKUP($FM22,$G$9:$J$102,4)*VLOOKUP($FM22,$A$9:$E$102,5)*0.5*(VLOOKUP($FM22-GP$103,Männer!$G$9:$J$102,4)+VLOOKUP($FM22-GP$103+1,Männer!$G$9:$J$102,4))*0.5*(VLOOKUP($FM22-GP$103,Männer!$AZ$9:$BD$102,5)+VLOOKUP($FM22-GP$103+1,Männer!$AZ$9:$BD$102,5)),RundDx)</f>
        <v>354602579</v>
      </c>
      <c r="GQ22" s="25">
        <f>ROUND(v^($FM22+FaktorAlter)*VLOOKUP($FM22,$G$9:$J$102,4)*VLOOKUP($FM22,$A$9:$E$102,5)*0.5*(VLOOKUP($FM22-GQ$103,Männer!$G$9:$J$102,4)+VLOOKUP($FM22-GQ$103+1,Männer!$G$9:$J$102,4))*0.5*(VLOOKUP($FM22-GQ$103,Männer!$AZ$9:$BD$102,5)+VLOOKUP($FM22-GQ$103+1,Männer!$AZ$9:$BD$102,5)),RundDx)</f>
        <v>371041987</v>
      </c>
      <c r="GR22" s="25">
        <f>ROUND(v^($FM22+FaktorAlter)*VLOOKUP($FM22,$G$9:$J$102,4)*VLOOKUP($FM22,$A$9:$E$102,5)*0.5*(VLOOKUP($FM22-GR$103,Männer!$G$9:$J$102,4)+VLOOKUP($FM22-GR$103+1,Männer!$G$9:$J$102,4))*0.5*(VLOOKUP($FM22-GR$103,Männer!$AZ$9:$BD$102,5)+VLOOKUP($FM22-GR$103+1,Männer!$AZ$9:$BD$102,5)),RundDx)</f>
        <v>387746444</v>
      </c>
      <c r="GS22" s="24">
        <f>ROUND(SUM(FN22:FN$56)/VLOOKUP($FM22,$AQ$9:$AR$102,2)/VLOOKUP($FM22-GS$103,Männer!$G$9:$J$102,4),Rundäx)</f>
        <v>0.17100000000000001</v>
      </c>
      <c r="GT22" s="24">
        <f>ROUND(SUM(FO22:FO$56)/VLOOKUP($FM22,$AQ$9:$AR$102,2)/VLOOKUP($FM22-GT$103,Männer!$G$9:$J$102,4),Rundäx)</f>
        <v>0.21</v>
      </c>
      <c r="GU22" s="24">
        <f>ROUND(SUM(FP22:FP$56)/VLOOKUP($FM22,$AQ$9:$AR$102,2)/VLOOKUP($FM22-GU$103,Männer!$G$9:$J$102,4),Rundäx)</f>
        <v>0.25700000000000001</v>
      </c>
      <c r="GV22" s="24">
        <f>ROUND(SUM(FQ22:FQ$56)/VLOOKUP($FM22,$AQ$9:$AR$102,2)/VLOOKUP($FM22-GV$103,Männer!$G$9:$J$102,4),Rundäx)</f>
        <v>0.312</v>
      </c>
      <c r="GW22" s="24">
        <f>ROUND(SUM(FR22:FR$56)/VLOOKUP($FM22,$AQ$9:$AR$102,2)/VLOOKUP($FM22-GW$103,Männer!$G$9:$J$102,4),Rundäx)</f>
        <v>0.376</v>
      </c>
      <c r="GX22" s="24">
        <f>ROUND(SUM(FS22:FS$56)/VLOOKUP($FM22,$AQ$9:$AR$102,2)/VLOOKUP($FM22-GX$103,Männer!$G$9:$J$102,4),Rundäx)</f>
        <v>0.45</v>
      </c>
      <c r="GY22" s="24">
        <f>ROUND(SUM(FT22:FT$56)/VLOOKUP($FM22,$AQ$9:$AR$102,2)/VLOOKUP($FM22-GY$103,Männer!$G$9:$J$102,4),Rundäx)</f>
        <v>0.53500000000000003</v>
      </c>
      <c r="GZ22" s="24">
        <f>ROUND(SUM(FU22:FU$56)/VLOOKUP($FM22,$AQ$9:$AR$102,2)/VLOOKUP($FM22-GZ$103,Männer!$G$9:$J$102,4),Rundäx)</f>
        <v>0.63200000000000001</v>
      </c>
      <c r="HA22" s="89"/>
      <c r="HB22" s="35">
        <f t="shared" si="65"/>
        <v>77</v>
      </c>
      <c r="HC22" s="24">
        <f>ROUND(SUM(FV22:FV$56)/VLOOKUP($FM22,$AQ$9:$AR$102,2)/VLOOKUP($FM22-HC$103,Männer!$G$9:$J$102,4),Rundäx)</f>
        <v>0.74099999999999999</v>
      </c>
      <c r="HD22" s="24">
        <f>ROUND(SUM(FW22:FW$56)/VLOOKUP($FM22,$AQ$9:$AR$102,2)/VLOOKUP($FM22-HD$103,Männer!$G$9:$J$102,4),Rundäx)</f>
        <v>0.86299999999999999</v>
      </c>
      <c r="HE22" s="24">
        <f>ROUND(SUM(FX22:FX$56)/VLOOKUP($FM22,$AQ$9:$AR$102,2)/VLOOKUP($FM22-HE$103,Männer!$G$9:$J$102,4),Rundäx)</f>
        <v>0.999</v>
      </c>
      <c r="HF22" s="24">
        <f>ROUND(SUM(FY22:FY$56)/VLOOKUP($FM22,$AQ$9:$AR$102,2)/VLOOKUP($FM22-HF$103,Männer!$G$9:$J$102,4),Rundäx)</f>
        <v>1.1479999999999999</v>
      </c>
      <c r="HG22" s="24">
        <f>ROUND(SUM(FZ22:FZ$56)/VLOOKUP($FM22,$AQ$9:$AR$102,2)/VLOOKUP($FM22-HG$103,Männer!$G$9:$J$102,4),Rundäx)</f>
        <v>1.3120000000000001</v>
      </c>
      <c r="HH22" s="24">
        <f>ROUND(SUM(GA22:GA$56)/VLOOKUP($FM22,$AQ$9:$AR$102,2)/VLOOKUP($FM22-HH$103,Männer!$G$9:$J$102,4),Rundäx)</f>
        <v>1.49</v>
      </c>
      <c r="HI22" s="24">
        <f>ROUND(SUM(GB22:GB$56)/VLOOKUP($FM22,$AQ$9:$AR$102,2)/VLOOKUP($FM22-HI$103,Männer!$G$9:$J$102,4),Rundäx)</f>
        <v>1.6819999999999999</v>
      </c>
      <c r="HJ22" s="24">
        <f>ROUND(SUM(GC22:GC$56)/VLOOKUP($FM22,$AQ$9:$AR$102,2)/VLOOKUP($FM22-HJ$103,Männer!$G$9:$J$102,4),Rundäx)</f>
        <v>1.8879999999999999</v>
      </c>
      <c r="HK22" s="89"/>
      <c r="HL22" s="35">
        <f t="shared" si="66"/>
        <v>77</v>
      </c>
      <c r="HM22" s="24">
        <f>ROUND(SUM(GD22:GD$56)/VLOOKUP($FM22,$AQ$9:$AR$102,2)/VLOOKUP($FM22-HM$103,Männer!$G$9:$J$102,4),Rundäx)</f>
        <v>2.1080000000000001</v>
      </c>
      <c r="HN22" s="24">
        <f>ROUND(SUM(GE22:GE$56)/VLOOKUP($FM22,$AQ$9:$AR$102,2)/VLOOKUP($FM22-HN$103,Männer!$G$9:$J$102,4),Rundäx)</f>
        <v>2.3410000000000002</v>
      </c>
      <c r="HO22" s="24">
        <f>ROUND(SUM(GF22:GF$56)/VLOOKUP($FM22,$AQ$9:$AR$102,2)/VLOOKUP($FM22-HO$103,Männer!$G$9:$J$102,4),Rundäx)</f>
        <v>2.5880000000000001</v>
      </c>
      <c r="HP22" s="24">
        <f>ROUND(SUM(GG22:GG$56)/VLOOKUP($FM22,$AQ$9:$AR$102,2)/VLOOKUP($FM22-HP$103,Männer!$G$9:$J$102,4),Rundäx)</f>
        <v>2.847</v>
      </c>
      <c r="HQ22" s="24">
        <f>ROUND(SUM(GH22:GH$56)/VLOOKUP($FM22,$AQ$9:$AR$102,2)/VLOOKUP($FM22-HQ$103,Männer!$G$9:$J$102,4),Rundäx)</f>
        <v>3.1179999999999999</v>
      </c>
      <c r="HR22" s="24">
        <f>ROUND(SUM(GI22:GI$56)/VLOOKUP($FM22,$AQ$9:$AR$102,2)/VLOOKUP($FM22-HR$103,Männer!$G$9:$J$102,4),Rundäx)</f>
        <v>3.4</v>
      </c>
      <c r="HS22" s="24">
        <f>ROUND(SUM(GJ22:GJ$56)/VLOOKUP($FM22,$AQ$9:$AR$102,2)/VLOOKUP($FM22-HS$103,Männer!$G$9:$J$102,4),Rundäx)</f>
        <v>3.6920000000000002</v>
      </c>
      <c r="HT22" s="24">
        <f>ROUND(SUM(GK22:GK$56)/VLOOKUP($FM22,$AQ$9:$AR$102,2)/VLOOKUP($FM22-HT$103,Männer!$G$9:$J$102,4),Rundäx)</f>
        <v>3.9929999999999999</v>
      </c>
      <c r="HU22" s="89"/>
      <c r="HV22" s="35">
        <f t="shared" si="67"/>
        <v>77</v>
      </c>
      <c r="HW22" s="24">
        <f>ROUND(SUM(GL22:GL$56)/VLOOKUP($FM22,$AQ$9:$AR$102,2)/VLOOKUP($FM22-HW$103,Männer!$G$9:$J$102,4),Rundäx)</f>
        <v>4.3029999999999999</v>
      </c>
      <c r="HX22" s="24">
        <f>ROUND(SUM(GM22:GM$56)/VLOOKUP($FM22,$AQ$9:$AR$102,2)/VLOOKUP($FM22-HX$103,Männer!$G$9:$J$102,4),Rundäx)</f>
        <v>4.6189999999999998</v>
      </c>
      <c r="HY22" s="24">
        <f>ROUND(SUM(GN22:GN$56)/VLOOKUP($FM22,$AQ$9:$AR$102,2)/VLOOKUP($FM22-HY$103,Männer!$G$9:$J$102,4),Rundäx)</f>
        <v>4.9429999999999996</v>
      </c>
      <c r="HZ22" s="24">
        <f>ROUND(SUM(GO22:GO$56)/VLOOKUP($FM22,$AQ$9:$AR$102,2)/VLOOKUP($FM22-HZ$103,Männer!$G$9:$J$102,4),Rundäx)</f>
        <v>5.2729999999999997</v>
      </c>
      <c r="IA22" s="24">
        <f>ROUND(SUM(GP22:GP$56)/VLOOKUP($FM22,$AQ$9:$AR$102,2)/VLOOKUP($FM22-IA$103,Männer!$G$9:$J$102,4),Rundäx)</f>
        <v>5.609</v>
      </c>
      <c r="IB22" s="24">
        <f>ROUND(SUM(GQ22:GQ$56)/VLOOKUP($FM22,$AQ$9:$AR$102,2)/VLOOKUP($FM22-IB$103,Männer!$G$9:$J$102,4),Rundäx)</f>
        <v>5.95</v>
      </c>
      <c r="IC22" s="24">
        <f>ROUND(SUM(GR22:GR$56)/VLOOKUP($FM22,$AQ$9:$AR$102,2)/VLOOKUP($FM22-IC$103,Männer!$G$9:$J$102,4),Rundäx)</f>
        <v>6.2960000000000003</v>
      </c>
      <c r="ID22" s="89"/>
      <c r="IE22" s="9">
        <f t="shared" si="68"/>
        <v>30</v>
      </c>
      <c r="IF22" s="11">
        <f t="shared" si="25"/>
        <v>237</v>
      </c>
      <c r="IG22" s="11">
        <f>IF($IE22&lt;RAF,IF(S23&lt;=RAK,ROUND(SUM(IF22:INDEX(Daky,RAF-BeginnAlter))+INDEX(Day,RAF-BeginnAlter+1)*INDEX(äky,1),RundDx),0),"")</f>
        <v>5399</v>
      </c>
      <c r="IH22" s="11">
        <f>IF($IE22&lt;RAF,IF(S23&lt;=RAK,ROUND(SUM(IG22:INDEX(Naky,RAF-BeginnAlter))+INDEX(Day,RAF-BeginnAlter+1)*INDEX(äky,1),RundDx),0),"")</f>
        <v>53247</v>
      </c>
      <c r="II22" s="10">
        <f t="shared" si="26"/>
        <v>0.106</v>
      </c>
      <c r="IJ22" s="11">
        <f t="shared" si="27"/>
        <v>8525</v>
      </c>
      <c r="IK22" s="11">
        <f>IF($IE22&lt;RAF,IF(S23&lt;=RAK,SUM(IJ22:INDEX(Diky,RAF-BeginnAlter))+INDEX(Diy,RAF-BeginnAlter+1)*INDEX(äky,1),0),"")</f>
        <v>205615</v>
      </c>
      <c r="IL22" s="10">
        <f t="shared" si="28"/>
        <v>2.1549999999999998</v>
      </c>
      <c r="IM22" s="89"/>
      <c r="IN22" s="9">
        <f t="shared" si="29"/>
        <v>77</v>
      </c>
      <c r="IO22" s="11"/>
      <c r="IP22" s="11"/>
      <c r="IQ22" s="10"/>
      <c r="IR22" s="86"/>
    </row>
    <row r="23" spans="1:252" ht="15.75" customHeight="1" x14ac:dyDescent="0.25">
      <c r="A23" s="9">
        <f t="shared" si="4"/>
        <v>31</v>
      </c>
      <c r="B23" s="93">
        <v>3.630021014958333E-4</v>
      </c>
      <c r="C23" s="93">
        <v>1.6237518099296256E-3</v>
      </c>
      <c r="D23" s="93">
        <v>2.2290462264730655E-2</v>
      </c>
      <c r="E23" s="93">
        <v>5.5243624383527479E-4</v>
      </c>
      <c r="F23" s="89"/>
      <c r="G23" s="9">
        <f t="shared" si="5"/>
        <v>31</v>
      </c>
      <c r="H23" s="11">
        <f t="shared" si="30"/>
        <v>98757</v>
      </c>
      <c r="I23" s="25">
        <f t="shared" si="31"/>
        <v>802</v>
      </c>
      <c r="J23" s="25">
        <f t="shared" si="32"/>
        <v>99559</v>
      </c>
      <c r="K23" s="30">
        <f>IF(J23&gt;0,ROUND(SUM(J23:J$102)/J23-0.5,Rundex),"")</f>
        <v>51.33</v>
      </c>
      <c r="L23" s="25">
        <f t="shared" si="6"/>
        <v>181885</v>
      </c>
      <c r="M23" s="30">
        <f>IF(L23&gt;0,ROUND(SUM(L23:L$102)/L23-0.5,Rundex),"")</f>
        <v>34.18</v>
      </c>
      <c r="N23" s="89"/>
      <c r="O23" s="9">
        <f t="shared" si="49"/>
        <v>31</v>
      </c>
      <c r="P23" s="94">
        <v>0.151</v>
      </c>
      <c r="Q23" s="95">
        <v>34.767060475792363</v>
      </c>
      <c r="R23" s="94">
        <v>0.24650674026678765</v>
      </c>
      <c r="S23" s="95">
        <v>0.7</v>
      </c>
      <c r="T23" s="28">
        <v>5.5243624383527479E-4</v>
      </c>
      <c r="U23" s="11">
        <f t="shared" si="33"/>
        <v>99559</v>
      </c>
      <c r="V23" s="30">
        <f>IF(U23&gt;0,ROUND(SUM(U23:U$102)/U23-0.5,Rundex),"")</f>
        <v>52.62</v>
      </c>
      <c r="W23" s="89"/>
      <c r="X23" s="9">
        <f t="shared" si="50"/>
        <v>31</v>
      </c>
      <c r="Y23" s="11">
        <f t="shared" si="34"/>
        <v>49546</v>
      </c>
      <c r="Z23" s="11">
        <f>IF($X23&lt;RAF,SUM(Y23:INDEX(Day,RAF-BeginnAlter))," ")</f>
        <v>1089041</v>
      </c>
      <c r="AA23" s="11">
        <f t="shared" si="0"/>
        <v>18</v>
      </c>
      <c r="AB23" s="11">
        <f>IF($X23&lt;RAF,SUM(AA23:INDEX(Cay,RAF-BeginnAlter))," ")</f>
        <v>1274</v>
      </c>
      <c r="AC23" s="11">
        <f t="shared" si="1"/>
        <v>80</v>
      </c>
      <c r="AD23" s="11">
        <f>IF($X23&lt;RAF,SUM(AC23:INDEX(Caiy,RAF-BeginnAlter))," ")</f>
        <v>8039</v>
      </c>
      <c r="AE23" s="10">
        <f t="shared" si="35"/>
        <v>21.98</v>
      </c>
      <c r="AF23" s="10">
        <f t="shared" si="36"/>
        <v>21.672999999999998</v>
      </c>
      <c r="AG23" s="89"/>
      <c r="AH23" s="9">
        <f t="shared" si="51"/>
        <v>31</v>
      </c>
      <c r="AI23" s="11">
        <f t="shared" si="37"/>
        <v>91250</v>
      </c>
      <c r="AJ23" s="11">
        <f>IF($AH23&gt;RAF," ",IF($AH23&lt;RAF,SUM(AI23:INDEX(Diy,RAF-BeginnAlter))+INDEX(Ny,RAF-BeginnAlter+1),INDEX(Ny,RAF-BeginnAlter+1)))</f>
        <v>1994811</v>
      </c>
      <c r="AK23" s="11">
        <f>IF($AH23&lt;RAF,SUM(AI23:INDEX(Diy,RAF-BeginnAlter))," ")</f>
        <v>1628717</v>
      </c>
      <c r="AL23" s="10">
        <f t="shared" si="38"/>
        <v>21.861000000000001</v>
      </c>
      <c r="AM23" s="10">
        <f t="shared" si="39"/>
        <v>21.402999999999999</v>
      </c>
      <c r="AN23" s="10">
        <f t="shared" si="40"/>
        <v>17.849</v>
      </c>
      <c r="AO23" s="10">
        <f t="shared" si="41"/>
        <v>17.5</v>
      </c>
      <c r="AP23" s="89"/>
      <c r="AQ23" s="9">
        <f t="shared" si="52"/>
        <v>31</v>
      </c>
      <c r="AR23" s="11">
        <f t="shared" si="42"/>
        <v>49948</v>
      </c>
      <c r="AS23" s="11">
        <f>SUM(AR23:AR$96)</f>
        <v>1522897</v>
      </c>
      <c r="AT23" s="25">
        <f>IF($AQ23&lt;RAF,SUM(AR23:INDEX(Dy,RAF-BeginnAlter))," ")</f>
        <v>1156803</v>
      </c>
      <c r="AU23" s="24">
        <f t="shared" si="43"/>
        <v>30.49</v>
      </c>
      <c r="AV23" s="24">
        <f t="shared" si="44"/>
        <v>30.030999999999999</v>
      </c>
      <c r="AW23" s="24">
        <f t="shared" si="45"/>
        <v>23.16</v>
      </c>
      <c r="AX23" s="24">
        <f t="shared" si="46"/>
        <v>22.901</v>
      </c>
      <c r="AY23" s="89"/>
      <c r="AZ23" s="9">
        <f t="shared" si="53"/>
        <v>31</v>
      </c>
      <c r="BA23" s="11">
        <f t="shared" si="47"/>
        <v>49948</v>
      </c>
      <c r="BB23" s="11">
        <f>SUM(BA23:BA$96)</f>
        <v>1545686</v>
      </c>
      <c r="BC23" s="10">
        <f t="shared" si="48"/>
        <v>30.946000000000002</v>
      </c>
      <c r="BD23" s="10">
        <f t="shared" si="7"/>
        <v>30.488</v>
      </c>
      <c r="BE23" s="89"/>
      <c r="BF23" s="9">
        <f t="shared" si="54"/>
        <v>14</v>
      </c>
      <c r="BG23" s="10">
        <f t="shared" si="8"/>
        <v>9.8659999999999997</v>
      </c>
      <c r="BH23" s="10">
        <f t="shared" si="9"/>
        <v>9.7669999999999995</v>
      </c>
      <c r="BI23" s="89"/>
      <c r="BJ23" s="9">
        <f t="shared" si="55"/>
        <v>31</v>
      </c>
      <c r="BK23" s="11">
        <f t="shared" si="10"/>
        <v>1701</v>
      </c>
      <c r="BL23" s="11">
        <f>IF(BJ23&lt;RAF,SUM(BK23:INDEX(Daiy,RAF-BeginnAlter))," ")</f>
        <v>149756</v>
      </c>
      <c r="BM23" s="11">
        <f>IF(BJ23&lt;RAF,SUM(BL23:INDEX(Naiy,RAF-BeginnAlter))," ")</f>
        <v>3253329</v>
      </c>
      <c r="BN23" s="10">
        <f t="shared" si="11"/>
        <v>5.4130000000000003</v>
      </c>
      <c r="BO23" s="10">
        <f t="shared" si="12"/>
        <v>3.0230000000000001</v>
      </c>
      <c r="BP23" s="89"/>
      <c r="BQ23" s="9">
        <f t="shared" si="56"/>
        <v>31</v>
      </c>
      <c r="BR23" s="11">
        <f t="shared" si="13"/>
        <v>1384</v>
      </c>
      <c r="BS23" s="11">
        <f>IF(BQ23&lt;RAF,SUM(BR23:INDEX(Daiys,RAF-BeginnAlter))," ")</f>
        <v>63383</v>
      </c>
      <c r="BT23" s="11">
        <f>IF(BQ23&lt;RAF,SUM(BS23:INDEX(Naiys,RAF-BeginnAlter))," ")</f>
        <v>1075228</v>
      </c>
      <c r="BU23" s="10">
        <f t="shared" si="14"/>
        <v>7.1559999999999997</v>
      </c>
      <c r="BV23" s="10">
        <f t="shared" si="15"/>
        <v>1.2789999999999999</v>
      </c>
      <c r="BW23" s="89"/>
      <c r="BX23" s="9">
        <f t="shared" si="57"/>
        <v>31</v>
      </c>
      <c r="BY23" s="10">
        <f t="shared" si="16"/>
        <v>15.028546370751972</v>
      </c>
      <c r="BZ23" s="11">
        <f t="shared" si="17"/>
        <v>340</v>
      </c>
      <c r="CA23" s="11">
        <f>IF(S24&lt;=RAK,IF($BX23&lt;RAF,SUM(BZ23:INDEX(Dazy,RAF-BeginnAlter)),""),"")</f>
        <v>15488</v>
      </c>
      <c r="CB23" s="10">
        <f t="shared" si="18"/>
        <v>0.313</v>
      </c>
      <c r="CC23" s="11">
        <f t="shared" si="19"/>
        <v>27951</v>
      </c>
      <c r="CD23" s="10">
        <f t="shared" si="20"/>
        <v>20.478999999999999</v>
      </c>
      <c r="CE23" s="10">
        <f t="shared" si="21"/>
        <v>2E-3</v>
      </c>
      <c r="CF23" s="89"/>
      <c r="CG23" s="9">
        <f t="shared" si="58"/>
        <v>31</v>
      </c>
      <c r="CH23" s="11">
        <f>IF(CG23&lt;RAF,ROUND(v^($CG23+FaktorAlter)*$H23*($B23*0.5*($P23+$P24)*(VLOOKUP(TRUNC(0.5*($Q23+$Q24),0),Männer!$AZ$9:$BD$95,5)+(0.5*($Q23+$Q24)-TRUNC(0.5*($Q23+$Q24),0))*(VLOOKUP(TRUNC(0.5*($Q23+$Q24)+1,0),Männer!$AZ$9:$BD$95,5)-VLOOKUP(TRUNC(0.5*($Q23+$Q24),0),Männer!$AZ$9:$BD$95,5)))+$C23*0.5*($CN23+$CN24)),RundDx),"")</f>
        <v>231</v>
      </c>
      <c r="CI23" s="11">
        <f>IF(CG23&lt;RAF,ROUND(SUM(CH23:INDEX(Dawy,RAF-BeginnAlter))+INDEX(Day,RAF-BeginnAlter+1)*INDEX(äwy,1),RundDx),"")</f>
        <v>12974</v>
      </c>
      <c r="CJ23" s="11">
        <f>IF(CG23&lt;RAF,ROUND(SUM(CI23:INDEX(Nawy,RAF-BeginnAlter))+INDEX(Day,RAF-BeginnAlter+1)*INDEX(äwy,1),RundDx),"")</f>
        <v>256933</v>
      </c>
      <c r="CK23" s="10">
        <f t="shared" si="22"/>
        <v>0.26200000000000001</v>
      </c>
      <c r="CL23" s="11">
        <f>IF(CG23&lt;RAF,ROUND(v^($CG23+FaktorAlter)*$L23*$D23*0.5*($P23+$P24)*(VLOOKUP(TRUNC(0.5*($Q23+$Q24),0),Männer!$AZ$9:$BD$95,5)+(0.5*($Q23+$Q24)-TRUNC(0.5*($Q23+$Q24),0))*(VLOOKUP(TRUNC(0.5*($Q23+$Q24)+1,0),Männer!$AZ$9:$BD$95,5)-VLOOKUP(TRUNC(0.5*($Q23+$Q24),0),Männer!$AZ$9:$BD$95,5))),RundDx),"")</f>
        <v>8398</v>
      </c>
      <c r="CM23" s="11">
        <f>IF(CG23&lt;RAF,SUM(CL23:INDEX(Diwy,RAF-BeginnAlter))+INDEX(Diy,RAF-BeginnAlter+1)*INDEX(äwy,1),"")</f>
        <v>180489.304</v>
      </c>
      <c r="CN23" s="10">
        <f t="shared" si="23"/>
        <v>1.978</v>
      </c>
      <c r="CO23" s="89"/>
      <c r="CP23" s="9">
        <f t="shared" si="59"/>
        <v>78</v>
      </c>
      <c r="CQ23" s="11">
        <f>ROUND(v^($CP23+FaktorAlter)*VLOOKUP(CP23,G$9:J$102,4)*VLOOKUP(CP23,A$9:E$102,5)*0.5*(VLOOKUP(CP23,O$9:P$102,2)+VLOOKUP(CP23+1,O$9:P$102,2))*(VLOOKUP(TRUNC(0.5*(VLOOKUP(CP23,O$9:Q$102,3)+VLOOKUP(CP23+1,O$9:Q$102,3)),0),Männer!$AZ$9:$BD$95,5)+(0.5*(VLOOKUP(CP23,O$9:Q$102,3)+VLOOKUP(CP23+1,O$9:Q$102,3))-TRUNC(0.5*(VLOOKUP(CP23,O$9:Q$102,3)+VLOOKUP(CP23+1,O$9:Q$102,3)),0))*(VLOOKUP(TRUNC(0.5*(VLOOKUP(CP23,O$9:Q$102,3)+VLOOKUP(CP23+1,O$9:Q$102,3))+1,0),Männer!$AZ$9:$BD$95,5)-VLOOKUP(TRUNC(0.5*(VLOOKUP(CP23,O$9:Q$102,3)+VLOOKUP(CP23+1,O$9:Q$102,3)),0),Männer!$AZ$9:$BD$95,5))),RundDx)</f>
        <v>27</v>
      </c>
      <c r="CR23" s="11">
        <f>SUM(CQ23:CQ$56)</f>
        <v>250</v>
      </c>
      <c r="CS23" s="24">
        <f t="shared" si="24"/>
        <v>0.02</v>
      </c>
      <c r="CT23" s="89"/>
      <c r="CU23" s="35">
        <f t="shared" si="60"/>
        <v>31</v>
      </c>
      <c r="CV23" s="25">
        <f>IF($CU23&gt;=RAF,"",IF($CU23-CV$103&lt;BeginnAlter,"",ROUND(v^($CU23+FaktorAlter)*$L23*$D23*0.5*(VLOOKUP($CU23-CV$103,Männer!$G$9:$J$102,4)+VLOOKUP($CU23-CV$103+1,Männer!$G$9:$J$102,4))*0.5*(VLOOKUP($CU23-CV$103,Männer!$AZ$9:$BD$102,5)+VLOOKUP($CU23-CV$103+1,Männer!$AZ$9:$BD$102,5)),RundDx)))</f>
        <v>4263289018</v>
      </c>
      <c r="CW23" s="25">
        <f>IF($CU23&gt;=RAF,"",IF($CU23-CW$103&lt;BeginnAlter,"",ROUND(v^($CU23+FaktorAlter)*$L23*$D23*0.5*(VLOOKUP($CU23-CW$103,Männer!$G$9:$J$102,4)+VLOOKUP($CU23-CW$103+1,Männer!$G$9:$J$102,4))*0.5*(VLOOKUP($CU23-CW$103,Männer!$AZ$9:$BD$102,5)+VLOOKUP($CU23-CW$103+1,Männer!$AZ$9:$BD$102,5)),RundDx)))</f>
        <v>4363367601</v>
      </c>
      <c r="CX23" s="25">
        <f>IF($CU23&gt;=RAF,"",IF($CU23-CX$103&lt;BeginnAlter,"",ROUND(v^($CU23+FaktorAlter)*$L23*$D23*0.5*(VLOOKUP($CU23-CX$103,Männer!$G$9:$J$102,4)+VLOOKUP($CU23-CX$103+1,Männer!$G$9:$J$102,4))*0.5*(VLOOKUP($CU23-CX$103,Männer!$AZ$9:$BD$102,5)+VLOOKUP($CU23-CX$103+1,Männer!$AZ$9:$BD$102,5)),RundDx)))</f>
        <v>4461620857</v>
      </c>
      <c r="CY23" s="25">
        <f>IF($CU23&gt;=RAF,"",IF($CU23-CY$103&lt;BeginnAlter,"",ROUND(v^($CU23+FaktorAlter)*$L23*$D23*0.5*(VLOOKUP($CU23-CY$103,Männer!$G$9:$J$102,4)+VLOOKUP($CU23-CY$103+1,Männer!$G$9:$J$102,4))*0.5*(VLOOKUP($CU23-CY$103,Männer!$AZ$9:$BD$102,5)+VLOOKUP($CU23-CY$103+1,Männer!$AZ$9:$BD$102,5)),RundDx)))</f>
        <v>4558007487</v>
      </c>
      <c r="CZ23" s="25">
        <f>IF($CU23&gt;=RAF,"",IF($CU23-CZ$103&lt;BeginnAlter,"",ROUND(v^($CU23+FaktorAlter)*$L23*$D23*0.5*(VLOOKUP($CU23-CZ$103,Männer!$G$9:$J$102,4)+VLOOKUP($CU23-CZ$103+1,Männer!$G$9:$J$102,4))*0.5*(VLOOKUP($CU23-CZ$103,Männer!$AZ$9:$BD$102,5)+VLOOKUP($CU23-CZ$103+1,Männer!$AZ$9:$BD$102,5)),RundDx)))</f>
        <v>4652633396</v>
      </c>
      <c r="DA23" s="25">
        <f>IF($CU23&gt;=RAF,"",IF($CU23-DA$103&lt;BeginnAlter,"",ROUND(v^($CU23+FaktorAlter)*$L23*$D23*0.5*(VLOOKUP($CU23-DA$103,Männer!$G$9:$J$102,4)+VLOOKUP($CU23-DA$103+1,Männer!$G$9:$J$102,4))*0.5*(VLOOKUP($CU23-DA$103,Männer!$AZ$9:$BD$102,5)+VLOOKUP($CU23-DA$103+1,Männer!$AZ$9:$BD$102,5)),RundDx)))</f>
        <v>4745585586</v>
      </c>
      <c r="DB23" s="25">
        <f>IF($CU23&gt;=RAF,"",IF($CU23-DB$103&lt;BeginnAlter,"",ROUND(v^($CU23+FaktorAlter)*$L23*$D23*0.5*(VLOOKUP($CU23-DB$103,Männer!$G$9:$J$102,4)+VLOOKUP($CU23-DB$103+1,Männer!$G$9:$J$102,4))*0.5*(VLOOKUP($CU23-DB$103,Männer!$AZ$9:$BD$102,5)+VLOOKUP($CU23-DB$103+1,Männer!$AZ$9:$BD$102,5)),RundDx)))</f>
        <v>4836707477</v>
      </c>
      <c r="DC23" s="25">
        <f>IF($CU23&gt;=RAF,"",IF($CU23-DC$103&lt;BeginnAlter,"",ROUND(v^($CU23+FaktorAlter)*$L23*$D23*0.5*(VLOOKUP($CU23-DC$103,Männer!$G$9:$J$102,4)+VLOOKUP($CU23-DC$103+1,Männer!$G$9:$J$102,4))*0.5*(VLOOKUP($CU23-DC$103,Männer!$AZ$9:$BD$102,5)+VLOOKUP($CU23-DC$103+1,Männer!$AZ$9:$BD$102,5)),RundDx)))</f>
        <v>4925990204</v>
      </c>
      <c r="DD23" s="25">
        <f>IF($CU23&gt;=RAF,"",IF($CU23-DD$103&lt;BeginnAlter,"",ROUND(v^($CU23+FaktorAlter)*$L23*$D23*0.5*(VLOOKUP($CU23-DD$103,Männer!$G$9:$J$102,4)+VLOOKUP($CU23-DD$103+1,Männer!$G$9:$J$102,4))*0.5*(VLOOKUP($CU23-DD$103,Männer!$AZ$9:$BD$102,5)+VLOOKUP($CU23-DD$103+1,Männer!$AZ$9:$BD$102,5)),RundDx)))</f>
        <v>5013699393</v>
      </c>
      <c r="DE23" s="25">
        <f>IF($CU23&gt;=RAF,"",IF($CU23-DE$103&lt;BeginnAlter,"",ROUND(v^($CU23+FaktorAlter)*$L23*$D23*0.5*(VLOOKUP($CU23-DE$103,Männer!$G$9:$J$102,4)+VLOOKUP($CU23-DE$103+1,Männer!$G$9:$J$102,4))*0.5*(VLOOKUP($CU23-DE$103,Männer!$AZ$9:$BD$102,5)+VLOOKUP($CU23-DE$103+1,Männer!$AZ$9:$BD$102,5)),RundDx)))</f>
        <v>5099732035</v>
      </c>
      <c r="DF23" s="25">
        <f>IF($CU23&gt;=RAF,"",IF($CU23-DF$103&lt;BeginnAlter,"",ROUND(v^($CU23+FaktorAlter)*$L23*$D23*0.5*(VLOOKUP($CU23-DF$103,Männer!$G$9:$J$102,4)+VLOOKUP($CU23-DF$103+1,Männer!$G$9:$J$102,4))*0.5*(VLOOKUP($CU23-DF$103,Männer!$AZ$9:$BD$102,5)+VLOOKUP($CU23-DF$103+1,Männer!$AZ$9:$BD$102,5)),RundDx)))</f>
        <v>5184013336</v>
      </c>
      <c r="DG23" s="25">
        <f>IF($CU23&gt;=RAF,"",IF($CU23-DG$103&lt;BeginnAlter,"",ROUND(v^($CU23+FaktorAlter)*$L23*$D23*0.5*(VLOOKUP($CU23-DG$103,Männer!$G$9:$J$102,4)+VLOOKUP($CU23-DG$103+1,Männer!$G$9:$J$102,4))*0.5*(VLOOKUP($CU23-DG$103,Männer!$AZ$9:$BD$102,5)+VLOOKUP($CU23-DG$103+1,Männer!$AZ$9:$BD$102,5)),RundDx)))</f>
        <v>5266716996</v>
      </c>
      <c r="DH23" s="25">
        <f>IF($CU23&gt;=RAF,"",IF($CU23-DH$103&lt;BeginnAlter,"",ROUND(v^($CU23+FaktorAlter)*$L23*$D23*0.5*(VLOOKUP($CU23-DH$103,Männer!$G$9:$J$102,4)+VLOOKUP($CU23-DH$103+1,Männer!$G$9:$J$102,4))*0.5*(VLOOKUP($CU23-DH$103,Männer!$AZ$9:$BD$102,5)+VLOOKUP($CU23-DH$103+1,Männer!$AZ$9:$BD$102,5)),RundDx)))</f>
        <v>5347719704</v>
      </c>
      <c r="DI23" s="25">
        <f>IF($CU23&gt;=RAF,"",IF($CU23-DI$103&lt;BeginnAlter,"",ROUND(v^($CU23+FaktorAlter)*$L23*$D23*0.5*(VLOOKUP($CU23-DI$103,Männer!$G$9:$J$102,4)+VLOOKUP($CU23-DI$103+1,Männer!$G$9:$J$102,4))*0.5*(VLOOKUP($CU23-DI$103,Männer!$AZ$9:$BD$102,5)+VLOOKUP($CU23-DI$103+1,Männer!$AZ$9:$BD$102,5)),RundDx)))</f>
        <v>5427080294</v>
      </c>
      <c r="DJ23" s="25">
        <f>IF($CU23&gt;=RAF,"",IF($CU23-DJ$103&lt;BeginnAlter,"",ROUND(v^($CU23+FaktorAlter)*$L23*$D23*0.5*(VLOOKUP($CU23-DJ$103,Männer!$G$9:$J$102,4)+VLOOKUP($CU23-DJ$103+1,Männer!$G$9:$J$102,4))*0.5*(VLOOKUP($CU23-DJ$103,Männer!$AZ$9:$BD$102,5)+VLOOKUP($CU23-DJ$103+1,Männer!$AZ$9:$BD$102,5)),RundDx)))</f>
        <v>5504862776</v>
      </c>
      <c r="DK23" s="25">
        <f>IF($CU23&gt;=RAF,"",IF($CU23-DK$103&lt;BeginnAlter,"",ROUND(v^($CU23+FaktorAlter)*$L23*$D23*0.5*(VLOOKUP($CU23-DK$103,Männer!$G$9:$J$102,4)+VLOOKUP($CU23-DK$103+1,Männer!$G$9:$J$102,4))*0.5*(VLOOKUP($CU23-DK$103,Männer!$AZ$9:$BD$102,5)+VLOOKUP($CU23-DK$103+1,Männer!$AZ$9:$BD$102,5)),RundDx)))</f>
        <v>5581107984</v>
      </c>
      <c r="DL23" s="25">
        <f>IF($CU23&gt;=RAF,"",IF($CU23-DL$103&lt;BeginnAlter,"",ROUND(v^($CU23+FaktorAlter)*$L23*$D23*0.5*(VLOOKUP($CU23-DL$103,Männer!$G$9:$J$102,4)+VLOOKUP($CU23-DL$103+1,Männer!$G$9:$J$102,4))*0.5*(VLOOKUP($CU23-DL$103,Männer!$AZ$9:$BD$102,5)+VLOOKUP($CU23-DL$103+1,Männer!$AZ$9:$BD$102,5)),RundDx)))</f>
        <v>5655831578</v>
      </c>
      <c r="DM23" s="25">
        <f>IF($CU23&gt;=RAF,"",IF($CU23-DM$103&lt;BeginnAlter,"",ROUND(v^($CU23+FaktorAlter)*$L23*$D23*0.5*(VLOOKUP($CU23-DM$103,Männer!$G$9:$J$102,4)+VLOOKUP($CU23-DM$103+1,Männer!$G$9:$J$102,4))*0.5*(VLOOKUP($CU23-DM$103,Männer!$AZ$9:$BD$102,5)+VLOOKUP($CU23-DM$103+1,Männer!$AZ$9:$BD$102,5)),RundDx)))</f>
        <v>5729008842</v>
      </c>
      <c r="DN23" s="25">
        <f>IF($CU23&gt;=RAF,"",IF($CU23-DN$103&lt;BeginnAlter,"",ROUND(v^($CU23+FaktorAlter)*$L23*$D23*0.5*(VLOOKUP($CU23-DN$103,Männer!$G$9:$J$102,4)+VLOOKUP($CU23-DN$103+1,Männer!$G$9:$J$102,4))*0.5*(VLOOKUP($CU23-DN$103,Männer!$AZ$9:$BD$102,5)+VLOOKUP($CU23-DN$103+1,Männer!$AZ$9:$BD$102,5)),RundDx)))</f>
        <v>5800719188</v>
      </c>
      <c r="DO23" s="25">
        <f>IF($CU23&gt;=RAF,"",IF($CU23-DO$103&lt;BeginnAlter,"",ROUND(v^($CU23+FaktorAlter)*$L23*$D23*0.5*(VLOOKUP($CU23-DO$103,Männer!$G$9:$J$102,4)+VLOOKUP($CU23-DO$103+1,Männer!$G$9:$J$102,4))*0.5*(VLOOKUP($CU23-DO$103,Männer!$AZ$9:$BD$102,5)+VLOOKUP($CU23-DO$103+1,Männer!$AZ$9:$BD$102,5)),RundDx)))</f>
        <v>5870916759</v>
      </c>
      <c r="DP23" s="25">
        <f>IF($CU23&gt;=RAF,"",IF($CU23-DP$103&lt;BeginnAlter,"",ROUND(v^($CU23+FaktorAlter)*$L23*$D23*0.5*(VLOOKUP($CU23-DP$103,Männer!$G$9:$J$102,4)+VLOOKUP($CU23-DP$103+1,Männer!$G$9:$J$102,4))*0.5*(VLOOKUP($CU23-DP$103,Männer!$AZ$9:$BD$102,5)+VLOOKUP($CU23-DP$103+1,Männer!$AZ$9:$BD$102,5)),RundDx)))</f>
        <v>5939788104</v>
      </c>
      <c r="DQ23" s="25">
        <f>IF($CU23&gt;=RAF,"",IF($CU23-DQ$103&lt;BeginnAlter,"",ROUND(v^($CU23+FaktorAlter)*$L23*$D23*0.5*(VLOOKUP($CU23-DQ$103,Männer!$G$9:$J$102,4)+VLOOKUP($CU23-DQ$103+1,Männer!$G$9:$J$102,4))*0.5*(VLOOKUP($CU23-DQ$103,Männer!$AZ$9:$BD$102,5)+VLOOKUP($CU23-DQ$103+1,Männer!$AZ$9:$BD$102,5)),RundDx)))</f>
        <v>6007303047</v>
      </c>
      <c r="DR23" s="25">
        <f>IF($CU23&gt;=RAF,"",IF($CU23-DR$103&lt;BeginnAlter,"",ROUND(v^($CU23+FaktorAlter)*$L23*$D23*0.5*(VLOOKUP($CU23-DR$103,Männer!$G$9:$J$102,4)+VLOOKUP($CU23-DR$103+1,Männer!$G$9:$J$102,4))*0.5*(VLOOKUP($CU23-DR$103,Männer!$AZ$9:$BD$102,5)+VLOOKUP($CU23-DR$103+1,Männer!$AZ$9:$BD$102,5)),RundDx)))</f>
        <v>6073290634</v>
      </c>
      <c r="DS23" s="25">
        <f>IF($CU23&gt;=RAF,"",IF($CU23-DS$103&lt;BeginnAlter,"",ROUND(v^($CU23+FaktorAlter)*$L23*$D23*0.5*(VLOOKUP($CU23-DS$103,Männer!$G$9:$J$102,4)+VLOOKUP($CU23-DS$103+1,Männer!$G$9:$J$102,4))*0.5*(VLOOKUP($CU23-DS$103,Männer!$AZ$9:$BD$102,5)+VLOOKUP($CU23-DS$103+1,Männer!$AZ$9:$BD$102,5)),RundDx)))</f>
        <v>6138050963</v>
      </c>
      <c r="DT23" s="25">
        <f>IF($CU23&gt;=RAF,"",IF($CU23-DT$103&lt;BeginnAlter,"",ROUND(v^($CU23+FaktorAlter)*$L23*$D23*0.5*(VLOOKUP($CU23-DT$103,Männer!$G$9:$J$102,4)+VLOOKUP($CU23-DT$103+1,Männer!$G$9:$J$102,4))*0.5*(VLOOKUP($CU23-DT$103,Männer!$AZ$9:$BD$102,5)+VLOOKUP($CU23-DT$103+1,Männer!$AZ$9:$BD$102,5)),RundDx)))</f>
        <v>6201559833</v>
      </c>
      <c r="DU23" s="25">
        <f>IF($CU23&gt;=RAF,"",IF($CU23-DU$103&lt;BeginnAlter,"",ROUND(v^($CU23+FaktorAlter)*$L23*$D23*0.5*(VLOOKUP($CU23-DU$103,Männer!$G$9:$J$102,4)+VLOOKUP($CU23-DU$103+1,Männer!$G$9:$J$102,4))*0.5*(VLOOKUP($CU23-DU$103,Männer!$AZ$9:$BD$102,5)+VLOOKUP($CU23-DU$103+1,Männer!$AZ$9:$BD$102,5)),RundDx)))</f>
        <v>6263788550</v>
      </c>
      <c r="DV23" s="25">
        <f>IF($CU23&gt;=RAF,"",IF($CU23-DV$103&lt;BeginnAlter,"",ROUND(v^($CU23+FaktorAlter)*$L23*$D23*0.5*(VLOOKUP($CU23-DV$103,Männer!$G$9:$J$102,4)+VLOOKUP($CU23-DV$103+1,Männer!$G$9:$J$102,4))*0.5*(VLOOKUP($CU23-DV$103,Männer!$AZ$9:$BD$102,5)+VLOOKUP($CU23-DV$103+1,Männer!$AZ$9:$BD$102,5)),RundDx)))</f>
        <v>6324772946</v>
      </c>
      <c r="DW23" s="25">
        <f>IF($CU23&gt;=RAF,"",IF($CU23-DW$103&lt;BeginnAlter,"",ROUND(v^($CU23+FaktorAlter)*$L23*$D23*0.5*(VLOOKUP($CU23-DW$103,Männer!$G$9:$J$102,4)+VLOOKUP($CU23-DW$103+1,Männer!$G$9:$J$102,4))*0.5*(VLOOKUP($CU23-DW$103,Männer!$AZ$9:$BD$102,5)+VLOOKUP($CU23-DW$103+1,Männer!$AZ$9:$BD$102,5)),RundDx)))</f>
        <v>6384484662</v>
      </c>
      <c r="DX23" s="25">
        <f>IF($CU23&gt;=RAF,"",IF($CU23-DX$103&lt;BeginnAlter,"",ROUND(v^($CU23+FaktorAlter)*$L23*$D23*0.5*(VLOOKUP($CU23-DX$103,Männer!$G$9:$J$102,4)+VLOOKUP($CU23-DX$103+1,Männer!$G$9:$J$102,4))*0.5*(VLOOKUP($CU23-DX$103,Männer!$AZ$9:$BD$102,5)+VLOOKUP($CU23-DX$103+1,Männer!$AZ$9:$BD$102,5)),RundDx)))</f>
        <v>6443082246</v>
      </c>
      <c r="DY23" s="25">
        <f>IF($CU23&gt;=RAF,"",IF($CU23-DY$103&lt;BeginnAlter,"",ROUND(v^($CU23+FaktorAlter)*$L23*$D23*0.5*(VLOOKUP($CU23-DY$103,Männer!$G$9:$J$102,4)+VLOOKUP($CU23-DY$103+1,Männer!$G$9:$J$102,4))*0.5*(VLOOKUP($CU23-DY$103,Männer!$AZ$9:$BD$102,5)+VLOOKUP($CU23-DY$103+1,Männer!$AZ$9:$BD$102,5)),RundDx)))</f>
        <v>6500438979</v>
      </c>
      <c r="DZ23" s="25" t="str">
        <f>IF($CU23&gt;=RAF,"",IF($CU23-DZ$103&lt;BeginnAlter,"",ROUND(v^($CU23+FaktorAlter)*$L23*$D23*0.5*(VLOOKUP($CU23-DZ$103,Männer!$G$9:$J$102,4)+VLOOKUP($CU23-DZ$103+1,Männer!$G$9:$J$102,4))*0.5*(VLOOKUP($CU23-DZ$103,Männer!$AZ$9:$BD$102,5)+VLOOKUP($CU23-DZ$103+1,Männer!$AZ$9:$BD$102,5)),RundDx)))</f>
        <v/>
      </c>
      <c r="EA23" s="43">
        <f>IF($CU23&gt;=RAF,"",IF($CU23-EA$103&lt;BeginnAlter,"",ROUND((SUM(CV23:CV$56)+SUM(FN$9:FN$56))/VLOOKUP($CU23,$AH$9:$AI$102,2)/VLOOKUP($CU23-EA$103,Männer!$G$9:$J$102,4),Rundäx)))</f>
        <v>5.7140000000000004</v>
      </c>
      <c r="EB23" s="43">
        <f>IF($CU23&gt;=RAF,"",IF($CU23-EB$103&lt;BeginnAlter,"",ROUND((SUM(CW23:CW$56)+SUM(FO$9:FO$56))/VLOOKUP($CU23,$AH$9:$AI$102,2)/VLOOKUP($CU23-EB$103,Männer!$G$9:$J$102,4),Rundäx)))</f>
        <v>5.9189999999999996</v>
      </c>
      <c r="EC23" s="43">
        <f>IF($CU23&gt;=RAF,"",IF($CU23-EC$103&lt;BeginnAlter,"",ROUND((SUM(CX23:CX$56)+SUM(FP$9:FP$56))/VLOOKUP($CU23,$AH$9:$AI$102,2)/VLOOKUP($CU23-EC$103,Männer!$G$9:$J$102,4),Rundäx)))</f>
        <v>6.125</v>
      </c>
      <c r="ED23" s="43">
        <f>IF($CU23&gt;=RAF,"",IF($CU23-ED$103&lt;BeginnAlter,"",ROUND((SUM(CY23:CY$56)+SUM(FQ$9:FQ$56))/VLOOKUP($CU23,$AH$9:$AI$102,2)/VLOOKUP($CU23-ED$103,Männer!$G$9:$J$102,4),Rundäx)))</f>
        <v>6.3330000000000002</v>
      </c>
      <c r="EE23" s="43">
        <f>IF($CU23&gt;=RAF,"",IF($CU23-EE$103&lt;BeginnAlter,"",ROUND((SUM(CZ23:CZ$56)+SUM(FR$9:FR$56))/VLOOKUP($CU23,$AH$9:$AI$102,2)/VLOOKUP($CU23-EE$103,Männer!$G$9:$J$102,4),Rundäx)))</f>
        <v>6.54</v>
      </c>
      <c r="EF23" s="43">
        <f>IF($CU23&gt;=RAF,"",IF($CU23-EF$103&lt;BeginnAlter,"",ROUND((SUM(DA23:DA$56)+SUM(FS$9:FS$56))/VLOOKUP($CU23,$AH$9:$AI$102,2)/VLOOKUP($CU23-EF$103,Männer!$G$9:$J$102,4),Rundäx)))</f>
        <v>6.7489999999999997</v>
      </c>
      <c r="EG23" s="43">
        <f>IF($CU23&gt;=RAF,"",IF($CU23-EG$103&lt;BeginnAlter,"",ROUND((SUM(DB23:DB$56)+SUM(FT$9:FT$56))/VLOOKUP($CU23,$AH$9:$AI$102,2)/VLOOKUP($CU23-EG$103,Männer!$G$9:$J$102,4),Rundäx)))</f>
        <v>6.9580000000000002</v>
      </c>
      <c r="EH23" s="43">
        <f>IF($CU23&gt;=RAF,"",IF($CU23-EH$103&lt;BeginnAlter,"",ROUND((SUM(DC23:DC$56)+SUM(FU$9:FU$56))/VLOOKUP($CU23,$AH$9:$AI$102,2)/VLOOKUP($CU23-EH$103,Männer!$G$9:$J$102,4),Rundäx)))</f>
        <v>7.1680000000000001</v>
      </c>
      <c r="EI23" s="89"/>
      <c r="EJ23" s="35">
        <f t="shared" si="61"/>
        <v>31</v>
      </c>
      <c r="EK23" s="43">
        <f>IF($CU23&gt;=RAF,"",IF($CU23-EK$103&lt;BeginnAlter,"",ROUND((SUM(DD23:DD$56)+SUM(FV$9:FV$56))/VLOOKUP($CU23,$AH$9:$AI$102,2)/VLOOKUP($CU23-EK$103,Männer!$G$9:$J$102,4),Rundäx)))</f>
        <v>7.3780000000000001</v>
      </c>
      <c r="EL23" s="43">
        <f>IF($CU23&gt;=RAF,"",IF($CU23-EL$103&lt;BeginnAlter,"",ROUND((SUM(DE23:DE$56)+SUM(FW$9:FW$56))/VLOOKUP($CU23,$AH$9:$AI$102,2)/VLOOKUP($CU23-EL$103,Männer!$G$9:$J$102,4),Rundäx)))</f>
        <v>7.59</v>
      </c>
      <c r="EM23" s="43">
        <f>IF($CU23&gt;=RAF,"",IF($CU23-EM$103&lt;BeginnAlter,"",ROUND((SUM(DF23:DF$56)+SUM(FX$9:FX$56))/VLOOKUP($CU23,$AH$9:$AI$102,2)/VLOOKUP($CU23-EM$103,Männer!$G$9:$J$102,4),Rundäx)))</f>
        <v>7.8019999999999996</v>
      </c>
      <c r="EN23" s="43">
        <f>IF($CU23&gt;=RAF,"",IF($CU23-EN$103&lt;BeginnAlter,"",ROUND((SUM(DG23:DG$56)+SUM(FY$9:FY$56))/VLOOKUP($CU23,$AH$9:$AI$102,2)/VLOOKUP($CU23-EN$103,Männer!$G$9:$J$102,4),Rundäx)))</f>
        <v>8.016</v>
      </c>
      <c r="EO23" s="43">
        <f>IF($CU23&gt;=RAF,"",IF($CU23-EO$103&lt;BeginnAlter,"",ROUND((SUM(DH23:DH$56)+SUM(FZ$9:FZ$56))/VLOOKUP($CU23,$AH$9:$AI$102,2)/VLOOKUP($CU23-EO$103,Männer!$G$9:$J$102,4),Rundäx)))</f>
        <v>8.23</v>
      </c>
      <c r="EP23" s="43">
        <f>IF($CU23&gt;=RAF,"",IF($CU23-EP$103&lt;BeginnAlter,"",ROUND((SUM(DI23:DI$56)+SUM(GA$9:GA$56))/VLOOKUP($CU23,$AH$9:$AI$102,2)/VLOOKUP($CU23-EP$103,Männer!$G$9:$J$102,4),Rundäx)))</f>
        <v>8.4450000000000003</v>
      </c>
      <c r="EQ23" s="43">
        <f>IF($CU23&gt;=RAF,"",IF($CU23-EQ$103&lt;BeginnAlter,"",ROUND((SUM(DJ23:DJ$56)+SUM(GB$9:GB$56))/VLOOKUP($CU23,$AH$9:$AI$102,2)/VLOOKUP($CU23-EQ$103,Männer!$G$9:$J$102,4),Rundäx)))</f>
        <v>8.6609999999999996</v>
      </c>
      <c r="ER23" s="43">
        <f>IF($CU23&gt;=RAF,"",IF($CU23-ER$103&lt;BeginnAlter,"",ROUND((SUM(DK23:DK$56)+SUM(GC$9:GC$56))/VLOOKUP($CU23,$AH$9:$AI$102,2)/VLOOKUP($CU23-ER$103,Männer!$G$9:$J$102,4),Rundäx)))</f>
        <v>8.8770000000000007</v>
      </c>
      <c r="ES23" s="89"/>
      <c r="ET23" s="35">
        <f t="shared" si="62"/>
        <v>31</v>
      </c>
      <c r="EU23" s="43">
        <f>IF($CU23&gt;=RAF,"",IF($CU23-EU$103&lt;BeginnAlter,"",ROUND((SUM(DL23:DL$56)+SUM(GD$9:GD$56))/VLOOKUP($CU23,$AH$9:$AI$102,2)/VLOOKUP($CU23-EU$103,Männer!$G$9:$J$102,4),Rundäx)))</f>
        <v>9.0939999999999994</v>
      </c>
      <c r="EV23" s="43">
        <f>IF($CU23&gt;=RAF,"",IF($CU23-EV$103&lt;BeginnAlter,"",ROUND((SUM(DM23:DM$56)+SUM(GE$9:GE$56))/VLOOKUP($CU23,$AH$9:$AI$102,2)/VLOOKUP($CU23-EV$103,Männer!$G$9:$J$102,4),Rundäx)))</f>
        <v>9.3109999999999999</v>
      </c>
      <c r="EW23" s="43">
        <f>IF($CU23&gt;=RAF,"",IF($CU23-EW$103&lt;BeginnAlter,"",ROUND((SUM(DN23:DN$56)+SUM(GF$9:GF$56))/VLOOKUP($CU23,$AH$9:$AI$102,2)/VLOOKUP($CU23-EW$103,Männer!$G$9:$J$102,4),Rundäx)))</f>
        <v>9.5280000000000005</v>
      </c>
      <c r="EX23" s="43">
        <f>IF($CU23&gt;=RAF,"",IF($CU23-EX$103&lt;BeginnAlter,"",ROUND((SUM(DO23:DO$56)+SUM(GG$9:GG$56))/VLOOKUP($CU23,$AH$9:$AI$102,2)/VLOOKUP($CU23-EX$103,Männer!$G$9:$J$102,4),Rundäx)))</f>
        <v>9.7449999999999992</v>
      </c>
      <c r="EY23" s="43">
        <f>IF($CU23&gt;=RAF,"",IF($CU23-EY$103&lt;BeginnAlter,"",ROUND((SUM(DP23:DP$56)+SUM(GH$9:GH$56))/VLOOKUP($CU23,$AH$9:$AI$102,2)/VLOOKUP($CU23-EY$103,Männer!$G$9:$J$102,4),Rundäx)))</f>
        <v>9.9610000000000003</v>
      </c>
      <c r="EZ23" s="43">
        <f>IF($CU23&gt;=RAF,"",IF($CU23-EZ$103&lt;BeginnAlter,"",ROUND((SUM(DQ23:DQ$56)+SUM(GI$9:GI$56))/VLOOKUP($CU23,$AH$9:$AI$102,2)/VLOOKUP($CU23-EZ$103,Männer!$G$9:$J$102,4),Rundäx)))</f>
        <v>10.177</v>
      </c>
      <c r="FA23" s="43">
        <f>IF($CU23&gt;=RAF,"",IF($CU23-FA$103&lt;BeginnAlter,"",ROUND((SUM(DR23:DR$56)+SUM(GJ$9:GJ$56))/VLOOKUP($CU23,$AH$9:$AI$102,2)/VLOOKUP($CU23-FA$103,Männer!$G$9:$J$102,4),Rundäx)))</f>
        <v>10.391</v>
      </c>
      <c r="FB23" s="43">
        <f>IF($CU23&gt;=RAF,"",IF($CU23-FB$103&lt;BeginnAlter,"",ROUND((SUM(DS23:DS$56)+SUM(GK$9:GK$56))/VLOOKUP($CU23,$AH$9:$AI$102,2)/VLOOKUP($CU23-FB$103,Männer!$G$9:$J$102,4),Rundäx)))</f>
        <v>10.605</v>
      </c>
      <c r="FC23" s="89"/>
      <c r="FD23" s="35">
        <f t="shared" si="63"/>
        <v>31</v>
      </c>
      <c r="FE23" s="43">
        <f>IF($CU23&gt;=RAF,"",IF($CU23-FE$103&lt;BeginnAlter,"",ROUND((SUM(DT23:DT$56)+SUM(GL$9:GL$56))/VLOOKUP($CU23,$AH$9:$AI$102,2)/VLOOKUP($CU23-FE$103,Männer!$G$9:$J$102,4),Rundäx)))</f>
        <v>10.817</v>
      </c>
      <c r="FF23" s="43">
        <f>IF($CU23&gt;=RAF,"",IF($CU23-FF$103&lt;BeginnAlter,"",ROUND((SUM(DU23:DU$56)+SUM(GM$9:GM$56))/VLOOKUP($CU23,$AH$9:$AI$102,2)/VLOOKUP($CU23-FF$103,Männer!$G$9:$J$102,4),Rundäx)))</f>
        <v>11.028</v>
      </c>
      <c r="FG23" s="43">
        <f>IF($CU23&gt;=RAF,"",IF($CU23-FG$103&lt;BeginnAlter,"",ROUND((SUM(DV23:DV$56)+SUM(GN$9:GN$56))/VLOOKUP($CU23,$AH$9:$AI$102,2)/VLOOKUP($CU23-FG$103,Männer!$G$9:$J$102,4),Rundäx)))</f>
        <v>11.239000000000001</v>
      </c>
      <c r="FH23" s="43">
        <f>IF($CU23&gt;=RAF,"",IF($CU23-FH$103&lt;BeginnAlter,"",ROUND((SUM(DW23:DW$56)+SUM(GO$9:GO$56))/VLOOKUP($CU23,$AH$9:$AI$102,2)/VLOOKUP($CU23-FH$103,Männer!$G$9:$J$102,4),Rundäx)))</f>
        <v>11.449</v>
      </c>
      <c r="FI23" s="43">
        <f>IF($CU23&gt;=RAF,"",IF($CU23-FI$103&lt;BeginnAlter,"",ROUND((SUM(DX23:DX$56)+SUM(GP$9:GP$56))/VLOOKUP($CU23,$AH$9:$AI$102,2)/VLOOKUP($CU23-FI$103,Männer!$G$9:$J$102,4),Rundäx)))</f>
        <v>11.66</v>
      </c>
      <c r="FJ23" s="43">
        <f>IF($CU23&gt;=RAF,"",IF($CU23-FJ$103&lt;BeginnAlter,"",ROUND((SUM(DY23:DY$56)+SUM(GQ$9:GQ$56))/VLOOKUP($CU23,$AH$9:$AI$102,2)/VLOOKUP($CU23-FJ$103,Männer!$G$9:$J$102,4),Rundäx)))</f>
        <v>11.87</v>
      </c>
      <c r="FK23" s="43" t="str">
        <f>IF($CU23&gt;=RAF,"",IF($CU23-FK$103&lt;BeginnAlter,"",ROUND((SUM(DZ23:DZ$56)+SUM(GR$9:GR$56))/VLOOKUP($CU23,$AH$9:$AI$102,2)/VLOOKUP($CU23-FK$103,Männer!$G$9:$J$102,4),Rundäx)))</f>
        <v/>
      </c>
      <c r="FL23" s="89"/>
      <c r="FM23" s="35">
        <f t="shared" si="64"/>
        <v>78</v>
      </c>
      <c r="FN23" s="25">
        <f>ROUND(v^($FM23+FaktorAlter)*VLOOKUP($FM23,$G$9:$J$102,4)*VLOOKUP($FM23,$A$9:$E$102,5)*0.5*(VLOOKUP($FM23-FN$103,Männer!$G$9:$J$102,4)+VLOOKUP($FM23-FN$103+1,Männer!$G$9:$J$102,4))*0.5*(VLOOKUP($FM23-FN$103,Männer!$AZ$9:$BD$102,5)+VLOOKUP($FM23-FN$103+1,Männer!$AZ$9:$BD$102,5)),RundDx)</f>
        <v>6340110</v>
      </c>
      <c r="FO23" s="25">
        <f>ROUND(v^($FM23+FaktorAlter)*VLOOKUP($FM23,$G$9:$J$102,4)*VLOOKUP($FM23,$A$9:$E$102,5)*0.5*(VLOOKUP($FM23-FO$103,Männer!$G$9:$J$102,4)+VLOOKUP($FM23-FO$103+1,Männer!$G$9:$J$102,4))*0.5*(VLOOKUP($FM23-FO$103,Männer!$AZ$9:$BD$102,5)+VLOOKUP($FM23-FO$103+1,Männer!$AZ$9:$BD$102,5)),RundDx)</f>
        <v>9322148</v>
      </c>
      <c r="FP23" s="25">
        <f>ROUND(v^($FM23+FaktorAlter)*VLOOKUP($FM23,$G$9:$J$102,4)*VLOOKUP($FM23,$A$9:$E$102,5)*0.5*(VLOOKUP($FM23-FP$103,Männer!$G$9:$J$102,4)+VLOOKUP($FM23-FP$103+1,Männer!$G$9:$J$102,4))*0.5*(VLOOKUP($FM23-FP$103,Männer!$AZ$9:$BD$102,5)+VLOOKUP($FM23-FP$103+1,Männer!$AZ$9:$BD$102,5)),RundDx)</f>
        <v>13181301</v>
      </c>
      <c r="FQ23" s="25">
        <f>ROUND(v^($FM23+FaktorAlter)*VLOOKUP($FM23,$G$9:$J$102,4)*VLOOKUP($FM23,$A$9:$E$102,5)*0.5*(VLOOKUP($FM23-FQ$103,Männer!$G$9:$J$102,4)+VLOOKUP($FM23-FQ$103+1,Männer!$G$9:$J$102,4))*0.5*(VLOOKUP($FM23-FQ$103,Männer!$AZ$9:$BD$102,5)+VLOOKUP($FM23-FQ$103+1,Männer!$AZ$9:$BD$102,5)),RundDx)</f>
        <v>18002140</v>
      </c>
      <c r="FR23" s="25">
        <f>ROUND(v^($FM23+FaktorAlter)*VLOOKUP($FM23,$G$9:$J$102,4)*VLOOKUP($FM23,$A$9:$E$102,5)*0.5*(VLOOKUP($FM23-FR$103,Männer!$G$9:$J$102,4)+VLOOKUP($FM23-FR$103+1,Männer!$G$9:$J$102,4))*0.5*(VLOOKUP($FM23-FR$103,Männer!$AZ$9:$BD$102,5)+VLOOKUP($FM23-FR$103+1,Männer!$AZ$9:$BD$102,5)),RundDx)</f>
        <v>23849883</v>
      </c>
      <c r="FS23" s="25">
        <f>ROUND(v^($FM23+FaktorAlter)*VLOOKUP($FM23,$G$9:$J$102,4)*VLOOKUP($FM23,$A$9:$E$102,5)*0.5*(VLOOKUP($FM23-FS$103,Männer!$G$9:$J$102,4)+VLOOKUP($FM23-FS$103+1,Männer!$G$9:$J$102,4))*0.5*(VLOOKUP($FM23-FS$103,Männer!$AZ$9:$BD$102,5)+VLOOKUP($FM23-FS$103+1,Männer!$AZ$9:$BD$102,5)),RundDx)</f>
        <v>30758186</v>
      </c>
      <c r="FT23" s="25">
        <f>ROUND(v^($FM23+FaktorAlter)*VLOOKUP($FM23,$G$9:$J$102,4)*VLOOKUP($FM23,$A$9:$E$102,5)*0.5*(VLOOKUP($FM23-FT$103,Männer!$G$9:$J$102,4)+VLOOKUP($FM23-FT$103+1,Männer!$G$9:$J$102,4))*0.5*(VLOOKUP($FM23-FT$103,Männer!$AZ$9:$BD$102,5)+VLOOKUP($FM23-FT$103+1,Männer!$AZ$9:$BD$102,5)),RundDx)</f>
        <v>38701791</v>
      </c>
      <c r="FU23" s="25">
        <f>ROUND(v^($FM23+FaktorAlter)*VLOOKUP($FM23,$G$9:$J$102,4)*VLOOKUP($FM23,$A$9:$E$102,5)*0.5*(VLOOKUP($FM23-FU$103,Männer!$G$9:$J$102,4)+VLOOKUP($FM23-FU$103+1,Männer!$G$9:$J$102,4))*0.5*(VLOOKUP($FM23-FU$103,Männer!$AZ$9:$BD$102,5)+VLOOKUP($FM23-FU$103+1,Männer!$AZ$9:$BD$102,5)),RundDx)</f>
        <v>47630488</v>
      </c>
      <c r="FV23" s="25">
        <f>ROUND(v^($FM23+FaktorAlter)*VLOOKUP($FM23,$G$9:$J$102,4)*VLOOKUP($FM23,$A$9:$E$102,5)*0.5*(VLOOKUP($FM23-FV$103,Männer!$G$9:$J$102,4)+VLOOKUP($FM23-FV$103+1,Männer!$G$9:$J$102,4))*0.5*(VLOOKUP($FM23-FV$103,Männer!$AZ$9:$BD$102,5)+VLOOKUP($FM23-FV$103+1,Männer!$AZ$9:$BD$102,5)),RundDx)</f>
        <v>57518827</v>
      </c>
      <c r="FW23" s="25">
        <f>ROUND(v^($FM23+FaktorAlter)*VLOOKUP($FM23,$G$9:$J$102,4)*VLOOKUP($FM23,$A$9:$E$102,5)*0.5*(VLOOKUP($FM23-FW$103,Männer!$G$9:$J$102,4)+VLOOKUP($FM23-FW$103+1,Männer!$G$9:$J$102,4))*0.5*(VLOOKUP($FM23-FW$103,Männer!$AZ$9:$BD$102,5)+VLOOKUP($FM23-FW$103+1,Männer!$AZ$9:$BD$102,5)),RundDx)</f>
        <v>68333382</v>
      </c>
      <c r="FX23" s="25">
        <f>ROUND(v^($FM23+FaktorAlter)*VLOOKUP($FM23,$G$9:$J$102,4)*VLOOKUP($FM23,$A$9:$E$102,5)*0.5*(VLOOKUP($FM23-FX$103,Männer!$G$9:$J$102,4)+VLOOKUP($FM23-FX$103+1,Männer!$G$9:$J$102,4))*0.5*(VLOOKUP($FM23-FX$103,Männer!$AZ$9:$BD$102,5)+VLOOKUP($FM23-FX$103+1,Männer!$AZ$9:$BD$102,5)),RundDx)</f>
        <v>80018359</v>
      </c>
      <c r="FY23" s="25">
        <f>ROUND(v^($FM23+FaktorAlter)*VLOOKUP($FM23,$G$9:$J$102,4)*VLOOKUP($FM23,$A$9:$E$102,5)*0.5*(VLOOKUP($FM23-FY$103,Männer!$G$9:$J$102,4)+VLOOKUP($FM23-FY$103+1,Männer!$G$9:$J$102,4))*0.5*(VLOOKUP($FM23-FY$103,Männer!$AZ$9:$BD$102,5)+VLOOKUP($FM23-FY$103+1,Männer!$AZ$9:$BD$102,5)),RundDx)</f>
        <v>92529894</v>
      </c>
      <c r="FZ23" s="25">
        <f>ROUND(v^($FM23+FaktorAlter)*VLOOKUP($FM23,$G$9:$J$102,4)*VLOOKUP($FM23,$A$9:$E$102,5)*0.5*(VLOOKUP($FM23-FZ$103,Männer!$G$9:$J$102,4)+VLOOKUP($FM23-FZ$103+1,Männer!$G$9:$J$102,4))*0.5*(VLOOKUP($FM23-FZ$103,Männer!$AZ$9:$BD$102,5)+VLOOKUP($FM23-FZ$103+1,Männer!$AZ$9:$BD$102,5)),RundDx)</f>
        <v>105817349</v>
      </c>
      <c r="GA23" s="25">
        <f>ROUND(v^($FM23+FaktorAlter)*VLOOKUP($FM23,$G$9:$J$102,4)*VLOOKUP($FM23,$A$9:$E$102,5)*0.5*(VLOOKUP($FM23-GA$103,Männer!$G$9:$J$102,4)+VLOOKUP($FM23-GA$103+1,Männer!$G$9:$J$102,4))*0.5*(VLOOKUP($FM23-GA$103,Männer!$AZ$9:$BD$102,5)+VLOOKUP($FM23-GA$103+1,Männer!$AZ$9:$BD$102,5)),RundDx)</f>
        <v>119810587</v>
      </c>
      <c r="GB23" s="25">
        <f>ROUND(v^($FM23+FaktorAlter)*VLOOKUP($FM23,$G$9:$J$102,4)*VLOOKUP($FM23,$A$9:$E$102,5)*0.5*(VLOOKUP($FM23-GB$103,Männer!$G$9:$J$102,4)+VLOOKUP($FM23-GB$103+1,Männer!$G$9:$J$102,4))*0.5*(VLOOKUP($FM23-GB$103,Männer!$AZ$9:$BD$102,5)+VLOOKUP($FM23-GB$103+1,Männer!$AZ$9:$BD$102,5)),RundDx)</f>
        <v>134442397</v>
      </c>
      <c r="GC23" s="25">
        <f>ROUND(v^($FM23+FaktorAlter)*VLOOKUP($FM23,$G$9:$J$102,4)*VLOOKUP($FM23,$A$9:$E$102,5)*0.5*(VLOOKUP($FM23-GC$103,Männer!$G$9:$J$102,4)+VLOOKUP($FM23-GC$103+1,Männer!$G$9:$J$102,4))*0.5*(VLOOKUP($FM23-GC$103,Männer!$AZ$9:$BD$102,5)+VLOOKUP($FM23-GC$103+1,Männer!$AZ$9:$BD$102,5)),RundDx)</f>
        <v>149642219</v>
      </c>
      <c r="GD23" s="25">
        <f>ROUND(v^($FM23+FaktorAlter)*VLOOKUP($FM23,$G$9:$J$102,4)*VLOOKUP($FM23,$A$9:$E$102,5)*0.5*(VLOOKUP($FM23-GD$103,Männer!$G$9:$J$102,4)+VLOOKUP($FM23-GD$103+1,Männer!$G$9:$J$102,4))*0.5*(VLOOKUP($FM23-GD$103,Männer!$AZ$9:$BD$102,5)+VLOOKUP($FM23-GD$103+1,Männer!$AZ$9:$BD$102,5)),RundDx)</f>
        <v>165334142</v>
      </c>
      <c r="GE23" s="25">
        <f>ROUND(v^($FM23+FaktorAlter)*VLOOKUP($FM23,$G$9:$J$102,4)*VLOOKUP($FM23,$A$9:$E$102,5)*0.5*(VLOOKUP($FM23-GE$103,Männer!$G$9:$J$102,4)+VLOOKUP($FM23-GE$103+1,Männer!$G$9:$J$102,4))*0.5*(VLOOKUP($FM23-GE$103,Männer!$AZ$9:$BD$102,5)+VLOOKUP($FM23-GE$103+1,Männer!$AZ$9:$BD$102,5)),RundDx)</f>
        <v>181433786</v>
      </c>
      <c r="GF23" s="25">
        <f>ROUND(v^($FM23+FaktorAlter)*VLOOKUP($FM23,$G$9:$J$102,4)*VLOOKUP($FM23,$A$9:$E$102,5)*0.5*(VLOOKUP($FM23-GF$103,Männer!$G$9:$J$102,4)+VLOOKUP($FM23-GF$103+1,Männer!$G$9:$J$102,4))*0.5*(VLOOKUP($FM23-GF$103,Männer!$AZ$9:$BD$102,5)+VLOOKUP($FM23-GF$103+1,Männer!$AZ$9:$BD$102,5)),RundDx)</f>
        <v>197838341</v>
      </c>
      <c r="GG23" s="25">
        <f>ROUND(v^($FM23+FaktorAlter)*VLOOKUP($FM23,$G$9:$J$102,4)*VLOOKUP($FM23,$A$9:$E$102,5)*0.5*(VLOOKUP($FM23-GG$103,Männer!$G$9:$J$102,4)+VLOOKUP($FM23-GG$103+1,Männer!$G$9:$J$102,4))*0.5*(VLOOKUP($FM23-GG$103,Männer!$AZ$9:$BD$102,5)+VLOOKUP($FM23-GG$103+1,Männer!$AZ$9:$BD$102,5)),RundDx)</f>
        <v>214471265</v>
      </c>
      <c r="GH23" s="25">
        <f>ROUND(v^($FM23+FaktorAlter)*VLOOKUP($FM23,$G$9:$J$102,4)*VLOOKUP($FM23,$A$9:$E$102,5)*0.5*(VLOOKUP($FM23-GH$103,Männer!$G$9:$J$102,4)+VLOOKUP($FM23-GH$103+1,Männer!$G$9:$J$102,4))*0.5*(VLOOKUP($FM23-GH$103,Männer!$AZ$9:$BD$102,5)+VLOOKUP($FM23-GH$103+1,Männer!$AZ$9:$BD$102,5)),RundDx)</f>
        <v>231237679</v>
      </c>
      <c r="GI23" s="25">
        <f>ROUND(v^($FM23+FaktorAlter)*VLOOKUP($FM23,$G$9:$J$102,4)*VLOOKUP($FM23,$A$9:$E$102,5)*0.5*(VLOOKUP($FM23-GI$103,Männer!$G$9:$J$102,4)+VLOOKUP($FM23-GI$103+1,Männer!$G$9:$J$102,4))*0.5*(VLOOKUP($FM23-GI$103,Männer!$AZ$9:$BD$102,5)+VLOOKUP($FM23-GI$103+1,Männer!$AZ$9:$BD$102,5)),RundDx)</f>
        <v>248128946</v>
      </c>
      <c r="GJ23" s="25">
        <f>ROUND(v^($FM23+FaktorAlter)*VLOOKUP($FM23,$G$9:$J$102,4)*VLOOKUP($FM23,$A$9:$E$102,5)*0.5*(VLOOKUP($FM23-GJ$103,Männer!$G$9:$J$102,4)+VLOOKUP($FM23-GJ$103+1,Männer!$G$9:$J$102,4))*0.5*(VLOOKUP($FM23-GJ$103,Männer!$AZ$9:$BD$102,5)+VLOOKUP($FM23-GJ$103+1,Männer!$AZ$9:$BD$102,5)),RundDx)</f>
        <v>265124181</v>
      </c>
      <c r="GK23" s="25">
        <f>ROUND(v^($FM23+FaktorAlter)*VLOOKUP($FM23,$G$9:$J$102,4)*VLOOKUP($FM23,$A$9:$E$102,5)*0.5*(VLOOKUP($FM23-GK$103,Männer!$G$9:$J$102,4)+VLOOKUP($FM23-GK$103+1,Männer!$G$9:$J$102,4))*0.5*(VLOOKUP($FM23-GK$103,Männer!$AZ$9:$BD$102,5)+VLOOKUP($FM23-GK$103+1,Männer!$AZ$9:$BD$102,5)),RundDx)</f>
        <v>282143110</v>
      </c>
      <c r="GL23" s="25">
        <f>ROUND(v^($FM23+FaktorAlter)*VLOOKUP($FM23,$G$9:$J$102,4)*VLOOKUP($FM23,$A$9:$E$102,5)*0.5*(VLOOKUP($FM23-GL$103,Männer!$G$9:$J$102,4)+VLOOKUP($FM23-GL$103+1,Männer!$G$9:$J$102,4))*0.5*(VLOOKUP($FM23-GL$103,Männer!$AZ$9:$BD$102,5)+VLOOKUP($FM23-GL$103+1,Männer!$AZ$9:$BD$102,5)),RundDx)</f>
        <v>299175546</v>
      </c>
      <c r="GM23" s="25">
        <f>ROUND(v^($FM23+FaktorAlter)*VLOOKUP($FM23,$G$9:$J$102,4)*VLOOKUP($FM23,$A$9:$E$102,5)*0.5*(VLOOKUP($FM23-GM$103,Männer!$G$9:$J$102,4)+VLOOKUP($FM23-GM$103+1,Männer!$G$9:$J$102,4))*0.5*(VLOOKUP($FM23-GM$103,Männer!$AZ$9:$BD$102,5)+VLOOKUP($FM23-GM$103+1,Männer!$AZ$9:$BD$102,5)),RundDx)</f>
        <v>316281898</v>
      </c>
      <c r="GN23" s="25">
        <f>ROUND(v^($FM23+FaktorAlter)*VLOOKUP($FM23,$G$9:$J$102,4)*VLOOKUP($FM23,$A$9:$E$102,5)*0.5*(VLOOKUP($FM23-GN$103,Männer!$G$9:$J$102,4)+VLOOKUP($FM23-GN$103+1,Männer!$G$9:$J$102,4))*0.5*(VLOOKUP($FM23-GN$103,Männer!$AZ$9:$BD$102,5)+VLOOKUP($FM23-GN$103+1,Männer!$AZ$9:$BD$102,5)),RundDx)</f>
        <v>333511503</v>
      </c>
      <c r="GO23" s="25">
        <f>ROUND(v^($FM23+FaktorAlter)*VLOOKUP($FM23,$G$9:$J$102,4)*VLOOKUP($FM23,$A$9:$E$102,5)*0.5*(VLOOKUP($FM23-GO$103,Männer!$G$9:$J$102,4)+VLOOKUP($FM23-GO$103+1,Männer!$G$9:$J$102,4))*0.5*(VLOOKUP($FM23-GO$103,Männer!$AZ$9:$BD$102,5)+VLOOKUP($FM23-GO$103+1,Männer!$AZ$9:$BD$102,5)),RundDx)</f>
        <v>350821826</v>
      </c>
      <c r="GP23" s="25">
        <f>ROUND(v^($FM23+FaktorAlter)*VLOOKUP($FM23,$G$9:$J$102,4)*VLOOKUP($FM23,$A$9:$E$102,5)*0.5*(VLOOKUP($FM23-GP$103,Männer!$G$9:$J$102,4)+VLOOKUP($FM23-GP$103+1,Männer!$G$9:$J$102,4))*0.5*(VLOOKUP($FM23-GP$103,Männer!$AZ$9:$BD$102,5)+VLOOKUP($FM23-GP$103+1,Männer!$AZ$9:$BD$102,5)),RundDx)</f>
        <v>368255027</v>
      </c>
      <c r="GQ23" s="25">
        <f>ROUND(v^($FM23+FaktorAlter)*VLOOKUP($FM23,$G$9:$J$102,4)*VLOOKUP($FM23,$A$9:$E$102,5)*0.5*(VLOOKUP($FM23-GQ$103,Männer!$G$9:$J$102,4)+VLOOKUP($FM23-GQ$103+1,Männer!$G$9:$J$102,4))*0.5*(VLOOKUP($FM23-GQ$103,Männer!$AZ$9:$BD$102,5)+VLOOKUP($FM23-GQ$103+1,Männer!$AZ$9:$BD$102,5)),RundDx)</f>
        <v>385900085</v>
      </c>
      <c r="GR23" s="25">
        <f>ROUND(v^($FM23+FaktorAlter)*VLOOKUP($FM23,$G$9:$J$102,4)*VLOOKUP($FM23,$A$9:$E$102,5)*0.5*(VLOOKUP($FM23-GR$103,Männer!$G$9:$J$102,4)+VLOOKUP($FM23-GR$103+1,Männer!$G$9:$J$102,4))*0.5*(VLOOKUP($FM23-GR$103,Männer!$AZ$9:$BD$102,5)+VLOOKUP($FM23-GR$103+1,Männer!$AZ$9:$BD$102,5)),RundDx)</f>
        <v>403790448</v>
      </c>
      <c r="GS23" s="24">
        <f>ROUND(SUM(FN23:FN$56)/VLOOKUP($FM23,$AQ$9:$AR$102,2)/VLOOKUP($FM23-GS$103,Männer!$G$9:$J$102,4),Rundäx)</f>
        <v>0.159</v>
      </c>
      <c r="GT23" s="24">
        <f>ROUND(SUM(FO23:FO$56)/VLOOKUP($FM23,$AQ$9:$AR$102,2)/VLOOKUP($FM23-GT$103,Männer!$G$9:$J$102,4),Rundäx)</f>
        <v>0.19700000000000001</v>
      </c>
      <c r="GU23" s="24">
        <f>ROUND(SUM(FP23:FP$56)/VLOOKUP($FM23,$AQ$9:$AR$102,2)/VLOOKUP($FM23-GU$103,Männer!$G$9:$J$102,4),Rundäx)</f>
        <v>0.24199999999999999</v>
      </c>
      <c r="GV23" s="24">
        <f>ROUND(SUM(FQ23:FQ$56)/VLOOKUP($FM23,$AQ$9:$AR$102,2)/VLOOKUP($FM23-GV$103,Männer!$G$9:$J$102,4),Rundäx)</f>
        <v>0.29499999999999998</v>
      </c>
      <c r="GW23" s="24">
        <f>ROUND(SUM(FR23:FR$56)/VLOOKUP($FM23,$AQ$9:$AR$102,2)/VLOOKUP($FM23-GW$103,Männer!$G$9:$J$102,4),Rundäx)</f>
        <v>0.35799999999999998</v>
      </c>
      <c r="GX23" s="24">
        <f>ROUND(SUM(FS23:FS$56)/VLOOKUP($FM23,$AQ$9:$AR$102,2)/VLOOKUP($FM23-GX$103,Männer!$G$9:$J$102,4),Rundäx)</f>
        <v>0.43099999999999999</v>
      </c>
      <c r="GY23" s="24">
        <f>ROUND(SUM(FT23:FT$56)/VLOOKUP($FM23,$AQ$9:$AR$102,2)/VLOOKUP($FM23-GY$103,Männer!$G$9:$J$102,4),Rundäx)</f>
        <v>0.51500000000000001</v>
      </c>
      <c r="GZ23" s="24">
        <f>ROUND(SUM(FU23:FU$56)/VLOOKUP($FM23,$AQ$9:$AR$102,2)/VLOOKUP($FM23-GZ$103,Männer!$G$9:$J$102,4),Rundäx)</f>
        <v>0.61099999999999999</v>
      </c>
      <c r="HA23" s="89"/>
      <c r="HB23" s="35">
        <f t="shared" si="65"/>
        <v>78</v>
      </c>
      <c r="HC23" s="24">
        <f>ROUND(SUM(FV23:FV$56)/VLOOKUP($FM23,$AQ$9:$AR$102,2)/VLOOKUP($FM23-HC$103,Männer!$G$9:$J$102,4),Rundäx)</f>
        <v>0.72</v>
      </c>
      <c r="HD23" s="24">
        <f>ROUND(SUM(FW23:FW$56)/VLOOKUP($FM23,$AQ$9:$AR$102,2)/VLOOKUP($FM23-HD$103,Männer!$G$9:$J$102,4),Rundäx)</f>
        <v>0.84199999999999997</v>
      </c>
      <c r="HE23" s="24">
        <f>ROUND(SUM(FX23:FX$56)/VLOOKUP($FM23,$AQ$9:$AR$102,2)/VLOOKUP($FM23-HE$103,Männer!$G$9:$J$102,4),Rundäx)</f>
        <v>0.97799999999999998</v>
      </c>
      <c r="HF23" s="24">
        <f>ROUND(SUM(FY23:FY$56)/VLOOKUP($FM23,$AQ$9:$AR$102,2)/VLOOKUP($FM23-HF$103,Männer!$G$9:$J$102,4),Rundäx)</f>
        <v>1.1279999999999999</v>
      </c>
      <c r="HG23" s="24">
        <f>ROUND(SUM(FZ23:FZ$56)/VLOOKUP($FM23,$AQ$9:$AR$102,2)/VLOOKUP($FM23-HG$103,Männer!$G$9:$J$102,4),Rundäx)</f>
        <v>1.2929999999999999</v>
      </c>
      <c r="HH23" s="24">
        <f>ROUND(SUM(GA23:GA$56)/VLOOKUP($FM23,$AQ$9:$AR$102,2)/VLOOKUP($FM23-HH$103,Männer!$G$9:$J$102,4),Rundäx)</f>
        <v>1.472</v>
      </c>
      <c r="HI23" s="24">
        <f>ROUND(SUM(GB23:GB$56)/VLOOKUP($FM23,$AQ$9:$AR$102,2)/VLOOKUP($FM23-HI$103,Männer!$G$9:$J$102,4),Rundäx)</f>
        <v>1.6659999999999999</v>
      </c>
      <c r="HJ23" s="24">
        <f>ROUND(SUM(GC23:GC$56)/VLOOKUP($FM23,$AQ$9:$AR$102,2)/VLOOKUP($FM23-HJ$103,Männer!$G$9:$J$102,4),Rundäx)</f>
        <v>1.8740000000000001</v>
      </c>
      <c r="HK23" s="89"/>
      <c r="HL23" s="35">
        <f t="shared" si="66"/>
        <v>78</v>
      </c>
      <c r="HM23" s="24">
        <f>ROUND(SUM(GD23:GD$56)/VLOOKUP($FM23,$AQ$9:$AR$102,2)/VLOOKUP($FM23-HM$103,Männer!$G$9:$J$102,4),Rundäx)</f>
        <v>2.0960000000000001</v>
      </c>
      <c r="HN23" s="24">
        <f>ROUND(SUM(GE23:GE$56)/VLOOKUP($FM23,$AQ$9:$AR$102,2)/VLOOKUP($FM23-HN$103,Männer!$G$9:$J$102,4),Rundäx)</f>
        <v>2.3319999999999999</v>
      </c>
      <c r="HO23" s="24">
        <f>ROUND(SUM(GF23:GF$56)/VLOOKUP($FM23,$AQ$9:$AR$102,2)/VLOOKUP($FM23-HO$103,Männer!$G$9:$J$102,4),Rundäx)</f>
        <v>2.58</v>
      </c>
      <c r="HP23" s="24">
        <f>ROUND(SUM(GG23:GG$56)/VLOOKUP($FM23,$AQ$9:$AR$102,2)/VLOOKUP($FM23-HP$103,Männer!$G$9:$J$102,4),Rundäx)</f>
        <v>2.8420000000000001</v>
      </c>
      <c r="HQ23" s="24">
        <f>ROUND(SUM(GH23:GH$56)/VLOOKUP($FM23,$AQ$9:$AR$102,2)/VLOOKUP($FM23-HQ$103,Männer!$G$9:$J$102,4),Rundäx)</f>
        <v>3.117</v>
      </c>
      <c r="HR23" s="24">
        <f>ROUND(SUM(GI23:GI$56)/VLOOKUP($FM23,$AQ$9:$AR$102,2)/VLOOKUP($FM23-HR$103,Männer!$G$9:$J$102,4),Rundäx)</f>
        <v>3.4009999999999998</v>
      </c>
      <c r="HS23" s="24">
        <f>ROUND(SUM(GJ23:GJ$56)/VLOOKUP($FM23,$AQ$9:$AR$102,2)/VLOOKUP($FM23-HS$103,Männer!$G$9:$J$102,4),Rundäx)</f>
        <v>3.6960000000000002</v>
      </c>
      <c r="HT23" s="24">
        <f>ROUND(SUM(GK23:GK$56)/VLOOKUP($FM23,$AQ$9:$AR$102,2)/VLOOKUP($FM23-HT$103,Männer!$G$9:$J$102,4),Rundäx)</f>
        <v>4.0010000000000003</v>
      </c>
      <c r="HU23" s="89"/>
      <c r="HV23" s="35">
        <f t="shared" si="67"/>
        <v>78</v>
      </c>
      <c r="HW23" s="24">
        <f>ROUND(SUM(GL23:GL$56)/VLOOKUP($FM23,$AQ$9:$AR$102,2)/VLOOKUP($FM23-HW$103,Männer!$G$9:$J$102,4),Rundäx)</f>
        <v>4.3150000000000004</v>
      </c>
      <c r="HX23" s="24">
        <f>ROUND(SUM(GM23:GM$56)/VLOOKUP($FM23,$AQ$9:$AR$102,2)/VLOOKUP($FM23-HX$103,Männer!$G$9:$J$102,4),Rundäx)</f>
        <v>4.6349999999999998</v>
      </c>
      <c r="HY23" s="24">
        <f>ROUND(SUM(GN23:GN$56)/VLOOKUP($FM23,$AQ$9:$AR$102,2)/VLOOKUP($FM23-HY$103,Männer!$G$9:$J$102,4),Rundäx)</f>
        <v>4.9619999999999997</v>
      </c>
      <c r="HZ23" s="24">
        <f>ROUND(SUM(GO23:GO$56)/VLOOKUP($FM23,$AQ$9:$AR$102,2)/VLOOKUP($FM23-HZ$103,Männer!$G$9:$J$102,4),Rundäx)</f>
        <v>5.2949999999999999</v>
      </c>
      <c r="IA23" s="24">
        <f>ROUND(SUM(GP23:GP$56)/VLOOKUP($FM23,$AQ$9:$AR$102,2)/VLOOKUP($FM23-IA$103,Männer!$G$9:$J$102,4),Rundäx)</f>
        <v>5.6340000000000003</v>
      </c>
      <c r="IB23" s="24">
        <f>ROUND(SUM(GQ23:GQ$56)/VLOOKUP($FM23,$AQ$9:$AR$102,2)/VLOOKUP($FM23-IB$103,Männer!$G$9:$J$102,4),Rundäx)</f>
        <v>5.9779999999999998</v>
      </c>
      <c r="IC23" s="24">
        <f>ROUND(SUM(GR23:GR$56)/VLOOKUP($FM23,$AQ$9:$AR$102,2)/VLOOKUP($FM23-IC$103,Männer!$G$9:$J$102,4),Rundäx)</f>
        <v>6.327</v>
      </c>
      <c r="ID23" s="89"/>
      <c r="IE23" s="9">
        <f t="shared" si="68"/>
        <v>31</v>
      </c>
      <c r="IF23" s="11">
        <f t="shared" si="25"/>
        <v>266</v>
      </c>
      <c r="IG23" s="11">
        <f>IF($IE23&lt;RAF,IF(S24&lt;=RAK,ROUND(SUM(IF23:INDEX(Daky,RAF-BeginnAlter))+INDEX(Day,RAF-BeginnAlter+1)*INDEX(äky,1),RundDx),0),"")</f>
        <v>5162</v>
      </c>
      <c r="IH23" s="11">
        <f>IF($IE23&lt;RAF,IF(S24&lt;=RAK,ROUND(SUM(IG23:INDEX(Naky,RAF-BeginnAlter))+INDEX(Day,RAF-BeginnAlter+1)*INDEX(äky,1),RundDx),0),"")</f>
        <v>47848</v>
      </c>
      <c r="II23" s="10">
        <f t="shared" si="26"/>
        <v>0.104</v>
      </c>
      <c r="IJ23" s="11">
        <f t="shared" si="27"/>
        <v>10727</v>
      </c>
      <c r="IK23" s="11">
        <f>IF($IE23&lt;RAF,IF(S24&lt;=RAK,SUM(IJ23:INDEX(Diky,RAF-BeginnAlter))+INDEX(Diy,RAF-BeginnAlter+1)*INDEX(äky,1),0),"")</f>
        <v>197090</v>
      </c>
      <c r="IL23" s="10">
        <f t="shared" si="28"/>
        <v>2.16</v>
      </c>
      <c r="IM23" s="89"/>
      <c r="IN23" s="9">
        <f t="shared" si="29"/>
        <v>78</v>
      </c>
      <c r="IO23" s="11"/>
      <c r="IP23" s="11"/>
      <c r="IQ23" s="10"/>
      <c r="IR23" s="86"/>
    </row>
    <row r="24" spans="1:252" ht="15.75" customHeight="1" x14ac:dyDescent="0.25">
      <c r="A24" s="9">
        <f t="shared" si="4"/>
        <v>32</v>
      </c>
      <c r="B24" s="93">
        <v>3.5484686024036752E-4</v>
      </c>
      <c r="C24" s="93">
        <v>1.7706306553340726E-3</v>
      </c>
      <c r="D24" s="93">
        <v>2.2476344157006972E-2</v>
      </c>
      <c r="E24" s="93">
        <v>5.8289114005471987E-4</v>
      </c>
      <c r="F24" s="89"/>
      <c r="G24" s="9">
        <f t="shared" si="5"/>
        <v>32</v>
      </c>
      <c r="H24" s="11">
        <f t="shared" si="30"/>
        <v>98561</v>
      </c>
      <c r="I24" s="25">
        <f t="shared" si="31"/>
        <v>943</v>
      </c>
      <c r="J24" s="25">
        <f t="shared" si="32"/>
        <v>99504</v>
      </c>
      <c r="K24" s="30">
        <f>IF(J24&gt;0,ROUND(SUM(J24:J$102)/J24-0.5,Rundex),"")</f>
        <v>50.36</v>
      </c>
      <c r="L24" s="25">
        <f t="shared" si="6"/>
        <v>177831</v>
      </c>
      <c r="M24" s="30">
        <f>IF(L24&gt;0,ROUND(SUM(L24:L$102)/L24-0.5,Rundex),"")</f>
        <v>33.950000000000003</v>
      </c>
      <c r="N24" s="89"/>
      <c r="O24" s="9">
        <f t="shared" si="49"/>
        <v>32</v>
      </c>
      <c r="P24" s="94">
        <v>0.16300000000000001</v>
      </c>
      <c r="Q24" s="95">
        <v>35.704591556532236</v>
      </c>
      <c r="R24" s="94">
        <v>0.32206028017246263</v>
      </c>
      <c r="S24" s="95">
        <v>0.8</v>
      </c>
      <c r="T24" s="28">
        <v>5.8289114005471987E-4</v>
      </c>
      <c r="U24" s="11">
        <f t="shared" si="33"/>
        <v>99504</v>
      </c>
      <c r="V24" s="30">
        <f>IF(U24&gt;0,ROUND(SUM(U24:U$102)/U24-0.5,Rundex),"")</f>
        <v>51.65</v>
      </c>
      <c r="W24" s="89"/>
      <c r="X24" s="9">
        <f t="shared" si="50"/>
        <v>32</v>
      </c>
      <c r="Y24" s="11">
        <f t="shared" si="34"/>
        <v>48359</v>
      </c>
      <c r="Z24" s="11">
        <f>IF($X24&lt;RAF,SUM(Y24:INDEX(Day,RAF-BeginnAlter))," ")</f>
        <v>1039495</v>
      </c>
      <c r="AA24" s="11">
        <f t="shared" si="0"/>
        <v>17</v>
      </c>
      <c r="AB24" s="11">
        <f>IF($X24&lt;RAF,SUM(AA24:INDEX(Cay,RAF-BeginnAlter))," ")</f>
        <v>1256</v>
      </c>
      <c r="AC24" s="11">
        <f t="shared" si="1"/>
        <v>85</v>
      </c>
      <c r="AD24" s="11">
        <f>IF($X24&lt;RAF,SUM(AC24:INDEX(Caiy,RAF-BeginnAlter))," ")</f>
        <v>7959</v>
      </c>
      <c r="AE24" s="10">
        <f t="shared" si="35"/>
        <v>21.495000000000001</v>
      </c>
      <c r="AF24" s="10">
        <f t="shared" si="36"/>
        <v>21.192</v>
      </c>
      <c r="AG24" s="89"/>
      <c r="AH24" s="9">
        <f t="shared" si="51"/>
        <v>32</v>
      </c>
      <c r="AI24" s="11">
        <f t="shared" si="37"/>
        <v>87253</v>
      </c>
      <c r="AJ24" s="11">
        <f>IF($AH24&gt;RAF," ",IF($AH24&lt;RAF,SUM(AI24:INDEX(Diy,RAF-BeginnAlter))+INDEX(Ny,RAF-BeginnAlter+1),INDEX(Ny,RAF-BeginnAlter+1)))</f>
        <v>1903561</v>
      </c>
      <c r="AK24" s="11">
        <f>IF($AH24&lt;RAF,SUM(AI24:INDEX(Diy,RAF-BeginnAlter))," ")</f>
        <v>1537467</v>
      </c>
      <c r="AL24" s="10">
        <f t="shared" si="38"/>
        <v>21.817</v>
      </c>
      <c r="AM24" s="10">
        <f t="shared" si="39"/>
        <v>21.358000000000001</v>
      </c>
      <c r="AN24" s="10">
        <f t="shared" si="40"/>
        <v>17.620999999999999</v>
      </c>
      <c r="AO24" s="10">
        <f t="shared" si="41"/>
        <v>17.277000000000001</v>
      </c>
      <c r="AP24" s="89"/>
      <c r="AQ24" s="9">
        <f t="shared" si="52"/>
        <v>32</v>
      </c>
      <c r="AR24" s="11">
        <f t="shared" si="42"/>
        <v>48822</v>
      </c>
      <c r="AS24" s="11">
        <f>SUM(AR24:AR$96)</f>
        <v>1472949</v>
      </c>
      <c r="AT24" s="25">
        <f>IF($AQ24&lt;RAF,SUM(AR24:INDEX(Dy,RAF-BeginnAlter))," ")</f>
        <v>1106855</v>
      </c>
      <c r="AU24" s="24">
        <f t="shared" si="43"/>
        <v>30.17</v>
      </c>
      <c r="AV24" s="24">
        <f t="shared" si="44"/>
        <v>29.710999999999999</v>
      </c>
      <c r="AW24" s="24">
        <f t="shared" si="45"/>
        <v>22.670999999999999</v>
      </c>
      <c r="AX24" s="24">
        <f t="shared" si="46"/>
        <v>22.417000000000002</v>
      </c>
      <c r="AY24" s="89"/>
      <c r="AZ24" s="9">
        <f t="shared" si="53"/>
        <v>32</v>
      </c>
      <c r="BA24" s="11">
        <f t="shared" si="47"/>
        <v>48822</v>
      </c>
      <c r="BB24" s="11">
        <f>SUM(BA24:BA$96)</f>
        <v>1495738</v>
      </c>
      <c r="BC24" s="10">
        <f t="shared" si="48"/>
        <v>30.637</v>
      </c>
      <c r="BD24" s="10">
        <f t="shared" si="7"/>
        <v>30.178000000000001</v>
      </c>
      <c r="BE24" s="89"/>
      <c r="BF24" s="9">
        <f t="shared" si="54"/>
        <v>15</v>
      </c>
      <c r="BG24" s="10">
        <f t="shared" si="8"/>
        <v>9.0660000000000007</v>
      </c>
      <c r="BH24" s="10">
        <f t="shared" si="9"/>
        <v>8.9740000000000002</v>
      </c>
      <c r="BI24" s="89"/>
      <c r="BJ24" s="9">
        <f t="shared" si="55"/>
        <v>32</v>
      </c>
      <c r="BK24" s="11">
        <f t="shared" si="10"/>
        <v>1807</v>
      </c>
      <c r="BL24" s="11">
        <f>IF(BJ24&lt;RAF,SUM(BK24:INDEX(Daiy,RAF-BeginnAlter))," ")</f>
        <v>148055</v>
      </c>
      <c r="BM24" s="11">
        <f>IF(BJ24&lt;RAF,SUM(BL24:INDEX(Naiy,RAF-BeginnAlter))," ")</f>
        <v>3103573</v>
      </c>
      <c r="BN24" s="10">
        <f t="shared" si="11"/>
        <v>5.5449999999999999</v>
      </c>
      <c r="BO24" s="10">
        <f t="shared" si="12"/>
        <v>3.0619999999999998</v>
      </c>
      <c r="BP24" s="89"/>
      <c r="BQ24" s="9">
        <f t="shared" si="56"/>
        <v>32</v>
      </c>
      <c r="BR24" s="11">
        <f t="shared" si="13"/>
        <v>1453</v>
      </c>
      <c r="BS24" s="11">
        <f>IF(BQ24&lt;RAF,SUM(BR24:INDEX(Daiys,RAF-BeginnAlter))," ")</f>
        <v>61999</v>
      </c>
      <c r="BT24" s="11">
        <f>IF(BQ24&lt;RAF,SUM(BS24:INDEX(Naiys,RAF-BeginnAlter))," ")</f>
        <v>1011845</v>
      </c>
      <c r="BU24" s="10">
        <f t="shared" si="14"/>
        <v>7.3250000000000002</v>
      </c>
      <c r="BV24" s="10">
        <f t="shared" si="15"/>
        <v>1.282</v>
      </c>
      <c r="BW24" s="89"/>
      <c r="BX24" s="9">
        <f t="shared" si="57"/>
        <v>32</v>
      </c>
      <c r="BY24" s="10">
        <f t="shared" si="16"/>
        <v>15.051754553993842</v>
      </c>
      <c r="BZ24" s="11">
        <f t="shared" si="17"/>
        <v>456</v>
      </c>
      <c r="CA24" s="11">
        <f>IF(S25&lt;=RAK,IF($BX24&lt;RAF,SUM(BZ24:INDEX(Dazy,RAF-BeginnAlter)),""),"")</f>
        <v>15148</v>
      </c>
      <c r="CB24" s="10">
        <f t="shared" si="18"/>
        <v>0.313</v>
      </c>
      <c r="CC24" s="11">
        <f t="shared" si="19"/>
        <v>27294</v>
      </c>
      <c r="CD24" s="10">
        <f t="shared" si="20"/>
        <v>20.059000000000001</v>
      </c>
      <c r="CE24" s="10">
        <f t="shared" si="21"/>
        <v>3.0000000000000001E-3</v>
      </c>
      <c r="CF24" s="89"/>
      <c r="CG24" s="9">
        <f t="shared" si="58"/>
        <v>32</v>
      </c>
      <c r="CH24" s="11">
        <f>IF(CG24&lt;RAF,ROUND(v^($CG24+FaktorAlter)*$H24*($B24*0.5*($P24+$P25)*(VLOOKUP(TRUNC(0.5*($Q24+$Q25),0),Männer!$AZ$9:$BD$95,5)+(0.5*($Q24+$Q25)-TRUNC(0.5*($Q24+$Q25),0))*(VLOOKUP(TRUNC(0.5*($Q24+$Q25)+1,0),Männer!$AZ$9:$BD$95,5)-VLOOKUP(TRUNC(0.5*($Q24+$Q25),0),Männer!$AZ$9:$BD$95,5)))+$C24*0.5*($CN24+$CN25)),RundDx),"")</f>
        <v>242</v>
      </c>
      <c r="CI24" s="11">
        <f>IF(CG24&lt;RAF,ROUND(SUM(CH24:INDEX(Dawy,RAF-BeginnAlter))+INDEX(Day,RAF-BeginnAlter+1)*INDEX(äwy,1),RundDx),"")</f>
        <v>12743</v>
      </c>
      <c r="CJ24" s="11">
        <f>IF(CG24&lt;RAF,ROUND(SUM(CI24:INDEX(Nawy,RAF-BeginnAlter))+INDEX(Day,RAF-BeginnAlter+1)*INDEX(äwy,1),RundDx),"")</f>
        <v>243959</v>
      </c>
      <c r="CK24" s="10">
        <f t="shared" si="22"/>
        <v>0.26400000000000001</v>
      </c>
      <c r="CL24" s="11">
        <f>IF(CG24&lt;RAF,ROUND(v^($CG24+FaktorAlter)*$L24*$D24*0.5*($P24+$P25)*(VLOOKUP(TRUNC(0.5*($Q24+$Q25),0),Männer!$AZ$9:$BD$95,5)+(0.5*($Q24+$Q25)-TRUNC(0.5*($Q24+$Q25),0))*(VLOOKUP(TRUNC(0.5*($Q24+$Q25)+1,0),Männer!$AZ$9:$BD$95,5)-VLOOKUP(TRUNC(0.5*($Q24+$Q25),0),Männer!$AZ$9:$BD$95,5))),RundDx),"")</f>
        <v>8673</v>
      </c>
      <c r="CM24" s="11">
        <f>IF(CG24&lt;RAF,SUM(CL24:INDEX(Diwy,RAF-BeginnAlter))+INDEX(Diy,RAF-BeginnAlter+1)*INDEX(äwy,1),"")</f>
        <v>172091.304</v>
      </c>
      <c r="CN24" s="10">
        <f t="shared" si="23"/>
        <v>1.972</v>
      </c>
      <c r="CO24" s="89"/>
      <c r="CP24" s="9">
        <f t="shared" si="59"/>
        <v>79</v>
      </c>
      <c r="CQ24" s="11">
        <f>ROUND(v^($CP24+FaktorAlter)*VLOOKUP(CP24,G$9:J$102,4)*VLOOKUP(CP24,A$9:E$102,5)*0.5*(VLOOKUP(CP24,O$9:P$102,2)+VLOOKUP(CP24+1,O$9:P$102,2))*(VLOOKUP(TRUNC(0.5*(VLOOKUP(CP24,O$9:Q$102,3)+VLOOKUP(CP24+1,O$9:Q$102,3)),0),Männer!$AZ$9:$BD$95,5)+(0.5*(VLOOKUP(CP24,O$9:Q$102,3)+VLOOKUP(CP24+1,O$9:Q$102,3))-TRUNC(0.5*(VLOOKUP(CP24,O$9:Q$102,3)+VLOOKUP(CP24+1,O$9:Q$102,3)),0))*(VLOOKUP(TRUNC(0.5*(VLOOKUP(CP24,O$9:Q$102,3)+VLOOKUP(CP24+1,O$9:Q$102,3))+1,0),Männer!$AZ$9:$BD$95,5)-VLOOKUP(TRUNC(0.5*(VLOOKUP(CP24,O$9:Q$102,3)+VLOOKUP(CP24+1,O$9:Q$102,3)),0),Männer!$AZ$9:$BD$95,5))),RundDx)</f>
        <v>22</v>
      </c>
      <c r="CR24" s="11">
        <f>SUM(CQ24:CQ$56)</f>
        <v>223</v>
      </c>
      <c r="CS24" s="24">
        <f t="shared" si="24"/>
        <v>1.9E-2</v>
      </c>
      <c r="CT24" s="89"/>
      <c r="CU24" s="35">
        <f t="shared" si="60"/>
        <v>32</v>
      </c>
      <c r="CV24" s="25">
        <f>IF($CU24&gt;=RAF,"",IF($CU24-CV$103&lt;BeginnAlter,"",ROUND(v^($CU24+FaktorAlter)*$L24*$D24*0.5*(VLOOKUP($CU24-CV$103,Männer!$G$9:$J$102,4)+VLOOKUP($CU24-CV$103+1,Männer!$G$9:$J$102,4))*0.5*(VLOOKUP($CU24-CV$103,Männer!$AZ$9:$BD$102,5)+VLOOKUP($CU24-CV$103+1,Männer!$AZ$9:$BD$102,5)),RundDx)))</f>
        <v>4012284633</v>
      </c>
      <c r="CW24" s="25">
        <f>IF($CU24&gt;=RAF,"",IF($CU24-CW$103&lt;BeginnAlter,"",ROUND(v^($CU24+FaktorAlter)*$L24*$D24*0.5*(VLOOKUP($CU24-CW$103,Männer!$G$9:$J$102,4)+VLOOKUP($CU24-CW$103+1,Männer!$G$9:$J$102,4))*0.5*(VLOOKUP($CU24-CW$103,Männer!$AZ$9:$BD$102,5)+VLOOKUP($CU24-CW$103+1,Männer!$AZ$9:$BD$102,5)),RundDx)))</f>
        <v>4110537772</v>
      </c>
      <c r="CX24" s="25">
        <f>IF($CU24&gt;=RAF,"",IF($CU24-CX$103&lt;BeginnAlter,"",ROUND(v^($CU24+FaktorAlter)*$L24*$D24*0.5*(VLOOKUP($CU24-CX$103,Männer!$G$9:$J$102,4)+VLOOKUP($CU24-CX$103+1,Männer!$G$9:$J$102,4))*0.5*(VLOOKUP($CU24-CX$103,Männer!$AZ$9:$BD$102,5)+VLOOKUP($CU24-CX$103+1,Männer!$AZ$9:$BD$102,5)),RundDx)))</f>
        <v>4207030596</v>
      </c>
      <c r="CY24" s="25">
        <f>IF($CU24&gt;=RAF,"",IF($CU24-CY$103&lt;BeginnAlter,"",ROUND(v^($CU24+FaktorAlter)*$L24*$D24*0.5*(VLOOKUP($CU24-CY$103,Männer!$G$9:$J$102,4)+VLOOKUP($CU24-CY$103+1,Männer!$G$9:$J$102,4))*0.5*(VLOOKUP($CU24-CY$103,Männer!$AZ$9:$BD$102,5)+VLOOKUP($CU24-CY$103+1,Männer!$AZ$9:$BD$102,5)),RundDx)))</f>
        <v>4301763493</v>
      </c>
      <c r="CZ24" s="25">
        <f>IF($CU24&gt;=RAF,"",IF($CU24-CZ$103&lt;BeginnAlter,"",ROUND(v^($CU24+FaktorAlter)*$L24*$D24*0.5*(VLOOKUP($CU24-CZ$103,Männer!$G$9:$J$102,4)+VLOOKUP($CU24-CZ$103+1,Männer!$G$9:$J$102,4))*0.5*(VLOOKUP($CU24-CZ$103,Männer!$AZ$9:$BD$102,5)+VLOOKUP($CU24-CZ$103+1,Männer!$AZ$9:$BD$102,5)),RundDx)))</f>
        <v>4394696644</v>
      </c>
      <c r="DA24" s="25">
        <f>IF($CU24&gt;=RAF,"",IF($CU24-DA$103&lt;BeginnAlter,"",ROUND(v^($CU24+FaktorAlter)*$L24*$D24*0.5*(VLOOKUP($CU24-DA$103,Männer!$G$9:$J$102,4)+VLOOKUP($CU24-DA$103+1,Männer!$G$9:$J$102,4))*0.5*(VLOOKUP($CU24-DA$103,Männer!$AZ$9:$BD$102,5)+VLOOKUP($CU24-DA$103+1,Männer!$AZ$9:$BD$102,5)),RundDx)))</f>
        <v>4485932160</v>
      </c>
      <c r="DB24" s="25">
        <f>IF($CU24&gt;=RAF,"",IF($CU24-DB$103&lt;BeginnAlter,"",ROUND(v^($CU24+FaktorAlter)*$L24*$D24*0.5*(VLOOKUP($CU24-DB$103,Männer!$G$9:$J$102,4)+VLOOKUP($CU24-DB$103+1,Männer!$G$9:$J$102,4))*0.5*(VLOOKUP($CU24-DB$103,Männer!$AZ$9:$BD$102,5)+VLOOKUP($CU24-DB$103+1,Männer!$AZ$9:$BD$102,5)),RundDx)))</f>
        <v>4575553926</v>
      </c>
      <c r="DC24" s="25">
        <f>IF($CU24&gt;=RAF,"",IF($CU24-DC$103&lt;BeginnAlter,"",ROUND(v^($CU24+FaktorAlter)*$L24*$D24*0.5*(VLOOKUP($CU24-DC$103,Männer!$G$9:$J$102,4)+VLOOKUP($CU24-DC$103+1,Männer!$G$9:$J$102,4))*0.5*(VLOOKUP($CU24-DC$103,Männer!$AZ$9:$BD$102,5)+VLOOKUP($CU24-DC$103+1,Männer!$AZ$9:$BD$102,5)),RundDx)))</f>
        <v>4663410971</v>
      </c>
      <c r="DD24" s="25">
        <f>IF($CU24&gt;=RAF,"",IF($CU24-DD$103&lt;BeginnAlter,"",ROUND(v^($CU24+FaktorAlter)*$L24*$D24*0.5*(VLOOKUP($CU24-DD$103,Männer!$G$9:$J$102,4)+VLOOKUP($CU24-DD$103+1,Männer!$G$9:$J$102,4))*0.5*(VLOOKUP($CU24-DD$103,Männer!$AZ$9:$BD$102,5)+VLOOKUP($CU24-DD$103+1,Männer!$AZ$9:$BD$102,5)),RundDx)))</f>
        <v>4749494748</v>
      </c>
      <c r="DE24" s="25">
        <f>IF($CU24&gt;=RAF,"",IF($CU24-DE$103&lt;BeginnAlter,"",ROUND(v^($CU24+FaktorAlter)*$L24*$D24*0.5*(VLOOKUP($CU24-DE$103,Männer!$G$9:$J$102,4)+VLOOKUP($CU24-DE$103+1,Männer!$G$9:$J$102,4))*0.5*(VLOOKUP($CU24-DE$103,Männer!$AZ$9:$BD$102,5)+VLOOKUP($CU24-DE$103+1,Männer!$AZ$9:$BD$102,5)),RundDx)))</f>
        <v>4834061366</v>
      </c>
      <c r="DF24" s="25">
        <f>IF($CU24&gt;=RAF,"",IF($CU24-DF$103&lt;BeginnAlter,"",ROUND(v^($CU24+FaktorAlter)*$L24*$D24*0.5*(VLOOKUP($CU24-DF$103,Männer!$G$9:$J$102,4)+VLOOKUP($CU24-DF$103+1,Männer!$G$9:$J$102,4))*0.5*(VLOOKUP($CU24-DF$103,Männer!$AZ$9:$BD$102,5)+VLOOKUP($CU24-DF$103+1,Männer!$AZ$9:$BD$102,5)),RundDx)))</f>
        <v>4917011506</v>
      </c>
      <c r="DG24" s="25">
        <f>IF($CU24&gt;=RAF,"",IF($CU24-DG$103&lt;BeginnAlter,"",ROUND(v^($CU24+FaktorAlter)*$L24*$D24*0.5*(VLOOKUP($CU24-DG$103,Männer!$G$9:$J$102,4)+VLOOKUP($CU24-DG$103+1,Männer!$G$9:$J$102,4))*0.5*(VLOOKUP($CU24-DG$103,Männer!$AZ$9:$BD$102,5)+VLOOKUP($CU24-DG$103+1,Männer!$AZ$9:$BD$102,5)),RundDx)))</f>
        <v>4998273056</v>
      </c>
      <c r="DH24" s="25">
        <f>IF($CU24&gt;=RAF,"",IF($CU24-DH$103&lt;BeginnAlter,"",ROUND(v^($CU24+FaktorAlter)*$L24*$D24*0.5*(VLOOKUP($CU24-DH$103,Männer!$G$9:$J$102,4)+VLOOKUP($CU24-DH$103+1,Männer!$G$9:$J$102,4))*0.5*(VLOOKUP($CU24-DH$103,Männer!$AZ$9:$BD$102,5)+VLOOKUP($CU24-DH$103+1,Männer!$AZ$9:$BD$102,5)),RundDx)))</f>
        <v>5078013491</v>
      </c>
      <c r="DI24" s="25">
        <f>IF($CU24&gt;=RAF,"",IF($CU24-DI$103&lt;BeginnAlter,"",ROUND(v^($CU24+FaktorAlter)*$L24*$D24*0.5*(VLOOKUP($CU24-DI$103,Männer!$G$9:$J$102,4)+VLOOKUP($CU24-DI$103+1,Männer!$G$9:$J$102,4))*0.5*(VLOOKUP($CU24-DI$103,Männer!$AZ$9:$BD$102,5)+VLOOKUP($CU24-DI$103+1,Männer!$AZ$9:$BD$102,5)),RundDx)))</f>
        <v>5156113917</v>
      </c>
      <c r="DJ24" s="25">
        <f>IF($CU24&gt;=RAF,"",IF($CU24-DJ$103&lt;BeginnAlter,"",ROUND(v^($CU24+FaktorAlter)*$L24*$D24*0.5*(VLOOKUP($CU24-DJ$103,Männer!$G$9:$J$102,4)+VLOOKUP($CU24-DJ$103+1,Männer!$G$9:$J$102,4))*0.5*(VLOOKUP($CU24-DJ$103,Männer!$AZ$9:$BD$102,5)+VLOOKUP($CU24-DJ$103+1,Männer!$AZ$9:$BD$102,5)),RundDx)))</f>
        <v>5232631061</v>
      </c>
      <c r="DK24" s="25">
        <f>IF($CU24&gt;=RAF,"",IF($CU24-DK$103&lt;BeginnAlter,"",ROUND(v^($CU24+FaktorAlter)*$L24*$D24*0.5*(VLOOKUP($CU24-DK$103,Männer!$G$9:$J$102,4)+VLOOKUP($CU24-DK$103+1,Männer!$G$9:$J$102,4))*0.5*(VLOOKUP($CU24-DK$103,Männer!$AZ$9:$BD$102,5)+VLOOKUP($CU24-DK$103+1,Männer!$AZ$9:$BD$102,5)),RundDx)))</f>
        <v>5307626641</v>
      </c>
      <c r="DL24" s="25">
        <f>IF($CU24&gt;=RAF,"",IF($CU24-DL$103&lt;BeginnAlter,"",ROUND(v^($CU24+FaktorAlter)*$L24*$D24*0.5*(VLOOKUP($CU24-DL$103,Männer!$G$9:$J$102,4)+VLOOKUP($CU24-DL$103+1,Männer!$G$9:$J$102,4))*0.5*(VLOOKUP($CU24-DL$103,Männer!$AZ$9:$BD$102,5)+VLOOKUP($CU24-DL$103+1,Männer!$AZ$9:$BD$102,5)),RundDx)))</f>
        <v>5381140027</v>
      </c>
      <c r="DM24" s="25">
        <f>IF($CU24&gt;=RAF,"",IF($CU24-DM$103&lt;BeginnAlter,"",ROUND(v^($CU24+FaktorAlter)*$L24*$D24*0.5*(VLOOKUP($CU24-DM$103,Männer!$G$9:$J$102,4)+VLOOKUP($CU24-DM$103+1,Männer!$G$9:$J$102,4))*0.5*(VLOOKUP($CU24-DM$103,Männer!$AZ$9:$BD$102,5)+VLOOKUP($CU24-DM$103+1,Männer!$AZ$9:$BD$102,5)),RundDx)))</f>
        <v>5453186316</v>
      </c>
      <c r="DN24" s="25">
        <f>IF($CU24&gt;=RAF,"",IF($CU24-DN$103&lt;BeginnAlter,"",ROUND(v^($CU24+FaktorAlter)*$L24*$D24*0.5*(VLOOKUP($CU24-DN$103,Männer!$G$9:$J$102,4)+VLOOKUP($CU24-DN$103+1,Männer!$G$9:$J$102,4))*0.5*(VLOOKUP($CU24-DN$103,Männer!$AZ$9:$BD$102,5)+VLOOKUP($CU24-DN$103+1,Männer!$AZ$9:$BD$102,5)),RundDx)))</f>
        <v>5523741680</v>
      </c>
      <c r="DO24" s="25">
        <f>IF($CU24&gt;=RAF,"",IF($CU24-DO$103&lt;BeginnAlter,"",ROUND(v^($CU24+FaktorAlter)*$L24*$D24*0.5*(VLOOKUP($CU24-DO$103,Männer!$G$9:$J$102,4)+VLOOKUP($CU24-DO$103+1,Männer!$G$9:$J$102,4))*0.5*(VLOOKUP($CU24-DO$103,Männer!$AZ$9:$BD$102,5)+VLOOKUP($CU24-DO$103+1,Männer!$AZ$9:$BD$102,5)),RundDx)))</f>
        <v>5592882684</v>
      </c>
      <c r="DP24" s="25">
        <f>IF($CU24&gt;=RAF,"",IF($CU24-DP$103&lt;BeginnAlter,"",ROUND(v^($CU24+FaktorAlter)*$L24*$D24*0.5*(VLOOKUP($CU24-DP$103,Männer!$G$9:$J$102,4)+VLOOKUP($CU24-DP$103+1,Männer!$G$9:$J$102,4))*0.5*(VLOOKUP($CU24-DP$103,Männer!$AZ$9:$BD$102,5)+VLOOKUP($CU24-DP$103+1,Männer!$AZ$9:$BD$102,5)),RundDx)))</f>
        <v>5660565116</v>
      </c>
      <c r="DQ24" s="25">
        <f>IF($CU24&gt;=RAF,"",IF($CU24-DQ$103&lt;BeginnAlter,"",ROUND(v^($CU24+FaktorAlter)*$L24*$D24*0.5*(VLOOKUP($CU24-DQ$103,Männer!$G$9:$J$102,4)+VLOOKUP($CU24-DQ$103+1,Männer!$G$9:$J$102,4))*0.5*(VLOOKUP($CU24-DQ$103,Männer!$AZ$9:$BD$102,5)+VLOOKUP($CU24-DQ$103+1,Männer!$AZ$9:$BD$102,5)),RundDx)))</f>
        <v>5726968839</v>
      </c>
      <c r="DR24" s="25">
        <f>IF($CU24&gt;=RAF,"",IF($CU24-DR$103&lt;BeginnAlter,"",ROUND(v^($CU24+FaktorAlter)*$L24*$D24*0.5*(VLOOKUP($CU24-DR$103,Männer!$G$9:$J$102,4)+VLOOKUP($CU24-DR$103+1,Männer!$G$9:$J$102,4))*0.5*(VLOOKUP($CU24-DR$103,Männer!$AZ$9:$BD$102,5)+VLOOKUP($CU24-DR$103+1,Männer!$AZ$9:$BD$102,5)),RundDx)))</f>
        <v>5792064760</v>
      </c>
      <c r="DS24" s="25">
        <f>IF($CU24&gt;=RAF,"",IF($CU24-DS$103&lt;BeginnAlter,"",ROUND(v^($CU24+FaktorAlter)*$L24*$D24*0.5*(VLOOKUP($CU24-DS$103,Männer!$G$9:$J$102,4)+VLOOKUP($CU24-DS$103+1,Männer!$G$9:$J$102,4))*0.5*(VLOOKUP($CU24-DS$103,Männer!$AZ$9:$BD$102,5)+VLOOKUP($CU24-DS$103+1,Männer!$AZ$9:$BD$102,5)),RundDx)))</f>
        <v>5855688049</v>
      </c>
      <c r="DT24" s="25">
        <f>IF($CU24&gt;=RAF,"",IF($CU24-DT$103&lt;BeginnAlter,"",ROUND(v^($CU24+FaktorAlter)*$L24*$D24*0.5*(VLOOKUP($CU24-DT$103,Männer!$G$9:$J$102,4)+VLOOKUP($CU24-DT$103+1,Männer!$G$9:$J$102,4))*0.5*(VLOOKUP($CU24-DT$103,Männer!$AZ$9:$BD$102,5)+VLOOKUP($CU24-DT$103+1,Männer!$AZ$9:$BD$102,5)),RundDx)))</f>
        <v>5918128052</v>
      </c>
      <c r="DU24" s="25">
        <f>IF($CU24&gt;=RAF,"",IF($CU24-DU$103&lt;BeginnAlter,"",ROUND(v^($CU24+FaktorAlter)*$L24*$D24*0.5*(VLOOKUP($CU24-DU$103,Männer!$G$9:$J$102,4)+VLOOKUP($CU24-DU$103+1,Männer!$G$9:$J$102,4))*0.5*(VLOOKUP($CU24-DU$103,Männer!$AZ$9:$BD$102,5)+VLOOKUP($CU24-DU$103+1,Männer!$AZ$9:$BD$102,5)),RundDx)))</f>
        <v>5979361435</v>
      </c>
      <c r="DV24" s="25">
        <f>IF($CU24&gt;=RAF,"",IF($CU24-DV$103&lt;BeginnAlter,"",ROUND(v^($CU24+FaktorAlter)*$L24*$D24*0.5*(VLOOKUP($CU24-DV$103,Männer!$G$9:$J$102,4)+VLOOKUP($CU24-DV$103+1,Männer!$G$9:$J$102,4))*0.5*(VLOOKUP($CU24-DV$103,Männer!$AZ$9:$BD$102,5)+VLOOKUP($CU24-DV$103+1,Männer!$AZ$9:$BD$102,5)),RundDx)))</f>
        <v>6039360532</v>
      </c>
      <c r="DW24" s="25">
        <f>IF($CU24&gt;=RAF,"",IF($CU24-DW$103&lt;BeginnAlter,"",ROUND(v^($CU24+FaktorAlter)*$L24*$D24*0.5*(VLOOKUP($CU24-DW$103,Männer!$G$9:$J$102,4)+VLOOKUP($CU24-DW$103+1,Männer!$G$9:$J$102,4))*0.5*(VLOOKUP($CU24-DW$103,Männer!$AZ$9:$BD$102,5)+VLOOKUP($CU24-DW$103+1,Männer!$AZ$9:$BD$102,5)),RundDx)))</f>
        <v>6098159892</v>
      </c>
      <c r="DX24" s="25">
        <f>IF($CU24&gt;=RAF,"",IF($CU24-DX$103&lt;BeginnAlter,"",ROUND(v^($CU24+FaktorAlter)*$L24*$D24*0.5*(VLOOKUP($CU24-DX$103,Männer!$G$9:$J$102,4)+VLOOKUP($CU24-DX$103+1,Männer!$G$9:$J$102,4))*0.5*(VLOOKUP($CU24-DX$103,Männer!$AZ$9:$BD$102,5)+VLOOKUP($CU24-DX$103+1,Männer!$AZ$9:$BD$102,5)),RundDx)))</f>
        <v>6155732170</v>
      </c>
      <c r="DY24" s="25">
        <f>IF($CU24&gt;=RAF,"",IF($CU24-DY$103&lt;BeginnAlter,"",ROUND(v^($CU24+FaktorAlter)*$L24*$D24*0.5*(VLOOKUP($CU24-DY$103,Männer!$G$9:$J$102,4)+VLOOKUP($CU24-DY$103+1,Männer!$G$9:$J$102,4))*0.5*(VLOOKUP($CU24-DY$103,Männer!$AZ$9:$BD$102,5)+VLOOKUP($CU24-DY$103+1,Männer!$AZ$9:$BD$102,5)),RundDx)))</f>
        <v>6212230236</v>
      </c>
      <c r="DZ24" s="25">
        <f>IF($CU24&gt;=RAF,"",IF($CU24-DZ$103&lt;BeginnAlter,"",ROUND(v^($CU24+FaktorAlter)*$L24*$D24*0.5*(VLOOKUP($CU24-DZ$103,Männer!$G$9:$J$102,4)+VLOOKUP($CU24-DZ$103+1,Männer!$G$9:$J$102,4))*0.5*(VLOOKUP($CU24-DZ$103,Männer!$AZ$9:$BD$102,5)+VLOOKUP($CU24-DZ$103+1,Männer!$AZ$9:$BD$102,5)),RundDx)))</f>
        <v>6267531909</v>
      </c>
      <c r="EA24" s="43">
        <f>IF($CU24&gt;=RAF,"",IF($CU24-EA$103&lt;BeginnAlter,"",ROUND((SUM(CV24:CV$56)+SUM(FN$9:FN$56))/VLOOKUP($CU24,$AH$9:$AI$102,2)/VLOOKUP($CU24-EA$103,Männer!$G$9:$J$102,4),Rundäx)))</f>
        <v>5.4850000000000003</v>
      </c>
      <c r="EB24" s="43">
        <f>IF($CU24&gt;=RAF,"",IF($CU24-EB$103&lt;BeginnAlter,"",ROUND((SUM(CW24:CW$56)+SUM(FO$9:FO$56))/VLOOKUP($CU24,$AH$9:$AI$102,2)/VLOOKUP($CU24-EB$103,Männer!$G$9:$J$102,4),Rundäx)))</f>
        <v>5.6890000000000001</v>
      </c>
      <c r="EC24" s="43">
        <f>IF($CU24&gt;=RAF,"",IF($CU24-EC$103&lt;BeginnAlter,"",ROUND((SUM(CX24:CX$56)+SUM(FP$9:FP$56))/VLOOKUP($CU24,$AH$9:$AI$102,2)/VLOOKUP($CU24-EC$103,Männer!$G$9:$J$102,4),Rundäx)))</f>
        <v>5.8940000000000001</v>
      </c>
      <c r="ED24" s="43">
        <f>IF($CU24&gt;=RAF,"",IF($CU24-ED$103&lt;BeginnAlter,"",ROUND((SUM(CY24:CY$56)+SUM(FQ$9:FQ$56))/VLOOKUP($CU24,$AH$9:$AI$102,2)/VLOOKUP($CU24-ED$103,Männer!$G$9:$J$102,4),Rundäx)))</f>
        <v>6.0990000000000002</v>
      </c>
      <c r="EE24" s="43">
        <f>IF($CU24&gt;=RAF,"",IF($CU24-EE$103&lt;BeginnAlter,"",ROUND((SUM(CZ24:CZ$56)+SUM(FR$9:FR$56))/VLOOKUP($CU24,$AH$9:$AI$102,2)/VLOOKUP($CU24-EE$103,Männer!$G$9:$J$102,4),Rundäx)))</f>
        <v>6.306</v>
      </c>
      <c r="EF24" s="43">
        <f>IF($CU24&gt;=RAF,"",IF($CU24-EF$103&lt;BeginnAlter,"",ROUND((SUM(DA24:DA$56)+SUM(FS$9:FS$56))/VLOOKUP($CU24,$AH$9:$AI$102,2)/VLOOKUP($CU24-EF$103,Männer!$G$9:$J$102,4),Rundäx)))</f>
        <v>6.5140000000000002</v>
      </c>
      <c r="EG24" s="43">
        <f>IF($CU24&gt;=RAF,"",IF($CU24-EG$103&lt;BeginnAlter,"",ROUND((SUM(DB24:DB$56)+SUM(FT$9:FT$56))/VLOOKUP($CU24,$AH$9:$AI$102,2)/VLOOKUP($CU24-EG$103,Männer!$G$9:$J$102,4),Rundäx)))</f>
        <v>6.7220000000000004</v>
      </c>
      <c r="EH24" s="43">
        <f>IF($CU24&gt;=RAF,"",IF($CU24-EH$103&lt;BeginnAlter,"",ROUND((SUM(DC24:DC$56)+SUM(FU$9:FU$56))/VLOOKUP($CU24,$AH$9:$AI$102,2)/VLOOKUP($CU24-EH$103,Männer!$G$9:$J$102,4),Rundäx)))</f>
        <v>6.9320000000000004</v>
      </c>
      <c r="EI24" s="89"/>
      <c r="EJ24" s="35">
        <f t="shared" si="61"/>
        <v>32</v>
      </c>
      <c r="EK24" s="43">
        <f>IF($CU24&gt;=RAF,"",IF($CU24-EK$103&lt;BeginnAlter,"",ROUND((SUM(DD24:DD$56)+SUM(FV$9:FV$56))/VLOOKUP($CU24,$AH$9:$AI$102,2)/VLOOKUP($CU24-EK$103,Männer!$G$9:$J$102,4),Rundäx)))</f>
        <v>7.1420000000000003</v>
      </c>
      <c r="EL24" s="43">
        <f>IF($CU24&gt;=RAF,"",IF($CU24-EL$103&lt;BeginnAlter,"",ROUND((SUM(DE24:DE$56)+SUM(FW$9:FW$56))/VLOOKUP($CU24,$AH$9:$AI$102,2)/VLOOKUP($CU24-EL$103,Männer!$G$9:$J$102,4),Rundäx)))</f>
        <v>7.3540000000000001</v>
      </c>
      <c r="EM24" s="43">
        <f>IF($CU24&gt;=RAF,"",IF($CU24-EM$103&lt;BeginnAlter,"",ROUND((SUM(DF24:DF$56)+SUM(FX$9:FX$56))/VLOOKUP($CU24,$AH$9:$AI$102,2)/VLOOKUP($CU24-EM$103,Männer!$G$9:$J$102,4),Rundäx)))</f>
        <v>7.5659999999999998</v>
      </c>
      <c r="EN24" s="43">
        <f>IF($CU24&gt;=RAF,"",IF($CU24-EN$103&lt;BeginnAlter,"",ROUND((SUM(DG24:DG$56)+SUM(FY$9:FY$56))/VLOOKUP($CU24,$AH$9:$AI$102,2)/VLOOKUP($CU24-EN$103,Männer!$G$9:$J$102,4),Rundäx)))</f>
        <v>7.78</v>
      </c>
      <c r="EO24" s="43">
        <f>IF($CU24&gt;=RAF,"",IF($CU24-EO$103&lt;BeginnAlter,"",ROUND((SUM(DH24:DH$56)+SUM(FZ$9:FZ$56))/VLOOKUP($CU24,$AH$9:$AI$102,2)/VLOOKUP($CU24-EO$103,Männer!$G$9:$J$102,4),Rundäx)))</f>
        <v>7.9950000000000001</v>
      </c>
      <c r="EP24" s="43">
        <f>IF($CU24&gt;=RAF,"",IF($CU24-EP$103&lt;BeginnAlter,"",ROUND((SUM(DI24:DI$56)+SUM(GA$9:GA$56))/VLOOKUP($CU24,$AH$9:$AI$102,2)/VLOOKUP($CU24-EP$103,Männer!$G$9:$J$102,4),Rundäx)))</f>
        <v>8.2100000000000009</v>
      </c>
      <c r="EQ24" s="43">
        <f>IF($CU24&gt;=RAF,"",IF($CU24-EQ$103&lt;BeginnAlter,"",ROUND((SUM(DJ24:DJ$56)+SUM(GB$9:GB$56))/VLOOKUP($CU24,$AH$9:$AI$102,2)/VLOOKUP($CU24-EQ$103,Männer!$G$9:$J$102,4),Rundäx)))</f>
        <v>8.4269999999999996</v>
      </c>
      <c r="ER24" s="43">
        <f>IF($CU24&gt;=RAF,"",IF($CU24-ER$103&lt;BeginnAlter,"",ROUND((SUM(DK24:DK$56)+SUM(GC$9:GC$56))/VLOOKUP($CU24,$AH$9:$AI$102,2)/VLOOKUP($CU24-ER$103,Männer!$G$9:$J$102,4),Rundäx)))</f>
        <v>8.6449999999999996</v>
      </c>
      <c r="ES24" s="89"/>
      <c r="ET24" s="35">
        <f t="shared" si="62"/>
        <v>32</v>
      </c>
      <c r="EU24" s="43">
        <f>IF($CU24&gt;=RAF,"",IF($CU24-EU$103&lt;BeginnAlter,"",ROUND((SUM(DL24:DL$56)+SUM(GD$9:GD$56))/VLOOKUP($CU24,$AH$9:$AI$102,2)/VLOOKUP($CU24-EU$103,Männer!$G$9:$J$102,4),Rundäx)))</f>
        <v>8.8640000000000008</v>
      </c>
      <c r="EV24" s="43">
        <f>IF($CU24&gt;=RAF,"",IF($CU24-EV$103&lt;BeginnAlter,"",ROUND((SUM(DM24:DM$56)+SUM(GE$9:GE$56))/VLOOKUP($CU24,$AH$9:$AI$102,2)/VLOOKUP($CU24-EV$103,Männer!$G$9:$J$102,4),Rundäx)))</f>
        <v>9.0830000000000002</v>
      </c>
      <c r="EW24" s="43">
        <f>IF($CU24&gt;=RAF,"",IF($CU24-EW$103&lt;BeginnAlter,"",ROUND((SUM(DN24:DN$56)+SUM(GF$9:GF$56))/VLOOKUP($CU24,$AH$9:$AI$102,2)/VLOOKUP($CU24-EW$103,Männer!$G$9:$J$102,4),Rundäx)))</f>
        <v>9.3019999999999996</v>
      </c>
      <c r="EX24" s="43">
        <f>IF($CU24&gt;=RAF,"",IF($CU24-EX$103&lt;BeginnAlter,"",ROUND((SUM(DO24:DO$56)+SUM(GG$9:GG$56))/VLOOKUP($CU24,$AH$9:$AI$102,2)/VLOOKUP($CU24-EX$103,Männer!$G$9:$J$102,4),Rundäx)))</f>
        <v>9.5210000000000008</v>
      </c>
      <c r="EY24" s="43">
        <f>IF($CU24&gt;=RAF,"",IF($CU24-EY$103&lt;BeginnAlter,"",ROUND((SUM(DP24:DP$56)+SUM(GH$9:GH$56))/VLOOKUP($CU24,$AH$9:$AI$102,2)/VLOOKUP($CU24-EY$103,Männer!$G$9:$J$102,4),Rundäx)))</f>
        <v>9.74</v>
      </c>
      <c r="EZ24" s="43">
        <f>IF($CU24&gt;=RAF,"",IF($CU24-EZ$103&lt;BeginnAlter,"",ROUND((SUM(DQ24:DQ$56)+SUM(GI$9:GI$56))/VLOOKUP($CU24,$AH$9:$AI$102,2)/VLOOKUP($CU24-EZ$103,Männer!$G$9:$J$102,4),Rundäx)))</f>
        <v>9.9580000000000002</v>
      </c>
      <c r="FA24" s="43">
        <f>IF($CU24&gt;=RAF,"",IF($CU24-FA$103&lt;BeginnAlter,"",ROUND((SUM(DR24:DR$56)+SUM(GJ$9:GJ$56))/VLOOKUP($CU24,$AH$9:$AI$102,2)/VLOOKUP($CU24-FA$103,Männer!$G$9:$J$102,4),Rundäx)))</f>
        <v>10.176</v>
      </c>
      <c r="FB24" s="43">
        <f>IF($CU24&gt;=RAF,"",IF($CU24-FB$103&lt;BeginnAlter,"",ROUND((SUM(DS24:DS$56)+SUM(GK$9:GK$56))/VLOOKUP($CU24,$AH$9:$AI$102,2)/VLOOKUP($CU24-FB$103,Männer!$G$9:$J$102,4),Rundäx)))</f>
        <v>10.391999999999999</v>
      </c>
      <c r="FC24" s="89"/>
      <c r="FD24" s="35">
        <f t="shared" si="63"/>
        <v>32</v>
      </c>
      <c r="FE24" s="43">
        <f>IF($CU24&gt;=RAF,"",IF($CU24-FE$103&lt;BeginnAlter,"",ROUND((SUM(DT24:DT$56)+SUM(GL$9:GL$56))/VLOOKUP($CU24,$AH$9:$AI$102,2)/VLOOKUP($CU24-FE$103,Männer!$G$9:$J$102,4),Rundäx)))</f>
        <v>10.606999999999999</v>
      </c>
      <c r="FF24" s="43">
        <f>IF($CU24&gt;=RAF,"",IF($CU24-FF$103&lt;BeginnAlter,"",ROUND((SUM(DU24:DU$56)+SUM(GM$9:GM$56))/VLOOKUP($CU24,$AH$9:$AI$102,2)/VLOOKUP($CU24-FF$103,Männer!$G$9:$J$102,4),Rundäx)))</f>
        <v>10.821999999999999</v>
      </c>
      <c r="FG24" s="43">
        <f>IF($CU24&gt;=RAF,"",IF($CU24-FG$103&lt;BeginnAlter,"",ROUND((SUM(DV24:DV$56)+SUM(GN$9:GN$56))/VLOOKUP($CU24,$AH$9:$AI$102,2)/VLOOKUP($CU24-FG$103,Männer!$G$9:$J$102,4),Rundäx)))</f>
        <v>11.035</v>
      </c>
      <c r="FH24" s="43">
        <f>IF($CU24&gt;=RAF,"",IF($CU24-FH$103&lt;BeginnAlter,"",ROUND((SUM(DW24:DW$56)+SUM(GO$9:GO$56))/VLOOKUP($CU24,$AH$9:$AI$102,2)/VLOOKUP($CU24-FH$103,Männer!$G$9:$J$102,4),Rundäx)))</f>
        <v>11.247</v>
      </c>
      <c r="FI24" s="43">
        <f>IF($CU24&gt;=RAF,"",IF($CU24-FI$103&lt;BeginnAlter,"",ROUND((SUM(DX24:DX$56)+SUM(GP$9:GP$56))/VLOOKUP($CU24,$AH$9:$AI$102,2)/VLOOKUP($CU24-FI$103,Männer!$G$9:$J$102,4),Rundäx)))</f>
        <v>11.459</v>
      </c>
      <c r="FJ24" s="43">
        <f>IF($CU24&gt;=RAF,"",IF($CU24-FJ$103&lt;BeginnAlter,"",ROUND((SUM(DY24:DY$56)+SUM(GQ$9:GQ$56))/VLOOKUP($CU24,$AH$9:$AI$102,2)/VLOOKUP($CU24-FJ$103,Männer!$G$9:$J$102,4),Rundäx)))</f>
        <v>11.670999999999999</v>
      </c>
      <c r="FK24" s="43">
        <f>IF($CU24&gt;=RAF,"",IF($CU24-FK$103&lt;BeginnAlter,"",ROUND((SUM(DZ24:DZ$56)+SUM(GR$9:GR$56))/VLOOKUP($CU24,$AH$9:$AI$102,2)/VLOOKUP($CU24-FK$103,Männer!$G$9:$J$102,4),Rundäx)))</f>
        <v>11.882</v>
      </c>
      <c r="FL24" s="89"/>
      <c r="FM24" s="35">
        <f t="shared" si="64"/>
        <v>79</v>
      </c>
      <c r="FN24" s="25">
        <f>ROUND(v^($FM24+FaktorAlter)*VLOOKUP($FM24,$G$9:$J$102,4)*VLOOKUP($FM24,$A$9:$E$102,5)*0.5*(VLOOKUP($FM24-FN$103,Männer!$G$9:$J$102,4)+VLOOKUP($FM24-FN$103+1,Männer!$G$9:$J$102,4))*0.5*(VLOOKUP($FM24-FN$103,Männer!$AZ$9:$BD$102,5)+VLOOKUP($FM24-FN$103+1,Männer!$AZ$9:$BD$102,5)),RundDx)</f>
        <v>4550242</v>
      </c>
      <c r="FO24" s="25">
        <f>ROUND(v^($FM24+FaktorAlter)*VLOOKUP($FM24,$G$9:$J$102,4)*VLOOKUP($FM24,$A$9:$E$102,5)*0.5*(VLOOKUP($FM24-FO$103,Männer!$G$9:$J$102,4)+VLOOKUP($FM24-FO$103+1,Männer!$G$9:$J$102,4))*0.5*(VLOOKUP($FM24-FO$103,Männer!$AZ$9:$BD$102,5)+VLOOKUP($FM24-FO$103+1,Männer!$AZ$9:$BD$102,5)),RundDx)</f>
        <v>7002339</v>
      </c>
      <c r="FP24" s="25">
        <f>ROUND(v^($FM24+FaktorAlter)*VLOOKUP($FM24,$G$9:$J$102,4)*VLOOKUP($FM24,$A$9:$E$102,5)*0.5*(VLOOKUP($FM24-FP$103,Männer!$G$9:$J$102,4)+VLOOKUP($FM24-FP$103+1,Männer!$G$9:$J$102,4))*0.5*(VLOOKUP($FM24-FP$103,Männer!$AZ$9:$BD$102,5)+VLOOKUP($FM24-FP$103+1,Männer!$AZ$9:$BD$102,5)),RundDx)</f>
        <v>10295854</v>
      </c>
      <c r="FQ24" s="25">
        <f>ROUND(v^($FM24+FaktorAlter)*VLOOKUP($FM24,$G$9:$J$102,4)*VLOOKUP($FM24,$A$9:$E$102,5)*0.5*(VLOOKUP($FM24-FQ$103,Männer!$G$9:$J$102,4)+VLOOKUP($FM24-FQ$103+1,Männer!$G$9:$J$102,4))*0.5*(VLOOKUP($FM24-FQ$103,Männer!$AZ$9:$BD$102,5)+VLOOKUP($FM24-FQ$103+1,Männer!$AZ$9:$BD$102,5)),RundDx)</f>
        <v>14558098</v>
      </c>
      <c r="FR24" s="25">
        <f>ROUND(v^($FM24+FaktorAlter)*VLOOKUP($FM24,$G$9:$J$102,4)*VLOOKUP($FM24,$A$9:$E$102,5)*0.5*(VLOOKUP($FM24-FR$103,Männer!$G$9:$J$102,4)+VLOOKUP($FM24-FR$103+1,Männer!$G$9:$J$102,4))*0.5*(VLOOKUP($FM24-FR$103,Männer!$AZ$9:$BD$102,5)+VLOOKUP($FM24-FR$103+1,Männer!$AZ$9:$BD$102,5)),RundDx)</f>
        <v>19882477</v>
      </c>
      <c r="FS24" s="25">
        <f>ROUND(v^($FM24+FaktorAlter)*VLOOKUP($FM24,$G$9:$J$102,4)*VLOOKUP($FM24,$A$9:$E$102,5)*0.5*(VLOOKUP($FM24-FS$103,Männer!$G$9:$J$102,4)+VLOOKUP($FM24-FS$103+1,Männer!$G$9:$J$102,4))*0.5*(VLOOKUP($FM24-FS$103,Männer!$AZ$9:$BD$102,5)+VLOOKUP($FM24-FS$103+1,Männer!$AZ$9:$BD$102,5)),RundDx)</f>
        <v>26341023</v>
      </c>
      <c r="FT24" s="25">
        <f>ROUND(v^($FM24+FaktorAlter)*VLOOKUP($FM24,$G$9:$J$102,4)*VLOOKUP($FM24,$A$9:$E$102,5)*0.5*(VLOOKUP($FM24-FT$103,Männer!$G$9:$J$102,4)+VLOOKUP($FM24-FT$103+1,Männer!$G$9:$J$102,4))*0.5*(VLOOKUP($FM24-FT$103,Männer!$AZ$9:$BD$102,5)+VLOOKUP($FM24-FT$103+1,Männer!$AZ$9:$BD$102,5)),RundDx)</f>
        <v>33970903</v>
      </c>
      <c r="FU24" s="25">
        <f>ROUND(v^($FM24+FaktorAlter)*VLOOKUP($FM24,$G$9:$J$102,4)*VLOOKUP($FM24,$A$9:$E$102,5)*0.5*(VLOOKUP($FM24-FU$103,Männer!$G$9:$J$102,4)+VLOOKUP($FM24-FU$103+1,Männer!$G$9:$J$102,4))*0.5*(VLOOKUP($FM24-FU$103,Männer!$AZ$9:$BD$102,5)+VLOOKUP($FM24-FU$103+1,Männer!$AZ$9:$BD$102,5)),RundDx)</f>
        <v>42744224</v>
      </c>
      <c r="FV24" s="25">
        <f>ROUND(v^($FM24+FaktorAlter)*VLOOKUP($FM24,$G$9:$J$102,4)*VLOOKUP($FM24,$A$9:$E$102,5)*0.5*(VLOOKUP($FM24-FV$103,Männer!$G$9:$J$102,4)+VLOOKUP($FM24-FV$103+1,Männer!$G$9:$J$102,4))*0.5*(VLOOKUP($FM24-FV$103,Männer!$AZ$9:$BD$102,5)+VLOOKUP($FM24-FV$103+1,Männer!$AZ$9:$BD$102,5)),RundDx)</f>
        <v>52605530</v>
      </c>
      <c r="FW24" s="25">
        <f>ROUND(v^($FM24+FaktorAlter)*VLOOKUP($FM24,$G$9:$J$102,4)*VLOOKUP($FM24,$A$9:$E$102,5)*0.5*(VLOOKUP($FM24-FW$103,Männer!$G$9:$J$102,4)+VLOOKUP($FM24-FW$103+1,Männer!$G$9:$J$102,4))*0.5*(VLOOKUP($FM24-FW$103,Männer!$AZ$9:$BD$102,5)+VLOOKUP($FM24-FW$103+1,Männer!$AZ$9:$BD$102,5)),RundDx)</f>
        <v>63526714</v>
      </c>
      <c r="FX24" s="25">
        <f>ROUND(v^($FM24+FaktorAlter)*VLOOKUP($FM24,$G$9:$J$102,4)*VLOOKUP($FM24,$A$9:$E$102,5)*0.5*(VLOOKUP($FM24-FX$103,Männer!$G$9:$J$102,4)+VLOOKUP($FM24-FX$103+1,Männer!$G$9:$J$102,4))*0.5*(VLOOKUP($FM24-FX$103,Männer!$AZ$9:$BD$102,5)+VLOOKUP($FM24-FX$103+1,Männer!$AZ$9:$BD$102,5)),RundDx)</f>
        <v>75470857</v>
      </c>
      <c r="FY24" s="25">
        <f>ROUND(v^($FM24+FaktorAlter)*VLOOKUP($FM24,$G$9:$J$102,4)*VLOOKUP($FM24,$A$9:$E$102,5)*0.5*(VLOOKUP($FM24-FY$103,Männer!$G$9:$J$102,4)+VLOOKUP($FM24-FY$103+1,Männer!$G$9:$J$102,4))*0.5*(VLOOKUP($FM24-FY$103,Männer!$AZ$9:$BD$102,5)+VLOOKUP($FM24-FY$103+1,Männer!$AZ$9:$BD$102,5)),RundDx)</f>
        <v>88376340</v>
      </c>
      <c r="FZ24" s="25">
        <f>ROUND(v^($FM24+FaktorAlter)*VLOOKUP($FM24,$G$9:$J$102,4)*VLOOKUP($FM24,$A$9:$E$102,5)*0.5*(VLOOKUP($FM24-FZ$103,Männer!$G$9:$J$102,4)+VLOOKUP($FM24-FZ$103+1,Männer!$G$9:$J$102,4))*0.5*(VLOOKUP($FM24-FZ$103,Männer!$AZ$9:$BD$102,5)+VLOOKUP($FM24-FZ$103+1,Männer!$AZ$9:$BD$102,5)),RundDx)</f>
        <v>102194715</v>
      </c>
      <c r="GA24" s="25">
        <f>ROUND(v^($FM24+FaktorAlter)*VLOOKUP($FM24,$G$9:$J$102,4)*VLOOKUP($FM24,$A$9:$E$102,5)*0.5*(VLOOKUP($FM24-GA$103,Männer!$G$9:$J$102,4)+VLOOKUP($FM24-GA$103+1,Männer!$G$9:$J$102,4))*0.5*(VLOOKUP($FM24-GA$103,Männer!$AZ$9:$BD$102,5)+VLOOKUP($FM24-GA$103+1,Männer!$AZ$9:$BD$102,5)),RundDx)</f>
        <v>116870055</v>
      </c>
      <c r="GB24" s="25">
        <f>ROUND(v^($FM24+FaktorAlter)*VLOOKUP($FM24,$G$9:$J$102,4)*VLOOKUP($FM24,$A$9:$E$102,5)*0.5*(VLOOKUP($FM24-GB$103,Männer!$G$9:$J$102,4)+VLOOKUP($FM24-GB$103+1,Männer!$G$9:$J$102,4))*0.5*(VLOOKUP($FM24-GB$103,Männer!$AZ$9:$BD$102,5)+VLOOKUP($FM24-GB$103+1,Männer!$AZ$9:$BD$102,5)),RundDx)</f>
        <v>132324897</v>
      </c>
      <c r="GC24" s="25">
        <f>ROUND(v^($FM24+FaktorAlter)*VLOOKUP($FM24,$G$9:$J$102,4)*VLOOKUP($FM24,$A$9:$E$102,5)*0.5*(VLOOKUP($FM24-GC$103,Männer!$G$9:$J$102,4)+VLOOKUP($FM24-GC$103+1,Männer!$G$9:$J$102,4))*0.5*(VLOOKUP($FM24-GC$103,Männer!$AZ$9:$BD$102,5)+VLOOKUP($FM24-GC$103+1,Männer!$AZ$9:$BD$102,5)),RundDx)</f>
        <v>148485012</v>
      </c>
      <c r="GD24" s="25">
        <f>ROUND(v^($FM24+FaktorAlter)*VLOOKUP($FM24,$G$9:$J$102,4)*VLOOKUP($FM24,$A$9:$E$102,5)*0.5*(VLOOKUP($FM24-GD$103,Männer!$G$9:$J$102,4)+VLOOKUP($FM24-GD$103+1,Männer!$G$9:$J$102,4))*0.5*(VLOOKUP($FM24-GD$103,Männer!$AZ$9:$BD$102,5)+VLOOKUP($FM24-GD$103+1,Männer!$AZ$9:$BD$102,5)),RundDx)</f>
        <v>165272467</v>
      </c>
      <c r="GE24" s="25">
        <f>ROUND(v^($FM24+FaktorAlter)*VLOOKUP($FM24,$G$9:$J$102,4)*VLOOKUP($FM24,$A$9:$E$102,5)*0.5*(VLOOKUP($FM24-GE$103,Männer!$G$9:$J$102,4)+VLOOKUP($FM24-GE$103+1,Männer!$G$9:$J$102,4))*0.5*(VLOOKUP($FM24-GE$103,Männer!$AZ$9:$BD$102,5)+VLOOKUP($FM24-GE$103+1,Männer!$AZ$9:$BD$102,5)),RundDx)</f>
        <v>182603424</v>
      </c>
      <c r="GF24" s="25">
        <f>ROUND(v^($FM24+FaktorAlter)*VLOOKUP($FM24,$G$9:$J$102,4)*VLOOKUP($FM24,$A$9:$E$102,5)*0.5*(VLOOKUP($FM24-GF$103,Männer!$G$9:$J$102,4)+VLOOKUP($FM24-GF$103+1,Männer!$G$9:$J$102,4))*0.5*(VLOOKUP($FM24-GF$103,Männer!$AZ$9:$BD$102,5)+VLOOKUP($FM24-GF$103+1,Männer!$AZ$9:$BD$102,5)),RundDx)</f>
        <v>200384688</v>
      </c>
      <c r="GG24" s="25">
        <f>ROUND(v^($FM24+FaktorAlter)*VLOOKUP($FM24,$G$9:$J$102,4)*VLOOKUP($FM24,$A$9:$E$102,5)*0.5*(VLOOKUP($FM24-GG$103,Männer!$G$9:$J$102,4)+VLOOKUP($FM24-GG$103+1,Männer!$G$9:$J$102,4))*0.5*(VLOOKUP($FM24-GG$103,Männer!$AZ$9:$BD$102,5)+VLOOKUP($FM24-GG$103+1,Männer!$AZ$9:$BD$102,5)),RundDx)</f>
        <v>218502712</v>
      </c>
      <c r="GH24" s="25">
        <f>ROUND(v^($FM24+FaktorAlter)*VLOOKUP($FM24,$G$9:$J$102,4)*VLOOKUP($FM24,$A$9:$E$102,5)*0.5*(VLOOKUP($FM24-GH$103,Männer!$G$9:$J$102,4)+VLOOKUP($FM24-GH$103+1,Männer!$G$9:$J$102,4))*0.5*(VLOOKUP($FM24-GH$103,Männer!$AZ$9:$BD$102,5)+VLOOKUP($FM24-GH$103+1,Männer!$AZ$9:$BD$102,5)),RundDx)</f>
        <v>236872958</v>
      </c>
      <c r="GI24" s="25">
        <f>ROUND(v^($FM24+FaktorAlter)*VLOOKUP($FM24,$G$9:$J$102,4)*VLOOKUP($FM24,$A$9:$E$102,5)*0.5*(VLOOKUP($FM24-GI$103,Männer!$G$9:$J$102,4)+VLOOKUP($FM24-GI$103+1,Männer!$G$9:$J$102,4))*0.5*(VLOOKUP($FM24-GI$103,Männer!$AZ$9:$BD$102,5)+VLOOKUP($FM24-GI$103+1,Männer!$AZ$9:$BD$102,5)),RundDx)</f>
        <v>255390637</v>
      </c>
      <c r="GJ24" s="25">
        <f>ROUND(v^($FM24+FaktorAlter)*VLOOKUP($FM24,$G$9:$J$102,4)*VLOOKUP($FM24,$A$9:$E$102,5)*0.5*(VLOOKUP($FM24-GJ$103,Männer!$G$9:$J$102,4)+VLOOKUP($FM24-GJ$103+1,Männer!$G$9:$J$102,4))*0.5*(VLOOKUP($FM24-GJ$103,Männer!$AZ$9:$BD$102,5)+VLOOKUP($FM24-GJ$103+1,Männer!$AZ$9:$BD$102,5)),RundDx)</f>
        <v>274046210</v>
      </c>
      <c r="GK24" s="25">
        <f>ROUND(v^($FM24+FaktorAlter)*VLOOKUP($FM24,$G$9:$J$102,4)*VLOOKUP($FM24,$A$9:$E$102,5)*0.5*(VLOOKUP($FM24-GK$103,Männer!$G$9:$J$102,4)+VLOOKUP($FM24-GK$103+1,Männer!$G$9:$J$102,4))*0.5*(VLOOKUP($FM24-GK$103,Männer!$AZ$9:$BD$102,5)+VLOOKUP($FM24-GK$103+1,Männer!$AZ$9:$BD$102,5)),RundDx)</f>
        <v>292816611</v>
      </c>
      <c r="GL24" s="25">
        <f>ROUND(v^($FM24+FaktorAlter)*VLOOKUP($FM24,$G$9:$J$102,4)*VLOOKUP($FM24,$A$9:$E$102,5)*0.5*(VLOOKUP($FM24-GL$103,Männer!$G$9:$J$102,4)+VLOOKUP($FM24-GL$103+1,Männer!$G$9:$J$102,4))*0.5*(VLOOKUP($FM24-GL$103,Männer!$AZ$9:$BD$102,5)+VLOOKUP($FM24-GL$103+1,Männer!$AZ$9:$BD$102,5)),RundDx)</f>
        <v>311613180</v>
      </c>
      <c r="GM24" s="25">
        <f>ROUND(v^($FM24+FaktorAlter)*VLOOKUP($FM24,$G$9:$J$102,4)*VLOOKUP($FM24,$A$9:$E$102,5)*0.5*(VLOOKUP($FM24-GM$103,Männer!$G$9:$J$102,4)+VLOOKUP($FM24-GM$103+1,Männer!$G$9:$J$102,4))*0.5*(VLOOKUP($FM24-GM$103,Männer!$AZ$9:$BD$102,5)+VLOOKUP($FM24-GM$103+1,Männer!$AZ$9:$BD$102,5)),RundDx)</f>
        <v>330424667</v>
      </c>
      <c r="GN24" s="25">
        <f>ROUND(v^($FM24+FaktorAlter)*VLOOKUP($FM24,$G$9:$J$102,4)*VLOOKUP($FM24,$A$9:$E$102,5)*0.5*(VLOOKUP($FM24-GN$103,Männer!$G$9:$J$102,4)+VLOOKUP($FM24-GN$103+1,Männer!$G$9:$J$102,4))*0.5*(VLOOKUP($FM24-GN$103,Männer!$AZ$9:$BD$102,5)+VLOOKUP($FM24-GN$103+1,Männer!$AZ$9:$BD$102,5)),RundDx)</f>
        <v>349317792</v>
      </c>
      <c r="GO24" s="25">
        <f>ROUND(v^($FM24+FaktorAlter)*VLOOKUP($FM24,$G$9:$J$102,4)*VLOOKUP($FM24,$A$9:$E$102,5)*0.5*(VLOOKUP($FM24-GO$103,Männer!$G$9:$J$102,4)+VLOOKUP($FM24-GO$103+1,Männer!$G$9:$J$102,4))*0.5*(VLOOKUP($FM24-GO$103,Männer!$AZ$9:$BD$102,5)+VLOOKUP($FM24-GO$103+1,Männer!$AZ$9:$BD$102,5)),RundDx)</f>
        <v>368347043</v>
      </c>
      <c r="GP24" s="25">
        <f>ROUND(v^($FM24+FaktorAlter)*VLOOKUP($FM24,$G$9:$J$102,4)*VLOOKUP($FM24,$A$9:$E$102,5)*0.5*(VLOOKUP($FM24-GP$103,Männer!$G$9:$J$102,4)+VLOOKUP($FM24-GP$103+1,Männer!$G$9:$J$102,4))*0.5*(VLOOKUP($FM24-GP$103,Männer!$AZ$9:$BD$102,5)+VLOOKUP($FM24-GP$103+1,Männer!$AZ$9:$BD$102,5)),RundDx)</f>
        <v>387465443</v>
      </c>
      <c r="GQ24" s="25">
        <f>ROUND(v^($FM24+FaktorAlter)*VLOOKUP($FM24,$G$9:$J$102,4)*VLOOKUP($FM24,$A$9:$E$102,5)*0.5*(VLOOKUP($FM24-GQ$103,Männer!$G$9:$J$102,4)+VLOOKUP($FM24-GQ$103+1,Männer!$G$9:$J$102,4))*0.5*(VLOOKUP($FM24-GQ$103,Männer!$AZ$9:$BD$102,5)+VLOOKUP($FM24-GQ$103+1,Männer!$AZ$9:$BD$102,5)),RundDx)</f>
        <v>406719556</v>
      </c>
      <c r="GR24" s="25">
        <f>ROUND(v^($FM24+FaktorAlter)*VLOOKUP($FM24,$G$9:$J$102,4)*VLOOKUP($FM24,$A$9:$E$102,5)*0.5*(VLOOKUP($FM24-GR$103,Männer!$G$9:$J$102,4)+VLOOKUP($FM24-GR$103+1,Männer!$G$9:$J$102,4))*0.5*(VLOOKUP($FM24-GR$103,Männer!$AZ$9:$BD$102,5)+VLOOKUP($FM24-GR$103+1,Männer!$AZ$9:$BD$102,5)),RundDx)</f>
        <v>426207654</v>
      </c>
      <c r="GS24" s="24">
        <f>ROUND(SUM(FN24:FN$56)/VLOOKUP($FM24,$AQ$9:$AR$102,2)/VLOOKUP($FM24-GS$103,Männer!$G$9:$J$102,4),Rundäx)</f>
        <v>0.14799999999999999</v>
      </c>
      <c r="GT24" s="24">
        <f>ROUND(SUM(FO24:FO$56)/VLOOKUP($FM24,$AQ$9:$AR$102,2)/VLOOKUP($FM24-GT$103,Männer!$G$9:$J$102,4),Rundäx)</f>
        <v>0.185</v>
      </c>
      <c r="GU24" s="24">
        <f>ROUND(SUM(FP24:FP$56)/VLOOKUP($FM24,$AQ$9:$AR$102,2)/VLOOKUP($FM24-GU$103,Männer!$G$9:$J$102,4),Rundäx)</f>
        <v>0.22800000000000001</v>
      </c>
      <c r="GV24" s="24">
        <f>ROUND(SUM(FQ24:FQ$56)/VLOOKUP($FM24,$AQ$9:$AR$102,2)/VLOOKUP($FM24-GV$103,Männer!$G$9:$J$102,4),Rundäx)</f>
        <v>0.28000000000000003</v>
      </c>
      <c r="GW24" s="24">
        <f>ROUND(SUM(FR24:FR$56)/VLOOKUP($FM24,$AQ$9:$AR$102,2)/VLOOKUP($FM24-GW$103,Männer!$G$9:$J$102,4),Rundäx)</f>
        <v>0.34100000000000003</v>
      </c>
      <c r="GX24" s="24">
        <f>ROUND(SUM(FS24:FS$56)/VLOOKUP($FM24,$AQ$9:$AR$102,2)/VLOOKUP($FM24-GX$103,Männer!$G$9:$J$102,4),Rundäx)</f>
        <v>0.41199999999999998</v>
      </c>
      <c r="GY24" s="24">
        <f>ROUND(SUM(FT24:FT$56)/VLOOKUP($FM24,$AQ$9:$AR$102,2)/VLOOKUP($FM24-GY$103,Männer!$G$9:$J$102,4),Rundäx)</f>
        <v>0.495</v>
      </c>
      <c r="GZ24" s="24">
        <f>ROUND(SUM(FU24:FU$56)/VLOOKUP($FM24,$AQ$9:$AR$102,2)/VLOOKUP($FM24-GZ$103,Männer!$G$9:$J$102,4),Rundäx)</f>
        <v>0.59</v>
      </c>
      <c r="HA24" s="89"/>
      <c r="HB24" s="35">
        <f t="shared" si="65"/>
        <v>79</v>
      </c>
      <c r="HC24" s="24">
        <f>ROUND(SUM(FV24:FV$56)/VLOOKUP($FM24,$AQ$9:$AR$102,2)/VLOOKUP($FM24-HC$103,Männer!$G$9:$J$102,4),Rundäx)</f>
        <v>0.69799999999999995</v>
      </c>
      <c r="HD24" s="24">
        <f>ROUND(SUM(FW24:FW$56)/VLOOKUP($FM24,$AQ$9:$AR$102,2)/VLOOKUP($FM24-HD$103,Männer!$G$9:$J$102,4),Rundäx)</f>
        <v>0.82</v>
      </c>
      <c r="HE24" s="24">
        <f>ROUND(SUM(FX24:FX$56)/VLOOKUP($FM24,$AQ$9:$AR$102,2)/VLOOKUP($FM24-HE$103,Männer!$G$9:$J$102,4),Rundäx)</f>
        <v>0.95599999999999996</v>
      </c>
      <c r="HF24" s="24">
        <f>ROUND(SUM(FY24:FY$56)/VLOOKUP($FM24,$AQ$9:$AR$102,2)/VLOOKUP($FM24-HF$103,Männer!$G$9:$J$102,4),Rundäx)</f>
        <v>1.1060000000000001</v>
      </c>
      <c r="HG24" s="24">
        <f>ROUND(SUM(FZ24:FZ$56)/VLOOKUP($FM24,$AQ$9:$AR$102,2)/VLOOKUP($FM24-HG$103,Männer!$G$9:$J$102,4),Rundäx)</f>
        <v>1.272</v>
      </c>
      <c r="HH24" s="24">
        <f>ROUND(SUM(GA24:GA$56)/VLOOKUP($FM24,$AQ$9:$AR$102,2)/VLOOKUP($FM24-HH$103,Männer!$G$9:$J$102,4),Rundäx)</f>
        <v>1.452</v>
      </c>
      <c r="HI24" s="24">
        <f>ROUND(SUM(GB24:GB$56)/VLOOKUP($FM24,$AQ$9:$AR$102,2)/VLOOKUP($FM24-HI$103,Männer!$G$9:$J$102,4),Rundäx)</f>
        <v>1.647</v>
      </c>
      <c r="HJ24" s="24">
        <f>ROUND(SUM(GC24:GC$56)/VLOOKUP($FM24,$AQ$9:$AR$102,2)/VLOOKUP($FM24-HJ$103,Männer!$G$9:$J$102,4),Rundäx)</f>
        <v>1.857</v>
      </c>
      <c r="HK24" s="89"/>
      <c r="HL24" s="35">
        <f t="shared" si="66"/>
        <v>79</v>
      </c>
      <c r="HM24" s="24">
        <f>ROUND(SUM(GD24:GD$56)/VLOOKUP($FM24,$AQ$9:$AR$102,2)/VLOOKUP($FM24-HM$103,Männer!$G$9:$J$102,4),Rundäx)</f>
        <v>2.081</v>
      </c>
      <c r="HN24" s="24">
        <f>ROUND(SUM(GE24:GE$56)/VLOOKUP($FM24,$AQ$9:$AR$102,2)/VLOOKUP($FM24-HN$103,Männer!$G$9:$J$102,4),Rundäx)</f>
        <v>2.319</v>
      </c>
      <c r="HO24" s="24">
        <f>ROUND(SUM(GF24:GF$56)/VLOOKUP($FM24,$AQ$9:$AR$102,2)/VLOOKUP($FM24-HO$103,Männer!$G$9:$J$102,4),Rundäx)</f>
        <v>2.57</v>
      </c>
      <c r="HP24" s="24">
        <f>ROUND(SUM(GG24:GG$56)/VLOOKUP($FM24,$AQ$9:$AR$102,2)/VLOOKUP($FM24-HP$103,Männer!$G$9:$J$102,4),Rundäx)</f>
        <v>2.835</v>
      </c>
      <c r="HQ24" s="24">
        <f>ROUND(SUM(GH24:GH$56)/VLOOKUP($FM24,$AQ$9:$AR$102,2)/VLOOKUP($FM24-HQ$103,Männer!$G$9:$J$102,4),Rundäx)</f>
        <v>3.1110000000000002</v>
      </c>
      <c r="HR24" s="24">
        <f>ROUND(SUM(GI24:GI$56)/VLOOKUP($FM24,$AQ$9:$AR$102,2)/VLOOKUP($FM24-HR$103,Männer!$G$9:$J$102,4),Rundäx)</f>
        <v>3.4</v>
      </c>
      <c r="HS24" s="24">
        <f>ROUND(SUM(GJ24:GJ$56)/VLOOKUP($FM24,$AQ$9:$AR$102,2)/VLOOKUP($FM24-HS$103,Männer!$G$9:$J$102,4),Rundäx)</f>
        <v>3.6970000000000001</v>
      </c>
      <c r="HT24" s="24">
        <f>ROUND(SUM(GK24:GK$56)/VLOOKUP($FM24,$AQ$9:$AR$102,2)/VLOOKUP($FM24-HT$103,Männer!$G$9:$J$102,4),Rundäx)</f>
        <v>4.0049999999999999</v>
      </c>
      <c r="HU24" s="89"/>
      <c r="HV24" s="35">
        <f t="shared" si="67"/>
        <v>79</v>
      </c>
      <c r="HW24" s="24">
        <f>ROUND(SUM(GL24:GL$56)/VLOOKUP($FM24,$AQ$9:$AR$102,2)/VLOOKUP($FM24-HW$103,Männer!$G$9:$J$102,4),Rundäx)</f>
        <v>4.3220000000000001</v>
      </c>
      <c r="HX24" s="24">
        <f>ROUND(SUM(GM24:GM$56)/VLOOKUP($FM24,$AQ$9:$AR$102,2)/VLOOKUP($FM24-HX$103,Männer!$G$9:$J$102,4),Rundäx)</f>
        <v>4.6470000000000002</v>
      </c>
      <c r="HY24" s="24">
        <f>ROUND(SUM(GN24:GN$56)/VLOOKUP($FM24,$AQ$9:$AR$102,2)/VLOOKUP($FM24-HY$103,Männer!$G$9:$J$102,4),Rundäx)</f>
        <v>4.9770000000000003</v>
      </c>
      <c r="HZ24" s="24">
        <f>ROUND(SUM(GO24:GO$56)/VLOOKUP($FM24,$AQ$9:$AR$102,2)/VLOOKUP($FM24-HZ$103,Männer!$G$9:$J$102,4),Rundäx)</f>
        <v>5.3129999999999997</v>
      </c>
      <c r="IA24" s="24">
        <f>ROUND(SUM(GP24:GP$56)/VLOOKUP($FM24,$AQ$9:$AR$102,2)/VLOOKUP($FM24-IA$103,Männer!$G$9:$J$102,4),Rundäx)</f>
        <v>5.6550000000000002</v>
      </c>
      <c r="IB24" s="24">
        <f>ROUND(SUM(GQ24:GQ$56)/VLOOKUP($FM24,$AQ$9:$AR$102,2)/VLOOKUP($FM24-IB$103,Männer!$G$9:$J$102,4),Rundäx)</f>
        <v>6.0019999999999998</v>
      </c>
      <c r="IC24" s="24">
        <f>ROUND(SUM(GR24:GR$56)/VLOOKUP($FM24,$AQ$9:$AR$102,2)/VLOOKUP($FM24-IC$103,Männer!$G$9:$J$102,4),Rundäx)</f>
        <v>6.3529999999999998</v>
      </c>
      <c r="ID24" s="89"/>
      <c r="IE24" s="9">
        <f t="shared" si="68"/>
        <v>32</v>
      </c>
      <c r="IF24" s="11">
        <f t="shared" si="25"/>
        <v>292</v>
      </c>
      <c r="IG24" s="11">
        <f>IF($IE24&lt;RAF,IF(S25&lt;=RAK,ROUND(SUM(IF24:INDEX(Daky,RAF-BeginnAlter))+INDEX(Day,RAF-BeginnAlter+1)*INDEX(äky,1),RundDx),0),"")</f>
        <v>4896</v>
      </c>
      <c r="IH24" s="11">
        <f>IF($IE24&lt;RAF,IF(S25&lt;=RAK,ROUND(SUM(IG24:INDEX(Naky,RAF-BeginnAlter))+INDEX(Day,RAF-BeginnAlter+1)*INDEX(äky,1),RundDx),0),"")</f>
        <v>42686</v>
      </c>
      <c r="II24" s="10">
        <f t="shared" si="26"/>
        <v>0.10100000000000001</v>
      </c>
      <c r="IJ24" s="11">
        <f t="shared" si="27"/>
        <v>12969</v>
      </c>
      <c r="IK24" s="11">
        <f>IF($IE24&lt;RAF,IF(S25&lt;=RAK,SUM(IJ24:INDEX(Diky,RAF-BeginnAlter))+INDEX(Diy,RAF-BeginnAlter+1)*INDEX(äky,1),0),"")</f>
        <v>186363</v>
      </c>
      <c r="IL24" s="10">
        <f t="shared" si="28"/>
        <v>2.1360000000000001</v>
      </c>
      <c r="IM24" s="89"/>
      <c r="IN24" s="9">
        <f t="shared" si="29"/>
        <v>79</v>
      </c>
      <c r="IO24" s="11"/>
      <c r="IP24" s="11"/>
      <c r="IQ24" s="10"/>
      <c r="IR24" s="86"/>
    </row>
    <row r="25" spans="1:252" ht="15.75" customHeight="1" x14ac:dyDescent="0.25">
      <c r="A25" s="9">
        <f t="shared" si="4"/>
        <v>33</v>
      </c>
      <c r="B25" s="93">
        <v>3.4857327016019746E-4</v>
      </c>
      <c r="C25" s="93">
        <v>1.9238419987757393E-3</v>
      </c>
      <c r="D25" s="93">
        <v>2.2568950725677259E-2</v>
      </c>
      <c r="E25" s="93">
        <v>6.1339822617301198E-4</v>
      </c>
      <c r="F25" s="89"/>
      <c r="G25" s="9">
        <f t="shared" si="5"/>
        <v>33</v>
      </c>
      <c r="H25" s="11">
        <f t="shared" si="30"/>
        <v>98352</v>
      </c>
      <c r="I25" s="25">
        <f t="shared" si="31"/>
        <v>1094</v>
      </c>
      <c r="J25" s="25">
        <f t="shared" si="32"/>
        <v>99446</v>
      </c>
      <c r="K25" s="30">
        <f>IF(J25&gt;0,ROUND(SUM(J25:J$102)/J25-0.5,Rundex),"")</f>
        <v>49.39</v>
      </c>
      <c r="L25" s="25">
        <f t="shared" si="6"/>
        <v>173834</v>
      </c>
      <c r="M25" s="30">
        <f>IF(L25&gt;0,ROUND(SUM(L25:L$102)/L25-0.5,Rundex),"")</f>
        <v>33.72</v>
      </c>
      <c r="N25" s="89"/>
      <c r="O25" s="9">
        <f t="shared" si="49"/>
        <v>33</v>
      </c>
      <c r="P25" s="94">
        <v>0.17799999999999999</v>
      </c>
      <c r="Q25" s="95">
        <v>36.642122637272109</v>
      </c>
      <c r="R25" s="94">
        <v>0.39314418343740776</v>
      </c>
      <c r="S25" s="95">
        <v>0.9</v>
      </c>
      <c r="T25" s="28">
        <v>6.1339822617301198E-4</v>
      </c>
      <c r="U25" s="11">
        <f t="shared" si="33"/>
        <v>99446</v>
      </c>
      <c r="V25" s="30">
        <f>IF(U25&gt;0,ROUND(SUM(U25:U$102)/U25-0.5,Rundex),"")</f>
        <v>50.68</v>
      </c>
      <c r="W25" s="89"/>
      <c r="X25" s="9">
        <f t="shared" si="50"/>
        <v>33</v>
      </c>
      <c r="Y25" s="11">
        <f t="shared" si="34"/>
        <v>47195</v>
      </c>
      <c r="Z25" s="11">
        <f>IF($X25&lt;RAF,SUM(Y25:INDEX(Day,RAF-BeginnAlter))," ")</f>
        <v>991136</v>
      </c>
      <c r="AA25" s="11">
        <f t="shared" si="0"/>
        <v>16</v>
      </c>
      <c r="AB25" s="11">
        <f>IF($X25&lt;RAF,SUM(AA25:INDEX(Cay,RAF-BeginnAlter))," ")</f>
        <v>1239</v>
      </c>
      <c r="AC25" s="11">
        <f t="shared" si="1"/>
        <v>90</v>
      </c>
      <c r="AD25" s="11">
        <f>IF($X25&lt;RAF,SUM(AC25:INDEX(Caiy,RAF-BeginnAlter))," ")</f>
        <v>7874</v>
      </c>
      <c r="AE25" s="10">
        <f t="shared" si="35"/>
        <v>21.001000000000001</v>
      </c>
      <c r="AF25" s="10">
        <f t="shared" si="36"/>
        <v>20.702000000000002</v>
      </c>
      <c r="AG25" s="89"/>
      <c r="AH25" s="9">
        <f t="shared" si="51"/>
        <v>33</v>
      </c>
      <c r="AI25" s="11">
        <f t="shared" si="37"/>
        <v>83415</v>
      </c>
      <c r="AJ25" s="11">
        <f>IF($AH25&gt;RAF," ",IF($AH25&lt;RAF,SUM(AI25:INDEX(Diy,RAF-BeginnAlter))+INDEX(Ny,RAF-BeginnAlter+1),INDEX(Ny,RAF-BeginnAlter+1)))</f>
        <v>1816308</v>
      </c>
      <c r="AK25" s="11">
        <f>IF($AH25&lt;RAF,SUM(AI25:INDEX(Diy,RAF-BeginnAlter))," ")</f>
        <v>1450214</v>
      </c>
      <c r="AL25" s="10">
        <f t="shared" si="38"/>
        <v>21.774000000000001</v>
      </c>
      <c r="AM25" s="10">
        <f t="shared" si="39"/>
        <v>21.315999999999999</v>
      </c>
      <c r="AN25" s="10">
        <f t="shared" si="40"/>
        <v>17.385999999999999</v>
      </c>
      <c r="AO25" s="10">
        <f t="shared" si="41"/>
        <v>17.047000000000001</v>
      </c>
      <c r="AP25" s="89"/>
      <c r="AQ25" s="9">
        <f t="shared" si="52"/>
        <v>33</v>
      </c>
      <c r="AR25" s="11">
        <f t="shared" si="42"/>
        <v>47720</v>
      </c>
      <c r="AS25" s="11">
        <f>SUM(AR25:AR$96)</f>
        <v>1424127</v>
      </c>
      <c r="AT25" s="25">
        <f>IF($AQ25&lt;RAF,SUM(AR25:INDEX(Dy,RAF-BeginnAlter))," ")</f>
        <v>1058033</v>
      </c>
      <c r="AU25" s="24">
        <f t="shared" si="43"/>
        <v>29.843</v>
      </c>
      <c r="AV25" s="24">
        <f t="shared" si="44"/>
        <v>29.385000000000002</v>
      </c>
      <c r="AW25" s="24">
        <f t="shared" si="45"/>
        <v>22.172000000000001</v>
      </c>
      <c r="AX25" s="24">
        <f t="shared" si="46"/>
        <v>21.922000000000001</v>
      </c>
      <c r="AY25" s="89"/>
      <c r="AZ25" s="9">
        <f t="shared" si="53"/>
        <v>33</v>
      </c>
      <c r="BA25" s="11">
        <f t="shared" si="47"/>
        <v>47720</v>
      </c>
      <c r="BB25" s="11">
        <f>SUM(BA25:BA$96)</f>
        <v>1446916</v>
      </c>
      <c r="BC25" s="10">
        <f t="shared" si="48"/>
        <v>30.321000000000002</v>
      </c>
      <c r="BD25" s="10">
        <f t="shared" si="7"/>
        <v>29.863</v>
      </c>
      <c r="BE25" s="89"/>
      <c r="BF25" s="9">
        <f t="shared" si="54"/>
        <v>16</v>
      </c>
      <c r="BG25" s="10">
        <f t="shared" si="8"/>
        <v>8.2469999999999999</v>
      </c>
      <c r="BH25" s="10">
        <f t="shared" si="9"/>
        <v>8.1639999999999997</v>
      </c>
      <c r="BI25" s="89"/>
      <c r="BJ25" s="9">
        <f t="shared" si="55"/>
        <v>33</v>
      </c>
      <c r="BK25" s="11">
        <f t="shared" si="10"/>
        <v>1912</v>
      </c>
      <c r="BL25" s="11">
        <f>IF(BJ25&lt;RAF,SUM(BK25:INDEX(Daiy,RAF-BeginnAlter))," ")</f>
        <v>146248</v>
      </c>
      <c r="BM25" s="11">
        <f>IF(BJ25&lt;RAF,SUM(BL25:INDEX(Naiy,RAF-BeginnAlter))," ")</f>
        <v>2955518</v>
      </c>
      <c r="BN25" s="10">
        <f t="shared" si="11"/>
        <v>5.6820000000000004</v>
      </c>
      <c r="BO25" s="10">
        <f t="shared" si="12"/>
        <v>3.0990000000000002</v>
      </c>
      <c r="BP25" s="89"/>
      <c r="BQ25" s="9">
        <f t="shared" si="56"/>
        <v>33</v>
      </c>
      <c r="BR25" s="11">
        <f t="shared" si="13"/>
        <v>1520</v>
      </c>
      <c r="BS25" s="11">
        <f>IF(BQ25&lt;RAF,SUM(BR25:INDEX(Daiys,RAF-BeginnAlter))," ")</f>
        <v>60546</v>
      </c>
      <c r="BT25" s="11">
        <f>IF(BQ25&lt;RAF,SUM(BS25:INDEX(Naiys,RAF-BeginnAlter))," ")</f>
        <v>949846</v>
      </c>
      <c r="BU25" s="10">
        <f t="shared" si="14"/>
        <v>7.4980000000000002</v>
      </c>
      <c r="BV25" s="10">
        <f t="shared" si="15"/>
        <v>1.2829999999999999</v>
      </c>
      <c r="BW25" s="89"/>
      <c r="BX25" s="9">
        <f t="shared" si="57"/>
        <v>33</v>
      </c>
      <c r="BY25" s="10">
        <f t="shared" si="16"/>
        <v>15.079428135832151</v>
      </c>
      <c r="BZ25" s="11">
        <f t="shared" si="17"/>
        <v>575</v>
      </c>
      <c r="CA25" s="11">
        <f>IF(S26&lt;=RAK,IF($BX25&lt;RAF,SUM(BZ25:INDEX(Dazy,RAF-BeginnAlter)),""),"")</f>
        <v>14692</v>
      </c>
      <c r="CB25" s="10">
        <f t="shared" si="18"/>
        <v>0.311</v>
      </c>
      <c r="CC25" s="11">
        <f t="shared" si="19"/>
        <v>26643</v>
      </c>
      <c r="CD25" s="10">
        <f t="shared" si="20"/>
        <v>19.638000000000002</v>
      </c>
      <c r="CE25" s="10">
        <f t="shared" si="21"/>
        <v>3.0000000000000001E-3</v>
      </c>
      <c r="CF25" s="89"/>
      <c r="CG25" s="9">
        <f t="shared" si="58"/>
        <v>33</v>
      </c>
      <c r="CH25" s="11">
        <f>IF(CG25&lt;RAF,ROUND(v^($CG25+FaktorAlter)*$H25*($B25*0.5*($P25+$P26)*(VLOOKUP(TRUNC(0.5*($Q25+$Q26),0),Männer!$AZ$9:$BD$95,5)+(0.5*($Q25+$Q26)-TRUNC(0.5*($Q25+$Q26),0))*(VLOOKUP(TRUNC(0.5*($Q25+$Q26)+1,0),Männer!$AZ$9:$BD$95,5)-VLOOKUP(TRUNC(0.5*($Q25+$Q26),0),Männer!$AZ$9:$BD$95,5)))+$C25*0.5*($CN25+$CN26)),RundDx),"")</f>
        <v>253</v>
      </c>
      <c r="CI25" s="11">
        <f>IF(CG25&lt;RAF,ROUND(SUM(CH25:INDEX(Dawy,RAF-BeginnAlter))+INDEX(Day,RAF-BeginnAlter+1)*INDEX(äwy,1),RundDx),"")</f>
        <v>12501</v>
      </c>
      <c r="CJ25" s="11">
        <f>IF(CG25&lt;RAF,ROUND(SUM(CI25:INDEX(Nawy,RAF-BeginnAlter))+INDEX(Day,RAF-BeginnAlter+1)*INDEX(äwy,1),RundDx),"")</f>
        <v>231216</v>
      </c>
      <c r="CK25" s="10">
        <f t="shared" si="22"/>
        <v>0.26500000000000001</v>
      </c>
      <c r="CL25" s="11">
        <f>IF(CG25&lt;RAF,ROUND(v^($CG25+FaktorAlter)*$L25*$D25*0.5*($P25+$P26)*(VLOOKUP(TRUNC(0.5*($Q25+$Q26),0),Männer!$AZ$9:$BD$95,5)+(0.5*($Q25+$Q26)-TRUNC(0.5*($Q25+$Q26),0))*(VLOOKUP(TRUNC(0.5*($Q25+$Q26)+1,0),Männer!$AZ$9:$BD$95,5)-VLOOKUP(TRUNC(0.5*($Q25+$Q26),0),Männer!$AZ$9:$BD$95,5))),RundDx),"")</f>
        <v>8979</v>
      </c>
      <c r="CM25" s="11">
        <f>IF(CG25&lt;RAF,SUM(CL25:INDEX(Diwy,RAF-BeginnAlter))+INDEX(Diy,RAF-BeginnAlter+1)*INDEX(äwy,1),"")</f>
        <v>163418.304</v>
      </c>
      <c r="CN25" s="10">
        <f t="shared" si="23"/>
        <v>1.9590000000000001</v>
      </c>
      <c r="CO25" s="89"/>
      <c r="CP25" s="9">
        <f t="shared" si="59"/>
        <v>80</v>
      </c>
      <c r="CQ25" s="11">
        <f>ROUND(v^($CP25+FaktorAlter)*VLOOKUP(CP25,G$9:J$102,4)*VLOOKUP(CP25,A$9:E$102,5)*0.5*(VLOOKUP(CP25,O$9:P$102,2)+VLOOKUP(CP25+1,O$9:P$102,2))*(VLOOKUP(TRUNC(0.5*(VLOOKUP(CP25,O$9:Q$102,3)+VLOOKUP(CP25+1,O$9:Q$102,3)),0),Männer!$AZ$9:$BD$95,5)+(0.5*(VLOOKUP(CP25,O$9:Q$102,3)+VLOOKUP(CP25+1,O$9:Q$102,3))-TRUNC(0.5*(VLOOKUP(CP25,O$9:Q$102,3)+VLOOKUP(CP25+1,O$9:Q$102,3)),0))*(VLOOKUP(TRUNC(0.5*(VLOOKUP(CP25,O$9:Q$102,3)+VLOOKUP(CP25+1,O$9:Q$102,3))+1,0),Männer!$AZ$9:$BD$95,5)-VLOOKUP(TRUNC(0.5*(VLOOKUP(CP25,O$9:Q$102,3)+VLOOKUP(CP25+1,O$9:Q$102,3)),0),Männer!$AZ$9:$BD$95,5))),RundDx)</f>
        <v>19</v>
      </c>
      <c r="CR25" s="11">
        <f>SUM(CQ25:CQ$56)</f>
        <v>201</v>
      </c>
      <c r="CS25" s="24">
        <f t="shared" si="24"/>
        <v>1.7999999999999999E-2</v>
      </c>
      <c r="CT25" s="89"/>
      <c r="CU25" s="35">
        <f t="shared" si="60"/>
        <v>33</v>
      </c>
      <c r="CV25" s="25">
        <f>IF($CU25&gt;=RAF,"",IF($CU25-CV$103&lt;BeginnAlter,"",ROUND(v^($CU25+FaktorAlter)*$L25*$D25*0.5*(VLOOKUP($CU25-CV$103,Männer!$G$9:$J$102,4)+VLOOKUP($CU25-CV$103+1,Männer!$G$9:$J$102,4))*0.5*(VLOOKUP($CU25-CV$103,Männer!$AZ$9:$BD$102,5)+VLOOKUP($CU25-CV$103+1,Männer!$AZ$9:$BD$102,5)),RundDx)))</f>
        <v>3755597841</v>
      </c>
      <c r="CW25" s="25">
        <f>IF($CU25&gt;=RAF,"",IF($CU25-CW$103&lt;BeginnAlter,"",ROUND(v^($CU25+FaktorAlter)*$L25*$D25*0.5*(VLOOKUP($CU25-CW$103,Männer!$G$9:$J$102,4)+VLOOKUP($CU25-CW$103+1,Männer!$G$9:$J$102,4))*0.5*(VLOOKUP($CU25-CW$103,Männer!$AZ$9:$BD$102,5)+VLOOKUP($CU25-CW$103+1,Männer!$AZ$9:$BD$102,5)),RundDx)))</f>
        <v>3851601664</v>
      </c>
      <c r="CX25" s="25">
        <f>IF($CU25&gt;=RAF,"",IF($CU25-CX$103&lt;BeginnAlter,"",ROUND(v^($CU25+FaktorAlter)*$L25*$D25*0.5*(VLOOKUP($CU25-CX$103,Männer!$G$9:$J$102,4)+VLOOKUP($CU25-CX$103+1,Männer!$G$9:$J$102,4))*0.5*(VLOOKUP($CU25-CX$103,Männer!$AZ$9:$BD$102,5)+VLOOKUP($CU25-CX$103+1,Männer!$AZ$9:$BD$102,5)),RundDx)))</f>
        <v>3945919987</v>
      </c>
      <c r="CY25" s="25">
        <f>IF($CU25&gt;=RAF,"",IF($CU25-CY$103&lt;BeginnAlter,"",ROUND(v^($CU25+FaktorAlter)*$L25*$D25*0.5*(VLOOKUP($CU25-CY$103,Männer!$G$9:$J$102,4)+VLOOKUP($CU25-CY$103+1,Männer!$G$9:$J$102,4))*0.5*(VLOOKUP($CU25-CY$103,Männer!$AZ$9:$BD$102,5)+VLOOKUP($CU25-CY$103+1,Männer!$AZ$9:$BD$102,5)),RundDx)))</f>
        <v>4038548490</v>
      </c>
      <c r="CZ25" s="25">
        <f>IF($CU25&gt;=RAF,"",IF($CU25-CZ$103&lt;BeginnAlter,"",ROUND(v^($CU25+FaktorAlter)*$L25*$D25*0.5*(VLOOKUP($CU25-CZ$103,Männer!$G$9:$J$102,4)+VLOOKUP($CU25-CZ$103+1,Männer!$G$9:$J$102,4))*0.5*(VLOOKUP($CU25-CZ$103,Männer!$AZ$9:$BD$102,5)+VLOOKUP($CU25-CZ$103+1,Männer!$AZ$9:$BD$102,5)),RundDx)))</f>
        <v>4129487547</v>
      </c>
      <c r="DA25" s="25">
        <f>IF($CU25&gt;=RAF,"",IF($CU25-DA$103&lt;BeginnAlter,"",ROUND(v^($CU25+FaktorAlter)*$L25*$D25*0.5*(VLOOKUP($CU25-DA$103,Männer!$G$9:$J$102,4)+VLOOKUP($CU25-DA$103+1,Männer!$G$9:$J$102,4))*0.5*(VLOOKUP($CU25-DA$103,Männer!$AZ$9:$BD$102,5)+VLOOKUP($CU25-DA$103+1,Männer!$AZ$9:$BD$102,5)),RundDx)))</f>
        <v>4218698935</v>
      </c>
      <c r="DB25" s="25">
        <f>IF($CU25&gt;=RAF,"",IF($CU25-DB$103&lt;BeginnAlter,"",ROUND(v^($CU25+FaktorAlter)*$L25*$D25*0.5*(VLOOKUP($CU25-DB$103,Männer!$G$9:$J$102,4)+VLOOKUP($CU25-DB$103+1,Männer!$G$9:$J$102,4))*0.5*(VLOOKUP($CU25-DB$103,Männer!$AZ$9:$BD$102,5)+VLOOKUP($CU25-DB$103+1,Männer!$AZ$9:$BD$102,5)),RundDx)))</f>
        <v>4306280674</v>
      </c>
      <c r="DC25" s="25">
        <f>IF($CU25&gt;=RAF,"",IF($CU25-DC$103&lt;BeginnAlter,"",ROUND(v^($CU25+FaktorAlter)*$L25*$D25*0.5*(VLOOKUP($CU25-DC$103,Männer!$G$9:$J$102,4)+VLOOKUP($CU25-DC$103+1,Männer!$G$9:$J$102,4))*0.5*(VLOOKUP($CU25-DC$103,Männer!$AZ$9:$BD$102,5)+VLOOKUP($CU25-DC$103+1,Männer!$AZ$9:$BD$102,5)),RundDx)))</f>
        <v>4392313290</v>
      </c>
      <c r="DD25" s="25">
        <f>IF($CU25&gt;=RAF,"",IF($CU25-DD$103&lt;BeginnAlter,"",ROUND(v^($CU25+FaktorAlter)*$L25*$D25*0.5*(VLOOKUP($CU25-DD$103,Männer!$G$9:$J$102,4)+VLOOKUP($CU25-DD$103+1,Männer!$G$9:$J$102,4))*0.5*(VLOOKUP($CU25-DD$103,Männer!$AZ$9:$BD$102,5)+VLOOKUP($CU25-DD$103+1,Männer!$AZ$9:$BD$102,5)),RundDx)))</f>
        <v>4476651858</v>
      </c>
      <c r="DE25" s="25">
        <f>IF($CU25&gt;=RAF,"",IF($CU25-DE$103&lt;BeginnAlter,"",ROUND(v^($CU25+FaktorAlter)*$L25*$D25*0.5*(VLOOKUP($CU25-DE$103,Männer!$G$9:$J$102,4)+VLOOKUP($CU25-DE$103+1,Männer!$G$9:$J$102,4))*0.5*(VLOOKUP($CU25-DE$103,Männer!$AZ$9:$BD$102,5)+VLOOKUP($CU25-DE$103+1,Männer!$AZ$9:$BD$102,5)),RundDx)))</f>
        <v>4559288173</v>
      </c>
      <c r="DF25" s="25">
        <f>IF($CU25&gt;=RAF,"",IF($CU25-DF$103&lt;BeginnAlter,"",ROUND(v^($CU25+FaktorAlter)*$L25*$D25*0.5*(VLOOKUP($CU25-DF$103,Männer!$G$9:$J$102,4)+VLOOKUP($CU25-DF$103+1,Männer!$G$9:$J$102,4))*0.5*(VLOOKUP($CU25-DF$103,Männer!$AZ$9:$BD$102,5)+VLOOKUP($CU25-DF$103+1,Männer!$AZ$9:$BD$102,5)),RundDx)))</f>
        <v>4640468089</v>
      </c>
      <c r="DG25" s="25">
        <f>IF($CU25&gt;=RAF,"",IF($CU25-DG$103&lt;BeginnAlter,"",ROUND(v^($CU25+FaktorAlter)*$L25*$D25*0.5*(VLOOKUP($CU25-DG$103,Männer!$G$9:$J$102,4)+VLOOKUP($CU25-DG$103+1,Männer!$G$9:$J$102,4))*0.5*(VLOOKUP($CU25-DG$103,Männer!$AZ$9:$BD$102,5)+VLOOKUP($CU25-DG$103+1,Männer!$AZ$9:$BD$102,5)),RundDx)))</f>
        <v>4720096263</v>
      </c>
      <c r="DH25" s="25">
        <f>IF($CU25&gt;=RAF,"",IF($CU25-DH$103&lt;BeginnAlter,"",ROUND(v^($CU25+FaktorAlter)*$L25*$D25*0.5*(VLOOKUP($CU25-DH$103,Männer!$G$9:$J$102,4)+VLOOKUP($CU25-DH$103+1,Männer!$G$9:$J$102,4))*0.5*(VLOOKUP($CU25-DH$103,Männer!$AZ$9:$BD$102,5)+VLOOKUP($CU25-DH$103+1,Männer!$AZ$9:$BD$102,5)),RundDx)))</f>
        <v>4798103470</v>
      </c>
      <c r="DI25" s="25">
        <f>IF($CU25&gt;=RAF,"",IF($CU25-DI$103&lt;BeginnAlter,"",ROUND(v^($CU25+FaktorAlter)*$L25*$D25*0.5*(VLOOKUP($CU25-DI$103,Männer!$G$9:$J$102,4)+VLOOKUP($CU25-DI$103+1,Männer!$G$9:$J$102,4))*0.5*(VLOOKUP($CU25-DI$103,Männer!$AZ$9:$BD$102,5)+VLOOKUP($CU25-DI$103+1,Männer!$AZ$9:$BD$102,5)),RundDx)))</f>
        <v>4874650480</v>
      </c>
      <c r="DJ25" s="25">
        <f>IF($CU25&gt;=RAF,"",IF($CU25-DJ$103&lt;BeginnAlter,"",ROUND(v^($CU25+FaktorAlter)*$L25*$D25*0.5*(VLOOKUP($CU25-DJ$103,Männer!$G$9:$J$102,4)+VLOOKUP($CU25-DJ$103+1,Männer!$G$9:$J$102,4))*0.5*(VLOOKUP($CU25-DJ$103,Männer!$AZ$9:$BD$102,5)+VLOOKUP($CU25-DJ$103+1,Männer!$AZ$9:$BD$102,5)),RundDx)))</f>
        <v>4949623160</v>
      </c>
      <c r="DK25" s="25">
        <f>IF($CU25&gt;=RAF,"",IF($CU25-DK$103&lt;BeginnAlter,"",ROUND(v^($CU25+FaktorAlter)*$L25*$D25*0.5*(VLOOKUP($CU25-DK$103,Männer!$G$9:$J$102,4)+VLOOKUP($CU25-DK$103+1,Männer!$G$9:$J$102,4))*0.5*(VLOOKUP($CU25-DK$103,Männer!$AZ$9:$BD$102,5)+VLOOKUP($CU25-DK$103+1,Männer!$AZ$9:$BD$102,5)),RundDx)))</f>
        <v>5023075965</v>
      </c>
      <c r="DL25" s="25">
        <f>IF($CU25&gt;=RAF,"",IF($CU25-DL$103&lt;BeginnAlter,"",ROUND(v^($CU25+FaktorAlter)*$L25*$D25*0.5*(VLOOKUP($CU25-DL$103,Männer!$G$9:$J$102,4)+VLOOKUP($CU25-DL$103+1,Männer!$G$9:$J$102,4))*0.5*(VLOOKUP($CU25-DL$103,Männer!$AZ$9:$BD$102,5)+VLOOKUP($CU25-DL$103+1,Männer!$AZ$9:$BD$102,5)),RundDx)))</f>
        <v>5095068140</v>
      </c>
      <c r="DM25" s="25">
        <f>IF($CU25&gt;=RAF,"",IF($CU25-DM$103&lt;BeginnAlter,"",ROUND(v^($CU25+FaktorAlter)*$L25*$D25*0.5*(VLOOKUP($CU25-DM$103,Männer!$G$9:$J$102,4)+VLOOKUP($CU25-DM$103+1,Männer!$G$9:$J$102,4))*0.5*(VLOOKUP($CU25-DM$103,Männer!$AZ$9:$BD$102,5)+VLOOKUP($CU25-DM$103+1,Männer!$AZ$9:$BD$102,5)),RundDx)))</f>
        <v>5165637480</v>
      </c>
      <c r="DN25" s="25">
        <f>IF($CU25&gt;=RAF,"",IF($CU25-DN$103&lt;BeginnAlter,"",ROUND(v^($CU25+FaktorAlter)*$L25*$D25*0.5*(VLOOKUP($CU25-DN$103,Männer!$G$9:$J$102,4)+VLOOKUP($CU25-DN$103+1,Männer!$G$9:$J$102,4))*0.5*(VLOOKUP($CU25-DN$103,Männer!$AZ$9:$BD$102,5)+VLOOKUP($CU25-DN$103+1,Männer!$AZ$9:$BD$102,5)),RundDx)))</f>
        <v>5234798478</v>
      </c>
      <c r="DO25" s="25">
        <f>IF($CU25&gt;=RAF,"",IF($CU25-DO$103&lt;BeginnAlter,"",ROUND(v^($CU25+FaktorAlter)*$L25*$D25*0.5*(VLOOKUP($CU25-DO$103,Männer!$G$9:$J$102,4)+VLOOKUP($CU25-DO$103+1,Männer!$G$9:$J$102,4))*0.5*(VLOOKUP($CU25-DO$103,Männer!$AZ$9:$BD$102,5)+VLOOKUP($CU25-DO$103+1,Männer!$AZ$9:$BD$102,5)),RundDx)))</f>
        <v>5302528258</v>
      </c>
      <c r="DP25" s="25">
        <f>IF($CU25&gt;=RAF,"",IF($CU25-DP$103&lt;BeginnAlter,"",ROUND(v^($CU25+FaktorAlter)*$L25*$D25*0.5*(VLOOKUP($CU25-DP$103,Männer!$G$9:$J$102,4)+VLOOKUP($CU25-DP$103+1,Männer!$G$9:$J$102,4))*0.5*(VLOOKUP($CU25-DP$103,Männer!$AZ$9:$BD$102,5)+VLOOKUP($CU25-DP$103+1,Männer!$AZ$9:$BD$102,5)),RundDx)))</f>
        <v>5368900321</v>
      </c>
      <c r="DQ25" s="25">
        <f>IF($CU25&gt;=RAF,"",IF($CU25-DQ$103&lt;BeginnAlter,"",ROUND(v^($CU25+FaktorAlter)*$L25*$D25*0.5*(VLOOKUP($CU25-DQ$103,Männer!$G$9:$J$102,4)+VLOOKUP($CU25-DQ$103+1,Männer!$G$9:$J$102,4))*0.5*(VLOOKUP($CU25-DQ$103,Männer!$AZ$9:$BD$102,5)+VLOOKUP($CU25-DQ$103+1,Männer!$AZ$9:$BD$102,5)),RundDx)))</f>
        <v>5433872224</v>
      </c>
      <c r="DR25" s="25">
        <f>IF($CU25&gt;=RAF,"",IF($CU25-DR$103&lt;BeginnAlter,"",ROUND(v^($CU25+FaktorAlter)*$L25*$D25*0.5*(VLOOKUP($CU25-DR$103,Männer!$G$9:$J$102,4)+VLOOKUP($CU25-DR$103+1,Männer!$G$9:$J$102,4))*0.5*(VLOOKUP($CU25-DR$103,Männer!$AZ$9:$BD$102,5)+VLOOKUP($CU25-DR$103+1,Männer!$AZ$9:$BD$102,5)),RundDx)))</f>
        <v>5497616627</v>
      </c>
      <c r="DS25" s="25">
        <f>IF($CU25&gt;=RAF,"",IF($CU25-DS$103&lt;BeginnAlter,"",ROUND(v^($CU25+FaktorAlter)*$L25*$D25*0.5*(VLOOKUP($CU25-DS$103,Männer!$G$9:$J$102,4)+VLOOKUP($CU25-DS$103+1,Männer!$G$9:$J$102,4))*0.5*(VLOOKUP($CU25-DS$103,Männer!$AZ$9:$BD$102,5)+VLOOKUP($CU25-DS$103+1,Männer!$AZ$9:$BD$102,5)),RundDx)))</f>
        <v>5560105603</v>
      </c>
      <c r="DT25" s="25">
        <f>IF($CU25&gt;=RAF,"",IF($CU25-DT$103&lt;BeginnAlter,"",ROUND(v^($CU25+FaktorAlter)*$L25*$D25*0.5*(VLOOKUP($CU25-DT$103,Männer!$G$9:$J$102,4)+VLOOKUP($CU25-DT$103+1,Männer!$G$9:$J$102,4))*0.5*(VLOOKUP($CU25-DT$103,Männer!$AZ$9:$BD$102,5)+VLOOKUP($CU25-DT$103+1,Männer!$AZ$9:$BD$102,5)),RundDx)))</f>
        <v>5621180923</v>
      </c>
      <c r="DU25" s="25">
        <f>IF($CU25&gt;=RAF,"",IF($CU25-DU$103&lt;BeginnAlter,"",ROUND(v^($CU25+FaktorAlter)*$L25*$D25*0.5*(VLOOKUP($CU25-DU$103,Männer!$G$9:$J$102,4)+VLOOKUP($CU25-DU$103+1,Männer!$G$9:$J$102,4))*0.5*(VLOOKUP($CU25-DU$103,Männer!$AZ$9:$BD$102,5)+VLOOKUP($CU25-DU$103+1,Männer!$AZ$9:$BD$102,5)),RundDx)))</f>
        <v>5681120344</v>
      </c>
      <c r="DV25" s="25">
        <f>IF($CU25&gt;=RAF,"",IF($CU25-DV$103&lt;BeginnAlter,"",ROUND(v^($CU25+FaktorAlter)*$L25*$D25*0.5*(VLOOKUP($CU25-DV$103,Männer!$G$9:$J$102,4)+VLOOKUP($CU25-DV$103+1,Männer!$G$9:$J$102,4))*0.5*(VLOOKUP($CU25-DV$103,Männer!$AZ$9:$BD$102,5)+VLOOKUP($CU25-DV$103+1,Männer!$AZ$9:$BD$102,5)),RundDx)))</f>
        <v>5739901468</v>
      </c>
      <c r="DW25" s="25">
        <f>IF($CU25&gt;=RAF,"",IF($CU25-DW$103&lt;BeginnAlter,"",ROUND(v^($CU25+FaktorAlter)*$L25*$D25*0.5*(VLOOKUP($CU25-DW$103,Männer!$G$9:$J$102,4)+VLOOKUP($CU25-DW$103+1,Männer!$G$9:$J$102,4))*0.5*(VLOOKUP($CU25-DW$103,Männer!$AZ$9:$BD$102,5)+VLOOKUP($CU25-DW$103+1,Männer!$AZ$9:$BD$102,5)),RundDx)))</f>
        <v>5797497736</v>
      </c>
      <c r="DX25" s="25">
        <f>IF($CU25&gt;=RAF,"",IF($CU25-DX$103&lt;BeginnAlter,"",ROUND(v^($CU25+FaktorAlter)*$L25*$D25*0.5*(VLOOKUP($CU25-DX$103,Männer!$G$9:$J$102,4)+VLOOKUP($CU25-DX$103+1,Männer!$G$9:$J$102,4))*0.5*(VLOOKUP($CU25-DX$103,Männer!$AZ$9:$BD$102,5)+VLOOKUP($CU25-DX$103+1,Männer!$AZ$9:$BD$102,5)),RundDx)))</f>
        <v>5853942314</v>
      </c>
      <c r="DY25" s="25">
        <f>IF($CU25&gt;=RAF,"",IF($CU25-DY$103&lt;BeginnAlter,"",ROUND(v^($CU25+FaktorAlter)*$L25*$D25*0.5*(VLOOKUP($CU25-DY$103,Männer!$G$9:$J$102,4)+VLOOKUP($CU25-DY$103+1,Männer!$G$9:$J$102,4))*0.5*(VLOOKUP($CU25-DY$103,Männer!$AZ$9:$BD$102,5)+VLOOKUP($CU25-DY$103+1,Männer!$AZ$9:$BD$102,5)),RundDx)))</f>
        <v>5909208952</v>
      </c>
      <c r="DZ25" s="25">
        <f>IF($CU25&gt;=RAF,"",IF($CU25-DZ$103&lt;BeginnAlter,"",ROUND(v^($CU25+FaktorAlter)*$L25*$D25*0.5*(VLOOKUP($CU25-DZ$103,Männer!$G$9:$J$102,4)+VLOOKUP($CU25-DZ$103+1,Männer!$G$9:$J$102,4))*0.5*(VLOOKUP($CU25-DZ$103,Männer!$AZ$9:$BD$102,5)+VLOOKUP($CU25-DZ$103+1,Männer!$AZ$9:$BD$102,5)),RundDx)))</f>
        <v>5963444397</v>
      </c>
      <c r="EA25" s="43">
        <f>IF($CU25&gt;=RAF,"",IF($CU25-EA$103&lt;BeginnAlter,"",ROUND((SUM(CV25:CV$56)+SUM(FN$9:FN$56))/VLOOKUP($CU25,$AH$9:$AI$102,2)/VLOOKUP($CU25-EA$103,Männer!$G$9:$J$102,4),Rundäx)))</f>
        <v>5.2539999999999996</v>
      </c>
      <c r="EB25" s="43">
        <f>IF($CU25&gt;=RAF,"",IF($CU25-EB$103&lt;BeginnAlter,"",ROUND((SUM(CW25:CW$56)+SUM(FO$9:FO$56))/VLOOKUP($CU25,$AH$9:$AI$102,2)/VLOOKUP($CU25-EB$103,Männer!$G$9:$J$102,4),Rundäx)))</f>
        <v>5.4560000000000004</v>
      </c>
      <c r="EC25" s="43">
        <f>IF($CU25&gt;=RAF,"",IF($CU25-EC$103&lt;BeginnAlter,"",ROUND((SUM(CX25:CX$56)+SUM(FP$9:FP$56))/VLOOKUP($CU25,$AH$9:$AI$102,2)/VLOOKUP($CU25-EC$103,Männer!$G$9:$J$102,4),Rundäx)))</f>
        <v>5.6589999999999998</v>
      </c>
      <c r="ED25" s="43">
        <f>IF($CU25&gt;=RAF,"",IF($CU25-ED$103&lt;BeginnAlter,"",ROUND((SUM(CY25:CY$56)+SUM(FQ$9:FQ$56))/VLOOKUP($CU25,$AH$9:$AI$102,2)/VLOOKUP($CU25-ED$103,Männer!$G$9:$J$102,4),Rundäx)))</f>
        <v>5.8630000000000004</v>
      </c>
      <c r="EE25" s="43">
        <f>IF($CU25&gt;=RAF,"",IF($CU25-EE$103&lt;BeginnAlter,"",ROUND((SUM(CZ25:CZ$56)+SUM(FR$9:FR$56))/VLOOKUP($CU25,$AH$9:$AI$102,2)/VLOOKUP($CU25-EE$103,Männer!$G$9:$J$102,4),Rundäx)))</f>
        <v>6.069</v>
      </c>
      <c r="EF25" s="43">
        <f>IF($CU25&gt;=RAF,"",IF($CU25-EF$103&lt;BeginnAlter,"",ROUND((SUM(DA25:DA$56)+SUM(FS$9:FS$56))/VLOOKUP($CU25,$AH$9:$AI$102,2)/VLOOKUP($CU25-EF$103,Männer!$G$9:$J$102,4),Rundäx)))</f>
        <v>6.2750000000000004</v>
      </c>
      <c r="EG25" s="43">
        <f>IF($CU25&gt;=RAF,"",IF($CU25-EG$103&lt;BeginnAlter,"",ROUND((SUM(DB25:DB$56)+SUM(FT$9:FT$56))/VLOOKUP($CU25,$AH$9:$AI$102,2)/VLOOKUP($CU25-EG$103,Männer!$G$9:$J$102,4),Rundäx)))</f>
        <v>6.4829999999999997</v>
      </c>
      <c r="EH25" s="43">
        <f>IF($CU25&gt;=RAF,"",IF($CU25-EH$103&lt;BeginnAlter,"",ROUND((SUM(DC25:DC$56)+SUM(FU$9:FU$56))/VLOOKUP($CU25,$AH$9:$AI$102,2)/VLOOKUP($CU25-EH$103,Männer!$G$9:$J$102,4),Rundäx)))</f>
        <v>6.6909999999999998</v>
      </c>
      <c r="EI25" s="89"/>
      <c r="EJ25" s="35">
        <f t="shared" si="61"/>
        <v>33</v>
      </c>
      <c r="EK25" s="43">
        <f>IF($CU25&gt;=RAF,"",IF($CU25-EK$103&lt;BeginnAlter,"",ROUND((SUM(DD25:DD$56)+SUM(FV$9:FV$56))/VLOOKUP($CU25,$AH$9:$AI$102,2)/VLOOKUP($CU25-EK$103,Männer!$G$9:$J$102,4),Rundäx)))</f>
        <v>6.9009999999999998</v>
      </c>
      <c r="EL25" s="43">
        <f>IF($CU25&gt;=RAF,"",IF($CU25-EL$103&lt;BeginnAlter,"",ROUND((SUM(DE25:DE$56)+SUM(FW$9:FW$56))/VLOOKUP($CU25,$AH$9:$AI$102,2)/VLOOKUP($CU25-EL$103,Männer!$G$9:$J$102,4),Rundäx)))</f>
        <v>7.1130000000000004</v>
      </c>
      <c r="EM25" s="43">
        <f>IF($CU25&gt;=RAF,"",IF($CU25-EM$103&lt;BeginnAlter,"",ROUND((SUM(DF25:DF$56)+SUM(FX$9:FX$56))/VLOOKUP($CU25,$AH$9:$AI$102,2)/VLOOKUP($CU25-EM$103,Männer!$G$9:$J$102,4),Rundäx)))</f>
        <v>7.3250000000000002</v>
      </c>
      <c r="EN25" s="43">
        <f>IF($CU25&gt;=RAF,"",IF($CU25-EN$103&lt;BeginnAlter,"",ROUND((SUM(DG25:DG$56)+SUM(FY$9:FY$56))/VLOOKUP($CU25,$AH$9:$AI$102,2)/VLOOKUP($CU25-EN$103,Männer!$G$9:$J$102,4),Rundäx)))</f>
        <v>7.5389999999999997</v>
      </c>
      <c r="EO25" s="43">
        <f>IF($CU25&gt;=RAF,"",IF($CU25-EO$103&lt;BeginnAlter,"",ROUND((SUM(DH25:DH$56)+SUM(FZ$9:FZ$56))/VLOOKUP($CU25,$AH$9:$AI$102,2)/VLOOKUP($CU25-EO$103,Männer!$G$9:$J$102,4),Rundäx)))</f>
        <v>7.7539999999999996</v>
      </c>
      <c r="EP25" s="43">
        <f>IF($CU25&gt;=RAF,"",IF($CU25-EP$103&lt;BeginnAlter,"",ROUND((SUM(DI25:DI$56)+SUM(GA$9:GA$56))/VLOOKUP($CU25,$AH$9:$AI$102,2)/VLOOKUP($CU25-EP$103,Männer!$G$9:$J$102,4),Rundäx)))</f>
        <v>7.97</v>
      </c>
      <c r="EQ25" s="43">
        <f>IF($CU25&gt;=RAF,"",IF($CU25-EQ$103&lt;BeginnAlter,"",ROUND((SUM(DJ25:DJ$56)+SUM(GB$9:GB$56))/VLOOKUP($CU25,$AH$9:$AI$102,2)/VLOOKUP($CU25-EQ$103,Männer!$G$9:$J$102,4),Rundäx)))</f>
        <v>8.1880000000000006</v>
      </c>
      <c r="ER25" s="43">
        <f>IF($CU25&gt;=RAF,"",IF($CU25-ER$103&lt;BeginnAlter,"",ROUND((SUM(DK25:DK$56)+SUM(GC$9:GC$56))/VLOOKUP($CU25,$AH$9:$AI$102,2)/VLOOKUP($CU25-ER$103,Männer!$G$9:$J$102,4),Rundäx)))</f>
        <v>8.407</v>
      </c>
      <c r="ES25" s="89"/>
      <c r="ET25" s="35">
        <f t="shared" si="62"/>
        <v>33</v>
      </c>
      <c r="EU25" s="43">
        <f>IF($CU25&gt;=RAF,"",IF($CU25-EU$103&lt;BeginnAlter,"",ROUND((SUM(DL25:DL$56)+SUM(GD$9:GD$56))/VLOOKUP($CU25,$AH$9:$AI$102,2)/VLOOKUP($CU25-EU$103,Männer!$G$9:$J$102,4),Rundäx)))</f>
        <v>8.6270000000000007</v>
      </c>
      <c r="EV25" s="43">
        <f>IF($CU25&gt;=RAF,"",IF($CU25-EV$103&lt;BeginnAlter,"",ROUND((SUM(DM25:DM$56)+SUM(GE$9:GE$56))/VLOOKUP($CU25,$AH$9:$AI$102,2)/VLOOKUP($CU25-EV$103,Männer!$G$9:$J$102,4),Rundäx)))</f>
        <v>8.8480000000000008</v>
      </c>
      <c r="EW25" s="43">
        <f>IF($CU25&gt;=RAF,"",IF($CU25-EW$103&lt;BeginnAlter,"",ROUND((SUM(DN25:DN$56)+SUM(GF$9:GF$56))/VLOOKUP($CU25,$AH$9:$AI$102,2)/VLOOKUP($CU25-EW$103,Männer!$G$9:$J$102,4),Rundäx)))</f>
        <v>9.0690000000000008</v>
      </c>
      <c r="EX25" s="43">
        <f>IF($CU25&gt;=RAF,"",IF($CU25-EX$103&lt;BeginnAlter,"",ROUND((SUM(DO25:DO$56)+SUM(GG$9:GG$56))/VLOOKUP($CU25,$AH$9:$AI$102,2)/VLOOKUP($CU25-EX$103,Männer!$G$9:$J$102,4),Rundäx)))</f>
        <v>9.2899999999999991</v>
      </c>
      <c r="EY25" s="43">
        <f>IF($CU25&gt;=RAF,"",IF($CU25-EY$103&lt;BeginnAlter,"",ROUND((SUM(DP25:DP$56)+SUM(GH$9:GH$56))/VLOOKUP($CU25,$AH$9:$AI$102,2)/VLOOKUP($CU25-EY$103,Männer!$G$9:$J$102,4),Rundäx)))</f>
        <v>9.5120000000000005</v>
      </c>
      <c r="EZ25" s="43">
        <f>IF($CU25&gt;=RAF,"",IF($CU25-EZ$103&lt;BeginnAlter,"",ROUND((SUM(DQ25:DQ$56)+SUM(GI$9:GI$56))/VLOOKUP($CU25,$AH$9:$AI$102,2)/VLOOKUP($CU25-EZ$103,Männer!$G$9:$J$102,4),Rundäx)))</f>
        <v>9.7330000000000005</v>
      </c>
      <c r="FA25" s="43">
        <f>IF($CU25&gt;=RAF,"",IF($CU25-FA$103&lt;BeginnAlter,"",ROUND((SUM(DR25:DR$56)+SUM(GJ$9:GJ$56))/VLOOKUP($CU25,$AH$9:$AI$102,2)/VLOOKUP($CU25-FA$103,Männer!$G$9:$J$102,4),Rundäx)))</f>
        <v>9.9529999999999994</v>
      </c>
      <c r="FB25" s="43">
        <f>IF($CU25&gt;=RAF,"",IF($CU25-FB$103&lt;BeginnAlter,"",ROUND((SUM(DS25:DS$56)+SUM(GK$9:GK$56))/VLOOKUP($CU25,$AH$9:$AI$102,2)/VLOOKUP($CU25-FB$103,Männer!$G$9:$J$102,4),Rundäx)))</f>
        <v>10.173</v>
      </c>
      <c r="FC25" s="89"/>
      <c r="FD25" s="35">
        <f t="shared" si="63"/>
        <v>33</v>
      </c>
      <c r="FE25" s="43">
        <f>IF($CU25&gt;=RAF,"",IF($CU25-FE$103&lt;BeginnAlter,"",ROUND((SUM(DT25:DT$56)+SUM(GL$9:GL$56))/VLOOKUP($CU25,$AH$9:$AI$102,2)/VLOOKUP($CU25-FE$103,Männer!$G$9:$J$102,4),Rundäx)))</f>
        <v>10.391</v>
      </c>
      <c r="FF25" s="43">
        <f>IF($CU25&gt;=RAF,"",IF($CU25-FF$103&lt;BeginnAlter,"",ROUND((SUM(DU25:DU$56)+SUM(GM$9:GM$56))/VLOOKUP($CU25,$AH$9:$AI$102,2)/VLOOKUP($CU25-FF$103,Männer!$G$9:$J$102,4),Rundäx)))</f>
        <v>10.608000000000001</v>
      </c>
      <c r="FG25" s="43">
        <f>IF($CU25&gt;=RAF,"",IF($CU25-FG$103&lt;BeginnAlter,"",ROUND((SUM(DV25:DV$56)+SUM(GN$9:GN$56))/VLOOKUP($CU25,$AH$9:$AI$102,2)/VLOOKUP($CU25-FG$103,Männer!$G$9:$J$102,4),Rundäx)))</f>
        <v>10.824</v>
      </c>
      <c r="FH25" s="43">
        <f>IF($CU25&gt;=RAF,"",IF($CU25-FH$103&lt;BeginnAlter,"",ROUND((SUM(DW25:DW$56)+SUM(GO$9:GO$56))/VLOOKUP($CU25,$AH$9:$AI$102,2)/VLOOKUP($CU25-FH$103,Männer!$G$9:$J$102,4),Rundäx)))</f>
        <v>11.039</v>
      </c>
      <c r="FI25" s="43">
        <f>IF($CU25&gt;=RAF,"",IF($CU25-FI$103&lt;BeginnAlter,"",ROUND((SUM(DX25:DX$56)+SUM(GP$9:GP$56))/VLOOKUP($CU25,$AH$9:$AI$102,2)/VLOOKUP($CU25-FI$103,Männer!$G$9:$J$102,4),Rundäx)))</f>
        <v>11.253</v>
      </c>
      <c r="FJ25" s="43">
        <f>IF($CU25&gt;=RAF,"",IF($CU25-FJ$103&lt;BeginnAlter,"",ROUND((SUM(DY25:DY$56)+SUM(GQ$9:GQ$56))/VLOOKUP($CU25,$AH$9:$AI$102,2)/VLOOKUP($CU25-FJ$103,Männer!$G$9:$J$102,4),Rundäx)))</f>
        <v>11.467000000000001</v>
      </c>
      <c r="FK25" s="43">
        <f>IF($CU25&gt;=RAF,"",IF($CU25-FK$103&lt;BeginnAlter,"",ROUND((SUM(DZ25:DZ$56)+SUM(GR$9:GR$56))/VLOOKUP($CU25,$AH$9:$AI$102,2)/VLOOKUP($CU25-FK$103,Männer!$G$9:$J$102,4),Rundäx)))</f>
        <v>11.68</v>
      </c>
      <c r="FL25" s="89"/>
      <c r="FM25" s="35">
        <f t="shared" si="64"/>
        <v>80</v>
      </c>
      <c r="FN25" s="25">
        <f>ROUND(v^($FM25+FaktorAlter)*VLOOKUP($FM25,$G$9:$J$102,4)*VLOOKUP($FM25,$A$9:$E$102,5)*0.5*(VLOOKUP($FM25-FN$103,Männer!$G$9:$J$102,4)+VLOOKUP($FM25-FN$103+1,Männer!$G$9:$J$102,4))*0.5*(VLOOKUP($FM25-FN$103,Männer!$AZ$9:$BD$102,5)+VLOOKUP($FM25-FN$103+1,Männer!$AZ$9:$BD$102,5)),RundDx)</f>
        <v>3112957</v>
      </c>
      <c r="FO25" s="25">
        <f>ROUND(v^($FM25+FaktorAlter)*VLOOKUP($FM25,$G$9:$J$102,4)*VLOOKUP($FM25,$A$9:$E$102,5)*0.5*(VLOOKUP($FM25-FO$103,Männer!$G$9:$J$102,4)+VLOOKUP($FM25-FO$103+1,Männer!$G$9:$J$102,4))*0.5*(VLOOKUP($FM25-FO$103,Männer!$AZ$9:$BD$102,5)+VLOOKUP($FM25-FO$103+1,Männer!$AZ$9:$BD$102,5)),RundDx)</f>
        <v>5059635</v>
      </c>
      <c r="FP25" s="25">
        <f>ROUND(v^($FM25+FaktorAlter)*VLOOKUP($FM25,$G$9:$J$102,4)*VLOOKUP($FM25,$A$9:$E$102,5)*0.5*(VLOOKUP($FM25-FP$103,Männer!$G$9:$J$102,4)+VLOOKUP($FM25-FP$103+1,Männer!$G$9:$J$102,4))*0.5*(VLOOKUP($FM25-FP$103,Männer!$AZ$9:$BD$102,5)+VLOOKUP($FM25-FP$103+1,Männer!$AZ$9:$BD$102,5)),RundDx)</f>
        <v>7786241</v>
      </c>
      <c r="FQ25" s="25">
        <f>ROUND(v^($FM25+FaktorAlter)*VLOOKUP($FM25,$G$9:$J$102,4)*VLOOKUP($FM25,$A$9:$E$102,5)*0.5*(VLOOKUP($FM25-FQ$103,Männer!$G$9:$J$102,4)+VLOOKUP($FM25-FQ$103+1,Männer!$G$9:$J$102,4))*0.5*(VLOOKUP($FM25-FQ$103,Männer!$AZ$9:$BD$102,5)+VLOOKUP($FM25-FQ$103+1,Männer!$AZ$9:$BD$102,5)),RundDx)</f>
        <v>11448460</v>
      </c>
      <c r="FR25" s="25">
        <f>ROUND(v^($FM25+FaktorAlter)*VLOOKUP($FM25,$G$9:$J$102,4)*VLOOKUP($FM25,$A$9:$E$102,5)*0.5*(VLOOKUP($FM25-FR$103,Männer!$G$9:$J$102,4)+VLOOKUP($FM25-FR$103+1,Männer!$G$9:$J$102,4))*0.5*(VLOOKUP($FM25-FR$103,Männer!$AZ$9:$BD$102,5)+VLOOKUP($FM25-FR$103+1,Männer!$AZ$9:$BD$102,5)),RundDx)</f>
        <v>16187857</v>
      </c>
      <c r="FS25" s="25">
        <f>ROUND(v^($FM25+FaktorAlter)*VLOOKUP($FM25,$G$9:$J$102,4)*VLOOKUP($FM25,$A$9:$E$102,5)*0.5*(VLOOKUP($FM25-FS$103,Männer!$G$9:$J$102,4)+VLOOKUP($FM25-FS$103+1,Männer!$G$9:$J$102,4))*0.5*(VLOOKUP($FM25-FS$103,Männer!$AZ$9:$BD$102,5)+VLOOKUP($FM25-FS$103+1,Männer!$AZ$9:$BD$102,5)),RundDx)</f>
        <v>22108293</v>
      </c>
      <c r="FT25" s="25">
        <f>ROUND(v^($FM25+FaktorAlter)*VLOOKUP($FM25,$G$9:$J$102,4)*VLOOKUP($FM25,$A$9:$E$102,5)*0.5*(VLOOKUP($FM25-FT$103,Männer!$G$9:$J$102,4)+VLOOKUP($FM25-FT$103+1,Männer!$G$9:$J$102,4))*0.5*(VLOOKUP($FM25-FT$103,Männer!$AZ$9:$BD$102,5)+VLOOKUP($FM25-FT$103+1,Männer!$AZ$9:$BD$102,5)),RundDx)</f>
        <v>29289863</v>
      </c>
      <c r="FU25" s="25">
        <f>ROUND(v^($FM25+FaktorAlter)*VLOOKUP($FM25,$G$9:$J$102,4)*VLOOKUP($FM25,$A$9:$E$102,5)*0.5*(VLOOKUP($FM25-FU$103,Männer!$G$9:$J$102,4)+VLOOKUP($FM25-FU$103+1,Männer!$G$9:$J$102,4))*0.5*(VLOOKUP($FM25-FU$103,Männer!$AZ$9:$BD$102,5)+VLOOKUP($FM25-FU$103+1,Männer!$AZ$9:$BD$102,5)),RundDx)</f>
        <v>37773897</v>
      </c>
      <c r="FV25" s="25">
        <f>ROUND(v^($FM25+FaktorAlter)*VLOOKUP($FM25,$G$9:$J$102,4)*VLOOKUP($FM25,$A$9:$E$102,5)*0.5*(VLOOKUP($FM25-FV$103,Männer!$G$9:$J$102,4)+VLOOKUP($FM25-FV$103+1,Männer!$G$9:$J$102,4))*0.5*(VLOOKUP($FM25-FV$103,Männer!$AZ$9:$BD$102,5)+VLOOKUP($FM25-FV$103+1,Männer!$AZ$9:$BD$102,5)),RundDx)</f>
        <v>47529380</v>
      </c>
      <c r="FW25" s="25">
        <f>ROUND(v^($FM25+FaktorAlter)*VLOOKUP($FM25,$G$9:$J$102,4)*VLOOKUP($FM25,$A$9:$E$102,5)*0.5*(VLOOKUP($FM25-FW$103,Männer!$G$9:$J$102,4)+VLOOKUP($FM25-FW$103+1,Männer!$G$9:$J$102,4))*0.5*(VLOOKUP($FM25-FW$103,Männer!$AZ$9:$BD$102,5)+VLOOKUP($FM25-FW$103+1,Männer!$AZ$9:$BD$102,5)),RundDx)</f>
        <v>58494645</v>
      </c>
      <c r="FX25" s="25">
        <f>ROUND(v^($FM25+FaktorAlter)*VLOOKUP($FM25,$G$9:$J$102,4)*VLOOKUP($FM25,$A$9:$E$102,5)*0.5*(VLOOKUP($FM25-FX$103,Männer!$G$9:$J$102,4)+VLOOKUP($FM25-FX$103+1,Männer!$G$9:$J$102,4))*0.5*(VLOOKUP($FM25-FX$103,Männer!$AZ$9:$BD$102,5)+VLOOKUP($FM25-FX$103+1,Männer!$AZ$9:$BD$102,5)),RundDx)</f>
        <v>70638440</v>
      </c>
      <c r="FY25" s="25">
        <f>ROUND(v^($FM25+FaktorAlter)*VLOOKUP($FM25,$G$9:$J$102,4)*VLOOKUP($FM25,$A$9:$E$102,5)*0.5*(VLOOKUP($FM25-FY$103,Männer!$G$9:$J$102,4)+VLOOKUP($FM25-FY$103+1,Männer!$G$9:$J$102,4))*0.5*(VLOOKUP($FM25-FY$103,Männer!$AZ$9:$BD$102,5)+VLOOKUP($FM25-FY$103+1,Männer!$AZ$9:$BD$102,5)),RundDx)</f>
        <v>83919714</v>
      </c>
      <c r="FZ25" s="25">
        <f>ROUND(v^($FM25+FaktorAlter)*VLOOKUP($FM25,$G$9:$J$102,4)*VLOOKUP($FM25,$A$9:$E$102,5)*0.5*(VLOOKUP($FM25-FZ$103,Männer!$G$9:$J$102,4)+VLOOKUP($FM25-FZ$103+1,Männer!$G$9:$J$102,4))*0.5*(VLOOKUP($FM25-FZ$103,Männer!$AZ$9:$BD$102,5)+VLOOKUP($FM25-FZ$103+1,Männer!$AZ$9:$BD$102,5)),RundDx)</f>
        <v>98269947</v>
      </c>
      <c r="GA25" s="25">
        <f>ROUND(v^($FM25+FaktorAlter)*VLOOKUP($FM25,$G$9:$J$102,4)*VLOOKUP($FM25,$A$9:$E$102,5)*0.5*(VLOOKUP($FM25-GA$103,Männer!$G$9:$J$102,4)+VLOOKUP($FM25-GA$103+1,Männer!$G$9:$J$102,4))*0.5*(VLOOKUP($FM25-GA$103,Männer!$AZ$9:$BD$102,5)+VLOOKUP($FM25-GA$103+1,Männer!$AZ$9:$BD$102,5)),RundDx)</f>
        <v>113635270</v>
      </c>
      <c r="GB25" s="25">
        <f>ROUND(v^($FM25+FaktorAlter)*VLOOKUP($FM25,$G$9:$J$102,4)*VLOOKUP($FM25,$A$9:$E$102,5)*0.5*(VLOOKUP($FM25-GB$103,Männer!$G$9:$J$102,4)+VLOOKUP($FM25-GB$103+1,Männer!$G$9:$J$102,4))*0.5*(VLOOKUP($FM25-GB$103,Männer!$AZ$9:$BD$102,5)+VLOOKUP($FM25-GB$103+1,Männer!$AZ$9:$BD$102,5)),RundDx)</f>
        <v>129953493</v>
      </c>
      <c r="GC25" s="25">
        <f>ROUND(v^($FM25+FaktorAlter)*VLOOKUP($FM25,$G$9:$J$102,4)*VLOOKUP($FM25,$A$9:$E$102,5)*0.5*(VLOOKUP($FM25-GC$103,Männer!$G$9:$J$102,4)+VLOOKUP($FM25-GC$103+1,Männer!$G$9:$J$102,4))*0.5*(VLOOKUP($FM25-GC$103,Männer!$AZ$9:$BD$102,5)+VLOOKUP($FM25-GC$103+1,Männer!$AZ$9:$BD$102,5)),RundDx)</f>
        <v>147138483</v>
      </c>
      <c r="GD25" s="25">
        <f>ROUND(v^($FM25+FaktorAlter)*VLOOKUP($FM25,$G$9:$J$102,4)*VLOOKUP($FM25,$A$9:$E$102,5)*0.5*(VLOOKUP($FM25-GD$103,Männer!$G$9:$J$102,4)+VLOOKUP($FM25-GD$103+1,Männer!$G$9:$J$102,4))*0.5*(VLOOKUP($FM25-GD$103,Männer!$AZ$9:$BD$102,5)+VLOOKUP($FM25-GD$103+1,Männer!$AZ$9:$BD$102,5)),RundDx)</f>
        <v>165107700</v>
      </c>
      <c r="GE25" s="25">
        <f>ROUND(v^($FM25+FaktorAlter)*VLOOKUP($FM25,$G$9:$J$102,4)*VLOOKUP($FM25,$A$9:$E$102,5)*0.5*(VLOOKUP($FM25-GE$103,Männer!$G$9:$J$102,4)+VLOOKUP($FM25-GE$103+1,Männer!$G$9:$J$102,4))*0.5*(VLOOKUP($FM25-GE$103,Männer!$AZ$9:$BD$102,5)+VLOOKUP($FM25-GE$103+1,Männer!$AZ$9:$BD$102,5)),RundDx)</f>
        <v>183774487</v>
      </c>
      <c r="GF25" s="25">
        <f>ROUND(v^($FM25+FaktorAlter)*VLOOKUP($FM25,$G$9:$J$102,4)*VLOOKUP($FM25,$A$9:$E$102,5)*0.5*(VLOOKUP($FM25-GF$103,Männer!$G$9:$J$102,4)+VLOOKUP($FM25-GF$103+1,Männer!$G$9:$J$102,4))*0.5*(VLOOKUP($FM25-GF$103,Männer!$AZ$9:$BD$102,5)+VLOOKUP($FM25-GF$103+1,Männer!$AZ$9:$BD$102,5)),RundDx)</f>
        <v>203045620</v>
      </c>
      <c r="GG25" s="25">
        <f>ROUND(v^($FM25+FaktorAlter)*VLOOKUP($FM25,$G$9:$J$102,4)*VLOOKUP($FM25,$A$9:$E$102,5)*0.5*(VLOOKUP($FM25-GG$103,Männer!$G$9:$J$102,4)+VLOOKUP($FM25-GG$103+1,Männer!$G$9:$J$102,4))*0.5*(VLOOKUP($FM25-GG$103,Männer!$AZ$9:$BD$102,5)+VLOOKUP($FM25-GG$103+1,Männer!$AZ$9:$BD$102,5)),RundDx)</f>
        <v>222817472</v>
      </c>
      <c r="GH25" s="25">
        <f>ROUND(v^($FM25+FaktorAlter)*VLOOKUP($FM25,$G$9:$J$102,4)*VLOOKUP($FM25,$A$9:$E$102,5)*0.5*(VLOOKUP($FM25-GH$103,Männer!$G$9:$J$102,4)+VLOOKUP($FM25-GH$103+1,Männer!$G$9:$J$102,4))*0.5*(VLOOKUP($FM25-GH$103,Männer!$AZ$9:$BD$102,5)+VLOOKUP($FM25-GH$103+1,Männer!$AZ$9:$BD$102,5)),RundDx)</f>
        <v>242963783</v>
      </c>
      <c r="GI25" s="25">
        <f>ROUND(v^($FM25+FaktorAlter)*VLOOKUP($FM25,$G$9:$J$102,4)*VLOOKUP($FM25,$A$9:$E$102,5)*0.5*(VLOOKUP($FM25-GI$103,Männer!$G$9:$J$102,4)+VLOOKUP($FM25-GI$103+1,Männer!$G$9:$J$102,4))*0.5*(VLOOKUP($FM25-GI$103,Männer!$AZ$9:$BD$102,5)+VLOOKUP($FM25-GI$103+1,Männer!$AZ$9:$BD$102,5)),RundDx)</f>
        <v>263390552</v>
      </c>
      <c r="GJ25" s="25">
        <f>ROUND(v^($FM25+FaktorAlter)*VLOOKUP($FM25,$G$9:$J$102,4)*VLOOKUP($FM25,$A$9:$E$102,5)*0.5*(VLOOKUP($FM25-GJ$103,Männer!$G$9:$J$102,4)+VLOOKUP($FM25-GJ$103+1,Männer!$G$9:$J$102,4))*0.5*(VLOOKUP($FM25-GJ$103,Männer!$AZ$9:$BD$102,5)+VLOOKUP($FM25-GJ$103+1,Männer!$AZ$9:$BD$102,5)),RundDx)</f>
        <v>283981260</v>
      </c>
      <c r="GK25" s="25">
        <f>ROUND(v^($FM25+FaktorAlter)*VLOOKUP($FM25,$G$9:$J$102,4)*VLOOKUP($FM25,$A$9:$E$102,5)*0.5*(VLOOKUP($FM25-GK$103,Männer!$G$9:$J$102,4)+VLOOKUP($FM25-GK$103+1,Männer!$G$9:$J$102,4))*0.5*(VLOOKUP($FM25-GK$103,Männer!$AZ$9:$BD$102,5)+VLOOKUP($FM25-GK$103+1,Männer!$AZ$9:$BD$102,5)),RundDx)</f>
        <v>304725298</v>
      </c>
      <c r="GL25" s="25">
        <f>ROUND(v^($FM25+FaktorAlter)*VLOOKUP($FM25,$G$9:$J$102,4)*VLOOKUP($FM25,$A$9:$E$102,5)*0.5*(VLOOKUP($FM25-GL$103,Männer!$G$9:$J$102,4)+VLOOKUP($FM25-GL$103+1,Männer!$G$9:$J$102,4))*0.5*(VLOOKUP($FM25-GL$103,Männer!$AZ$9:$BD$102,5)+VLOOKUP($FM25-GL$103+1,Männer!$AZ$9:$BD$102,5)),RundDx)</f>
        <v>325597019</v>
      </c>
      <c r="GM25" s="25">
        <f>ROUND(v^($FM25+FaktorAlter)*VLOOKUP($FM25,$G$9:$J$102,4)*VLOOKUP($FM25,$A$9:$E$102,5)*0.5*(VLOOKUP($FM25-GM$103,Männer!$G$9:$J$102,4)+VLOOKUP($FM25-GM$103+1,Männer!$G$9:$J$102,4))*0.5*(VLOOKUP($FM25-GM$103,Männer!$AZ$9:$BD$102,5)+VLOOKUP($FM25-GM$103+1,Männer!$AZ$9:$BD$102,5)),RundDx)</f>
        <v>346497838</v>
      </c>
      <c r="GN25" s="25">
        <f>ROUND(v^($FM25+FaktorAlter)*VLOOKUP($FM25,$G$9:$J$102,4)*VLOOKUP($FM25,$A$9:$E$102,5)*0.5*(VLOOKUP($FM25-GN$103,Männer!$G$9:$J$102,4)+VLOOKUP($FM25-GN$103+1,Männer!$G$9:$J$102,4))*0.5*(VLOOKUP($FM25-GN$103,Männer!$AZ$9:$BD$102,5)+VLOOKUP($FM25-GN$103+1,Männer!$AZ$9:$BD$102,5)),RundDx)</f>
        <v>367415245</v>
      </c>
      <c r="GO25" s="25">
        <f>ROUND(v^($FM25+FaktorAlter)*VLOOKUP($FM25,$G$9:$J$102,4)*VLOOKUP($FM25,$A$9:$E$102,5)*0.5*(VLOOKUP($FM25-GO$103,Männer!$G$9:$J$102,4)+VLOOKUP($FM25-GO$103+1,Männer!$G$9:$J$102,4))*0.5*(VLOOKUP($FM25-GO$103,Männer!$AZ$9:$BD$102,5)+VLOOKUP($FM25-GO$103+1,Männer!$AZ$9:$BD$102,5)),RundDx)</f>
        <v>388423427</v>
      </c>
      <c r="GP25" s="25">
        <f>ROUND(v^($FM25+FaktorAlter)*VLOOKUP($FM25,$G$9:$J$102,4)*VLOOKUP($FM25,$A$9:$E$102,5)*0.5*(VLOOKUP($FM25-GP$103,Männer!$G$9:$J$102,4)+VLOOKUP($FM25-GP$103+1,Männer!$G$9:$J$102,4))*0.5*(VLOOKUP($FM25-GP$103,Männer!$AZ$9:$BD$102,5)+VLOOKUP($FM25-GP$103+1,Männer!$AZ$9:$BD$102,5)),RundDx)</f>
        <v>409582977</v>
      </c>
      <c r="GQ25" s="25">
        <f>ROUND(v^($FM25+FaktorAlter)*VLOOKUP($FM25,$G$9:$J$102,4)*VLOOKUP($FM25,$A$9:$E$102,5)*0.5*(VLOOKUP($FM25-GQ$103,Männer!$G$9:$J$102,4)+VLOOKUP($FM25-GQ$103+1,Männer!$G$9:$J$102,4))*0.5*(VLOOKUP($FM25-GQ$103,Männer!$AZ$9:$BD$102,5)+VLOOKUP($FM25-GQ$103+1,Männer!$AZ$9:$BD$102,5)),RundDx)</f>
        <v>430841654</v>
      </c>
      <c r="GR25" s="25">
        <f>ROUND(v^($FM25+FaktorAlter)*VLOOKUP($FM25,$G$9:$J$102,4)*VLOOKUP($FM25,$A$9:$E$102,5)*0.5*(VLOOKUP($FM25-GR$103,Männer!$G$9:$J$102,4)+VLOOKUP($FM25-GR$103+1,Männer!$G$9:$J$102,4))*0.5*(VLOOKUP($FM25-GR$103,Männer!$AZ$9:$BD$102,5)+VLOOKUP($FM25-GR$103+1,Männer!$AZ$9:$BD$102,5)),RundDx)</f>
        <v>452251238</v>
      </c>
      <c r="GS25" s="24">
        <f>ROUND(SUM(FN25:FN$56)/VLOOKUP($FM25,$AQ$9:$AR$102,2)/VLOOKUP($FM25-GS$103,Männer!$G$9:$J$102,4),Rundäx)</f>
        <v>0.13800000000000001</v>
      </c>
      <c r="GT25" s="24">
        <f>ROUND(SUM(FO25:FO$56)/VLOOKUP($FM25,$AQ$9:$AR$102,2)/VLOOKUP($FM25-GT$103,Männer!$G$9:$J$102,4),Rundäx)</f>
        <v>0.17299999999999999</v>
      </c>
      <c r="GU25" s="24">
        <f>ROUND(SUM(FP25:FP$56)/VLOOKUP($FM25,$AQ$9:$AR$102,2)/VLOOKUP($FM25-GU$103,Männer!$G$9:$J$102,4),Rundäx)</f>
        <v>0.215</v>
      </c>
      <c r="GV25" s="24">
        <f>ROUND(SUM(FQ25:FQ$56)/VLOOKUP($FM25,$AQ$9:$AR$102,2)/VLOOKUP($FM25-GV$103,Männer!$G$9:$J$102,4),Rundäx)</f>
        <v>0.26500000000000001</v>
      </c>
      <c r="GW25" s="24">
        <f>ROUND(SUM(FR25:FR$56)/VLOOKUP($FM25,$AQ$9:$AR$102,2)/VLOOKUP($FM25-GW$103,Männer!$G$9:$J$102,4),Rundäx)</f>
        <v>0.32400000000000001</v>
      </c>
      <c r="GX25" s="24">
        <f>ROUND(SUM(FS25:FS$56)/VLOOKUP($FM25,$AQ$9:$AR$102,2)/VLOOKUP($FM25-GX$103,Männer!$G$9:$J$102,4),Rundäx)</f>
        <v>0.39400000000000002</v>
      </c>
      <c r="GY25" s="24">
        <f>ROUND(SUM(FT25:FT$56)/VLOOKUP($FM25,$AQ$9:$AR$102,2)/VLOOKUP($FM25-GY$103,Männer!$G$9:$J$102,4),Rundäx)</f>
        <v>0.47499999999999998</v>
      </c>
      <c r="GZ25" s="24">
        <f>ROUND(SUM(FU25:FU$56)/VLOOKUP($FM25,$AQ$9:$AR$102,2)/VLOOKUP($FM25-GZ$103,Männer!$G$9:$J$102,4),Rundäx)</f>
        <v>0.56799999999999995</v>
      </c>
      <c r="HA25" s="89"/>
      <c r="HB25" s="35">
        <f t="shared" si="65"/>
        <v>80</v>
      </c>
      <c r="HC25" s="24">
        <f>ROUND(SUM(FV25:FV$56)/VLOOKUP($FM25,$AQ$9:$AR$102,2)/VLOOKUP($FM25-HC$103,Männer!$G$9:$J$102,4),Rundäx)</f>
        <v>0.67500000000000004</v>
      </c>
      <c r="HD25" s="24">
        <f>ROUND(SUM(FW25:FW$56)/VLOOKUP($FM25,$AQ$9:$AR$102,2)/VLOOKUP($FM25-HD$103,Männer!$G$9:$J$102,4),Rundäx)</f>
        <v>0.79600000000000004</v>
      </c>
      <c r="HE25" s="24">
        <f>ROUND(SUM(FX25:FX$56)/VLOOKUP($FM25,$AQ$9:$AR$102,2)/VLOOKUP($FM25-HE$103,Männer!$G$9:$J$102,4),Rundäx)</f>
        <v>0.93100000000000005</v>
      </c>
      <c r="HF25" s="24">
        <f>ROUND(SUM(FY25:FY$56)/VLOOKUP($FM25,$AQ$9:$AR$102,2)/VLOOKUP($FM25-HF$103,Männer!$G$9:$J$102,4),Rundäx)</f>
        <v>1.081</v>
      </c>
      <c r="HG25" s="24">
        <f>ROUND(SUM(FZ25:FZ$56)/VLOOKUP($FM25,$AQ$9:$AR$102,2)/VLOOKUP($FM25-HG$103,Männer!$G$9:$J$102,4),Rundäx)</f>
        <v>1.2470000000000001</v>
      </c>
      <c r="HH25" s="24">
        <f>ROUND(SUM(GA25:GA$56)/VLOOKUP($FM25,$AQ$9:$AR$102,2)/VLOOKUP($FM25-HH$103,Männer!$G$9:$J$102,4),Rundäx)</f>
        <v>1.4279999999999999</v>
      </c>
      <c r="HI25" s="24">
        <f>ROUND(SUM(GB25:GB$56)/VLOOKUP($FM25,$AQ$9:$AR$102,2)/VLOOKUP($FM25-HI$103,Männer!$G$9:$J$102,4),Rundäx)</f>
        <v>1.6240000000000001</v>
      </c>
      <c r="HJ25" s="24">
        <f>ROUND(SUM(GC25:GC$56)/VLOOKUP($FM25,$AQ$9:$AR$102,2)/VLOOKUP($FM25-HJ$103,Männer!$G$9:$J$102,4),Rundäx)</f>
        <v>1.8360000000000001</v>
      </c>
      <c r="HK25" s="89"/>
      <c r="HL25" s="35">
        <f t="shared" si="66"/>
        <v>80</v>
      </c>
      <c r="HM25" s="24">
        <f>ROUND(SUM(GD25:GD$56)/VLOOKUP($FM25,$AQ$9:$AR$102,2)/VLOOKUP($FM25-HM$103,Männer!$G$9:$J$102,4),Rundäx)</f>
        <v>2.0609999999999999</v>
      </c>
      <c r="HN25" s="24">
        <f>ROUND(SUM(GE25:GE$56)/VLOOKUP($FM25,$AQ$9:$AR$102,2)/VLOOKUP($FM25-HN$103,Männer!$G$9:$J$102,4),Rundäx)</f>
        <v>2.3010000000000002</v>
      </c>
      <c r="HO25" s="24">
        <f>ROUND(SUM(GF25:GF$56)/VLOOKUP($FM25,$AQ$9:$AR$102,2)/VLOOKUP($FM25-HO$103,Männer!$G$9:$J$102,4),Rundäx)</f>
        <v>2.5539999999999998</v>
      </c>
      <c r="HP25" s="24">
        <f>ROUND(SUM(GG25:GG$56)/VLOOKUP($FM25,$AQ$9:$AR$102,2)/VLOOKUP($FM25-HP$103,Männer!$G$9:$J$102,4),Rundäx)</f>
        <v>2.8210000000000002</v>
      </c>
      <c r="HQ25" s="24">
        <f>ROUND(SUM(GH25:GH$56)/VLOOKUP($FM25,$AQ$9:$AR$102,2)/VLOOKUP($FM25-HQ$103,Männer!$G$9:$J$102,4),Rundäx)</f>
        <v>3.0990000000000002</v>
      </c>
      <c r="HR25" s="24">
        <f>ROUND(SUM(GI25:GI$56)/VLOOKUP($FM25,$AQ$9:$AR$102,2)/VLOOKUP($FM25-HR$103,Männer!$G$9:$J$102,4),Rundäx)</f>
        <v>3.39</v>
      </c>
      <c r="HS25" s="24">
        <f>ROUND(SUM(GJ25:GJ$56)/VLOOKUP($FM25,$AQ$9:$AR$102,2)/VLOOKUP($FM25-HS$103,Männer!$G$9:$J$102,4),Rundäx)</f>
        <v>3.6920000000000002</v>
      </c>
      <c r="HT25" s="24">
        <f>ROUND(SUM(GK25:GK$56)/VLOOKUP($FM25,$AQ$9:$AR$102,2)/VLOOKUP($FM25-HT$103,Männer!$G$9:$J$102,4),Rundäx)</f>
        <v>4.0019999999999998</v>
      </c>
      <c r="HU25" s="89"/>
      <c r="HV25" s="35">
        <f t="shared" si="67"/>
        <v>80</v>
      </c>
      <c r="HW25" s="24">
        <f>ROUND(SUM(GL25:GL$56)/VLOOKUP($FM25,$AQ$9:$AR$102,2)/VLOOKUP($FM25-HW$103,Männer!$G$9:$J$102,4),Rundäx)</f>
        <v>4.3209999999999997</v>
      </c>
      <c r="HX25" s="24">
        <f>ROUND(SUM(GM25:GM$56)/VLOOKUP($FM25,$AQ$9:$AR$102,2)/VLOOKUP($FM25-HX$103,Männer!$G$9:$J$102,4),Rundäx)</f>
        <v>4.649</v>
      </c>
      <c r="HY25" s="24">
        <f>ROUND(SUM(GN25:GN$56)/VLOOKUP($FM25,$AQ$9:$AR$102,2)/VLOOKUP($FM25-HY$103,Männer!$G$9:$J$102,4),Rundäx)</f>
        <v>4.984</v>
      </c>
      <c r="HZ25" s="24">
        <f>ROUND(SUM(GO25:GO$56)/VLOOKUP($FM25,$AQ$9:$AR$102,2)/VLOOKUP($FM25-HZ$103,Männer!$G$9:$J$102,4),Rundäx)</f>
        <v>5.3230000000000004</v>
      </c>
      <c r="IA25" s="24">
        <f>ROUND(SUM(GP25:GP$56)/VLOOKUP($FM25,$AQ$9:$AR$102,2)/VLOOKUP($FM25-IA$103,Männer!$G$9:$J$102,4),Rundäx)</f>
        <v>5.6669999999999998</v>
      </c>
      <c r="IB25" s="24">
        <f>ROUND(SUM(GQ25:GQ$56)/VLOOKUP($FM25,$AQ$9:$AR$102,2)/VLOOKUP($FM25-IB$103,Männer!$G$9:$J$102,4),Rundäx)</f>
        <v>6.0170000000000003</v>
      </c>
      <c r="IC25" s="24">
        <f>ROUND(SUM(GR25:GR$56)/VLOOKUP($FM25,$AQ$9:$AR$102,2)/VLOOKUP($FM25-IC$103,Männer!$G$9:$J$102,4),Rundäx)</f>
        <v>6.3710000000000004</v>
      </c>
      <c r="ID25" s="89"/>
      <c r="IE25" s="9">
        <f t="shared" si="68"/>
        <v>33</v>
      </c>
      <c r="IF25" s="11">
        <f t="shared" si="25"/>
        <v>311</v>
      </c>
      <c r="IG25" s="11">
        <f>IF($IE25&lt;RAF,IF(S26&lt;=RAK,ROUND(SUM(IF25:INDEX(Daky,RAF-BeginnAlter))+INDEX(Day,RAF-BeginnAlter+1)*INDEX(äky,1),RundDx),0),"")</f>
        <v>4604</v>
      </c>
      <c r="IH25" s="11">
        <f>IF($IE25&lt;RAF,IF(S26&lt;=RAK,ROUND(SUM(IG25:INDEX(Naky,RAF-BeginnAlter))+INDEX(Day,RAF-BeginnAlter+1)*INDEX(äky,1),RundDx),0),"")</f>
        <v>37790</v>
      </c>
      <c r="II25" s="10">
        <f t="shared" si="26"/>
        <v>9.8000000000000004E-2</v>
      </c>
      <c r="IJ25" s="11">
        <f t="shared" si="27"/>
        <v>14733</v>
      </c>
      <c r="IK25" s="11">
        <f>IF($IE25&lt;RAF,IF(S26&lt;=RAK,SUM(IJ25:INDEX(Diky,RAF-BeginnAlter))+INDEX(Diy,RAF-BeginnAlter+1)*INDEX(äky,1),0),"")</f>
        <v>173394</v>
      </c>
      <c r="IL25" s="10">
        <f t="shared" si="28"/>
        <v>2.0790000000000002</v>
      </c>
      <c r="IM25" s="89"/>
      <c r="IN25" s="9">
        <f t="shared" si="29"/>
        <v>80</v>
      </c>
      <c r="IO25" s="11"/>
      <c r="IP25" s="11"/>
      <c r="IQ25" s="10"/>
      <c r="IR25" s="86"/>
    </row>
    <row r="26" spans="1:252" ht="15.75" customHeight="1" x14ac:dyDescent="0.25">
      <c r="A26" s="9">
        <f t="shared" si="4"/>
        <v>34</v>
      </c>
      <c r="B26" s="93">
        <v>3.4600562669376863E-4</v>
      </c>
      <c r="C26" s="93">
        <v>2.0855893398740713E-3</v>
      </c>
      <c r="D26" s="93">
        <v>2.257733707032069E-2</v>
      </c>
      <c r="E26" s="93">
        <v>6.5402223675603555E-4</v>
      </c>
      <c r="F26" s="89"/>
      <c r="G26" s="9">
        <f t="shared" si="5"/>
        <v>34</v>
      </c>
      <c r="H26" s="11">
        <f t="shared" si="30"/>
        <v>98129</v>
      </c>
      <c r="I26" s="25">
        <f t="shared" si="31"/>
        <v>1256</v>
      </c>
      <c r="J26" s="25">
        <f t="shared" si="32"/>
        <v>99385</v>
      </c>
      <c r="K26" s="30">
        <f>IF(J26&gt;0,ROUND(SUM(J26:J$102)/J26-0.5,Rundex),"")</f>
        <v>48.42</v>
      </c>
      <c r="L26" s="25">
        <f t="shared" si="6"/>
        <v>169911</v>
      </c>
      <c r="M26" s="30">
        <f>IF(L26&gt;0,ROUND(SUM(L26:L$102)/L26-0.5,Rundex),"")</f>
        <v>33.49</v>
      </c>
      <c r="N26" s="89"/>
      <c r="O26" s="9">
        <f t="shared" si="49"/>
        <v>34</v>
      </c>
      <c r="P26" s="94">
        <v>0.19500000000000001</v>
      </c>
      <c r="Q26" s="95">
        <v>37.579653718011983</v>
      </c>
      <c r="R26" s="94">
        <v>0.45650964601033156</v>
      </c>
      <c r="S26" s="95">
        <v>1.05</v>
      </c>
      <c r="T26" s="28">
        <v>6.5402223675603555E-4</v>
      </c>
      <c r="U26" s="11">
        <f t="shared" si="33"/>
        <v>99385</v>
      </c>
      <c r="V26" s="30">
        <f>IF(U26&gt;0,ROUND(SUM(U26:U$102)/U26-0.5,Rundex),"")</f>
        <v>49.71</v>
      </c>
      <c r="W26" s="89"/>
      <c r="X26" s="9">
        <f t="shared" si="50"/>
        <v>34</v>
      </c>
      <c r="Y26" s="11">
        <f t="shared" si="34"/>
        <v>46052</v>
      </c>
      <c r="Z26" s="11">
        <f>IF($X26&lt;RAF,SUM(Y26:INDEX(Day,RAF-BeginnAlter))," ")</f>
        <v>943941</v>
      </c>
      <c r="AA26" s="11">
        <f t="shared" si="0"/>
        <v>16</v>
      </c>
      <c r="AB26" s="11">
        <f>IF($X26&lt;RAF,SUM(AA26:INDEX(Cay,RAF-BeginnAlter))," ")</f>
        <v>1223</v>
      </c>
      <c r="AC26" s="11">
        <f t="shared" si="1"/>
        <v>95</v>
      </c>
      <c r="AD26" s="11">
        <f>IF($X26&lt;RAF,SUM(AC26:INDEX(Caiy,RAF-BeginnAlter))," ")</f>
        <v>7784</v>
      </c>
      <c r="AE26" s="10">
        <f t="shared" si="35"/>
        <v>20.497</v>
      </c>
      <c r="AF26" s="10">
        <f t="shared" si="36"/>
        <v>20.202000000000002</v>
      </c>
      <c r="AG26" s="89"/>
      <c r="AH26" s="9">
        <f t="shared" si="51"/>
        <v>34</v>
      </c>
      <c r="AI26" s="11">
        <f t="shared" si="37"/>
        <v>79739</v>
      </c>
      <c r="AJ26" s="11">
        <f>IF($AH26&gt;RAF," ",IF($AH26&lt;RAF,SUM(AI26:INDEX(Diy,RAF-BeginnAlter))+INDEX(Ny,RAF-BeginnAlter+1),INDEX(Ny,RAF-BeginnAlter+1)))</f>
        <v>1732893</v>
      </c>
      <c r="AK26" s="11">
        <f>IF($AH26&lt;RAF,SUM(AI26:INDEX(Diy,RAF-BeginnAlter))," ")</f>
        <v>1366799</v>
      </c>
      <c r="AL26" s="10">
        <f t="shared" si="38"/>
        <v>21.731999999999999</v>
      </c>
      <c r="AM26" s="10">
        <f t="shared" si="39"/>
        <v>21.274000000000001</v>
      </c>
      <c r="AN26" s="10">
        <f t="shared" si="40"/>
        <v>17.140999999999998</v>
      </c>
      <c r="AO26" s="10">
        <f t="shared" si="41"/>
        <v>16.808</v>
      </c>
      <c r="AP26" s="89"/>
      <c r="AQ26" s="9">
        <f t="shared" si="52"/>
        <v>34</v>
      </c>
      <c r="AR26" s="11">
        <f t="shared" si="42"/>
        <v>46641</v>
      </c>
      <c r="AS26" s="11">
        <f>SUM(AR26:AR$96)</f>
        <v>1376407</v>
      </c>
      <c r="AT26" s="25">
        <f>IF($AQ26&lt;RAF,SUM(AR26:INDEX(Dy,RAF-BeginnAlter))," ")</f>
        <v>1010313</v>
      </c>
      <c r="AU26" s="24">
        <f t="shared" si="43"/>
        <v>29.510999999999999</v>
      </c>
      <c r="AV26" s="24">
        <f t="shared" si="44"/>
        <v>29.052</v>
      </c>
      <c r="AW26" s="24">
        <f t="shared" si="45"/>
        <v>21.661000000000001</v>
      </c>
      <c r="AX26" s="24">
        <f t="shared" si="46"/>
        <v>21.417000000000002</v>
      </c>
      <c r="AY26" s="89"/>
      <c r="AZ26" s="9">
        <f t="shared" si="53"/>
        <v>34</v>
      </c>
      <c r="BA26" s="11">
        <f t="shared" si="47"/>
        <v>46641</v>
      </c>
      <c r="BB26" s="11">
        <f>SUM(BA26:BA$96)</f>
        <v>1399196</v>
      </c>
      <c r="BC26" s="10">
        <f t="shared" si="48"/>
        <v>29.998999999999999</v>
      </c>
      <c r="BD26" s="10">
        <f t="shared" si="7"/>
        <v>29.541</v>
      </c>
      <c r="BE26" s="89"/>
      <c r="BF26" s="9">
        <f t="shared" si="54"/>
        <v>17</v>
      </c>
      <c r="BG26" s="10">
        <f t="shared" si="8"/>
        <v>7.41</v>
      </c>
      <c r="BH26" s="10">
        <f t="shared" si="9"/>
        <v>7.3360000000000003</v>
      </c>
      <c r="BI26" s="89"/>
      <c r="BJ26" s="9">
        <f t="shared" si="55"/>
        <v>34</v>
      </c>
      <c r="BK26" s="11">
        <f t="shared" si="10"/>
        <v>2019</v>
      </c>
      <c r="BL26" s="11">
        <f>IF(BJ26&lt;RAF,SUM(BK26:INDEX(Daiy,RAF-BeginnAlter))," ")</f>
        <v>144336</v>
      </c>
      <c r="BM26" s="11">
        <f>IF(BJ26&lt;RAF,SUM(BL26:INDEX(Naiy,RAF-BeginnAlter))," ")</f>
        <v>2809270</v>
      </c>
      <c r="BN26" s="10">
        <f t="shared" si="11"/>
        <v>5.8230000000000004</v>
      </c>
      <c r="BO26" s="10">
        <f t="shared" si="12"/>
        <v>3.1339999999999999</v>
      </c>
      <c r="BP26" s="89"/>
      <c r="BQ26" s="9">
        <f t="shared" si="56"/>
        <v>34</v>
      </c>
      <c r="BR26" s="11">
        <f t="shared" si="13"/>
        <v>1585</v>
      </c>
      <c r="BS26" s="11">
        <f>IF(BQ26&lt;RAF,SUM(BR26:INDEX(Daiys,RAF-BeginnAlter))," ")</f>
        <v>59026</v>
      </c>
      <c r="BT26" s="11">
        <f>IF(BQ26&lt;RAF,SUM(BS26:INDEX(Naiys,RAF-BeginnAlter))," ")</f>
        <v>889300</v>
      </c>
      <c r="BU26" s="10">
        <f t="shared" si="14"/>
        <v>7.6760000000000002</v>
      </c>
      <c r="BV26" s="10">
        <f t="shared" si="15"/>
        <v>1.282</v>
      </c>
      <c r="BW26" s="89"/>
      <c r="BX26" s="9">
        <f t="shared" si="57"/>
        <v>34</v>
      </c>
      <c r="BY26" s="10">
        <f t="shared" si="16"/>
        <v>14.749745636102428</v>
      </c>
      <c r="BZ26" s="11">
        <f t="shared" si="17"/>
        <v>677</v>
      </c>
      <c r="CA26" s="11">
        <f>IF(S27&lt;=RAK,IF($BX26&lt;RAF,SUM(BZ26:INDEX(Dazy,RAF-BeginnAlter)),""),"")</f>
        <v>14117</v>
      </c>
      <c r="CB26" s="10">
        <f t="shared" si="18"/>
        <v>0.307</v>
      </c>
      <c r="CC26" s="11">
        <f t="shared" si="19"/>
        <v>26033</v>
      </c>
      <c r="CD26" s="10">
        <f t="shared" si="20"/>
        <v>19.238</v>
      </c>
      <c r="CE26" s="10">
        <f t="shared" si="21"/>
        <v>3.0000000000000001E-3</v>
      </c>
      <c r="CF26" s="89"/>
      <c r="CG26" s="9">
        <f t="shared" si="58"/>
        <v>34</v>
      </c>
      <c r="CH26" s="11">
        <f>IF(CG26&lt;RAF,ROUND(v^($CG26+FaktorAlter)*$H26*($B26*0.5*($P26+$P27)*(VLOOKUP(TRUNC(0.5*($Q26+$Q27),0),Männer!$AZ$9:$BD$95,5)+(0.5*($Q26+$Q27)-TRUNC(0.5*($Q26+$Q27),0))*(VLOOKUP(TRUNC(0.5*($Q26+$Q27)+1,0),Männer!$AZ$9:$BD$95,5)-VLOOKUP(TRUNC(0.5*($Q26+$Q27),0),Männer!$AZ$9:$BD$95,5)))+$C26*0.5*($CN26+$CN27)),RundDx),"")</f>
        <v>264</v>
      </c>
      <c r="CI26" s="11">
        <f>IF(CG26&lt;RAF,ROUND(SUM(CH26:INDEX(Dawy,RAF-BeginnAlter))+INDEX(Day,RAF-BeginnAlter+1)*INDEX(äwy,1),RundDx),"")</f>
        <v>12248</v>
      </c>
      <c r="CJ26" s="11">
        <f>IF(CG26&lt;RAF,ROUND(SUM(CI26:INDEX(Nawy,RAF-BeginnAlter))+INDEX(Day,RAF-BeginnAlter+1)*INDEX(äwy,1),RundDx),"")</f>
        <v>218715</v>
      </c>
      <c r="CK26" s="10">
        <f t="shared" si="22"/>
        <v>0.26600000000000001</v>
      </c>
      <c r="CL26" s="11">
        <f>IF(CG26&lt;RAF,ROUND(v^($CG26+FaktorAlter)*$L26*$D26*0.5*($P26+$P27)*(VLOOKUP(TRUNC(0.5*($Q26+$Q27),0),Männer!$AZ$9:$BD$95,5)+(0.5*($Q26+$Q27)-TRUNC(0.5*($Q26+$Q27),0))*(VLOOKUP(TRUNC(0.5*($Q26+$Q27)+1,0),Männer!$AZ$9:$BD$95,5)-VLOOKUP(TRUNC(0.5*($Q26+$Q27),0),Männer!$AZ$9:$BD$95,5))),RundDx),"")</f>
        <v>9255</v>
      </c>
      <c r="CM26" s="11">
        <f>IF(CG26&lt;RAF,SUM(CL26:INDEX(Diwy,RAF-BeginnAlter))+INDEX(Diy,RAF-BeginnAlter+1)*INDEX(äwy,1),"")</f>
        <v>154439.304</v>
      </c>
      <c r="CN26" s="10">
        <f t="shared" si="23"/>
        <v>1.9370000000000001</v>
      </c>
      <c r="CO26" s="89"/>
      <c r="CP26" s="9">
        <f t="shared" si="59"/>
        <v>81</v>
      </c>
      <c r="CQ26" s="11">
        <f>ROUND(v^($CP26+FaktorAlter)*VLOOKUP(CP26,G$9:J$102,4)*VLOOKUP(CP26,A$9:E$102,5)*0.5*(VLOOKUP(CP26,O$9:P$102,2)+VLOOKUP(CP26+1,O$9:P$102,2))*(VLOOKUP(TRUNC(0.5*(VLOOKUP(CP26,O$9:Q$102,3)+VLOOKUP(CP26+1,O$9:Q$102,3)),0),Männer!$AZ$9:$BD$95,5)+(0.5*(VLOOKUP(CP26,O$9:Q$102,3)+VLOOKUP(CP26+1,O$9:Q$102,3))-TRUNC(0.5*(VLOOKUP(CP26,O$9:Q$102,3)+VLOOKUP(CP26+1,O$9:Q$102,3)),0))*(VLOOKUP(TRUNC(0.5*(VLOOKUP(CP26,O$9:Q$102,3)+VLOOKUP(CP26+1,O$9:Q$102,3))+1,0),Männer!$AZ$9:$BD$95,5)-VLOOKUP(TRUNC(0.5*(VLOOKUP(CP26,O$9:Q$102,3)+VLOOKUP(CP26+1,O$9:Q$102,3)),0),Männer!$AZ$9:$BD$95,5))),RundDx)</f>
        <v>19</v>
      </c>
      <c r="CR26" s="11">
        <f>SUM(CQ26:CQ$56)</f>
        <v>182</v>
      </c>
      <c r="CS26" s="24">
        <f t="shared" si="24"/>
        <v>1.7000000000000001E-2</v>
      </c>
      <c r="CT26" s="89"/>
      <c r="CU26" s="35">
        <f t="shared" si="60"/>
        <v>34</v>
      </c>
      <c r="CV26" s="25">
        <f>IF($CU26&gt;=RAF,"",IF($CU26-CV$103&lt;BeginnAlter,"",ROUND(v^($CU26+FaktorAlter)*$L26*$D26*0.5*(VLOOKUP($CU26-CV$103,Männer!$G$9:$J$102,4)+VLOOKUP($CU26-CV$103+1,Männer!$G$9:$J$102,4))*0.5*(VLOOKUP($CU26-CV$103,Männer!$AZ$9:$BD$102,5)+VLOOKUP($CU26-CV$103+1,Männer!$AZ$9:$BD$102,5)),RundDx)))</f>
        <v>3497869168</v>
      </c>
      <c r="CW26" s="25">
        <f>IF($CU26&gt;=RAF,"",IF($CU26-CW$103&lt;BeginnAlter,"",ROUND(v^($CU26+FaktorAlter)*$L26*$D26*0.5*(VLOOKUP($CU26-CW$103,Männer!$G$9:$J$102,4)+VLOOKUP($CU26-CW$103+1,Männer!$G$9:$J$102,4))*0.5*(VLOOKUP($CU26-CW$103,Männer!$AZ$9:$BD$102,5)+VLOOKUP($CU26-CW$103+1,Männer!$AZ$9:$BD$102,5)),RundDx)))</f>
        <v>3591400881</v>
      </c>
      <c r="CX26" s="25">
        <f>IF($CU26&gt;=RAF,"",IF($CU26-CX$103&lt;BeginnAlter,"",ROUND(v^($CU26+FaktorAlter)*$L26*$D26*0.5*(VLOOKUP($CU26-CX$103,Männer!$G$9:$J$102,4)+VLOOKUP($CU26-CX$103+1,Männer!$G$9:$J$102,4))*0.5*(VLOOKUP($CU26-CX$103,Männer!$AZ$9:$BD$102,5)+VLOOKUP($CU26-CX$103+1,Männer!$AZ$9:$BD$102,5)),RundDx)))</f>
        <v>3683207360</v>
      </c>
      <c r="CY26" s="25">
        <f>IF($CU26&gt;=RAF,"",IF($CU26-CY$103&lt;BeginnAlter,"",ROUND(v^($CU26+FaktorAlter)*$L26*$D26*0.5*(VLOOKUP($CU26-CY$103,Männer!$G$9:$J$102,4)+VLOOKUP($CU26-CY$103+1,Männer!$G$9:$J$102,4))*0.5*(VLOOKUP($CU26-CY$103,Männer!$AZ$9:$BD$102,5)+VLOOKUP($CU26-CY$103+1,Männer!$AZ$9:$BD$102,5)),RundDx)))</f>
        <v>3773402030</v>
      </c>
      <c r="CZ26" s="25">
        <f>IF($CU26&gt;=RAF,"",IF($CU26-CZ$103&lt;BeginnAlter,"",ROUND(v^($CU26+FaktorAlter)*$L26*$D26*0.5*(VLOOKUP($CU26-CZ$103,Männer!$G$9:$J$102,4)+VLOOKUP($CU26-CZ$103+1,Männer!$G$9:$J$102,4))*0.5*(VLOOKUP($CU26-CZ$103,Männer!$AZ$9:$BD$102,5)+VLOOKUP($CU26-CZ$103+1,Männer!$AZ$9:$BD$102,5)),RundDx)))</f>
        <v>3861980760</v>
      </c>
      <c r="DA26" s="25">
        <f>IF($CU26&gt;=RAF,"",IF($CU26-DA$103&lt;BeginnAlter,"",ROUND(v^($CU26+FaktorAlter)*$L26*$D26*0.5*(VLOOKUP($CU26-DA$103,Männer!$G$9:$J$102,4)+VLOOKUP($CU26-DA$103+1,Männer!$G$9:$J$102,4))*0.5*(VLOOKUP($CU26-DA$103,Männer!$AZ$9:$BD$102,5)+VLOOKUP($CU26-DA$103+1,Männer!$AZ$9:$BD$102,5)),RundDx)))</f>
        <v>3948943908</v>
      </c>
      <c r="DB26" s="25">
        <f>IF($CU26&gt;=RAF,"",IF($CU26-DB$103&lt;BeginnAlter,"",ROUND(v^($CU26+FaktorAlter)*$L26*$D26*0.5*(VLOOKUP($CU26-DB$103,Männer!$G$9:$J$102,4)+VLOOKUP($CU26-DB$103+1,Männer!$G$9:$J$102,4))*0.5*(VLOOKUP($CU26-DB$103,Männer!$AZ$9:$BD$102,5)+VLOOKUP($CU26-DB$103+1,Männer!$AZ$9:$BD$102,5)),RundDx)))</f>
        <v>4034254921</v>
      </c>
      <c r="DC26" s="25">
        <f>IF($CU26&gt;=RAF,"",IF($CU26-DC$103&lt;BeginnAlter,"",ROUND(v^($CU26+FaktorAlter)*$L26*$D26*0.5*(VLOOKUP($CU26-DC$103,Männer!$G$9:$J$102,4)+VLOOKUP($CU26-DC$103+1,Männer!$G$9:$J$102,4))*0.5*(VLOOKUP($CU26-DC$103,Männer!$AZ$9:$BD$102,5)+VLOOKUP($CU26-DC$103+1,Männer!$AZ$9:$BD$102,5)),RundDx)))</f>
        <v>4118007535</v>
      </c>
      <c r="DD26" s="25">
        <f>IF($CU26&gt;=RAF,"",IF($CU26-DD$103&lt;BeginnAlter,"",ROUND(v^($CU26+FaktorAlter)*$L26*$D26*0.5*(VLOOKUP($CU26-DD$103,Männer!$G$9:$J$102,4)+VLOOKUP($CU26-DD$103+1,Männer!$G$9:$J$102,4))*0.5*(VLOOKUP($CU26-DD$103,Männer!$AZ$9:$BD$102,5)+VLOOKUP($CU26-DD$103+1,Männer!$AZ$9:$BD$102,5)),RundDx)))</f>
        <v>4200278754</v>
      </c>
      <c r="DE26" s="25">
        <f>IF($CU26&gt;=RAF,"",IF($CU26-DE$103&lt;BeginnAlter,"",ROUND(v^($CU26+FaktorAlter)*$L26*$D26*0.5*(VLOOKUP($CU26-DE$103,Männer!$G$9:$J$102,4)+VLOOKUP($CU26-DE$103+1,Männer!$G$9:$J$102,4))*0.5*(VLOOKUP($CU26-DE$103,Männer!$AZ$9:$BD$102,5)+VLOOKUP($CU26-DE$103+1,Männer!$AZ$9:$BD$102,5)),RundDx)))</f>
        <v>4280929990</v>
      </c>
      <c r="DF26" s="25">
        <f>IF($CU26&gt;=RAF,"",IF($CU26-DF$103&lt;BeginnAlter,"",ROUND(v^($CU26+FaktorAlter)*$L26*$D26*0.5*(VLOOKUP($CU26-DF$103,Männer!$G$9:$J$102,4)+VLOOKUP($CU26-DF$103+1,Männer!$G$9:$J$102,4))*0.5*(VLOOKUP($CU26-DF$103,Männer!$AZ$9:$BD$102,5)+VLOOKUP($CU26-DF$103+1,Männer!$AZ$9:$BD$102,5)),RundDx)))</f>
        <v>4359953396</v>
      </c>
      <c r="DG26" s="25">
        <f>IF($CU26&gt;=RAF,"",IF($CU26-DG$103&lt;BeginnAlter,"",ROUND(v^($CU26+FaktorAlter)*$L26*$D26*0.5*(VLOOKUP($CU26-DG$103,Männer!$G$9:$J$102,4)+VLOOKUP($CU26-DG$103+1,Männer!$G$9:$J$102,4))*0.5*(VLOOKUP($CU26-DG$103,Männer!$AZ$9:$BD$102,5)+VLOOKUP($CU26-DG$103+1,Männer!$AZ$9:$BD$102,5)),RundDx)))</f>
        <v>4437584078</v>
      </c>
      <c r="DH26" s="25">
        <f>IF($CU26&gt;=RAF,"",IF($CU26-DH$103&lt;BeginnAlter,"",ROUND(v^($CU26+FaktorAlter)*$L26*$D26*0.5*(VLOOKUP($CU26-DH$103,Männer!$G$9:$J$102,4)+VLOOKUP($CU26-DH$103+1,Männer!$G$9:$J$102,4))*0.5*(VLOOKUP($CU26-DH$103,Männer!$AZ$9:$BD$102,5)+VLOOKUP($CU26-DH$103+1,Männer!$AZ$9:$BD$102,5)),RundDx)))</f>
        <v>4513730861</v>
      </c>
      <c r="DI26" s="25">
        <f>IF($CU26&gt;=RAF,"",IF($CU26-DI$103&lt;BeginnAlter,"",ROUND(v^($CU26+FaktorAlter)*$L26*$D26*0.5*(VLOOKUP($CU26-DI$103,Männer!$G$9:$J$102,4)+VLOOKUP($CU26-DI$103+1,Männer!$G$9:$J$102,4))*0.5*(VLOOKUP($CU26-DI$103,Männer!$AZ$9:$BD$102,5)+VLOOKUP($CU26-DI$103+1,Männer!$AZ$9:$BD$102,5)),RundDx)))</f>
        <v>4588327547</v>
      </c>
      <c r="DJ26" s="25">
        <f>IF($CU26&gt;=RAF,"",IF($CU26-DJ$103&lt;BeginnAlter,"",ROUND(v^($CU26+FaktorAlter)*$L26*$D26*0.5*(VLOOKUP($CU26-DJ$103,Männer!$G$9:$J$102,4)+VLOOKUP($CU26-DJ$103+1,Männer!$G$9:$J$102,4))*0.5*(VLOOKUP($CU26-DJ$103,Männer!$AZ$9:$BD$102,5)+VLOOKUP($CU26-DJ$103+1,Männer!$AZ$9:$BD$102,5)),RundDx)))</f>
        <v>4661527876</v>
      </c>
      <c r="DK26" s="25">
        <f>IF($CU26&gt;=RAF,"",IF($CU26-DK$103&lt;BeginnAlter,"",ROUND(v^($CU26+FaktorAlter)*$L26*$D26*0.5*(VLOOKUP($CU26-DK$103,Männer!$G$9:$J$102,4)+VLOOKUP($CU26-DK$103+1,Männer!$G$9:$J$102,4))*0.5*(VLOOKUP($CU26-DK$103,Männer!$AZ$9:$BD$102,5)+VLOOKUP($CU26-DK$103+1,Männer!$AZ$9:$BD$102,5)),RundDx)))</f>
        <v>4733222707</v>
      </c>
      <c r="DL26" s="25">
        <f>IF($CU26&gt;=RAF,"",IF($CU26-DL$103&lt;BeginnAlter,"",ROUND(v^($CU26+FaktorAlter)*$L26*$D26*0.5*(VLOOKUP($CU26-DL$103,Männer!$G$9:$J$102,4)+VLOOKUP($CU26-DL$103+1,Männer!$G$9:$J$102,4))*0.5*(VLOOKUP($CU26-DL$103,Männer!$AZ$9:$BD$102,5)+VLOOKUP($CU26-DL$103+1,Männer!$AZ$9:$BD$102,5)),RundDx)))</f>
        <v>4803464111</v>
      </c>
      <c r="DM26" s="25">
        <f>IF($CU26&gt;=RAF,"",IF($CU26-DM$103&lt;BeginnAlter,"",ROUND(v^($CU26+FaktorAlter)*$L26*$D26*0.5*(VLOOKUP($CU26-DM$103,Männer!$G$9:$J$102,4)+VLOOKUP($CU26-DM$103+1,Männer!$G$9:$J$102,4))*0.5*(VLOOKUP($CU26-DM$103,Männer!$AZ$9:$BD$102,5)+VLOOKUP($CU26-DM$103+1,Männer!$AZ$9:$BD$102,5)),RundDx)))</f>
        <v>4872308746</v>
      </c>
      <c r="DN26" s="25">
        <f>IF($CU26&gt;=RAF,"",IF($CU26-DN$103&lt;BeginnAlter,"",ROUND(v^($CU26+FaktorAlter)*$L26*$D26*0.5*(VLOOKUP($CU26-DN$103,Männer!$G$9:$J$102,4)+VLOOKUP($CU26-DN$103+1,Männer!$G$9:$J$102,4))*0.5*(VLOOKUP($CU26-DN$103,Männer!$AZ$9:$BD$102,5)+VLOOKUP($CU26-DN$103+1,Männer!$AZ$9:$BD$102,5)),RundDx)))</f>
        <v>4939792753</v>
      </c>
      <c r="DO26" s="25">
        <f>IF($CU26&gt;=RAF,"",IF($CU26-DO$103&lt;BeginnAlter,"",ROUND(v^($CU26+FaktorAlter)*$L26*$D26*0.5*(VLOOKUP($CU26-DO$103,Männer!$G$9:$J$102,4)+VLOOKUP($CU26-DO$103+1,Männer!$G$9:$J$102,4))*0.5*(VLOOKUP($CU26-DO$103,Männer!$AZ$9:$BD$102,5)+VLOOKUP($CU26-DO$103+1,Männer!$AZ$9:$BD$102,5)),RundDx)))</f>
        <v>5005929991</v>
      </c>
      <c r="DP26" s="25">
        <f>IF($CU26&gt;=RAF,"",IF($CU26-DP$103&lt;BeginnAlter,"",ROUND(v^($CU26+FaktorAlter)*$L26*$D26*0.5*(VLOOKUP($CU26-DP$103,Männer!$G$9:$J$102,4)+VLOOKUP($CU26-DP$103+1,Männer!$G$9:$J$102,4))*0.5*(VLOOKUP($CU26-DP$103,Männer!$AZ$9:$BD$102,5)+VLOOKUP($CU26-DP$103+1,Männer!$AZ$9:$BD$102,5)),RundDx)))</f>
        <v>5070698585</v>
      </c>
      <c r="DQ26" s="25">
        <f>IF($CU26&gt;=RAF,"",IF($CU26-DQ$103&lt;BeginnAlter,"",ROUND(v^($CU26+FaktorAlter)*$L26*$D26*0.5*(VLOOKUP($CU26-DQ$103,Männer!$G$9:$J$102,4)+VLOOKUP($CU26-DQ$103+1,Männer!$G$9:$J$102,4))*0.5*(VLOOKUP($CU26-DQ$103,Männer!$AZ$9:$BD$102,5)+VLOOKUP($CU26-DQ$103+1,Männer!$AZ$9:$BD$102,5)),RundDx)))</f>
        <v>5134168822</v>
      </c>
      <c r="DR26" s="25">
        <f>IF($CU26&gt;=RAF,"",IF($CU26-DR$103&lt;BeginnAlter,"",ROUND(v^($CU26+FaktorAlter)*$L26*$D26*0.5*(VLOOKUP($CU26-DR$103,Männer!$G$9:$J$102,4)+VLOOKUP($CU26-DR$103+1,Männer!$G$9:$J$102,4))*0.5*(VLOOKUP($CU26-DR$103,Männer!$AZ$9:$BD$102,5)+VLOOKUP($CU26-DR$103+1,Männer!$AZ$9:$BD$102,5)),RundDx)))</f>
        <v>5196300115</v>
      </c>
      <c r="DS26" s="25">
        <f>IF($CU26&gt;=RAF,"",IF($CU26-DS$103&lt;BeginnAlter,"",ROUND(v^($CU26+FaktorAlter)*$L26*$D26*0.5*(VLOOKUP($CU26-DS$103,Männer!$G$9:$J$102,4)+VLOOKUP($CU26-DS$103+1,Männer!$G$9:$J$102,4))*0.5*(VLOOKUP($CU26-DS$103,Männer!$AZ$9:$BD$102,5)+VLOOKUP($CU26-DS$103+1,Männer!$AZ$9:$BD$102,5)),RundDx)))</f>
        <v>5257257575</v>
      </c>
      <c r="DT26" s="25">
        <f>IF($CU26&gt;=RAF,"",IF($CU26-DT$103&lt;BeginnAlter,"",ROUND(v^($CU26+FaktorAlter)*$L26*$D26*0.5*(VLOOKUP($CU26-DT$103,Männer!$G$9:$J$102,4)+VLOOKUP($CU26-DT$103+1,Männer!$G$9:$J$102,4))*0.5*(VLOOKUP($CU26-DT$103,Männer!$AZ$9:$BD$102,5)+VLOOKUP($CU26-DT$103+1,Männer!$AZ$9:$BD$102,5)),RundDx)))</f>
        <v>5317014496</v>
      </c>
      <c r="DU26" s="25">
        <f>IF($CU26&gt;=RAF,"",IF($CU26-DU$103&lt;BeginnAlter,"",ROUND(v^($CU26+FaktorAlter)*$L26*$D26*0.5*(VLOOKUP($CU26-DU$103,Männer!$G$9:$J$102,4)+VLOOKUP($CU26-DU$103+1,Männer!$G$9:$J$102,4))*0.5*(VLOOKUP($CU26-DU$103,Männer!$AZ$9:$BD$102,5)+VLOOKUP($CU26-DU$103+1,Männer!$AZ$9:$BD$102,5)),RundDx)))</f>
        <v>5375419567</v>
      </c>
      <c r="DV26" s="25">
        <f>IF($CU26&gt;=RAF,"",IF($CU26-DV$103&lt;BeginnAlter,"",ROUND(v^($CU26+FaktorAlter)*$L26*$D26*0.5*(VLOOKUP($CU26-DV$103,Männer!$G$9:$J$102,4)+VLOOKUP($CU26-DV$103+1,Männer!$G$9:$J$102,4))*0.5*(VLOOKUP($CU26-DV$103,Männer!$AZ$9:$BD$102,5)+VLOOKUP($CU26-DV$103+1,Männer!$AZ$9:$BD$102,5)),RundDx)))</f>
        <v>5432738401</v>
      </c>
      <c r="DW26" s="25">
        <f>IF($CU26&gt;=RAF,"",IF($CU26-DW$103&lt;BeginnAlter,"",ROUND(v^($CU26+FaktorAlter)*$L26*$D26*0.5*(VLOOKUP($CU26-DW$103,Männer!$G$9:$J$102,4)+VLOOKUP($CU26-DW$103+1,Männer!$G$9:$J$102,4))*0.5*(VLOOKUP($CU26-DW$103,Männer!$AZ$9:$BD$102,5)+VLOOKUP($CU26-DW$103+1,Männer!$AZ$9:$BD$102,5)),RundDx)))</f>
        <v>5488949579</v>
      </c>
      <c r="DX26" s="25">
        <f>IF($CU26&gt;=RAF,"",IF($CU26-DX$103&lt;BeginnAlter,"",ROUND(v^($CU26+FaktorAlter)*$L26*$D26*0.5*(VLOOKUP($CU26-DX$103,Männer!$G$9:$J$102,4)+VLOOKUP($CU26-DX$103+1,Männer!$G$9:$J$102,4))*0.5*(VLOOKUP($CU26-DX$103,Männer!$AZ$9:$BD$102,5)+VLOOKUP($CU26-DX$103+1,Männer!$AZ$9:$BD$102,5)),RundDx)))</f>
        <v>5544027704</v>
      </c>
      <c r="DY26" s="25">
        <f>IF($CU26&gt;=RAF,"",IF($CU26-DY$103&lt;BeginnAlter,"",ROUND(v^($CU26+FaktorAlter)*$L26*$D26*0.5*(VLOOKUP($CU26-DY$103,Männer!$G$9:$J$102,4)+VLOOKUP($CU26-DY$103+1,Männer!$G$9:$J$102,4))*0.5*(VLOOKUP($CU26-DY$103,Männer!$AZ$9:$BD$102,5)+VLOOKUP($CU26-DY$103+1,Männer!$AZ$9:$BD$102,5)),RundDx)))</f>
        <v>5598004492</v>
      </c>
      <c r="DZ26" s="25">
        <f>IF($CU26&gt;=RAF,"",IF($CU26-DZ$103&lt;BeginnAlter,"",ROUND(v^($CU26+FaktorAlter)*$L26*$D26*0.5*(VLOOKUP($CU26-DZ$103,Männer!$G$9:$J$102,4)+VLOOKUP($CU26-DZ$103+1,Männer!$G$9:$J$102,4))*0.5*(VLOOKUP($CU26-DZ$103,Männer!$AZ$9:$BD$102,5)+VLOOKUP($CU26-DZ$103+1,Männer!$AZ$9:$BD$102,5)),RundDx)))</f>
        <v>5650854840</v>
      </c>
      <c r="EA26" s="43">
        <f>IF($CU26&gt;=RAF,"",IF($CU26-EA$103&lt;BeginnAlter,"",ROUND((SUM(CV26:CV$56)+SUM(FN$9:FN$56))/VLOOKUP($CU26,$AH$9:$AI$102,2)/VLOOKUP($CU26-EA$103,Männer!$G$9:$J$102,4),Rundäx)))</f>
        <v>5.0220000000000002</v>
      </c>
      <c r="EB26" s="43">
        <f>IF($CU26&gt;=RAF,"",IF($CU26-EB$103&lt;BeginnAlter,"",ROUND((SUM(CW26:CW$56)+SUM(FO$9:FO$56))/VLOOKUP($CU26,$AH$9:$AI$102,2)/VLOOKUP($CU26-EB$103,Männer!$G$9:$J$102,4),Rundäx)))</f>
        <v>5.2220000000000004</v>
      </c>
      <c r="EC26" s="43">
        <f>IF($CU26&gt;=RAF,"",IF($CU26-EC$103&lt;BeginnAlter,"",ROUND((SUM(CX26:CX$56)+SUM(FP$9:FP$56))/VLOOKUP($CU26,$AH$9:$AI$102,2)/VLOOKUP($CU26-EC$103,Männer!$G$9:$J$102,4),Rundäx)))</f>
        <v>5.423</v>
      </c>
      <c r="ED26" s="43">
        <f>IF($CU26&gt;=RAF,"",IF($CU26-ED$103&lt;BeginnAlter,"",ROUND((SUM(CY26:CY$56)+SUM(FQ$9:FQ$56))/VLOOKUP($CU26,$AH$9:$AI$102,2)/VLOOKUP($CU26-ED$103,Männer!$G$9:$J$102,4),Rundäx)))</f>
        <v>5.625</v>
      </c>
      <c r="EE26" s="43">
        <f>IF($CU26&gt;=RAF,"",IF($CU26-EE$103&lt;BeginnAlter,"",ROUND((SUM(CZ26:CZ$56)+SUM(FR$9:FR$56))/VLOOKUP($CU26,$AH$9:$AI$102,2)/VLOOKUP($CU26-EE$103,Männer!$G$9:$J$102,4),Rundäx)))</f>
        <v>5.8289999999999997</v>
      </c>
      <c r="EF26" s="43">
        <f>IF($CU26&gt;=RAF,"",IF($CU26-EF$103&lt;BeginnAlter,"",ROUND((SUM(DA26:DA$56)+SUM(FS$9:FS$56))/VLOOKUP($CU26,$AH$9:$AI$102,2)/VLOOKUP($CU26-EF$103,Männer!$G$9:$J$102,4),Rundäx)))</f>
        <v>6.0339999999999998</v>
      </c>
      <c r="EG26" s="43">
        <f>IF($CU26&gt;=RAF,"",IF($CU26-EG$103&lt;BeginnAlter,"",ROUND((SUM(DB26:DB$56)+SUM(FT$9:FT$56))/VLOOKUP($CU26,$AH$9:$AI$102,2)/VLOOKUP($CU26-EG$103,Männer!$G$9:$J$102,4),Rundäx)))</f>
        <v>6.2409999999999997</v>
      </c>
      <c r="EH26" s="43">
        <f>IF($CU26&gt;=RAF,"",IF($CU26-EH$103&lt;BeginnAlter,"",ROUND((SUM(DC26:DC$56)+SUM(FU$9:FU$56))/VLOOKUP($CU26,$AH$9:$AI$102,2)/VLOOKUP($CU26-EH$103,Männer!$G$9:$J$102,4),Rundäx)))</f>
        <v>6.4489999999999998</v>
      </c>
      <c r="EI26" s="89"/>
      <c r="EJ26" s="35">
        <f t="shared" si="61"/>
        <v>34</v>
      </c>
      <c r="EK26" s="43">
        <f>IF($CU26&gt;=RAF,"",IF($CU26-EK$103&lt;BeginnAlter,"",ROUND((SUM(DD26:DD$56)+SUM(FV$9:FV$56))/VLOOKUP($CU26,$AH$9:$AI$102,2)/VLOOKUP($CU26-EK$103,Männer!$G$9:$J$102,4),Rundäx)))</f>
        <v>6.6580000000000004</v>
      </c>
      <c r="EL26" s="43">
        <f>IF($CU26&gt;=RAF,"",IF($CU26-EL$103&lt;BeginnAlter,"",ROUND((SUM(DE26:DE$56)+SUM(FW$9:FW$56))/VLOOKUP($CU26,$AH$9:$AI$102,2)/VLOOKUP($CU26-EL$103,Männer!$G$9:$J$102,4),Rundäx)))</f>
        <v>6.8689999999999998</v>
      </c>
      <c r="EM26" s="43">
        <f>IF($CU26&gt;=RAF,"",IF($CU26-EM$103&lt;BeginnAlter,"",ROUND((SUM(DF26:DF$56)+SUM(FX$9:FX$56))/VLOOKUP($CU26,$AH$9:$AI$102,2)/VLOOKUP($CU26-EM$103,Männer!$G$9:$J$102,4),Rundäx)))</f>
        <v>7.0810000000000004</v>
      </c>
      <c r="EN26" s="43">
        <f>IF($CU26&gt;=RAF,"",IF($CU26-EN$103&lt;BeginnAlter,"",ROUND((SUM(DG26:DG$56)+SUM(FY$9:FY$56))/VLOOKUP($CU26,$AH$9:$AI$102,2)/VLOOKUP($CU26-EN$103,Männer!$G$9:$J$102,4),Rundäx)))</f>
        <v>7.2949999999999999</v>
      </c>
      <c r="EO26" s="43">
        <f>IF($CU26&gt;=RAF,"",IF($CU26-EO$103&lt;BeginnAlter,"",ROUND((SUM(DH26:DH$56)+SUM(FZ$9:FZ$56))/VLOOKUP($CU26,$AH$9:$AI$102,2)/VLOOKUP($CU26-EO$103,Männer!$G$9:$J$102,4),Rundäx)))</f>
        <v>7.51</v>
      </c>
      <c r="EP26" s="43">
        <f>IF($CU26&gt;=RAF,"",IF($CU26-EP$103&lt;BeginnAlter,"",ROUND((SUM(DI26:DI$56)+SUM(GA$9:GA$56))/VLOOKUP($CU26,$AH$9:$AI$102,2)/VLOOKUP($CU26-EP$103,Männer!$G$9:$J$102,4),Rundäx)))</f>
        <v>7.7270000000000003</v>
      </c>
      <c r="EQ26" s="43">
        <f>IF($CU26&gt;=RAF,"",IF($CU26-EQ$103&lt;BeginnAlter,"",ROUND((SUM(DJ26:DJ$56)+SUM(GB$9:GB$56))/VLOOKUP($CU26,$AH$9:$AI$102,2)/VLOOKUP($CU26-EQ$103,Männer!$G$9:$J$102,4),Rundäx)))</f>
        <v>7.9450000000000003</v>
      </c>
      <c r="ER26" s="43">
        <f>IF($CU26&gt;=RAF,"",IF($CU26-ER$103&lt;BeginnAlter,"",ROUND((SUM(DK26:DK$56)+SUM(GC$9:GC$56))/VLOOKUP($CU26,$AH$9:$AI$102,2)/VLOOKUP($CU26-ER$103,Männer!$G$9:$J$102,4),Rundäx)))</f>
        <v>8.1649999999999991</v>
      </c>
      <c r="ES26" s="89"/>
      <c r="ET26" s="35">
        <f t="shared" si="62"/>
        <v>34</v>
      </c>
      <c r="EU26" s="43">
        <f>IF($CU26&gt;=RAF,"",IF($CU26-EU$103&lt;BeginnAlter,"",ROUND((SUM(DL26:DL$56)+SUM(GD$9:GD$56))/VLOOKUP($CU26,$AH$9:$AI$102,2)/VLOOKUP($CU26-EU$103,Männer!$G$9:$J$102,4),Rundäx)))</f>
        <v>8.3859999999999992</v>
      </c>
      <c r="EV26" s="43">
        <f>IF($CU26&gt;=RAF,"",IF($CU26-EV$103&lt;BeginnAlter,"",ROUND((SUM(DM26:DM$56)+SUM(GE$9:GE$56))/VLOOKUP($CU26,$AH$9:$AI$102,2)/VLOOKUP($CU26-EV$103,Männer!$G$9:$J$102,4),Rundäx)))</f>
        <v>8.6080000000000005</v>
      </c>
      <c r="EW26" s="43">
        <f>IF($CU26&gt;=RAF,"",IF($CU26-EW$103&lt;BeginnAlter,"",ROUND((SUM(DN26:DN$56)+SUM(GF$9:GF$56))/VLOOKUP($CU26,$AH$9:$AI$102,2)/VLOOKUP($CU26-EW$103,Männer!$G$9:$J$102,4),Rundäx)))</f>
        <v>8.8309999999999995</v>
      </c>
      <c r="EX26" s="43">
        <f>IF($CU26&gt;=RAF,"",IF($CU26-EX$103&lt;BeginnAlter,"",ROUND((SUM(DO26:DO$56)+SUM(GG$9:GG$56))/VLOOKUP($CU26,$AH$9:$AI$102,2)/VLOOKUP($CU26-EX$103,Männer!$G$9:$J$102,4),Rundäx)))</f>
        <v>9.0549999999999997</v>
      </c>
      <c r="EY26" s="43">
        <f>IF($CU26&gt;=RAF,"",IF($CU26-EY$103&lt;BeginnAlter,"",ROUND((SUM(DP26:DP$56)+SUM(GH$9:GH$56))/VLOOKUP($CU26,$AH$9:$AI$102,2)/VLOOKUP($CU26-EY$103,Männer!$G$9:$J$102,4),Rundäx)))</f>
        <v>9.2789999999999999</v>
      </c>
      <c r="EZ26" s="43">
        <f>IF($CU26&gt;=RAF,"",IF($CU26-EZ$103&lt;BeginnAlter,"",ROUND((SUM(DQ26:DQ$56)+SUM(GI$9:GI$56))/VLOOKUP($CU26,$AH$9:$AI$102,2)/VLOOKUP($CU26-EZ$103,Männer!$G$9:$J$102,4),Rundäx)))</f>
        <v>9.5030000000000001</v>
      </c>
      <c r="FA26" s="43">
        <f>IF($CU26&gt;=RAF,"",IF($CU26-FA$103&lt;BeginnAlter,"",ROUND((SUM(DR26:DR$56)+SUM(GJ$9:GJ$56))/VLOOKUP($CU26,$AH$9:$AI$102,2)/VLOOKUP($CU26-FA$103,Männer!$G$9:$J$102,4),Rundäx)))</f>
        <v>9.7260000000000009</v>
      </c>
      <c r="FB26" s="43">
        <f>IF($CU26&gt;=RAF,"",IF($CU26-FB$103&lt;BeginnAlter,"",ROUND((SUM(DS26:DS$56)+SUM(GK$9:GK$56))/VLOOKUP($CU26,$AH$9:$AI$102,2)/VLOOKUP($CU26-FB$103,Männer!$G$9:$J$102,4),Rundäx)))</f>
        <v>9.9480000000000004</v>
      </c>
      <c r="FC26" s="89"/>
      <c r="FD26" s="35">
        <f t="shared" si="63"/>
        <v>34</v>
      </c>
      <c r="FE26" s="43">
        <f>IF($CU26&gt;=RAF,"",IF($CU26-FE$103&lt;BeginnAlter,"",ROUND((SUM(DT26:DT$56)+SUM(GL$9:GL$56))/VLOOKUP($CU26,$AH$9:$AI$102,2)/VLOOKUP($CU26-FE$103,Männer!$G$9:$J$102,4),Rundäx)))</f>
        <v>10.17</v>
      </c>
      <c r="FF26" s="43">
        <f>IF($CU26&gt;=RAF,"",IF($CU26-FF$103&lt;BeginnAlter,"",ROUND((SUM(DU26:DU$56)+SUM(GM$9:GM$56))/VLOOKUP($CU26,$AH$9:$AI$102,2)/VLOOKUP($CU26-FF$103,Männer!$G$9:$J$102,4),Rundäx)))</f>
        <v>10.39</v>
      </c>
      <c r="FG26" s="43">
        <f>IF($CU26&gt;=RAF,"",IF($CU26-FG$103&lt;BeginnAlter,"",ROUND((SUM(DV26:DV$56)+SUM(GN$9:GN$56))/VLOOKUP($CU26,$AH$9:$AI$102,2)/VLOOKUP($CU26-FG$103,Männer!$G$9:$J$102,4),Rundäx)))</f>
        <v>10.609</v>
      </c>
      <c r="FH26" s="43">
        <f>IF($CU26&gt;=RAF,"",IF($CU26-FH$103&lt;BeginnAlter,"",ROUND((SUM(DW26:DW$56)+SUM(GO$9:GO$56))/VLOOKUP($CU26,$AH$9:$AI$102,2)/VLOOKUP($CU26-FH$103,Männer!$G$9:$J$102,4),Rundäx)))</f>
        <v>10.827</v>
      </c>
      <c r="FI26" s="43">
        <f>IF($CU26&gt;=RAF,"",IF($CU26-FI$103&lt;BeginnAlter,"",ROUND((SUM(DX26:DX$56)+SUM(GP$9:GP$56))/VLOOKUP($CU26,$AH$9:$AI$102,2)/VLOOKUP($CU26-FI$103,Männer!$G$9:$J$102,4),Rundäx)))</f>
        <v>11.042999999999999</v>
      </c>
      <c r="FJ26" s="43">
        <f>IF($CU26&gt;=RAF,"",IF($CU26-FJ$103&lt;BeginnAlter,"",ROUND((SUM(DY26:DY$56)+SUM(GQ$9:GQ$56))/VLOOKUP($CU26,$AH$9:$AI$102,2)/VLOOKUP($CU26-FJ$103,Männer!$G$9:$J$102,4),Rundäx)))</f>
        <v>11.259</v>
      </c>
      <c r="FK26" s="43">
        <f>IF($CU26&gt;=RAF,"",IF($CU26-FK$103&lt;BeginnAlter,"",ROUND((SUM(DZ26:DZ$56)+SUM(GR$9:GR$56))/VLOOKUP($CU26,$AH$9:$AI$102,2)/VLOOKUP($CU26-FK$103,Männer!$G$9:$J$102,4),Rundäx)))</f>
        <v>11.474</v>
      </c>
      <c r="FL26" s="89"/>
      <c r="FM26" s="35">
        <f t="shared" si="64"/>
        <v>81</v>
      </c>
      <c r="FN26" s="25">
        <f>ROUND(v^($FM26+FaktorAlter)*VLOOKUP($FM26,$G$9:$J$102,4)*VLOOKUP($FM26,$A$9:$E$102,5)*0.5*(VLOOKUP($FM26-FN$103,Männer!$G$9:$J$102,4)+VLOOKUP($FM26-FN$103+1,Männer!$G$9:$J$102,4))*0.5*(VLOOKUP($FM26-FN$103,Männer!$AZ$9:$BD$102,5)+VLOOKUP($FM26-FN$103+1,Männer!$AZ$9:$BD$102,5)),RundDx)</f>
        <v>1998151</v>
      </c>
      <c r="FO26" s="25">
        <f>ROUND(v^($FM26+FaktorAlter)*VLOOKUP($FM26,$G$9:$J$102,4)*VLOOKUP($FM26,$A$9:$E$102,5)*0.5*(VLOOKUP($FM26-FO$103,Männer!$G$9:$J$102,4)+VLOOKUP($FM26-FO$103+1,Männer!$G$9:$J$102,4))*0.5*(VLOOKUP($FM26-FO$103,Männer!$AZ$9:$BD$102,5)+VLOOKUP($FM26-FO$103+1,Männer!$AZ$9:$BD$102,5)),RundDx)</f>
        <v>3458497</v>
      </c>
      <c r="FP26" s="25">
        <f>ROUND(v^($FM26+FaktorAlter)*VLOOKUP($FM26,$G$9:$J$102,4)*VLOOKUP($FM26,$A$9:$E$102,5)*0.5*(VLOOKUP($FM26-FP$103,Männer!$G$9:$J$102,4)+VLOOKUP($FM26-FP$103+1,Männer!$G$9:$J$102,4))*0.5*(VLOOKUP($FM26-FP$103,Männer!$AZ$9:$BD$102,5)+VLOOKUP($FM26-FP$103+1,Männer!$AZ$9:$BD$102,5)),RundDx)</f>
        <v>5621257</v>
      </c>
      <c r="FQ26" s="25">
        <f>ROUND(v^($FM26+FaktorAlter)*VLOOKUP($FM26,$G$9:$J$102,4)*VLOOKUP($FM26,$A$9:$E$102,5)*0.5*(VLOOKUP($FM26-FQ$103,Männer!$G$9:$J$102,4)+VLOOKUP($FM26-FQ$103+1,Männer!$G$9:$J$102,4))*0.5*(VLOOKUP($FM26-FQ$103,Männer!$AZ$9:$BD$102,5)+VLOOKUP($FM26-FQ$103+1,Männer!$AZ$9:$BD$102,5)),RundDx)</f>
        <v>8650517</v>
      </c>
      <c r="FR26" s="25">
        <f>ROUND(v^($FM26+FaktorAlter)*VLOOKUP($FM26,$G$9:$J$102,4)*VLOOKUP($FM26,$A$9:$E$102,5)*0.5*(VLOOKUP($FM26-FR$103,Männer!$G$9:$J$102,4)+VLOOKUP($FM26-FR$103+1,Männer!$G$9:$J$102,4))*0.5*(VLOOKUP($FM26-FR$103,Männer!$AZ$9:$BD$102,5)+VLOOKUP($FM26-FR$103+1,Männer!$AZ$9:$BD$102,5)),RundDx)</f>
        <v>12719245</v>
      </c>
      <c r="FS26" s="25">
        <f>ROUND(v^($FM26+FaktorAlter)*VLOOKUP($FM26,$G$9:$J$102,4)*VLOOKUP($FM26,$A$9:$E$102,5)*0.5*(VLOOKUP($FM26-FS$103,Männer!$G$9:$J$102,4)+VLOOKUP($FM26-FS$103+1,Männer!$G$9:$J$102,4))*0.5*(VLOOKUP($FM26-FS$103,Männer!$AZ$9:$BD$102,5)+VLOOKUP($FM26-FS$103+1,Männer!$AZ$9:$BD$102,5)),RundDx)</f>
        <v>17984716</v>
      </c>
      <c r="FT26" s="25">
        <f>ROUND(v^($FM26+FaktorAlter)*VLOOKUP($FM26,$G$9:$J$102,4)*VLOOKUP($FM26,$A$9:$E$102,5)*0.5*(VLOOKUP($FM26-FT$103,Männer!$G$9:$J$102,4)+VLOOKUP($FM26-FT$103+1,Männer!$G$9:$J$102,4))*0.5*(VLOOKUP($FM26-FT$103,Männer!$AZ$9:$BD$102,5)+VLOOKUP($FM26-FT$103+1,Männer!$AZ$9:$BD$102,5)),RundDx)</f>
        <v>24562323</v>
      </c>
      <c r="FU26" s="25">
        <f>ROUND(v^($FM26+FaktorAlter)*VLOOKUP($FM26,$G$9:$J$102,4)*VLOOKUP($FM26,$A$9:$E$102,5)*0.5*(VLOOKUP($FM26-FU$103,Männer!$G$9:$J$102,4)+VLOOKUP($FM26-FU$103+1,Männer!$G$9:$J$102,4))*0.5*(VLOOKUP($FM26-FU$103,Männer!$AZ$9:$BD$102,5)+VLOOKUP($FM26-FU$103+1,Männer!$AZ$9:$BD$102,5)),RundDx)</f>
        <v>32541051</v>
      </c>
      <c r="FV26" s="25">
        <f>ROUND(v^($FM26+FaktorAlter)*VLOOKUP($FM26,$G$9:$J$102,4)*VLOOKUP($FM26,$A$9:$E$102,5)*0.5*(VLOOKUP($FM26-FV$103,Männer!$G$9:$J$102,4)+VLOOKUP($FM26-FV$103+1,Männer!$G$9:$J$102,4))*0.5*(VLOOKUP($FM26-FV$103,Männer!$AZ$9:$BD$102,5)+VLOOKUP($FM26-FV$103+1,Männer!$AZ$9:$BD$102,5)),RundDx)</f>
        <v>41966817</v>
      </c>
      <c r="FW26" s="25">
        <f>ROUND(v^($FM26+FaktorAlter)*VLOOKUP($FM26,$G$9:$J$102,4)*VLOOKUP($FM26,$A$9:$E$102,5)*0.5*(VLOOKUP($FM26-FW$103,Männer!$G$9:$J$102,4)+VLOOKUP($FM26-FW$103+1,Männer!$G$9:$J$102,4))*0.5*(VLOOKUP($FM26-FW$103,Männer!$AZ$9:$BD$102,5)+VLOOKUP($FM26-FW$103+1,Männer!$AZ$9:$BD$102,5)),RundDx)</f>
        <v>52805162</v>
      </c>
      <c r="FX26" s="25">
        <f>ROUND(v^($FM26+FaktorAlter)*VLOOKUP($FM26,$G$9:$J$102,4)*VLOOKUP($FM26,$A$9:$E$102,5)*0.5*(VLOOKUP($FM26-FX$103,Männer!$G$9:$J$102,4)+VLOOKUP($FM26-FX$103+1,Männer!$G$9:$J$102,4))*0.5*(VLOOKUP($FM26-FX$103,Männer!$AZ$9:$BD$102,5)+VLOOKUP($FM26-FX$103+1,Männer!$AZ$9:$BD$102,5)),RundDx)</f>
        <v>64987576</v>
      </c>
      <c r="FY26" s="25">
        <f>ROUND(v^($FM26+FaktorAlter)*VLOOKUP($FM26,$G$9:$J$102,4)*VLOOKUP($FM26,$A$9:$E$102,5)*0.5*(VLOOKUP($FM26-FY$103,Männer!$G$9:$J$102,4)+VLOOKUP($FM26-FY$103+1,Männer!$G$9:$J$102,4))*0.5*(VLOOKUP($FM26-FY$103,Männer!$AZ$9:$BD$102,5)+VLOOKUP($FM26-FY$103+1,Männer!$AZ$9:$BD$102,5)),RundDx)</f>
        <v>78479338</v>
      </c>
      <c r="FZ26" s="25">
        <f>ROUND(v^($FM26+FaktorAlter)*VLOOKUP($FM26,$G$9:$J$102,4)*VLOOKUP($FM26,$A$9:$E$102,5)*0.5*(VLOOKUP($FM26-FZ$103,Männer!$G$9:$J$102,4)+VLOOKUP($FM26-FZ$103+1,Männer!$G$9:$J$102,4))*0.5*(VLOOKUP($FM26-FZ$103,Männer!$AZ$9:$BD$102,5)+VLOOKUP($FM26-FZ$103+1,Männer!$AZ$9:$BD$102,5)),RundDx)</f>
        <v>93234839</v>
      </c>
      <c r="GA26" s="25">
        <f>ROUND(v^($FM26+FaktorAlter)*VLOOKUP($FM26,$G$9:$J$102,4)*VLOOKUP($FM26,$A$9:$E$102,5)*0.5*(VLOOKUP($FM26-GA$103,Männer!$G$9:$J$102,4)+VLOOKUP($FM26-GA$103+1,Männer!$G$9:$J$102,4))*0.5*(VLOOKUP($FM26-GA$103,Männer!$AZ$9:$BD$102,5)+VLOOKUP($FM26-GA$103+1,Männer!$AZ$9:$BD$102,5)),RundDx)</f>
        <v>109177955</v>
      </c>
      <c r="GB26" s="25">
        <f>ROUND(v^($FM26+FaktorAlter)*VLOOKUP($FM26,$G$9:$J$102,4)*VLOOKUP($FM26,$A$9:$E$102,5)*0.5*(VLOOKUP($FM26-GB$103,Männer!$G$9:$J$102,4)+VLOOKUP($FM26-GB$103+1,Männer!$G$9:$J$102,4))*0.5*(VLOOKUP($FM26-GB$103,Männer!$AZ$9:$BD$102,5)+VLOOKUP($FM26-GB$103+1,Männer!$AZ$9:$BD$102,5)),RundDx)</f>
        <v>126248835</v>
      </c>
      <c r="GC26" s="25">
        <f>ROUND(v^($FM26+FaktorAlter)*VLOOKUP($FM26,$G$9:$J$102,4)*VLOOKUP($FM26,$A$9:$E$102,5)*0.5*(VLOOKUP($FM26-GC$103,Männer!$G$9:$J$102,4)+VLOOKUP($FM26-GC$103+1,Männer!$G$9:$J$102,4))*0.5*(VLOOKUP($FM26-GC$103,Männer!$AZ$9:$BD$102,5)+VLOOKUP($FM26-GC$103+1,Männer!$AZ$9:$BD$102,5)),RundDx)</f>
        <v>144378388</v>
      </c>
      <c r="GD26" s="25">
        <f>ROUND(v^($FM26+FaktorAlter)*VLOOKUP($FM26,$G$9:$J$102,4)*VLOOKUP($FM26,$A$9:$E$102,5)*0.5*(VLOOKUP($FM26-GD$103,Männer!$G$9:$J$102,4)+VLOOKUP($FM26-GD$103+1,Männer!$G$9:$J$102,4))*0.5*(VLOOKUP($FM26-GD$103,Männer!$AZ$9:$BD$102,5)+VLOOKUP($FM26-GD$103+1,Männer!$AZ$9:$BD$102,5)),RundDx)</f>
        <v>163470920</v>
      </c>
      <c r="GE26" s="25">
        <f>ROUND(v^($FM26+FaktorAlter)*VLOOKUP($FM26,$G$9:$J$102,4)*VLOOKUP($FM26,$A$9:$E$102,5)*0.5*(VLOOKUP($FM26-GE$103,Männer!$G$9:$J$102,4)+VLOOKUP($FM26-GE$103+1,Männer!$G$9:$J$102,4))*0.5*(VLOOKUP($FM26-GE$103,Männer!$AZ$9:$BD$102,5)+VLOOKUP($FM26-GE$103+1,Männer!$AZ$9:$BD$102,5)),RundDx)</f>
        <v>183434727</v>
      </c>
      <c r="GF26" s="25">
        <f>ROUND(v^($FM26+FaktorAlter)*VLOOKUP($FM26,$G$9:$J$102,4)*VLOOKUP($FM26,$A$9:$E$102,5)*0.5*(VLOOKUP($FM26-GF$103,Männer!$G$9:$J$102,4)+VLOOKUP($FM26-GF$103+1,Männer!$G$9:$J$102,4))*0.5*(VLOOKUP($FM26-GF$103,Männer!$AZ$9:$BD$102,5)+VLOOKUP($FM26-GF$103+1,Männer!$AZ$9:$BD$102,5)),RundDx)</f>
        <v>204173536</v>
      </c>
      <c r="GG26" s="25">
        <f>ROUND(v^($FM26+FaktorAlter)*VLOOKUP($FM26,$G$9:$J$102,4)*VLOOKUP($FM26,$A$9:$E$102,5)*0.5*(VLOOKUP($FM26-GG$103,Männer!$G$9:$J$102,4)+VLOOKUP($FM26-GG$103+1,Männer!$G$9:$J$102,4))*0.5*(VLOOKUP($FM26-GG$103,Männer!$AZ$9:$BD$102,5)+VLOOKUP($FM26-GG$103+1,Männer!$AZ$9:$BD$102,5)),RundDx)</f>
        <v>225583774</v>
      </c>
      <c r="GH26" s="25">
        <f>ROUND(v^($FM26+FaktorAlter)*VLOOKUP($FM26,$G$9:$J$102,4)*VLOOKUP($FM26,$A$9:$E$102,5)*0.5*(VLOOKUP($FM26-GH$103,Männer!$G$9:$J$102,4)+VLOOKUP($FM26-GH$103+1,Männer!$G$9:$J$102,4))*0.5*(VLOOKUP($FM26-GH$103,Männer!$AZ$9:$BD$102,5)+VLOOKUP($FM26-GH$103+1,Männer!$AZ$9:$BD$102,5)),RundDx)</f>
        <v>247550310</v>
      </c>
      <c r="GI26" s="25">
        <f>ROUND(v^($FM26+FaktorAlter)*VLOOKUP($FM26,$G$9:$J$102,4)*VLOOKUP($FM26,$A$9:$E$102,5)*0.5*(VLOOKUP($FM26-GI$103,Männer!$G$9:$J$102,4)+VLOOKUP($FM26-GI$103+1,Männer!$G$9:$J$102,4))*0.5*(VLOOKUP($FM26-GI$103,Männer!$AZ$9:$BD$102,5)+VLOOKUP($FM26-GI$103+1,Männer!$AZ$9:$BD$102,5)),RundDx)</f>
        <v>269932870</v>
      </c>
      <c r="GJ26" s="25">
        <f>ROUND(v^($FM26+FaktorAlter)*VLOOKUP($FM26,$G$9:$J$102,4)*VLOOKUP($FM26,$A$9:$E$102,5)*0.5*(VLOOKUP($FM26-GJ$103,Männer!$G$9:$J$102,4)+VLOOKUP($FM26-GJ$103+1,Männer!$G$9:$J$102,4))*0.5*(VLOOKUP($FM26-GJ$103,Männer!$AZ$9:$BD$102,5)+VLOOKUP($FM26-GJ$103+1,Männer!$AZ$9:$BD$102,5)),RundDx)</f>
        <v>292627019</v>
      </c>
      <c r="GK26" s="25">
        <f>ROUND(v^($FM26+FaktorAlter)*VLOOKUP($FM26,$G$9:$J$102,4)*VLOOKUP($FM26,$A$9:$E$102,5)*0.5*(VLOOKUP($FM26-GK$103,Männer!$G$9:$J$102,4)+VLOOKUP($FM26-GK$103+1,Männer!$G$9:$J$102,4))*0.5*(VLOOKUP($FM26-GK$103,Männer!$AZ$9:$BD$102,5)+VLOOKUP($FM26-GK$103+1,Männer!$AZ$9:$BD$102,5)),RundDx)</f>
        <v>315503305</v>
      </c>
      <c r="GL26" s="25">
        <f>ROUND(v^($FM26+FaktorAlter)*VLOOKUP($FM26,$G$9:$J$102,4)*VLOOKUP($FM26,$A$9:$E$102,5)*0.5*(VLOOKUP($FM26-GL$103,Männer!$G$9:$J$102,4)+VLOOKUP($FM26-GL$103+1,Männer!$G$9:$J$102,4))*0.5*(VLOOKUP($FM26-GL$103,Männer!$AZ$9:$BD$102,5)+VLOOKUP($FM26-GL$103+1,Männer!$AZ$9:$BD$102,5)),RundDx)</f>
        <v>338549940</v>
      </c>
      <c r="GM26" s="25">
        <f>ROUND(v^($FM26+FaktorAlter)*VLOOKUP($FM26,$G$9:$J$102,4)*VLOOKUP($FM26,$A$9:$E$102,5)*0.5*(VLOOKUP($FM26-GM$103,Männer!$G$9:$J$102,4)+VLOOKUP($FM26-GM$103+1,Männer!$G$9:$J$102,4))*0.5*(VLOOKUP($FM26-GM$103,Männer!$AZ$9:$BD$102,5)+VLOOKUP($FM26-GM$103+1,Männer!$AZ$9:$BD$102,5)),RundDx)</f>
        <v>361738431</v>
      </c>
      <c r="GN26" s="25">
        <f>ROUND(v^($FM26+FaktorAlter)*VLOOKUP($FM26,$G$9:$J$102,4)*VLOOKUP($FM26,$A$9:$E$102,5)*0.5*(VLOOKUP($FM26-GN$103,Männer!$G$9:$J$102,4)+VLOOKUP($FM26-GN$103+1,Männer!$G$9:$J$102,4))*0.5*(VLOOKUP($FM26-GN$103,Männer!$AZ$9:$BD$102,5)+VLOOKUP($FM26-GN$103+1,Männer!$AZ$9:$BD$102,5)),RundDx)</f>
        <v>384959250</v>
      </c>
      <c r="GO26" s="25">
        <f>ROUND(v^($FM26+FaktorAlter)*VLOOKUP($FM26,$G$9:$J$102,4)*VLOOKUP($FM26,$A$9:$E$102,5)*0.5*(VLOOKUP($FM26-GO$103,Männer!$G$9:$J$102,4)+VLOOKUP($FM26-GO$103+1,Männer!$G$9:$J$102,4))*0.5*(VLOOKUP($FM26-GO$103,Männer!$AZ$9:$BD$102,5)+VLOOKUP($FM26-GO$103+1,Männer!$AZ$9:$BD$102,5)),RundDx)</f>
        <v>408198498</v>
      </c>
      <c r="GP26" s="25">
        <f>ROUND(v^($FM26+FaktorAlter)*VLOOKUP($FM26,$G$9:$J$102,4)*VLOOKUP($FM26,$A$9:$E$102,5)*0.5*(VLOOKUP($FM26-GP$103,Männer!$G$9:$J$102,4)+VLOOKUP($FM26-GP$103+1,Männer!$G$9:$J$102,4))*0.5*(VLOOKUP($FM26-GP$103,Männer!$AZ$9:$BD$102,5)+VLOOKUP($FM26-GP$103+1,Männer!$AZ$9:$BD$102,5)),RundDx)</f>
        <v>431538599</v>
      </c>
      <c r="GQ26" s="25">
        <f>ROUND(v^($FM26+FaktorAlter)*VLOOKUP($FM26,$G$9:$J$102,4)*VLOOKUP($FM26,$A$9:$E$102,5)*0.5*(VLOOKUP($FM26-GQ$103,Männer!$G$9:$J$102,4)+VLOOKUP($FM26-GQ$103+1,Männer!$G$9:$J$102,4))*0.5*(VLOOKUP($FM26-GQ$103,Männer!$AZ$9:$BD$102,5)+VLOOKUP($FM26-GQ$103+1,Männer!$AZ$9:$BD$102,5)),RundDx)</f>
        <v>455046867</v>
      </c>
      <c r="GR26" s="25">
        <f>ROUND(v^($FM26+FaktorAlter)*VLOOKUP($FM26,$G$9:$J$102,4)*VLOOKUP($FM26,$A$9:$E$102,5)*0.5*(VLOOKUP($FM26-GR$103,Männer!$G$9:$J$102,4)+VLOOKUP($FM26-GR$103+1,Männer!$G$9:$J$102,4))*0.5*(VLOOKUP($FM26-GR$103,Männer!$AZ$9:$BD$102,5)+VLOOKUP($FM26-GR$103+1,Männer!$AZ$9:$BD$102,5)),RundDx)</f>
        <v>478665268</v>
      </c>
      <c r="GS26" s="24">
        <f>ROUND(SUM(FN26:FN$56)/VLOOKUP($FM26,$AQ$9:$AR$102,2)/VLOOKUP($FM26-GS$103,Männer!$G$9:$J$102,4),Rundäx)</f>
        <v>0.127</v>
      </c>
      <c r="GT26" s="24">
        <f>ROUND(SUM(FO26:FO$56)/VLOOKUP($FM26,$AQ$9:$AR$102,2)/VLOOKUP($FM26-GT$103,Männer!$G$9:$J$102,4),Rundäx)</f>
        <v>0.161</v>
      </c>
      <c r="GU26" s="24">
        <f>ROUND(SUM(FP26:FP$56)/VLOOKUP($FM26,$AQ$9:$AR$102,2)/VLOOKUP($FM26-GU$103,Männer!$G$9:$J$102,4),Rundäx)</f>
        <v>0.20100000000000001</v>
      </c>
      <c r="GV26" s="24">
        <f>ROUND(SUM(FQ26:FQ$56)/VLOOKUP($FM26,$AQ$9:$AR$102,2)/VLOOKUP($FM26-GV$103,Männer!$G$9:$J$102,4),Rundäx)</f>
        <v>0.249</v>
      </c>
      <c r="GW26" s="24">
        <f>ROUND(SUM(FR26:FR$56)/VLOOKUP($FM26,$AQ$9:$AR$102,2)/VLOOKUP($FM26-GW$103,Männer!$G$9:$J$102,4),Rundäx)</f>
        <v>0.307</v>
      </c>
      <c r="GX26" s="24">
        <f>ROUND(SUM(FS26:FS$56)/VLOOKUP($FM26,$AQ$9:$AR$102,2)/VLOOKUP($FM26-GX$103,Männer!$G$9:$J$102,4),Rundäx)</f>
        <v>0.374</v>
      </c>
      <c r="GY26" s="24">
        <f>ROUND(SUM(FT26:FT$56)/VLOOKUP($FM26,$AQ$9:$AR$102,2)/VLOOKUP($FM26-GY$103,Männer!$G$9:$J$102,4),Rundäx)</f>
        <v>0.45300000000000001</v>
      </c>
      <c r="GZ26" s="24">
        <f>ROUND(SUM(FU26:FU$56)/VLOOKUP($FM26,$AQ$9:$AR$102,2)/VLOOKUP($FM26-GZ$103,Männer!$G$9:$J$102,4),Rundäx)</f>
        <v>0.54400000000000004</v>
      </c>
      <c r="HA26" s="89"/>
      <c r="HB26" s="35">
        <f t="shared" si="65"/>
        <v>81</v>
      </c>
      <c r="HC26" s="24">
        <f>ROUND(SUM(FV26:FV$56)/VLOOKUP($FM26,$AQ$9:$AR$102,2)/VLOOKUP($FM26-HC$103,Männer!$G$9:$J$102,4),Rundäx)</f>
        <v>0.64900000000000002</v>
      </c>
      <c r="HD26" s="24">
        <f>ROUND(SUM(FW26:FW$56)/VLOOKUP($FM26,$AQ$9:$AR$102,2)/VLOOKUP($FM26-HD$103,Männer!$G$9:$J$102,4),Rundäx)</f>
        <v>0.76800000000000002</v>
      </c>
      <c r="HE26" s="24">
        <f>ROUND(SUM(FX26:FX$56)/VLOOKUP($FM26,$AQ$9:$AR$102,2)/VLOOKUP($FM26-HE$103,Männer!$G$9:$J$102,4),Rundäx)</f>
        <v>0.90200000000000002</v>
      </c>
      <c r="HF26" s="24">
        <f>ROUND(SUM(FY26:FY$56)/VLOOKUP($FM26,$AQ$9:$AR$102,2)/VLOOKUP($FM26-HF$103,Männer!$G$9:$J$102,4),Rundäx)</f>
        <v>1.052</v>
      </c>
      <c r="HG26" s="24">
        <f>ROUND(SUM(FZ26:FZ$56)/VLOOKUP($FM26,$AQ$9:$AR$102,2)/VLOOKUP($FM26-HG$103,Männer!$G$9:$J$102,4),Rundäx)</f>
        <v>1.2170000000000001</v>
      </c>
      <c r="HH26" s="24">
        <f>ROUND(SUM(GA26:GA$56)/VLOOKUP($FM26,$AQ$9:$AR$102,2)/VLOOKUP($FM26-HH$103,Männer!$G$9:$J$102,4),Rundäx)</f>
        <v>1.3979999999999999</v>
      </c>
      <c r="HI26" s="24">
        <f>ROUND(SUM(GB26:GB$56)/VLOOKUP($FM26,$AQ$9:$AR$102,2)/VLOOKUP($FM26-HI$103,Männer!$G$9:$J$102,4),Rundäx)</f>
        <v>1.595</v>
      </c>
      <c r="HJ26" s="24">
        <f>ROUND(SUM(GC26:GC$56)/VLOOKUP($FM26,$AQ$9:$AR$102,2)/VLOOKUP($FM26-HJ$103,Männer!$G$9:$J$102,4),Rundäx)</f>
        <v>1.8069999999999999</v>
      </c>
      <c r="HK26" s="89"/>
      <c r="HL26" s="35">
        <f t="shared" si="66"/>
        <v>81</v>
      </c>
      <c r="HM26" s="24">
        <f>ROUND(SUM(GD26:GD$56)/VLOOKUP($FM26,$AQ$9:$AR$102,2)/VLOOKUP($FM26-HM$103,Männer!$G$9:$J$102,4),Rundäx)</f>
        <v>2.0329999999999999</v>
      </c>
      <c r="HN26" s="24">
        <f>ROUND(SUM(GE26:GE$56)/VLOOKUP($FM26,$AQ$9:$AR$102,2)/VLOOKUP($FM26-HN$103,Männer!$G$9:$J$102,4),Rundäx)</f>
        <v>2.2749999999999999</v>
      </c>
      <c r="HO26" s="24">
        <f>ROUND(SUM(GF26:GF$56)/VLOOKUP($FM26,$AQ$9:$AR$102,2)/VLOOKUP($FM26-HO$103,Männer!$G$9:$J$102,4),Rundäx)</f>
        <v>2.5299999999999998</v>
      </c>
      <c r="HP26" s="24">
        <f>ROUND(SUM(GG26:GG$56)/VLOOKUP($FM26,$AQ$9:$AR$102,2)/VLOOKUP($FM26-HP$103,Männer!$G$9:$J$102,4),Rundäx)</f>
        <v>2.798</v>
      </c>
      <c r="HQ26" s="24">
        <f>ROUND(SUM(GH26:GH$56)/VLOOKUP($FM26,$AQ$9:$AR$102,2)/VLOOKUP($FM26-HQ$103,Männer!$G$9:$J$102,4),Rundäx)</f>
        <v>3.0790000000000002</v>
      </c>
      <c r="HR26" s="24">
        <f>ROUND(SUM(GI26:GI$56)/VLOOKUP($FM26,$AQ$9:$AR$102,2)/VLOOKUP($FM26-HR$103,Männer!$G$9:$J$102,4),Rundäx)</f>
        <v>3.371</v>
      </c>
      <c r="HS26" s="24">
        <f>ROUND(SUM(GJ26:GJ$56)/VLOOKUP($FM26,$AQ$9:$AR$102,2)/VLOOKUP($FM26-HS$103,Männer!$G$9:$J$102,4),Rundäx)</f>
        <v>3.6739999999999999</v>
      </c>
      <c r="HT26" s="24">
        <f>ROUND(SUM(GK26:GK$56)/VLOOKUP($FM26,$AQ$9:$AR$102,2)/VLOOKUP($FM26-HT$103,Männer!$G$9:$J$102,4),Rundäx)</f>
        <v>3.988</v>
      </c>
      <c r="HU26" s="89"/>
      <c r="HV26" s="35">
        <f t="shared" si="67"/>
        <v>81</v>
      </c>
      <c r="HW26" s="24">
        <f>ROUND(SUM(GL26:GL$56)/VLOOKUP($FM26,$AQ$9:$AR$102,2)/VLOOKUP($FM26-HW$103,Männer!$G$9:$J$102,4),Rundäx)</f>
        <v>4.3099999999999996</v>
      </c>
      <c r="HX26" s="24">
        <f>ROUND(SUM(GM26:GM$56)/VLOOKUP($FM26,$AQ$9:$AR$102,2)/VLOOKUP($FM26-HX$103,Männer!$G$9:$J$102,4),Rundäx)</f>
        <v>4.6399999999999997</v>
      </c>
      <c r="HY26" s="24">
        <f>ROUND(SUM(GN26:GN$56)/VLOOKUP($FM26,$AQ$9:$AR$102,2)/VLOOKUP($FM26-HY$103,Männer!$G$9:$J$102,4),Rundäx)</f>
        <v>4.9779999999999998</v>
      </c>
      <c r="HZ26" s="24">
        <f>ROUND(SUM(GO26:GO$56)/VLOOKUP($FM26,$AQ$9:$AR$102,2)/VLOOKUP($FM26-HZ$103,Männer!$G$9:$J$102,4),Rundäx)</f>
        <v>5.3209999999999997</v>
      </c>
      <c r="IA26" s="24">
        <f>ROUND(SUM(GP26:GP$56)/VLOOKUP($FM26,$AQ$9:$AR$102,2)/VLOOKUP($FM26-IA$103,Männer!$G$9:$J$102,4),Rundäx)</f>
        <v>5.6689999999999996</v>
      </c>
      <c r="IB26" s="24">
        <f>ROUND(SUM(GQ26:GQ$56)/VLOOKUP($FM26,$AQ$9:$AR$102,2)/VLOOKUP($FM26-IB$103,Männer!$G$9:$J$102,4),Rundäx)</f>
        <v>6.02</v>
      </c>
      <c r="IC26" s="24">
        <f>ROUND(SUM(GR26:GR$56)/VLOOKUP($FM26,$AQ$9:$AR$102,2)/VLOOKUP($FM26-IC$103,Männer!$G$9:$J$102,4),Rundäx)</f>
        <v>6.3769999999999998</v>
      </c>
      <c r="ID26" s="89"/>
      <c r="IE26" s="9">
        <f t="shared" si="68"/>
        <v>34</v>
      </c>
      <c r="IF26" s="11">
        <f t="shared" si="25"/>
        <v>324</v>
      </c>
      <c r="IG26" s="11">
        <f>IF($IE26&lt;RAF,IF(S27&lt;=RAK,ROUND(SUM(IF26:INDEX(Daky,RAF-BeginnAlter))+INDEX(Day,RAF-BeginnAlter+1)*INDEX(äky,1),RundDx),0),"")</f>
        <v>4293</v>
      </c>
      <c r="IH26" s="11">
        <f>IF($IE26&lt;RAF,IF(S27&lt;=RAK,ROUND(SUM(IG26:INDEX(Naky,RAF-BeginnAlter))+INDEX(Day,RAF-BeginnAlter+1)*INDEX(äky,1),RundDx),0),"")</f>
        <v>33186</v>
      </c>
      <c r="II26" s="10">
        <f t="shared" si="26"/>
        <v>9.2999999999999999E-2</v>
      </c>
      <c r="IJ26" s="11">
        <f t="shared" si="27"/>
        <v>15922</v>
      </c>
      <c r="IK26" s="11">
        <f>IF($IE26&lt;RAF,IF(S27&lt;=RAK,SUM(IJ26:INDEX(Diky,RAF-BeginnAlter))+INDEX(Diy,RAF-BeginnAlter+1)*INDEX(äky,1),0),"")</f>
        <v>158661</v>
      </c>
      <c r="IL26" s="10">
        <f t="shared" si="28"/>
        <v>1.99</v>
      </c>
      <c r="IM26" s="89"/>
      <c r="IN26" s="9">
        <f t="shared" si="29"/>
        <v>81</v>
      </c>
      <c r="IO26" s="11"/>
      <c r="IP26" s="11"/>
      <c r="IQ26" s="10"/>
      <c r="IR26" s="86"/>
    </row>
    <row r="27" spans="1:252" ht="15.75" customHeight="1" x14ac:dyDescent="0.25">
      <c r="A27" s="9">
        <f t="shared" si="4"/>
        <v>35</v>
      </c>
      <c r="B27" s="93">
        <v>3.4881082090896642E-4</v>
      </c>
      <c r="C27" s="93">
        <v>2.2580185977324162E-3</v>
      </c>
      <c r="D27" s="93">
        <v>2.2510558290516451E-2</v>
      </c>
      <c r="E27" s="93">
        <v>6.9472412404347761E-4</v>
      </c>
      <c r="F27" s="89"/>
      <c r="G27" s="9">
        <f t="shared" si="5"/>
        <v>35</v>
      </c>
      <c r="H27" s="11">
        <f t="shared" si="30"/>
        <v>97890</v>
      </c>
      <c r="I27" s="25">
        <f t="shared" si="31"/>
        <v>1430</v>
      </c>
      <c r="J27" s="25">
        <f t="shared" si="32"/>
        <v>99320</v>
      </c>
      <c r="K27" s="30">
        <f>IF(J27&gt;0,ROUND(SUM(J27:J$102)/J27-0.5,Rundex),"")</f>
        <v>47.45</v>
      </c>
      <c r="L27" s="25">
        <f t="shared" si="6"/>
        <v>166075</v>
      </c>
      <c r="M27" s="30">
        <f>IF(L27&gt;0,ROUND(SUM(L27:L$102)/L27-0.5,Rundex),"")</f>
        <v>33.25</v>
      </c>
      <c r="N27" s="89"/>
      <c r="O27" s="9">
        <f t="shared" si="49"/>
        <v>35</v>
      </c>
      <c r="P27" s="94">
        <v>0.21299999999999999</v>
      </c>
      <c r="Q27" s="95">
        <v>38.517184798751856</v>
      </c>
      <c r="R27" s="94">
        <v>0.50985020044217744</v>
      </c>
      <c r="S27" s="95">
        <v>1.3</v>
      </c>
      <c r="T27" s="28">
        <v>6.9472412404347761E-4</v>
      </c>
      <c r="U27" s="11">
        <f t="shared" si="33"/>
        <v>99320</v>
      </c>
      <c r="V27" s="30">
        <f>IF(U27&gt;0,ROUND(SUM(U27:U$102)/U27-0.5,Rundex),"")</f>
        <v>48.74</v>
      </c>
      <c r="W27" s="89"/>
      <c r="X27" s="9">
        <f t="shared" si="50"/>
        <v>35</v>
      </c>
      <c r="Y27" s="11">
        <f t="shared" si="34"/>
        <v>44929</v>
      </c>
      <c r="Z27" s="11">
        <f>IF($X27&lt;RAF,SUM(Y27:INDEX(Day,RAF-BeginnAlter))," ")</f>
        <v>897889</v>
      </c>
      <c r="AA27" s="11">
        <f t="shared" si="0"/>
        <v>15</v>
      </c>
      <c r="AB27" s="11">
        <f>IF($X27&lt;RAF,SUM(AA27:INDEX(Cay,RAF-BeginnAlter))," ")</f>
        <v>1207</v>
      </c>
      <c r="AC27" s="11">
        <f t="shared" si="1"/>
        <v>100</v>
      </c>
      <c r="AD27" s="11">
        <f>IF($X27&lt;RAF,SUM(AC27:INDEX(Caiy,RAF-BeginnAlter))," ")</f>
        <v>7689</v>
      </c>
      <c r="AE27" s="10">
        <f t="shared" si="35"/>
        <v>19.984999999999999</v>
      </c>
      <c r="AF27" s="10">
        <f t="shared" si="36"/>
        <v>19.693999999999999</v>
      </c>
      <c r="AG27" s="89"/>
      <c r="AH27" s="9">
        <f t="shared" si="51"/>
        <v>35</v>
      </c>
      <c r="AI27" s="11">
        <f t="shared" si="37"/>
        <v>76223</v>
      </c>
      <c r="AJ27" s="11">
        <f>IF($AH27&gt;RAF," ",IF($AH27&lt;RAF,SUM(AI27:INDEX(Diy,RAF-BeginnAlter))+INDEX(Ny,RAF-BeginnAlter+1),INDEX(Ny,RAF-BeginnAlter+1)))</f>
        <v>1653154</v>
      </c>
      <c r="AK27" s="11">
        <f>IF($AH27&lt;RAF,SUM(AI27:INDEX(Diy,RAF-BeginnAlter))," ")</f>
        <v>1287060</v>
      </c>
      <c r="AL27" s="10">
        <f t="shared" si="38"/>
        <v>21.687999999999999</v>
      </c>
      <c r="AM27" s="10">
        <f t="shared" si="39"/>
        <v>21.23</v>
      </c>
      <c r="AN27" s="10">
        <f t="shared" si="40"/>
        <v>16.885000000000002</v>
      </c>
      <c r="AO27" s="10">
        <f t="shared" si="41"/>
        <v>16.558</v>
      </c>
      <c r="AP27" s="89"/>
      <c r="AQ27" s="9">
        <f t="shared" si="52"/>
        <v>35</v>
      </c>
      <c r="AR27" s="11">
        <f t="shared" si="42"/>
        <v>45585</v>
      </c>
      <c r="AS27" s="11">
        <f>SUM(AR27:AR$96)</f>
        <v>1329766</v>
      </c>
      <c r="AT27" s="25">
        <f>IF($AQ27&lt;RAF,SUM(AR27:INDEX(Dy,RAF-BeginnAlter))," ")</f>
        <v>963672</v>
      </c>
      <c r="AU27" s="24">
        <f t="shared" si="43"/>
        <v>29.170999999999999</v>
      </c>
      <c r="AV27" s="24">
        <f t="shared" si="44"/>
        <v>28.713000000000001</v>
      </c>
      <c r="AW27" s="24">
        <f t="shared" si="45"/>
        <v>21.14</v>
      </c>
      <c r="AX27" s="24">
        <f t="shared" si="46"/>
        <v>20.9</v>
      </c>
      <c r="AY27" s="89"/>
      <c r="AZ27" s="9">
        <f t="shared" si="53"/>
        <v>35</v>
      </c>
      <c r="BA27" s="11">
        <f t="shared" si="47"/>
        <v>45585</v>
      </c>
      <c r="BB27" s="11">
        <f>SUM(BA27:BA$96)</f>
        <v>1352555</v>
      </c>
      <c r="BC27" s="10">
        <f t="shared" si="48"/>
        <v>29.670999999999999</v>
      </c>
      <c r="BD27" s="10">
        <f t="shared" si="7"/>
        <v>29.213000000000001</v>
      </c>
      <c r="BE27" s="89"/>
      <c r="BF27" s="9">
        <f t="shared" si="54"/>
        <v>18</v>
      </c>
      <c r="BG27" s="10">
        <f t="shared" si="8"/>
        <v>6.5540000000000003</v>
      </c>
      <c r="BH27" s="10">
        <f t="shared" si="9"/>
        <v>6.4880000000000004</v>
      </c>
      <c r="BI27" s="89"/>
      <c r="BJ27" s="9">
        <f t="shared" si="55"/>
        <v>35</v>
      </c>
      <c r="BK27" s="11">
        <f t="shared" si="10"/>
        <v>2128</v>
      </c>
      <c r="BL27" s="11">
        <f>IF(BJ27&lt;RAF,SUM(BK27:INDEX(Daiy,RAF-BeginnAlter))," ")</f>
        <v>142317</v>
      </c>
      <c r="BM27" s="11">
        <f>IF(BJ27&lt;RAF,SUM(BL27:INDEX(Naiy,RAF-BeginnAlter))," ")</f>
        <v>2664934</v>
      </c>
      <c r="BN27" s="10">
        <f t="shared" si="11"/>
        <v>5.9690000000000003</v>
      </c>
      <c r="BO27" s="10">
        <f t="shared" si="12"/>
        <v>3.1680000000000001</v>
      </c>
      <c r="BP27" s="89"/>
      <c r="BQ27" s="9">
        <f t="shared" si="56"/>
        <v>35</v>
      </c>
      <c r="BR27" s="11">
        <f t="shared" si="13"/>
        <v>1648</v>
      </c>
      <c r="BS27" s="11">
        <f>IF(BQ27&lt;RAF,SUM(BR27:INDEX(Daiys,RAF-BeginnAlter))," ")</f>
        <v>57441</v>
      </c>
      <c r="BT27" s="11">
        <f>IF(BQ27&lt;RAF,SUM(BS27:INDEX(Naiys,RAF-BeginnAlter))," ")</f>
        <v>830274</v>
      </c>
      <c r="BU27" s="10">
        <f t="shared" si="14"/>
        <v>7.8579999999999997</v>
      </c>
      <c r="BV27" s="10">
        <f t="shared" si="15"/>
        <v>1.278</v>
      </c>
      <c r="BW27" s="89"/>
      <c r="BX27" s="9">
        <f t="shared" si="57"/>
        <v>35</v>
      </c>
      <c r="BY27" s="10">
        <f t="shared" si="16"/>
        <v>14.780779811226243</v>
      </c>
      <c r="BZ27" s="11">
        <f t="shared" si="17"/>
        <v>787</v>
      </c>
      <c r="CA27" s="11">
        <f>IF(S28&lt;=RAK,IF($BX27&lt;RAF,SUM(BZ27:INDEX(Dazy,RAF-BeginnAlter)),""),"")</f>
        <v>13440</v>
      </c>
      <c r="CB27" s="10">
        <f t="shared" si="18"/>
        <v>0.29899999999999999</v>
      </c>
      <c r="CC27" s="11">
        <f t="shared" si="19"/>
        <v>25497</v>
      </c>
      <c r="CD27" s="10">
        <f t="shared" si="20"/>
        <v>18.882999999999999</v>
      </c>
      <c r="CE27" s="10">
        <f t="shared" si="21"/>
        <v>3.0000000000000001E-3</v>
      </c>
      <c r="CF27" s="89"/>
      <c r="CG27" s="9">
        <f t="shared" si="58"/>
        <v>35</v>
      </c>
      <c r="CH27" s="11">
        <f>IF(CG27&lt;RAF,ROUND(v^($CG27+FaktorAlter)*$H27*($B27*0.5*($P27+$P28)*(VLOOKUP(TRUNC(0.5*($Q27+$Q28),0),Männer!$AZ$9:$BD$95,5)+(0.5*($Q27+$Q28)-TRUNC(0.5*($Q27+$Q28),0))*(VLOOKUP(TRUNC(0.5*($Q27+$Q28)+1,0),Männer!$AZ$9:$BD$95,5)-VLOOKUP(TRUNC(0.5*($Q27+$Q28),0),Männer!$AZ$9:$BD$95,5)))+$C27*0.5*($CN27+$CN28)),RundDx),"")</f>
        <v>276</v>
      </c>
      <c r="CI27" s="11">
        <f>IF(CG27&lt;RAF,ROUND(SUM(CH27:INDEX(Dawy,RAF-BeginnAlter))+INDEX(Day,RAF-BeginnAlter+1)*INDEX(äwy,1),RundDx),"")</f>
        <v>11984</v>
      </c>
      <c r="CJ27" s="11">
        <f>IF(CG27&lt;RAF,ROUND(SUM(CI27:INDEX(Nawy,RAF-BeginnAlter))+INDEX(Day,RAF-BeginnAlter+1)*INDEX(äwy,1),RundDx),"")</f>
        <v>206467</v>
      </c>
      <c r="CK27" s="10">
        <f t="shared" si="22"/>
        <v>0.26700000000000002</v>
      </c>
      <c r="CL27" s="11">
        <f>IF(CG27&lt;RAF,ROUND(v^($CG27+FaktorAlter)*$L27*$D27*0.5*($P27+$P28)*(VLOOKUP(TRUNC(0.5*($Q27+$Q28),0),Männer!$AZ$9:$BD$95,5)+(0.5*($Q27+$Q28)-TRUNC(0.5*($Q27+$Q28),0))*(VLOOKUP(TRUNC(0.5*($Q27+$Q28)+1,0),Männer!$AZ$9:$BD$95,5)-VLOOKUP(TRUNC(0.5*($Q27+$Q28),0),Männer!$AZ$9:$BD$95,5))),RundDx),"")</f>
        <v>9477</v>
      </c>
      <c r="CM27" s="11">
        <f>IF(CG27&lt;RAF,SUM(CL27:INDEX(Diwy,RAF-BeginnAlter))+INDEX(Diy,RAF-BeginnAlter+1)*INDEX(äwy,1),"")</f>
        <v>145184.304</v>
      </c>
      <c r="CN27" s="10">
        <f t="shared" si="23"/>
        <v>1.905</v>
      </c>
      <c r="CO27" s="89"/>
      <c r="CP27" s="9">
        <f t="shared" si="59"/>
        <v>82</v>
      </c>
      <c r="CQ27" s="11">
        <f>ROUND(v^($CP27+FaktorAlter)*VLOOKUP(CP27,G$9:J$102,4)*VLOOKUP(CP27,A$9:E$102,5)*0.5*(VLOOKUP(CP27,O$9:P$102,2)+VLOOKUP(CP27+1,O$9:P$102,2))*(VLOOKUP(TRUNC(0.5*(VLOOKUP(CP27,O$9:Q$102,3)+VLOOKUP(CP27+1,O$9:Q$102,3)),0),Männer!$AZ$9:$BD$95,5)+(0.5*(VLOOKUP(CP27,O$9:Q$102,3)+VLOOKUP(CP27+1,O$9:Q$102,3))-TRUNC(0.5*(VLOOKUP(CP27,O$9:Q$102,3)+VLOOKUP(CP27+1,O$9:Q$102,3)),0))*(VLOOKUP(TRUNC(0.5*(VLOOKUP(CP27,O$9:Q$102,3)+VLOOKUP(CP27+1,O$9:Q$102,3))+1,0),Männer!$AZ$9:$BD$95,5)-VLOOKUP(TRUNC(0.5*(VLOOKUP(CP27,O$9:Q$102,3)+VLOOKUP(CP27+1,O$9:Q$102,3)),0),Männer!$AZ$9:$BD$95,5))),RundDx)</f>
        <v>19</v>
      </c>
      <c r="CR27" s="11">
        <f>SUM(CQ27:CQ$56)</f>
        <v>163</v>
      </c>
      <c r="CS27" s="24">
        <f t="shared" si="24"/>
        <v>1.6E-2</v>
      </c>
      <c r="CT27" s="89"/>
      <c r="CU27" s="35">
        <f t="shared" si="60"/>
        <v>35</v>
      </c>
      <c r="CV27" s="25">
        <f>IF($CU27&gt;=RAF,"",IF($CU27-CV$103&lt;BeginnAlter,"",ROUND(v^($CU27+FaktorAlter)*$L27*$D27*0.5*(VLOOKUP($CU27-CV$103,Männer!$G$9:$J$102,4)+VLOOKUP($CU27-CV$103+1,Männer!$G$9:$J$102,4))*0.5*(VLOOKUP($CU27-CV$103,Männer!$AZ$9:$BD$102,5)+VLOOKUP($CU27-CV$103+1,Männer!$AZ$9:$BD$102,5)),RundDx)))</f>
        <v>3243084248</v>
      </c>
      <c r="CW27" s="25">
        <f>IF($CU27&gt;=RAF,"",IF($CU27-CW$103&lt;BeginnAlter,"",ROUND(v^($CU27+FaktorAlter)*$L27*$D27*0.5*(VLOOKUP($CU27-CW$103,Männer!$G$9:$J$102,4)+VLOOKUP($CU27-CW$103+1,Männer!$G$9:$J$102,4))*0.5*(VLOOKUP($CU27-CW$103,Männer!$AZ$9:$BD$102,5)+VLOOKUP($CU27-CW$103+1,Männer!$AZ$9:$BD$102,5)),RundDx)))</f>
        <v>3333777102</v>
      </c>
      <c r="CX27" s="25">
        <f>IF($CU27&gt;=RAF,"",IF($CU27-CX$103&lt;BeginnAlter,"",ROUND(v^($CU27+FaktorAlter)*$L27*$D27*0.5*(VLOOKUP($CU27-CX$103,Männer!$G$9:$J$102,4)+VLOOKUP($CU27-CX$103+1,Männer!$G$9:$J$102,4))*0.5*(VLOOKUP($CU27-CX$103,Männer!$AZ$9:$BD$102,5)+VLOOKUP($CU27-CX$103+1,Männer!$AZ$9:$BD$102,5)),RundDx)))</f>
        <v>3422921054</v>
      </c>
      <c r="CY27" s="25">
        <f>IF($CU27&gt;=RAF,"",IF($CU27-CY$103&lt;BeginnAlter,"",ROUND(v^($CU27+FaktorAlter)*$L27*$D27*0.5*(VLOOKUP($CU27-CY$103,Männer!$G$9:$J$102,4)+VLOOKUP($CU27-CY$103+1,Männer!$G$9:$J$102,4))*0.5*(VLOOKUP($CU27-CY$103,Männer!$AZ$9:$BD$102,5)+VLOOKUP($CU27-CY$103+1,Männer!$AZ$9:$BD$102,5)),RundDx)))</f>
        <v>3510420707</v>
      </c>
      <c r="CZ27" s="25">
        <f>IF($CU27&gt;=RAF,"",IF($CU27-CZ$103&lt;BeginnAlter,"",ROUND(v^($CU27+FaktorAlter)*$L27*$D27*0.5*(VLOOKUP($CU27-CZ$103,Männer!$G$9:$J$102,4)+VLOOKUP($CU27-CZ$103+1,Männer!$G$9:$J$102,4))*0.5*(VLOOKUP($CU27-CZ$103,Männer!$AZ$9:$BD$102,5)+VLOOKUP($CU27-CZ$103+1,Männer!$AZ$9:$BD$102,5)),RundDx)))</f>
        <v>3596384163</v>
      </c>
      <c r="DA27" s="25">
        <f>IF($CU27&gt;=RAF,"",IF($CU27-DA$103&lt;BeginnAlter,"",ROUND(v^($CU27+FaktorAlter)*$L27*$D27*0.5*(VLOOKUP($CU27-DA$103,Männer!$G$9:$J$102,4)+VLOOKUP($CU27-DA$103+1,Männer!$G$9:$J$102,4))*0.5*(VLOOKUP($CU27-DA$103,Männer!$AZ$9:$BD$102,5)+VLOOKUP($CU27-DA$103+1,Männer!$AZ$9:$BD$102,5)),RundDx)))</f>
        <v>3680807488</v>
      </c>
      <c r="DB27" s="25">
        <f>IF($CU27&gt;=RAF,"",IF($CU27-DB$103&lt;BeginnAlter,"",ROUND(v^($CU27+FaktorAlter)*$L27*$D27*0.5*(VLOOKUP($CU27-DB$103,Männer!$G$9:$J$102,4)+VLOOKUP($CU27-DB$103+1,Männer!$G$9:$J$102,4))*0.5*(VLOOKUP($CU27-DB$103,Männer!$AZ$9:$BD$102,5)+VLOOKUP($CU27-DB$103+1,Männer!$AZ$9:$BD$102,5)),RundDx)))</f>
        <v>3763691020</v>
      </c>
      <c r="DC27" s="25">
        <f>IF($CU27&gt;=RAF,"",IF($CU27-DC$103&lt;BeginnAlter,"",ROUND(v^($CU27+FaktorAlter)*$L27*$D27*0.5*(VLOOKUP($CU27-DC$103,Männer!$G$9:$J$102,4)+VLOOKUP($CU27-DC$103+1,Männer!$G$9:$J$102,4))*0.5*(VLOOKUP($CU27-DC$103,Männer!$AZ$9:$BD$102,5)+VLOOKUP($CU27-DC$103+1,Männer!$AZ$9:$BD$102,5)),RundDx)))</f>
        <v>3844999922</v>
      </c>
      <c r="DD27" s="25">
        <f>IF($CU27&gt;=RAF,"",IF($CU27-DD$103&lt;BeginnAlter,"",ROUND(v^($CU27+FaktorAlter)*$L27*$D27*0.5*(VLOOKUP($CU27-DD$103,Männer!$G$9:$J$102,4)+VLOOKUP($CU27-DD$103+1,Männer!$G$9:$J$102,4))*0.5*(VLOOKUP($CU27-DD$103,Männer!$AZ$9:$BD$102,5)+VLOOKUP($CU27-DD$103+1,Männer!$AZ$9:$BD$102,5)),RundDx)))</f>
        <v>3924823532</v>
      </c>
      <c r="DE27" s="25">
        <f>IF($CU27&gt;=RAF,"",IF($CU27-DE$103&lt;BeginnAlter,"",ROUND(v^($CU27+FaktorAlter)*$L27*$D27*0.5*(VLOOKUP($CU27-DE$103,Männer!$G$9:$J$102,4)+VLOOKUP($CU27-DE$103+1,Männer!$G$9:$J$102,4))*0.5*(VLOOKUP($CU27-DE$103,Männer!$AZ$9:$BD$102,5)+VLOOKUP($CU27-DE$103+1,Männer!$AZ$9:$BD$102,5)),RundDx)))</f>
        <v>4003235243</v>
      </c>
      <c r="DF27" s="25">
        <f>IF($CU27&gt;=RAF,"",IF($CU27-DF$103&lt;BeginnAlter,"",ROUND(v^($CU27+FaktorAlter)*$L27*$D27*0.5*(VLOOKUP($CU27-DF$103,Männer!$G$9:$J$102,4)+VLOOKUP($CU27-DF$103+1,Männer!$G$9:$J$102,4))*0.5*(VLOOKUP($CU27-DF$103,Männer!$AZ$9:$BD$102,5)+VLOOKUP($CU27-DF$103+1,Männer!$AZ$9:$BD$102,5)),RundDx)))</f>
        <v>4080102967</v>
      </c>
      <c r="DG27" s="25">
        <f>IF($CU27&gt;=RAF,"",IF($CU27-DG$103&lt;BeginnAlter,"",ROUND(v^($CU27+FaktorAlter)*$L27*$D27*0.5*(VLOOKUP($CU27-DG$103,Männer!$G$9:$J$102,4)+VLOOKUP($CU27-DG$103+1,Männer!$G$9:$J$102,4))*0.5*(VLOOKUP($CU27-DG$103,Männer!$AZ$9:$BD$102,5)+VLOOKUP($CU27-DG$103+1,Männer!$AZ$9:$BD$102,5)),RundDx)))</f>
        <v>4155419227</v>
      </c>
      <c r="DH27" s="25">
        <f>IF($CU27&gt;=RAF,"",IF($CU27-DH$103&lt;BeginnAlter,"",ROUND(v^($CU27+FaktorAlter)*$L27*$D27*0.5*(VLOOKUP($CU27-DH$103,Männer!$G$9:$J$102,4)+VLOOKUP($CU27-DH$103+1,Männer!$G$9:$J$102,4))*0.5*(VLOOKUP($CU27-DH$103,Männer!$AZ$9:$BD$102,5)+VLOOKUP($CU27-DH$103+1,Männer!$AZ$9:$BD$102,5)),RundDx)))</f>
        <v>4229408098</v>
      </c>
      <c r="DI27" s="25">
        <f>IF($CU27&gt;=RAF,"",IF($CU27-DI$103&lt;BeginnAlter,"",ROUND(v^($CU27+FaktorAlter)*$L27*$D27*0.5*(VLOOKUP($CU27-DI$103,Männer!$G$9:$J$102,4)+VLOOKUP($CU27-DI$103+1,Männer!$G$9:$J$102,4))*0.5*(VLOOKUP($CU27-DI$103,Männer!$AZ$9:$BD$102,5)+VLOOKUP($CU27-DI$103+1,Männer!$AZ$9:$BD$102,5)),RundDx)))</f>
        <v>4301982682</v>
      </c>
      <c r="DJ27" s="25">
        <f>IF($CU27&gt;=RAF,"",IF($CU27-DJ$103&lt;BeginnAlter,"",ROUND(v^($CU27+FaktorAlter)*$L27*$D27*0.5*(VLOOKUP($CU27-DJ$103,Männer!$G$9:$J$102,4)+VLOOKUP($CU27-DJ$103+1,Männer!$G$9:$J$102,4))*0.5*(VLOOKUP($CU27-DJ$103,Männer!$AZ$9:$BD$102,5)+VLOOKUP($CU27-DJ$103+1,Männer!$AZ$9:$BD$102,5)),RundDx)))</f>
        <v>4373079888</v>
      </c>
      <c r="DK27" s="25">
        <f>IF($CU27&gt;=RAF,"",IF($CU27-DK$103&lt;BeginnAlter,"",ROUND(v^($CU27+FaktorAlter)*$L27*$D27*0.5*(VLOOKUP($CU27-DK$103,Männer!$G$9:$J$102,4)+VLOOKUP($CU27-DK$103+1,Männer!$G$9:$J$102,4))*0.5*(VLOOKUP($CU27-DK$103,Männer!$AZ$9:$BD$102,5)+VLOOKUP($CU27-DK$103+1,Männer!$AZ$9:$BD$102,5)),RundDx)))</f>
        <v>4442846243</v>
      </c>
      <c r="DL27" s="25">
        <f>IF($CU27&gt;=RAF,"",IF($CU27-DL$103&lt;BeginnAlter,"",ROUND(v^($CU27+FaktorAlter)*$L27*$D27*0.5*(VLOOKUP($CU27-DL$103,Männer!$G$9:$J$102,4)+VLOOKUP($CU27-DL$103+1,Männer!$G$9:$J$102,4))*0.5*(VLOOKUP($CU27-DL$103,Männer!$AZ$9:$BD$102,5)+VLOOKUP($CU27-DL$103+1,Männer!$AZ$9:$BD$102,5)),RundDx)))</f>
        <v>4511177725</v>
      </c>
      <c r="DM27" s="25">
        <f>IF($CU27&gt;=RAF,"",IF($CU27-DM$103&lt;BeginnAlter,"",ROUND(v^($CU27+FaktorAlter)*$L27*$D27*0.5*(VLOOKUP($CU27-DM$103,Männer!$G$9:$J$102,4)+VLOOKUP($CU27-DM$103+1,Männer!$G$9:$J$102,4))*0.5*(VLOOKUP($CU27-DM$103,Männer!$AZ$9:$BD$102,5)+VLOOKUP($CU27-DM$103+1,Männer!$AZ$9:$BD$102,5)),RundDx)))</f>
        <v>4578123964</v>
      </c>
      <c r="DN27" s="25">
        <f>IF($CU27&gt;=RAF,"",IF($CU27-DN$103&lt;BeginnAlter,"",ROUND(v^($CU27+FaktorAlter)*$L27*$D27*0.5*(VLOOKUP($CU27-DN$103,Männer!$G$9:$J$102,4)+VLOOKUP($CU27-DN$103+1,Männer!$G$9:$J$102,4))*0.5*(VLOOKUP($CU27-DN$103,Männer!$AZ$9:$BD$102,5)+VLOOKUP($CU27-DN$103+1,Männer!$AZ$9:$BD$102,5)),RundDx)))</f>
        <v>4643738959</v>
      </c>
      <c r="DO27" s="25">
        <f>IF($CU27&gt;=RAF,"",IF($CU27-DO$103&lt;BeginnAlter,"",ROUND(v^($CU27+FaktorAlter)*$L27*$D27*0.5*(VLOOKUP($CU27-DO$103,Männer!$G$9:$J$102,4)+VLOOKUP($CU27-DO$103+1,Männer!$G$9:$J$102,4))*0.5*(VLOOKUP($CU27-DO$103,Männer!$AZ$9:$BD$102,5)+VLOOKUP($CU27-DO$103+1,Männer!$AZ$9:$BD$102,5)),RundDx)))</f>
        <v>4708057155</v>
      </c>
      <c r="DP27" s="25">
        <f>IF($CU27&gt;=RAF,"",IF($CU27-DP$103&lt;BeginnAlter,"",ROUND(v^($CU27+FaktorAlter)*$L27*$D27*0.5*(VLOOKUP($CU27-DP$103,Männer!$G$9:$J$102,4)+VLOOKUP($CU27-DP$103+1,Männer!$G$9:$J$102,4))*0.5*(VLOOKUP($CU27-DP$103,Männer!$AZ$9:$BD$102,5)+VLOOKUP($CU27-DP$103+1,Männer!$AZ$9:$BD$102,5)),RundDx)))</f>
        <v>4771091762</v>
      </c>
      <c r="DQ27" s="25">
        <f>IF($CU27&gt;=RAF,"",IF($CU27-DQ$103&lt;BeginnAlter,"",ROUND(v^($CU27+FaktorAlter)*$L27*$D27*0.5*(VLOOKUP($CU27-DQ$103,Männer!$G$9:$J$102,4)+VLOOKUP($CU27-DQ$103+1,Männer!$G$9:$J$102,4))*0.5*(VLOOKUP($CU27-DQ$103,Männer!$AZ$9:$BD$102,5)+VLOOKUP($CU27-DQ$103+1,Männer!$AZ$9:$BD$102,5)),RundDx)))</f>
        <v>4832821932</v>
      </c>
      <c r="DR27" s="25">
        <f>IF($CU27&gt;=RAF,"",IF($CU27-DR$103&lt;BeginnAlter,"",ROUND(v^($CU27+FaktorAlter)*$L27*$D27*0.5*(VLOOKUP($CU27-DR$103,Männer!$G$9:$J$102,4)+VLOOKUP($CU27-DR$103+1,Männer!$G$9:$J$102,4))*0.5*(VLOOKUP($CU27-DR$103,Männer!$AZ$9:$BD$102,5)+VLOOKUP($CU27-DR$103+1,Männer!$AZ$9:$BD$102,5)),RundDx)))</f>
        <v>4893314653</v>
      </c>
      <c r="DS27" s="25">
        <f>IF($CU27&gt;=RAF,"",IF($CU27-DS$103&lt;BeginnAlter,"",ROUND(v^($CU27+FaktorAlter)*$L27*$D27*0.5*(VLOOKUP($CU27-DS$103,Männer!$G$9:$J$102,4)+VLOOKUP($CU27-DS$103+1,Männer!$G$9:$J$102,4))*0.5*(VLOOKUP($CU27-DS$103,Männer!$AZ$9:$BD$102,5)+VLOOKUP($CU27-DS$103+1,Männer!$AZ$9:$BD$102,5)),RundDx)))</f>
        <v>4952531242</v>
      </c>
      <c r="DT27" s="25">
        <f>IF($CU27&gt;=RAF,"",IF($CU27-DT$103&lt;BeginnAlter,"",ROUND(v^($CU27+FaktorAlter)*$L27*$D27*0.5*(VLOOKUP($CU27-DT$103,Männer!$G$9:$J$102,4)+VLOOKUP($CU27-DT$103+1,Männer!$G$9:$J$102,4))*0.5*(VLOOKUP($CU27-DT$103,Männer!$AZ$9:$BD$102,5)+VLOOKUP($CU27-DT$103+1,Männer!$AZ$9:$BD$102,5)),RundDx)))</f>
        <v>5010629066</v>
      </c>
      <c r="DU27" s="25">
        <f>IF($CU27&gt;=RAF,"",IF($CU27-DU$103&lt;BeginnAlter,"",ROUND(v^($CU27+FaktorAlter)*$L27*$D27*0.5*(VLOOKUP($CU27-DU$103,Männer!$G$9:$J$102,4)+VLOOKUP($CU27-DU$103+1,Männer!$G$9:$J$102,4))*0.5*(VLOOKUP($CU27-DU$103,Männer!$AZ$9:$BD$102,5)+VLOOKUP($CU27-DU$103+1,Männer!$AZ$9:$BD$102,5)),RundDx)))</f>
        <v>5067582669</v>
      </c>
      <c r="DV27" s="25">
        <f>IF($CU27&gt;=RAF,"",IF($CU27-DV$103&lt;BeginnAlter,"",ROUND(v^($CU27+FaktorAlter)*$L27*$D27*0.5*(VLOOKUP($CU27-DV$103,Männer!$G$9:$J$102,4)+VLOOKUP($CU27-DV$103+1,Männer!$G$9:$J$102,4))*0.5*(VLOOKUP($CU27-DV$103,Männer!$AZ$9:$BD$102,5)+VLOOKUP($CU27-DV$103+1,Männer!$AZ$9:$BD$102,5)),RundDx)))</f>
        <v>5123247841</v>
      </c>
      <c r="DW27" s="25">
        <f>IF($CU27&gt;=RAF,"",IF($CU27-DW$103&lt;BeginnAlter,"",ROUND(v^($CU27+FaktorAlter)*$L27*$D27*0.5*(VLOOKUP($CU27-DW$103,Männer!$G$9:$J$102,4)+VLOOKUP($CU27-DW$103+1,Männer!$G$9:$J$102,4))*0.5*(VLOOKUP($CU27-DW$103,Männer!$AZ$9:$BD$102,5)+VLOOKUP($CU27-DW$103+1,Männer!$AZ$9:$BD$102,5)),RundDx)))</f>
        <v>5177877733</v>
      </c>
      <c r="DX27" s="25">
        <f>IF($CU27&gt;=RAF,"",IF($CU27-DX$103&lt;BeginnAlter,"",ROUND(v^($CU27+FaktorAlter)*$L27*$D27*0.5*(VLOOKUP($CU27-DX$103,Männer!$G$9:$J$102,4)+VLOOKUP($CU27-DX$103+1,Männer!$G$9:$J$102,4))*0.5*(VLOOKUP($CU27-DX$103,Männer!$AZ$9:$BD$102,5)+VLOOKUP($CU27-DX$103+1,Männer!$AZ$9:$BD$102,5)),RundDx)))</f>
        <v>5231451932</v>
      </c>
      <c r="DY27" s="25">
        <f>IF($CU27&gt;=RAF,"",IF($CU27-DY$103&lt;BeginnAlter,"",ROUND(v^($CU27+FaktorAlter)*$L27*$D27*0.5*(VLOOKUP($CU27-DY$103,Männer!$G$9:$J$102,4)+VLOOKUP($CU27-DY$103+1,Männer!$G$9:$J$102,4))*0.5*(VLOOKUP($CU27-DY$103,Männer!$AZ$9:$BD$102,5)+VLOOKUP($CU27-DY$103+1,Männer!$AZ$9:$BD$102,5)),RundDx)))</f>
        <v>5283946232</v>
      </c>
      <c r="DZ27" s="25">
        <f>IF($CU27&gt;=RAF,"",IF($CU27-DZ$103&lt;BeginnAlter,"",ROUND(v^($CU27+FaktorAlter)*$L27*$D27*0.5*(VLOOKUP($CU27-DZ$103,Männer!$G$9:$J$102,4)+VLOOKUP($CU27-DZ$103+1,Männer!$G$9:$J$102,4))*0.5*(VLOOKUP($CU27-DZ$103,Männer!$AZ$9:$BD$102,5)+VLOOKUP($CU27-DZ$103+1,Männer!$AZ$9:$BD$102,5)),RundDx)))</f>
        <v>5335390860</v>
      </c>
      <c r="EA27" s="43">
        <f>IF($CU27&gt;=RAF,"",IF($CU27-EA$103&lt;BeginnAlter,"",ROUND((SUM(CV27:CV$56)+SUM(FN$9:FN$56))/VLOOKUP($CU27,$AH$9:$AI$102,2)/VLOOKUP($CU27-EA$103,Männer!$G$9:$J$102,4),Rundäx)))</f>
        <v>4.7919999999999998</v>
      </c>
      <c r="EB27" s="43">
        <f>IF($CU27&gt;=RAF,"",IF($CU27-EB$103&lt;BeginnAlter,"",ROUND((SUM(CW27:CW$56)+SUM(FO$9:FO$56))/VLOOKUP($CU27,$AH$9:$AI$102,2)/VLOOKUP($CU27-EB$103,Männer!$G$9:$J$102,4),Rundäx)))</f>
        <v>4.9880000000000004</v>
      </c>
      <c r="EC27" s="43">
        <f>IF($CU27&gt;=RAF,"",IF($CU27-EC$103&lt;BeginnAlter,"",ROUND((SUM(CX27:CX$56)+SUM(FP$9:FP$56))/VLOOKUP($CU27,$AH$9:$AI$102,2)/VLOOKUP($CU27-EC$103,Männer!$G$9:$J$102,4),Rundäx)))</f>
        <v>5.1870000000000003</v>
      </c>
      <c r="ED27" s="43">
        <f>IF($CU27&gt;=RAF,"",IF($CU27-ED$103&lt;BeginnAlter,"",ROUND((SUM(CY27:CY$56)+SUM(FQ$9:FQ$56))/VLOOKUP($CU27,$AH$9:$AI$102,2)/VLOOKUP($CU27-ED$103,Männer!$G$9:$J$102,4),Rundäx)))</f>
        <v>5.3869999999999996</v>
      </c>
      <c r="EE27" s="43">
        <f>IF($CU27&gt;=RAF,"",IF($CU27-EE$103&lt;BeginnAlter,"",ROUND((SUM(CZ27:CZ$56)+SUM(FR$9:FR$56))/VLOOKUP($CU27,$AH$9:$AI$102,2)/VLOOKUP($CU27-EE$103,Männer!$G$9:$J$102,4),Rundäx)))</f>
        <v>5.59</v>
      </c>
      <c r="EF27" s="43">
        <f>IF($CU27&gt;=RAF,"",IF($CU27-EF$103&lt;BeginnAlter,"",ROUND((SUM(DA27:DA$56)+SUM(FS$9:FS$56))/VLOOKUP($CU27,$AH$9:$AI$102,2)/VLOOKUP($CU27-EF$103,Männer!$G$9:$J$102,4),Rundäx)))</f>
        <v>5.7930000000000001</v>
      </c>
      <c r="EG27" s="43">
        <f>IF($CU27&gt;=RAF,"",IF($CU27-EG$103&lt;BeginnAlter,"",ROUND((SUM(DB27:DB$56)+SUM(FT$9:FT$56))/VLOOKUP($CU27,$AH$9:$AI$102,2)/VLOOKUP($CU27-EG$103,Männer!$G$9:$J$102,4),Rundäx)))</f>
        <v>5.9980000000000002</v>
      </c>
      <c r="EH27" s="43">
        <f>IF($CU27&gt;=RAF,"",IF($CU27-EH$103&lt;BeginnAlter,"",ROUND((SUM(DC27:DC$56)+SUM(FU$9:FU$56))/VLOOKUP($CU27,$AH$9:$AI$102,2)/VLOOKUP($CU27-EH$103,Männer!$G$9:$J$102,4),Rundäx)))</f>
        <v>6.2050000000000001</v>
      </c>
      <c r="EI27" s="89"/>
      <c r="EJ27" s="35">
        <f t="shared" si="61"/>
        <v>35</v>
      </c>
      <c r="EK27" s="43">
        <f>IF($CU27&gt;=RAF,"",IF($CU27-EK$103&lt;BeginnAlter,"",ROUND((SUM(DD27:DD$56)+SUM(FV$9:FV$56))/VLOOKUP($CU27,$AH$9:$AI$102,2)/VLOOKUP($CU27-EK$103,Männer!$G$9:$J$102,4),Rundäx)))</f>
        <v>6.4139999999999997</v>
      </c>
      <c r="EL27" s="43">
        <f>IF($CU27&gt;=RAF,"",IF($CU27-EL$103&lt;BeginnAlter,"",ROUND((SUM(DE27:DE$56)+SUM(FW$9:FW$56))/VLOOKUP($CU27,$AH$9:$AI$102,2)/VLOOKUP($CU27-EL$103,Männer!$G$9:$J$102,4),Rundäx)))</f>
        <v>6.6239999999999997</v>
      </c>
      <c r="EM27" s="43">
        <f>IF($CU27&gt;=RAF,"",IF($CU27-EM$103&lt;BeginnAlter,"",ROUND((SUM(DF27:DF$56)+SUM(FX$9:FX$56))/VLOOKUP($CU27,$AH$9:$AI$102,2)/VLOOKUP($CU27-EM$103,Männer!$G$9:$J$102,4),Rundäx)))</f>
        <v>6.8360000000000003</v>
      </c>
      <c r="EN27" s="43">
        <f>IF($CU27&gt;=RAF,"",IF($CU27-EN$103&lt;BeginnAlter,"",ROUND((SUM(DG27:DG$56)+SUM(FY$9:FY$56))/VLOOKUP($CU27,$AH$9:$AI$102,2)/VLOOKUP($CU27-EN$103,Männer!$G$9:$J$102,4),Rundäx)))</f>
        <v>7.0490000000000004</v>
      </c>
      <c r="EO27" s="43">
        <f>IF($CU27&gt;=RAF,"",IF($CU27-EO$103&lt;BeginnAlter,"",ROUND((SUM(DH27:DH$56)+SUM(FZ$9:FZ$56))/VLOOKUP($CU27,$AH$9:$AI$102,2)/VLOOKUP($CU27-EO$103,Männer!$G$9:$J$102,4),Rundäx)))</f>
        <v>7.2640000000000002</v>
      </c>
      <c r="EP27" s="43">
        <f>IF($CU27&gt;=RAF,"",IF($CU27-EP$103&lt;BeginnAlter,"",ROUND((SUM(DI27:DI$56)+SUM(GA$9:GA$56))/VLOOKUP($CU27,$AH$9:$AI$102,2)/VLOOKUP($CU27-EP$103,Männer!$G$9:$J$102,4),Rundäx)))</f>
        <v>7.4820000000000002</v>
      </c>
      <c r="EQ27" s="43">
        <f>IF($CU27&gt;=RAF,"",IF($CU27-EQ$103&lt;BeginnAlter,"",ROUND((SUM(DJ27:DJ$56)+SUM(GB$9:GB$56))/VLOOKUP($CU27,$AH$9:$AI$102,2)/VLOOKUP($CU27-EQ$103,Männer!$G$9:$J$102,4),Rundäx)))</f>
        <v>7.7</v>
      </c>
      <c r="ER27" s="43">
        <f>IF($CU27&gt;=RAF,"",IF($CU27-ER$103&lt;BeginnAlter,"",ROUND((SUM(DK27:DK$56)+SUM(GC$9:GC$56))/VLOOKUP($CU27,$AH$9:$AI$102,2)/VLOOKUP($CU27-ER$103,Männer!$G$9:$J$102,4),Rundäx)))</f>
        <v>7.9210000000000003</v>
      </c>
      <c r="ES27" s="89"/>
      <c r="ET27" s="35">
        <f t="shared" si="62"/>
        <v>35</v>
      </c>
      <c r="EU27" s="43">
        <f>IF($CU27&gt;=RAF,"",IF($CU27-EU$103&lt;BeginnAlter,"",ROUND((SUM(DL27:DL$56)+SUM(GD$9:GD$56))/VLOOKUP($CU27,$AH$9:$AI$102,2)/VLOOKUP($CU27-EU$103,Männer!$G$9:$J$102,4),Rundäx)))</f>
        <v>8.1430000000000007</v>
      </c>
      <c r="EV27" s="43">
        <f>IF($CU27&gt;=RAF,"",IF($CU27-EV$103&lt;BeginnAlter,"",ROUND((SUM(DM27:DM$56)+SUM(GE$9:GE$56))/VLOOKUP($CU27,$AH$9:$AI$102,2)/VLOOKUP($CU27-EV$103,Männer!$G$9:$J$102,4),Rundäx)))</f>
        <v>8.3670000000000009</v>
      </c>
      <c r="EW27" s="43">
        <f>IF($CU27&gt;=RAF,"",IF($CU27-EW$103&lt;BeginnAlter,"",ROUND((SUM(DN27:DN$56)+SUM(GF$9:GF$56))/VLOOKUP($CU27,$AH$9:$AI$102,2)/VLOOKUP($CU27-EW$103,Männer!$G$9:$J$102,4),Rundäx)))</f>
        <v>8.5909999999999993</v>
      </c>
      <c r="EX27" s="43">
        <f>IF($CU27&gt;=RAF,"",IF($CU27-EX$103&lt;BeginnAlter,"",ROUND((SUM(DO27:DO$56)+SUM(GG$9:GG$56))/VLOOKUP($CU27,$AH$9:$AI$102,2)/VLOOKUP($CU27-EX$103,Männer!$G$9:$J$102,4),Rundäx)))</f>
        <v>8.8170000000000002</v>
      </c>
      <c r="EY27" s="43">
        <f>IF($CU27&gt;=RAF,"",IF($CU27-EY$103&lt;BeginnAlter,"",ROUND((SUM(DP27:DP$56)+SUM(GH$9:GH$56))/VLOOKUP($CU27,$AH$9:$AI$102,2)/VLOOKUP($CU27-EY$103,Männer!$G$9:$J$102,4),Rundäx)))</f>
        <v>9.0429999999999993</v>
      </c>
      <c r="EZ27" s="43">
        <f>IF($CU27&gt;=RAF,"",IF($CU27-EZ$103&lt;BeginnAlter,"",ROUND((SUM(DQ27:DQ$56)+SUM(GI$9:GI$56))/VLOOKUP($CU27,$AH$9:$AI$102,2)/VLOOKUP($CU27-EZ$103,Männer!$G$9:$J$102,4),Rundäx)))</f>
        <v>9.2690000000000001</v>
      </c>
      <c r="FA27" s="43">
        <f>IF($CU27&gt;=RAF,"",IF($CU27-FA$103&lt;BeginnAlter,"",ROUND((SUM(DR27:DR$56)+SUM(GJ$9:GJ$56))/VLOOKUP($CU27,$AH$9:$AI$102,2)/VLOOKUP($CU27-FA$103,Männer!$G$9:$J$102,4),Rundäx)))</f>
        <v>9.4949999999999992</v>
      </c>
      <c r="FB27" s="43">
        <f>IF($CU27&gt;=RAF,"",IF($CU27-FB$103&lt;BeginnAlter,"",ROUND((SUM(DS27:DS$56)+SUM(GK$9:GK$56))/VLOOKUP($CU27,$AH$9:$AI$102,2)/VLOOKUP($CU27-FB$103,Männer!$G$9:$J$102,4),Rundäx)))</f>
        <v>9.7200000000000006</v>
      </c>
      <c r="FC27" s="89"/>
      <c r="FD27" s="35">
        <f t="shared" si="63"/>
        <v>35</v>
      </c>
      <c r="FE27" s="43">
        <f>IF($CU27&gt;=RAF,"",IF($CU27-FE$103&lt;BeginnAlter,"",ROUND((SUM(DT27:DT$56)+SUM(GL$9:GL$56))/VLOOKUP($CU27,$AH$9:$AI$102,2)/VLOOKUP($CU27-FE$103,Männer!$G$9:$J$102,4),Rundäx)))</f>
        <v>9.9450000000000003</v>
      </c>
      <c r="FF27" s="43">
        <f>IF($CU27&gt;=RAF,"",IF($CU27-FF$103&lt;BeginnAlter,"",ROUND((SUM(DU27:DU$56)+SUM(GM$9:GM$56))/VLOOKUP($CU27,$AH$9:$AI$102,2)/VLOOKUP($CU27-FF$103,Männer!$G$9:$J$102,4),Rundäx)))</f>
        <v>10.169</v>
      </c>
      <c r="FG27" s="43">
        <f>IF($CU27&gt;=RAF,"",IF($CU27-FG$103&lt;BeginnAlter,"",ROUND((SUM(DV27:DV$56)+SUM(GN$9:GN$56))/VLOOKUP($CU27,$AH$9:$AI$102,2)/VLOOKUP($CU27-FG$103,Männer!$G$9:$J$102,4),Rundäx)))</f>
        <v>10.391</v>
      </c>
      <c r="FH27" s="43">
        <f>IF($CU27&gt;=RAF,"",IF($CU27-FH$103&lt;BeginnAlter,"",ROUND((SUM(DW27:DW$56)+SUM(GO$9:GO$56))/VLOOKUP($CU27,$AH$9:$AI$102,2)/VLOOKUP($CU27-FH$103,Männer!$G$9:$J$102,4),Rundäx)))</f>
        <v>10.612</v>
      </c>
      <c r="FI27" s="43">
        <f>IF($CU27&gt;=RAF,"",IF($CU27-FI$103&lt;BeginnAlter,"",ROUND((SUM(DX27:DX$56)+SUM(GP$9:GP$56))/VLOOKUP($CU27,$AH$9:$AI$102,2)/VLOOKUP($CU27-FI$103,Männer!$G$9:$J$102,4),Rundäx)))</f>
        <v>10.831</v>
      </c>
      <c r="FJ27" s="43">
        <f>IF($CU27&gt;=RAF,"",IF($CU27-FJ$103&lt;BeginnAlter,"",ROUND((SUM(DY27:DY$56)+SUM(GQ$9:GQ$56))/VLOOKUP($CU27,$AH$9:$AI$102,2)/VLOOKUP($CU27-FJ$103,Männer!$G$9:$J$102,4),Rundäx)))</f>
        <v>11.048999999999999</v>
      </c>
      <c r="FK27" s="43">
        <f>IF($CU27&gt;=RAF,"",IF($CU27-FK$103&lt;BeginnAlter,"",ROUND((SUM(DZ27:DZ$56)+SUM(GR$9:GR$56))/VLOOKUP($CU27,$AH$9:$AI$102,2)/VLOOKUP($CU27-FK$103,Männer!$G$9:$J$102,4),Rundäx)))</f>
        <v>11.266</v>
      </c>
      <c r="FL27" s="89"/>
      <c r="FM27" s="35">
        <f t="shared" si="64"/>
        <v>82</v>
      </c>
      <c r="FN27" s="25">
        <f>ROUND(v^($FM27+FaktorAlter)*VLOOKUP($FM27,$G$9:$J$102,4)*VLOOKUP($FM27,$A$9:$E$102,5)*0.5*(VLOOKUP($FM27-FN$103,Männer!$G$9:$J$102,4)+VLOOKUP($FM27-FN$103+1,Männer!$G$9:$J$102,4))*0.5*(VLOOKUP($FM27-FN$103,Männer!$AZ$9:$BD$102,5)+VLOOKUP($FM27-FN$103+1,Männer!$AZ$9:$BD$102,5)),RundDx)</f>
        <v>1181692</v>
      </c>
      <c r="FO27" s="25">
        <f>ROUND(v^($FM27+FaktorAlter)*VLOOKUP($FM27,$G$9:$J$102,4)*VLOOKUP($FM27,$A$9:$E$102,5)*0.5*(VLOOKUP($FM27-FO$103,Männer!$G$9:$J$102,4)+VLOOKUP($FM27-FO$103+1,Männer!$G$9:$J$102,4))*0.5*(VLOOKUP($FM27-FO$103,Männer!$AZ$9:$BD$102,5)+VLOOKUP($FM27-FO$103+1,Männer!$AZ$9:$BD$102,5)),RundDx)</f>
        <v>2203828</v>
      </c>
      <c r="FP27" s="25">
        <f>ROUND(v^($FM27+FaktorAlter)*VLOOKUP($FM27,$G$9:$J$102,4)*VLOOKUP($FM27,$A$9:$E$102,5)*0.5*(VLOOKUP($FM27-FP$103,Männer!$G$9:$J$102,4)+VLOOKUP($FM27-FP$103+1,Männer!$G$9:$J$102,4))*0.5*(VLOOKUP($FM27-FP$103,Männer!$AZ$9:$BD$102,5)+VLOOKUP($FM27-FP$103+1,Männer!$AZ$9:$BD$102,5)),RundDx)</f>
        <v>3814492</v>
      </c>
      <c r="FQ27" s="25">
        <f>ROUND(v^($FM27+FaktorAlter)*VLOOKUP($FM27,$G$9:$J$102,4)*VLOOKUP($FM27,$A$9:$E$102,5)*0.5*(VLOOKUP($FM27-FQ$103,Männer!$G$9:$J$102,4)+VLOOKUP($FM27-FQ$103+1,Männer!$G$9:$J$102,4))*0.5*(VLOOKUP($FM27-FQ$103,Männer!$AZ$9:$BD$102,5)+VLOOKUP($FM27-FQ$103+1,Männer!$AZ$9:$BD$102,5)),RundDx)</f>
        <v>6199872</v>
      </c>
      <c r="FR27" s="25">
        <f>ROUND(v^($FM27+FaktorAlter)*VLOOKUP($FM27,$G$9:$J$102,4)*VLOOKUP($FM27,$A$9:$E$102,5)*0.5*(VLOOKUP($FM27-FR$103,Männer!$G$9:$J$102,4)+VLOOKUP($FM27-FR$103+1,Männer!$G$9:$J$102,4))*0.5*(VLOOKUP($FM27-FR$103,Männer!$AZ$9:$BD$102,5)+VLOOKUP($FM27-FR$103+1,Männer!$AZ$9:$BD$102,5)),RundDx)</f>
        <v>9540945</v>
      </c>
      <c r="FS27" s="25">
        <f>ROUND(v^($FM27+FaktorAlter)*VLOOKUP($FM27,$G$9:$J$102,4)*VLOOKUP($FM27,$A$9:$E$102,5)*0.5*(VLOOKUP($FM27-FS$103,Männer!$G$9:$J$102,4)+VLOOKUP($FM27-FS$103+1,Männer!$G$9:$J$102,4))*0.5*(VLOOKUP($FM27-FS$103,Männer!$AZ$9:$BD$102,5)+VLOOKUP($FM27-FS$103+1,Männer!$AZ$9:$BD$102,5)),RundDx)</f>
        <v>14028481</v>
      </c>
      <c r="FT27" s="25">
        <f>ROUND(v^($FM27+FaktorAlter)*VLOOKUP($FM27,$G$9:$J$102,4)*VLOOKUP($FM27,$A$9:$E$102,5)*0.5*(VLOOKUP($FM27-FT$103,Männer!$G$9:$J$102,4)+VLOOKUP($FM27-FT$103+1,Männer!$G$9:$J$102,4))*0.5*(VLOOKUP($FM27-FT$103,Männer!$AZ$9:$BD$102,5)+VLOOKUP($FM27-FT$103+1,Männer!$AZ$9:$BD$102,5)),RundDx)</f>
        <v>19835945</v>
      </c>
      <c r="FU27" s="25">
        <f>ROUND(v^($FM27+FaktorAlter)*VLOOKUP($FM27,$G$9:$J$102,4)*VLOOKUP($FM27,$A$9:$E$102,5)*0.5*(VLOOKUP($FM27-FU$103,Männer!$G$9:$J$102,4)+VLOOKUP($FM27-FU$103+1,Männer!$G$9:$J$102,4))*0.5*(VLOOKUP($FM27-FU$103,Männer!$AZ$9:$BD$102,5)+VLOOKUP($FM27-FU$103+1,Männer!$AZ$9:$BD$102,5)),RundDx)</f>
        <v>27090608</v>
      </c>
      <c r="FV27" s="25">
        <f>ROUND(v^($FM27+FaktorAlter)*VLOOKUP($FM27,$G$9:$J$102,4)*VLOOKUP($FM27,$A$9:$E$102,5)*0.5*(VLOOKUP($FM27-FV$103,Männer!$G$9:$J$102,4)+VLOOKUP($FM27-FV$103+1,Männer!$G$9:$J$102,4))*0.5*(VLOOKUP($FM27-FV$103,Männer!$AZ$9:$BD$102,5)+VLOOKUP($FM27-FV$103+1,Männer!$AZ$9:$BD$102,5)),RundDx)</f>
        <v>35890614</v>
      </c>
      <c r="FW27" s="25">
        <f>ROUND(v^($FM27+FaktorAlter)*VLOOKUP($FM27,$G$9:$J$102,4)*VLOOKUP($FM27,$A$9:$E$102,5)*0.5*(VLOOKUP($FM27-FW$103,Männer!$G$9:$J$102,4)+VLOOKUP($FM27-FW$103+1,Männer!$G$9:$J$102,4))*0.5*(VLOOKUP($FM27-FW$103,Männer!$AZ$9:$BD$102,5)+VLOOKUP($FM27-FW$103+1,Männer!$AZ$9:$BD$102,5)),RundDx)</f>
        <v>46286606</v>
      </c>
      <c r="FX27" s="25">
        <f>ROUND(v^($FM27+FaktorAlter)*VLOOKUP($FM27,$G$9:$J$102,4)*VLOOKUP($FM27,$A$9:$E$102,5)*0.5*(VLOOKUP($FM27-FX$103,Männer!$G$9:$J$102,4)+VLOOKUP($FM27-FX$103+1,Männer!$G$9:$J$102,4))*0.5*(VLOOKUP($FM27-FX$103,Männer!$AZ$9:$BD$102,5)+VLOOKUP($FM27-FX$103+1,Männer!$AZ$9:$BD$102,5)),RundDx)</f>
        <v>58240580</v>
      </c>
      <c r="FY27" s="25">
        <f>ROUND(v^($FM27+FaktorAlter)*VLOOKUP($FM27,$G$9:$J$102,4)*VLOOKUP($FM27,$A$9:$E$102,5)*0.5*(VLOOKUP($FM27-FY$103,Männer!$G$9:$J$102,4)+VLOOKUP($FM27-FY$103+1,Männer!$G$9:$J$102,4))*0.5*(VLOOKUP($FM27-FY$103,Männer!$AZ$9:$BD$102,5)+VLOOKUP($FM27-FY$103+1,Männer!$AZ$9:$BD$102,5)),RundDx)</f>
        <v>71676973</v>
      </c>
      <c r="FZ27" s="25">
        <f>ROUND(v^($FM27+FaktorAlter)*VLOOKUP($FM27,$G$9:$J$102,4)*VLOOKUP($FM27,$A$9:$E$102,5)*0.5*(VLOOKUP($FM27-FZ$103,Männer!$G$9:$J$102,4)+VLOOKUP($FM27-FZ$103+1,Männer!$G$9:$J$102,4))*0.5*(VLOOKUP($FM27-FZ$103,Männer!$AZ$9:$BD$102,5)+VLOOKUP($FM27-FZ$103+1,Männer!$AZ$9:$BD$102,5)),RundDx)</f>
        <v>86557489</v>
      </c>
      <c r="GA27" s="25">
        <f>ROUND(v^($FM27+FaktorAlter)*VLOOKUP($FM27,$G$9:$J$102,4)*VLOOKUP($FM27,$A$9:$E$102,5)*0.5*(VLOOKUP($FM27-GA$103,Männer!$G$9:$J$102,4)+VLOOKUP($FM27-GA$103+1,Männer!$G$9:$J$102,4))*0.5*(VLOOKUP($FM27-GA$103,Männer!$AZ$9:$BD$102,5)+VLOOKUP($FM27-GA$103+1,Männer!$AZ$9:$BD$102,5)),RundDx)</f>
        <v>102831824</v>
      </c>
      <c r="GB27" s="25">
        <f>ROUND(v^($FM27+FaktorAlter)*VLOOKUP($FM27,$G$9:$J$102,4)*VLOOKUP($FM27,$A$9:$E$102,5)*0.5*(VLOOKUP($FM27-GB$103,Männer!$G$9:$J$102,4)+VLOOKUP($FM27-GB$103+1,Männer!$G$9:$J$102,4))*0.5*(VLOOKUP($FM27-GB$103,Männer!$AZ$9:$BD$102,5)+VLOOKUP($FM27-GB$103+1,Männer!$AZ$9:$BD$102,5)),RundDx)</f>
        <v>120416020</v>
      </c>
      <c r="GC27" s="25">
        <f>ROUND(v^($FM27+FaktorAlter)*VLOOKUP($FM27,$G$9:$J$102,4)*VLOOKUP($FM27,$A$9:$E$102,5)*0.5*(VLOOKUP($FM27-GC$103,Männer!$G$9:$J$102,4)+VLOOKUP($FM27-GC$103+1,Männer!$G$9:$J$102,4))*0.5*(VLOOKUP($FM27-GC$103,Männer!$AZ$9:$BD$102,5)+VLOOKUP($FM27-GC$103+1,Männer!$AZ$9:$BD$102,5)),RundDx)</f>
        <v>139244064</v>
      </c>
      <c r="GD27" s="25">
        <f>ROUND(v^($FM27+FaktorAlter)*VLOOKUP($FM27,$G$9:$J$102,4)*VLOOKUP($FM27,$A$9:$E$102,5)*0.5*(VLOOKUP($FM27-GD$103,Männer!$G$9:$J$102,4)+VLOOKUP($FM27-GD$103+1,Männer!$G$9:$J$102,4))*0.5*(VLOOKUP($FM27-GD$103,Männer!$AZ$9:$BD$102,5)+VLOOKUP($FM27-GD$103+1,Männer!$AZ$9:$BD$102,5)),RundDx)</f>
        <v>159239756</v>
      </c>
      <c r="GE27" s="25">
        <f>ROUND(v^($FM27+FaktorAlter)*VLOOKUP($FM27,$G$9:$J$102,4)*VLOOKUP($FM27,$A$9:$E$102,5)*0.5*(VLOOKUP($FM27-GE$103,Männer!$G$9:$J$102,4)+VLOOKUP($FM27-GE$103+1,Männer!$G$9:$J$102,4))*0.5*(VLOOKUP($FM27-GE$103,Männer!$AZ$9:$BD$102,5)+VLOOKUP($FM27-GE$103+1,Männer!$AZ$9:$BD$102,5)),RundDx)</f>
        <v>180297547</v>
      </c>
      <c r="GF27" s="25">
        <f>ROUND(v^($FM27+FaktorAlter)*VLOOKUP($FM27,$G$9:$J$102,4)*VLOOKUP($FM27,$A$9:$E$102,5)*0.5*(VLOOKUP($FM27-GF$103,Männer!$G$9:$J$102,4)+VLOOKUP($FM27-GF$103+1,Männer!$G$9:$J$102,4))*0.5*(VLOOKUP($FM27-GF$103,Männer!$AZ$9:$BD$102,5)+VLOOKUP($FM27-GF$103+1,Männer!$AZ$9:$BD$102,5)),RundDx)</f>
        <v>202316299</v>
      </c>
      <c r="GG27" s="25">
        <f>ROUND(v^($FM27+FaktorAlter)*VLOOKUP($FM27,$G$9:$J$102,4)*VLOOKUP($FM27,$A$9:$E$102,5)*0.5*(VLOOKUP($FM27-GG$103,Männer!$G$9:$J$102,4)+VLOOKUP($FM27-GG$103+1,Männer!$G$9:$J$102,4))*0.5*(VLOOKUP($FM27-GG$103,Männer!$AZ$9:$BD$102,5)+VLOOKUP($FM27-GG$103+1,Männer!$AZ$9:$BD$102,5)),RundDx)</f>
        <v>225189825</v>
      </c>
      <c r="GH27" s="25">
        <f>ROUND(v^($FM27+FaktorAlter)*VLOOKUP($FM27,$G$9:$J$102,4)*VLOOKUP($FM27,$A$9:$E$102,5)*0.5*(VLOOKUP($FM27-GH$103,Männer!$G$9:$J$102,4)+VLOOKUP($FM27-GH$103+1,Männer!$G$9:$J$102,4))*0.5*(VLOOKUP($FM27-GH$103,Männer!$AZ$9:$BD$102,5)+VLOOKUP($FM27-GH$103+1,Männer!$AZ$9:$BD$102,5)),RundDx)</f>
        <v>248803893</v>
      </c>
      <c r="GI27" s="25">
        <f>ROUND(v^($FM27+FaktorAlter)*VLOOKUP($FM27,$G$9:$J$102,4)*VLOOKUP($FM27,$A$9:$E$102,5)*0.5*(VLOOKUP($FM27-GI$103,Männer!$G$9:$J$102,4)+VLOOKUP($FM27-GI$103+1,Männer!$G$9:$J$102,4))*0.5*(VLOOKUP($FM27-GI$103,Männer!$AZ$9:$BD$102,5)+VLOOKUP($FM27-GI$103+1,Männer!$AZ$9:$BD$102,5)),RundDx)</f>
        <v>273031520</v>
      </c>
      <c r="GJ27" s="25">
        <f>ROUND(v^($FM27+FaktorAlter)*VLOOKUP($FM27,$G$9:$J$102,4)*VLOOKUP($FM27,$A$9:$E$102,5)*0.5*(VLOOKUP($FM27-GJ$103,Männer!$G$9:$J$102,4)+VLOOKUP($FM27-GJ$103+1,Männer!$G$9:$J$102,4))*0.5*(VLOOKUP($FM27-GJ$103,Männer!$AZ$9:$BD$102,5)+VLOOKUP($FM27-GJ$103+1,Männer!$AZ$9:$BD$102,5)),RundDx)</f>
        <v>297717995</v>
      </c>
      <c r="GK27" s="25">
        <f>ROUND(v^($FM27+FaktorAlter)*VLOOKUP($FM27,$G$9:$J$102,4)*VLOOKUP($FM27,$A$9:$E$102,5)*0.5*(VLOOKUP($FM27-GK$103,Männer!$G$9:$J$102,4)+VLOOKUP($FM27-GK$103+1,Männer!$G$9:$J$102,4))*0.5*(VLOOKUP($FM27-GK$103,Männer!$AZ$9:$BD$102,5)+VLOOKUP($FM27-GK$103+1,Männer!$AZ$9:$BD$102,5)),RundDx)</f>
        <v>322748132</v>
      </c>
      <c r="GL27" s="25">
        <f>ROUND(v^($FM27+FaktorAlter)*VLOOKUP($FM27,$G$9:$J$102,4)*VLOOKUP($FM27,$A$9:$E$102,5)*0.5*(VLOOKUP($FM27-GL$103,Männer!$G$9:$J$102,4)+VLOOKUP($FM27-GL$103+1,Männer!$G$9:$J$102,4))*0.5*(VLOOKUP($FM27-GL$103,Männer!$AZ$9:$BD$102,5)+VLOOKUP($FM27-GL$103+1,Männer!$AZ$9:$BD$102,5)),RundDx)</f>
        <v>347979153</v>
      </c>
      <c r="GM27" s="25">
        <f>ROUND(v^($FM27+FaktorAlter)*VLOOKUP($FM27,$G$9:$J$102,4)*VLOOKUP($FM27,$A$9:$E$102,5)*0.5*(VLOOKUP($FM27-GM$103,Männer!$G$9:$J$102,4)+VLOOKUP($FM27-GM$103+1,Männer!$G$9:$J$102,4))*0.5*(VLOOKUP($FM27-GM$103,Männer!$AZ$9:$BD$102,5)+VLOOKUP($FM27-GM$103+1,Männer!$AZ$9:$BD$102,5)),RundDx)</f>
        <v>373398058</v>
      </c>
      <c r="GN27" s="25">
        <f>ROUND(v^($FM27+FaktorAlter)*VLOOKUP($FM27,$G$9:$J$102,4)*VLOOKUP($FM27,$A$9:$E$102,5)*0.5*(VLOOKUP($FM27-GN$103,Männer!$G$9:$J$102,4)+VLOOKUP($FM27-GN$103+1,Männer!$G$9:$J$102,4))*0.5*(VLOOKUP($FM27-GN$103,Männer!$AZ$9:$BD$102,5)+VLOOKUP($FM27-GN$103+1,Männer!$AZ$9:$BD$102,5)),RundDx)</f>
        <v>398973421</v>
      </c>
      <c r="GO27" s="25">
        <f>ROUND(v^($FM27+FaktorAlter)*VLOOKUP($FM27,$G$9:$J$102,4)*VLOOKUP($FM27,$A$9:$E$102,5)*0.5*(VLOOKUP($FM27-GO$103,Männer!$G$9:$J$102,4)+VLOOKUP($FM27-GO$103+1,Männer!$G$9:$J$102,4))*0.5*(VLOOKUP($FM27-GO$103,Männer!$AZ$9:$BD$102,5)+VLOOKUP($FM27-GO$103+1,Männer!$AZ$9:$BD$102,5)),RundDx)</f>
        <v>424584439</v>
      </c>
      <c r="GP27" s="25">
        <f>ROUND(v^($FM27+FaktorAlter)*VLOOKUP($FM27,$G$9:$J$102,4)*VLOOKUP($FM27,$A$9:$E$102,5)*0.5*(VLOOKUP($FM27-GP$103,Männer!$G$9:$J$102,4)+VLOOKUP($FM27-GP$103+1,Männer!$G$9:$J$102,4))*0.5*(VLOOKUP($FM27-GP$103,Männer!$AZ$9:$BD$102,5)+VLOOKUP($FM27-GP$103+1,Männer!$AZ$9:$BD$102,5)),RundDx)</f>
        <v>450215783</v>
      </c>
      <c r="GQ27" s="25">
        <f>ROUND(v^($FM27+FaktorAlter)*VLOOKUP($FM27,$G$9:$J$102,4)*VLOOKUP($FM27,$A$9:$E$102,5)*0.5*(VLOOKUP($FM27-GQ$103,Männer!$G$9:$J$102,4)+VLOOKUP($FM27-GQ$103+1,Männer!$G$9:$J$102,4))*0.5*(VLOOKUP($FM27-GQ$103,Männer!$AZ$9:$BD$102,5)+VLOOKUP($FM27-GQ$103+1,Männer!$AZ$9:$BD$102,5)),RundDx)</f>
        <v>475958361</v>
      </c>
      <c r="GR27" s="25">
        <f>ROUND(v^($FM27+FaktorAlter)*VLOOKUP($FM27,$G$9:$J$102,4)*VLOOKUP($FM27,$A$9:$E$102,5)*0.5*(VLOOKUP($FM27-GR$103,Männer!$G$9:$J$102,4)+VLOOKUP($FM27-GR$103+1,Männer!$G$9:$J$102,4))*0.5*(VLOOKUP($FM27-GR$103,Männer!$AZ$9:$BD$102,5)+VLOOKUP($FM27-GR$103+1,Männer!$AZ$9:$BD$102,5)),RundDx)</f>
        <v>501886417</v>
      </c>
      <c r="GS27" s="24">
        <f>ROUND(SUM(FN27:FN$56)/VLOOKUP($FM27,$AQ$9:$AR$102,2)/VLOOKUP($FM27-GS$103,Männer!$G$9:$J$102,4),Rundäx)</f>
        <v>0.115</v>
      </c>
      <c r="GT27" s="24">
        <f>ROUND(SUM(FO27:FO$56)/VLOOKUP($FM27,$AQ$9:$AR$102,2)/VLOOKUP($FM27-GT$103,Männer!$G$9:$J$102,4),Rundäx)</f>
        <v>0.14799999999999999</v>
      </c>
      <c r="GU27" s="24">
        <f>ROUND(SUM(FP27:FP$56)/VLOOKUP($FM27,$AQ$9:$AR$102,2)/VLOOKUP($FM27-GU$103,Männer!$G$9:$J$102,4),Rundäx)</f>
        <v>0.187</v>
      </c>
      <c r="GV27" s="24">
        <f>ROUND(SUM(FQ27:FQ$56)/VLOOKUP($FM27,$AQ$9:$AR$102,2)/VLOOKUP($FM27-GV$103,Männer!$G$9:$J$102,4),Rundäx)</f>
        <v>0.23300000000000001</v>
      </c>
      <c r="GW27" s="24">
        <f>ROUND(SUM(FR27:FR$56)/VLOOKUP($FM27,$AQ$9:$AR$102,2)/VLOOKUP($FM27-GW$103,Männer!$G$9:$J$102,4),Rundäx)</f>
        <v>0.28799999999999998</v>
      </c>
      <c r="GX27" s="24">
        <f>ROUND(SUM(FS27:FS$56)/VLOOKUP($FM27,$AQ$9:$AR$102,2)/VLOOKUP($FM27-GX$103,Männer!$G$9:$J$102,4),Rundäx)</f>
        <v>0.35299999999999998</v>
      </c>
      <c r="GY27" s="24">
        <f>ROUND(SUM(FT27:FT$56)/VLOOKUP($FM27,$AQ$9:$AR$102,2)/VLOOKUP($FM27-GY$103,Männer!$G$9:$J$102,4),Rundäx)</f>
        <v>0.42899999999999999</v>
      </c>
      <c r="GZ27" s="24">
        <f>ROUND(SUM(FU27:FU$56)/VLOOKUP($FM27,$AQ$9:$AR$102,2)/VLOOKUP($FM27-GZ$103,Männer!$G$9:$J$102,4),Rundäx)</f>
        <v>0.51700000000000002</v>
      </c>
      <c r="HA27" s="89"/>
      <c r="HB27" s="35">
        <f t="shared" si="65"/>
        <v>82</v>
      </c>
      <c r="HC27" s="24">
        <f>ROUND(SUM(FV27:FV$56)/VLOOKUP($FM27,$AQ$9:$AR$102,2)/VLOOKUP($FM27-HC$103,Männer!$G$9:$J$102,4),Rundäx)</f>
        <v>0.62</v>
      </c>
      <c r="HD27" s="24">
        <f>ROUND(SUM(FW27:FW$56)/VLOOKUP($FM27,$AQ$9:$AR$102,2)/VLOOKUP($FM27-HD$103,Männer!$G$9:$J$102,4),Rundäx)</f>
        <v>0.73599999999999999</v>
      </c>
      <c r="HE27" s="24">
        <f>ROUND(SUM(FX27:FX$56)/VLOOKUP($FM27,$AQ$9:$AR$102,2)/VLOOKUP($FM27-HE$103,Männer!$G$9:$J$102,4),Rundäx)</f>
        <v>0.86899999999999999</v>
      </c>
      <c r="HF27" s="24">
        <f>ROUND(SUM(FY27:FY$56)/VLOOKUP($FM27,$AQ$9:$AR$102,2)/VLOOKUP($FM27-HF$103,Männer!$G$9:$J$102,4),Rundäx)</f>
        <v>1.016</v>
      </c>
      <c r="HG27" s="24">
        <f>ROUND(SUM(FZ27:FZ$56)/VLOOKUP($FM27,$AQ$9:$AR$102,2)/VLOOKUP($FM27-HG$103,Männer!$G$9:$J$102,4),Rundäx)</f>
        <v>1.18</v>
      </c>
      <c r="HH27" s="24">
        <f>ROUND(SUM(GA27:GA$56)/VLOOKUP($FM27,$AQ$9:$AR$102,2)/VLOOKUP($FM27-HH$103,Männer!$G$9:$J$102,4),Rundäx)</f>
        <v>1.36</v>
      </c>
      <c r="HI27" s="24">
        <f>ROUND(SUM(GB27:GB$56)/VLOOKUP($FM27,$AQ$9:$AR$102,2)/VLOOKUP($FM27-HI$103,Männer!$G$9:$J$102,4),Rundäx)</f>
        <v>1.5569999999999999</v>
      </c>
      <c r="HJ27" s="24">
        <f>ROUND(SUM(GC27:GC$56)/VLOOKUP($FM27,$AQ$9:$AR$102,2)/VLOOKUP($FM27-HJ$103,Männer!$G$9:$J$102,4),Rundäx)</f>
        <v>1.768</v>
      </c>
      <c r="HK27" s="89"/>
      <c r="HL27" s="35">
        <f t="shared" si="66"/>
        <v>82</v>
      </c>
      <c r="HM27" s="24">
        <f>ROUND(SUM(GD27:GD$56)/VLOOKUP($FM27,$AQ$9:$AR$102,2)/VLOOKUP($FM27-HM$103,Männer!$G$9:$J$102,4),Rundäx)</f>
        <v>1.996</v>
      </c>
      <c r="HN27" s="24">
        <f>ROUND(SUM(GE27:GE$56)/VLOOKUP($FM27,$AQ$9:$AR$102,2)/VLOOKUP($FM27-HN$103,Männer!$G$9:$J$102,4),Rundäx)</f>
        <v>2.238</v>
      </c>
      <c r="HO27" s="24">
        <f>ROUND(SUM(GF27:GF$56)/VLOOKUP($FM27,$AQ$9:$AR$102,2)/VLOOKUP($FM27-HO$103,Männer!$G$9:$J$102,4),Rundäx)</f>
        <v>2.4940000000000002</v>
      </c>
      <c r="HP27" s="24">
        <f>ROUND(SUM(GG27:GG$56)/VLOOKUP($FM27,$AQ$9:$AR$102,2)/VLOOKUP($FM27-HP$103,Männer!$G$9:$J$102,4),Rundäx)</f>
        <v>2.7639999999999998</v>
      </c>
      <c r="HQ27" s="24">
        <f>ROUND(SUM(GH27:GH$56)/VLOOKUP($FM27,$AQ$9:$AR$102,2)/VLOOKUP($FM27-HQ$103,Männer!$G$9:$J$102,4),Rundäx)</f>
        <v>3.0459999999999998</v>
      </c>
      <c r="HR27" s="24">
        <f>ROUND(SUM(GI27:GI$56)/VLOOKUP($FM27,$AQ$9:$AR$102,2)/VLOOKUP($FM27-HR$103,Männer!$G$9:$J$102,4),Rundäx)</f>
        <v>3.34</v>
      </c>
      <c r="HS27" s="24">
        <f>ROUND(SUM(GJ27:GJ$56)/VLOOKUP($FM27,$AQ$9:$AR$102,2)/VLOOKUP($FM27-HS$103,Männer!$G$9:$J$102,4),Rundäx)</f>
        <v>3.645</v>
      </c>
      <c r="HT27" s="24">
        <f>ROUND(SUM(GK27:GK$56)/VLOOKUP($FM27,$AQ$9:$AR$102,2)/VLOOKUP($FM27-HT$103,Männer!$G$9:$J$102,4),Rundäx)</f>
        <v>3.96</v>
      </c>
      <c r="HU27" s="89"/>
      <c r="HV27" s="35">
        <f t="shared" si="67"/>
        <v>82</v>
      </c>
      <c r="HW27" s="24">
        <f>ROUND(SUM(GL27:GL$56)/VLOOKUP($FM27,$AQ$9:$AR$102,2)/VLOOKUP($FM27-HW$103,Männer!$G$9:$J$102,4),Rundäx)</f>
        <v>4.2850000000000001</v>
      </c>
      <c r="HX27" s="24">
        <f>ROUND(SUM(GM27:GM$56)/VLOOKUP($FM27,$AQ$9:$AR$102,2)/VLOOKUP($FM27-HX$103,Männer!$G$9:$J$102,4),Rundäx)</f>
        <v>4.617</v>
      </c>
      <c r="HY27" s="24">
        <f>ROUND(SUM(GN27:GN$56)/VLOOKUP($FM27,$AQ$9:$AR$102,2)/VLOOKUP($FM27-HY$103,Männer!$G$9:$J$102,4),Rundäx)</f>
        <v>4.9569999999999999</v>
      </c>
      <c r="HZ27" s="24">
        <f>ROUND(SUM(GO27:GO$56)/VLOOKUP($FM27,$AQ$9:$AR$102,2)/VLOOKUP($FM27-HZ$103,Männer!$G$9:$J$102,4),Rundäx)</f>
        <v>5.3029999999999999</v>
      </c>
      <c r="IA27" s="24">
        <f>ROUND(SUM(GP27:GP$56)/VLOOKUP($FM27,$AQ$9:$AR$102,2)/VLOOKUP($FM27-IA$103,Männer!$G$9:$J$102,4),Rundäx)</f>
        <v>5.6550000000000002</v>
      </c>
      <c r="IB27" s="24">
        <f>ROUND(SUM(GQ27:GQ$56)/VLOOKUP($FM27,$AQ$9:$AR$102,2)/VLOOKUP($FM27-IB$103,Männer!$G$9:$J$102,4),Rundäx)</f>
        <v>6.01</v>
      </c>
      <c r="IC27" s="24">
        <f>ROUND(SUM(GR27:GR$56)/VLOOKUP($FM27,$AQ$9:$AR$102,2)/VLOOKUP($FM27-IC$103,Männer!$G$9:$J$102,4),Rundäx)</f>
        <v>6.367</v>
      </c>
      <c r="ID27" s="89"/>
      <c r="IE27" s="9">
        <f t="shared" si="68"/>
        <v>35</v>
      </c>
      <c r="IF27" s="11">
        <f t="shared" si="25"/>
        <v>332</v>
      </c>
      <c r="IG27" s="11">
        <f>IF($IE27&lt;RAF,IF(S28&lt;=RAK,ROUND(SUM(IF27:INDEX(Daky,RAF-BeginnAlter))+INDEX(Day,RAF-BeginnAlter+1)*INDEX(äky,1),RundDx),0),"")</f>
        <v>3969</v>
      </c>
      <c r="IH27" s="11">
        <f>IF($IE27&lt;RAF,IF(S28&lt;=RAK,ROUND(SUM(IG27:INDEX(Naky,RAF-BeginnAlter))+INDEX(Day,RAF-BeginnAlter+1)*INDEX(äky,1),RundDx),0),"")</f>
        <v>28893</v>
      </c>
      <c r="II27" s="10">
        <f t="shared" si="26"/>
        <v>8.7999999999999995E-2</v>
      </c>
      <c r="IJ27" s="11">
        <f t="shared" si="27"/>
        <v>16523</v>
      </c>
      <c r="IK27" s="11">
        <f>IF($IE27&lt;RAF,IF(S28&lt;=RAK,SUM(IJ27:INDEX(Diky,RAF-BeginnAlter))+INDEX(Diy,RAF-BeginnAlter+1)*INDEX(äky,1),0),"")</f>
        <v>142739</v>
      </c>
      <c r="IL27" s="10">
        <f t="shared" si="28"/>
        <v>1.873</v>
      </c>
      <c r="IM27" s="89"/>
      <c r="IN27" s="9">
        <f t="shared" si="29"/>
        <v>82</v>
      </c>
      <c r="IO27" s="11"/>
      <c r="IP27" s="11"/>
      <c r="IQ27" s="10"/>
      <c r="IR27" s="86"/>
    </row>
    <row r="28" spans="1:252" ht="15.75" customHeight="1" x14ac:dyDescent="0.25">
      <c r="A28" s="9">
        <f t="shared" si="4"/>
        <v>36</v>
      </c>
      <c r="B28" s="93">
        <v>3.5844479283861868E-4</v>
      </c>
      <c r="C28" s="93">
        <v>2.4431782253819178E-3</v>
      </c>
      <c r="D28" s="93">
        <v>2.2377669485843708E-2</v>
      </c>
      <c r="E28" s="93">
        <v>7.4558442736094577E-4</v>
      </c>
      <c r="F28" s="89"/>
      <c r="G28" s="9">
        <f t="shared" si="5"/>
        <v>36</v>
      </c>
      <c r="H28" s="11">
        <f t="shared" si="30"/>
        <v>97635</v>
      </c>
      <c r="I28" s="25">
        <f t="shared" si="31"/>
        <v>1616</v>
      </c>
      <c r="J28" s="25">
        <f t="shared" si="32"/>
        <v>99251</v>
      </c>
      <c r="K28" s="30">
        <f>IF(J28&gt;0,ROUND(SUM(J28:J$102)/J28-0.5,Rundex),"")</f>
        <v>46.48</v>
      </c>
      <c r="L28" s="25">
        <f t="shared" si="6"/>
        <v>162337</v>
      </c>
      <c r="M28" s="30">
        <f>IF(L28&gt;0,ROUND(SUM(L28:L$102)/L28-0.5,Rundex),"")</f>
        <v>33</v>
      </c>
      <c r="N28" s="89"/>
      <c r="O28" s="9">
        <f t="shared" si="49"/>
        <v>36</v>
      </c>
      <c r="P28" s="94">
        <v>0.23202351206758953</v>
      </c>
      <c r="Q28" s="95">
        <v>39.454715879491729</v>
      </c>
      <c r="R28" s="94">
        <v>0.55168190567157815</v>
      </c>
      <c r="S28" s="95">
        <v>1.6</v>
      </c>
      <c r="T28" s="28">
        <v>7.4558442736094577E-4</v>
      </c>
      <c r="U28" s="11">
        <f t="shared" si="33"/>
        <v>99251</v>
      </c>
      <c r="V28" s="30">
        <f>IF(U28&gt;0,ROUND(SUM(U28:U$102)/U28-0.5,Rundex),"")</f>
        <v>47.77</v>
      </c>
      <c r="W28" s="89"/>
      <c r="X28" s="9">
        <f t="shared" si="50"/>
        <v>36</v>
      </c>
      <c r="Y28" s="11">
        <f t="shared" si="34"/>
        <v>43825</v>
      </c>
      <c r="Z28" s="11">
        <f>IF($X28&lt;RAF,SUM(Y28:INDEX(Day,RAF-BeginnAlter))," ")</f>
        <v>852960</v>
      </c>
      <c r="AA28" s="11">
        <f t="shared" si="0"/>
        <v>16</v>
      </c>
      <c r="AB28" s="11">
        <f>IF($X28&lt;RAF,SUM(AA28:INDEX(Cay,RAF-BeginnAlter))," ")</f>
        <v>1192</v>
      </c>
      <c r="AC28" s="11">
        <f t="shared" si="1"/>
        <v>106</v>
      </c>
      <c r="AD28" s="11">
        <f>IF($X28&lt;RAF,SUM(AC28:INDEX(Caiy,RAF-BeginnAlter))," ")</f>
        <v>7589</v>
      </c>
      <c r="AE28" s="10">
        <f t="shared" si="35"/>
        <v>19.463000000000001</v>
      </c>
      <c r="AF28" s="10">
        <f t="shared" si="36"/>
        <v>19.175999999999998</v>
      </c>
      <c r="AG28" s="89"/>
      <c r="AH28" s="9">
        <f t="shared" si="51"/>
        <v>36</v>
      </c>
      <c r="AI28" s="11">
        <f t="shared" si="37"/>
        <v>72868</v>
      </c>
      <c r="AJ28" s="11">
        <f>IF($AH28&gt;RAF," ",IF($AH28&lt;RAF,SUM(AI28:INDEX(Diy,RAF-BeginnAlter))+INDEX(Ny,RAF-BeginnAlter+1),INDEX(Ny,RAF-BeginnAlter+1)))</f>
        <v>1576931</v>
      </c>
      <c r="AK28" s="11">
        <f>IF($AH28&lt;RAF,SUM(AI28:INDEX(Diy,RAF-BeginnAlter))," ")</f>
        <v>1210837</v>
      </c>
      <c r="AL28" s="10">
        <f t="shared" si="38"/>
        <v>21.640999999999998</v>
      </c>
      <c r="AM28" s="10">
        <f t="shared" si="39"/>
        <v>21.183</v>
      </c>
      <c r="AN28" s="10">
        <f t="shared" si="40"/>
        <v>16.617000000000001</v>
      </c>
      <c r="AO28" s="10">
        <f t="shared" si="41"/>
        <v>16.295000000000002</v>
      </c>
      <c r="AP28" s="89"/>
      <c r="AQ28" s="9">
        <f t="shared" si="52"/>
        <v>36</v>
      </c>
      <c r="AR28" s="11">
        <f t="shared" si="42"/>
        <v>44551</v>
      </c>
      <c r="AS28" s="11">
        <f>SUM(AR28:AR$96)</f>
        <v>1284181</v>
      </c>
      <c r="AT28" s="25">
        <f>IF($AQ28&lt;RAF,SUM(AR28:INDEX(Dy,RAF-BeginnAlter))," ")</f>
        <v>918087</v>
      </c>
      <c r="AU28" s="24">
        <f t="shared" si="43"/>
        <v>28.824999999999999</v>
      </c>
      <c r="AV28" s="24">
        <f t="shared" si="44"/>
        <v>28.367000000000001</v>
      </c>
      <c r="AW28" s="24">
        <f t="shared" si="45"/>
        <v>20.608000000000001</v>
      </c>
      <c r="AX28" s="24">
        <f t="shared" si="46"/>
        <v>20.373000000000001</v>
      </c>
      <c r="AY28" s="89"/>
      <c r="AZ28" s="9">
        <f t="shared" si="53"/>
        <v>36</v>
      </c>
      <c r="BA28" s="11">
        <f t="shared" si="47"/>
        <v>44551</v>
      </c>
      <c r="BB28" s="11">
        <f>SUM(BA28:BA$96)</f>
        <v>1306970</v>
      </c>
      <c r="BC28" s="10">
        <f t="shared" si="48"/>
        <v>29.335999999999999</v>
      </c>
      <c r="BD28" s="10">
        <f t="shared" si="7"/>
        <v>28.878</v>
      </c>
      <c r="BE28" s="89"/>
      <c r="BF28" s="9">
        <f t="shared" si="54"/>
        <v>19</v>
      </c>
      <c r="BG28" s="10">
        <f t="shared" si="8"/>
        <v>5.6790000000000003</v>
      </c>
      <c r="BH28" s="10">
        <f t="shared" si="9"/>
        <v>5.6219999999999999</v>
      </c>
      <c r="BI28" s="89"/>
      <c r="BJ28" s="9">
        <f t="shared" si="55"/>
        <v>36</v>
      </c>
      <c r="BK28" s="11">
        <f t="shared" si="10"/>
        <v>2240</v>
      </c>
      <c r="BL28" s="11">
        <f>IF(BJ28&lt;RAF,SUM(BK28:INDEX(Daiy,RAF-BeginnAlter))," ")</f>
        <v>140189</v>
      </c>
      <c r="BM28" s="11">
        <f>IF(BJ28&lt;RAF,SUM(BL28:INDEX(Naiy,RAF-BeginnAlter))," ")</f>
        <v>2522617</v>
      </c>
      <c r="BN28" s="10">
        <f t="shared" si="11"/>
        <v>6.1189999999999998</v>
      </c>
      <c r="BO28" s="10">
        <f t="shared" si="12"/>
        <v>3.1989999999999998</v>
      </c>
      <c r="BP28" s="89"/>
      <c r="BQ28" s="9">
        <f t="shared" si="56"/>
        <v>36</v>
      </c>
      <c r="BR28" s="11">
        <f t="shared" si="13"/>
        <v>1711</v>
      </c>
      <c r="BS28" s="11">
        <f>IF(BQ28&lt;RAF,SUM(BR28:INDEX(Daiys,RAF-BeginnAlter))," ")</f>
        <v>55793</v>
      </c>
      <c r="BT28" s="11">
        <f>IF(BQ28&lt;RAF,SUM(BS28:INDEX(Naiys,RAF-BeginnAlter))," ")</f>
        <v>772833</v>
      </c>
      <c r="BU28" s="10">
        <f t="shared" si="14"/>
        <v>8.0449999999999999</v>
      </c>
      <c r="BV28" s="10">
        <f t="shared" si="15"/>
        <v>1.2729999999999999</v>
      </c>
      <c r="BW28" s="89"/>
      <c r="BX28" s="9">
        <f t="shared" si="57"/>
        <v>36</v>
      </c>
      <c r="BY28" s="10">
        <f t="shared" si="16"/>
        <v>14.81239855996677</v>
      </c>
      <c r="BZ28" s="11">
        <f t="shared" si="17"/>
        <v>888</v>
      </c>
      <c r="CA28" s="11">
        <f>IF(S29&lt;=RAK,IF($BX28&lt;RAF,SUM(BZ28:INDEX(Dazy,RAF-BeginnAlter)),""),"")</f>
        <v>12653</v>
      </c>
      <c r="CB28" s="10">
        <f t="shared" si="18"/>
        <v>0.28899999999999998</v>
      </c>
      <c r="CC28" s="11">
        <f t="shared" si="19"/>
        <v>24999</v>
      </c>
      <c r="CD28" s="10">
        <f t="shared" si="20"/>
        <v>18.550999999999998</v>
      </c>
      <c r="CE28" s="10">
        <f t="shared" si="21"/>
        <v>3.0000000000000001E-3</v>
      </c>
      <c r="CF28" s="89"/>
      <c r="CG28" s="9">
        <f t="shared" si="58"/>
        <v>36</v>
      </c>
      <c r="CH28" s="11">
        <f>IF(CG28&lt;RAF,ROUND(v^($CG28+FaktorAlter)*$H28*($B28*0.5*($P28+$P29)*(VLOOKUP(TRUNC(0.5*($Q28+$Q29),0),Männer!$AZ$9:$BD$95,5)+(0.5*($Q28+$Q29)-TRUNC(0.5*($Q28+$Q29),0))*(VLOOKUP(TRUNC(0.5*($Q28+$Q29)+1,0),Männer!$AZ$9:$BD$95,5)-VLOOKUP(TRUNC(0.5*($Q28+$Q29),0),Männer!$AZ$9:$BD$95,5)))+$C28*0.5*($CN28+$CN29)),RundDx),"")</f>
        <v>287</v>
      </c>
      <c r="CI28" s="11">
        <f>IF(CG28&lt;RAF,ROUND(SUM(CH28:INDEX(Dawy,RAF-BeginnAlter))+INDEX(Day,RAF-BeginnAlter+1)*INDEX(äwy,1),RundDx),"")</f>
        <v>11708</v>
      </c>
      <c r="CJ28" s="11">
        <f>IF(CG28&lt;RAF,ROUND(SUM(CI28:INDEX(Nawy,RAF-BeginnAlter))+INDEX(Day,RAF-BeginnAlter+1)*INDEX(äwy,1),RundDx),"")</f>
        <v>194483</v>
      </c>
      <c r="CK28" s="10">
        <f t="shared" si="22"/>
        <v>0.26700000000000002</v>
      </c>
      <c r="CL28" s="11">
        <f>IF(CG28&lt;RAF,ROUND(v^($CG28+FaktorAlter)*$L28*$D28*0.5*($P28+$P29)*(VLOOKUP(TRUNC(0.5*($Q28+$Q29),0),Männer!$AZ$9:$BD$95,5)+(0.5*($Q28+$Q29)-TRUNC(0.5*($Q28+$Q29),0))*(VLOOKUP(TRUNC(0.5*($Q28+$Q29)+1,0),Männer!$AZ$9:$BD$95,5)-VLOOKUP(TRUNC(0.5*($Q28+$Q29),0),Männer!$AZ$9:$BD$95,5))),RundDx),"")</f>
        <v>9564</v>
      </c>
      <c r="CM28" s="11">
        <f>IF(CG28&lt;RAF,SUM(CL28:INDEX(Diwy,RAF-BeginnAlter))+INDEX(Diy,RAF-BeginnAlter+1)*INDEX(äwy,1),"")</f>
        <v>135707.304</v>
      </c>
      <c r="CN28" s="10">
        <f t="shared" si="23"/>
        <v>1.8620000000000001</v>
      </c>
      <c r="CO28" s="89"/>
      <c r="CP28" s="9">
        <f t="shared" si="59"/>
        <v>83</v>
      </c>
      <c r="CQ28" s="11">
        <f>ROUND(v^($CP28+FaktorAlter)*VLOOKUP(CP28,G$9:J$102,4)*VLOOKUP(CP28,A$9:E$102,5)*0.5*(VLOOKUP(CP28,O$9:P$102,2)+VLOOKUP(CP28+1,O$9:P$102,2))*(VLOOKUP(TRUNC(0.5*(VLOOKUP(CP28,O$9:Q$102,3)+VLOOKUP(CP28+1,O$9:Q$102,3)),0),Männer!$AZ$9:$BD$95,5)+(0.5*(VLOOKUP(CP28,O$9:Q$102,3)+VLOOKUP(CP28+1,O$9:Q$102,3))-TRUNC(0.5*(VLOOKUP(CP28,O$9:Q$102,3)+VLOOKUP(CP28+1,O$9:Q$102,3)),0))*(VLOOKUP(TRUNC(0.5*(VLOOKUP(CP28,O$9:Q$102,3)+VLOOKUP(CP28+1,O$9:Q$102,3))+1,0),Männer!$AZ$9:$BD$95,5)-VLOOKUP(TRUNC(0.5*(VLOOKUP(CP28,O$9:Q$102,3)+VLOOKUP(CP28+1,O$9:Q$102,3)),0),Männer!$AZ$9:$BD$95,5))),RundDx)</f>
        <v>19</v>
      </c>
      <c r="CR28" s="11">
        <f>SUM(CQ28:CQ$56)</f>
        <v>144</v>
      </c>
      <c r="CS28" s="24">
        <f t="shared" si="24"/>
        <v>1.4999999999999999E-2</v>
      </c>
      <c r="CT28" s="89"/>
      <c r="CU28" s="35">
        <f t="shared" si="60"/>
        <v>36</v>
      </c>
      <c r="CV28" s="25">
        <f>IF($CU28&gt;=RAF,"",IF($CU28-CV$103&lt;BeginnAlter,"",ROUND(v^($CU28+FaktorAlter)*$L28*$D28*0.5*(VLOOKUP($CU28-CV$103,Männer!$G$9:$J$102,4)+VLOOKUP($CU28-CV$103+1,Männer!$G$9:$J$102,4))*0.5*(VLOOKUP($CU28-CV$103,Männer!$AZ$9:$BD$102,5)+VLOOKUP($CU28-CV$103+1,Männer!$AZ$9:$BD$102,5)),RundDx)))</f>
        <v>2994423797</v>
      </c>
      <c r="CW28" s="25">
        <f>IF($CU28&gt;=RAF,"",IF($CU28-CW$103&lt;BeginnAlter,"",ROUND(v^($CU28+FaktorAlter)*$L28*$D28*0.5*(VLOOKUP($CU28-CW$103,Männer!$G$9:$J$102,4)+VLOOKUP($CU28-CW$103+1,Männer!$G$9:$J$102,4))*0.5*(VLOOKUP($CU28-CW$103,Männer!$AZ$9:$BD$102,5)+VLOOKUP($CU28-CW$103+1,Männer!$AZ$9:$BD$102,5)),RundDx)))</f>
        <v>3082029263</v>
      </c>
      <c r="CX28" s="25">
        <f>IF($CU28&gt;=RAF,"",IF($CU28-CX$103&lt;BeginnAlter,"",ROUND(v^($CU28+FaktorAlter)*$L28*$D28*0.5*(VLOOKUP($CU28-CX$103,Männer!$G$9:$J$102,4)+VLOOKUP($CU28-CX$103+1,Männer!$G$9:$J$102,4))*0.5*(VLOOKUP($CU28-CX$103,Männer!$AZ$9:$BD$102,5)+VLOOKUP($CU28-CX$103+1,Männer!$AZ$9:$BD$102,5)),RundDx)))</f>
        <v>3168218213</v>
      </c>
      <c r="CY28" s="25">
        <f>IF($CU28&gt;=RAF,"",IF($CU28-CY$103&lt;BeginnAlter,"",ROUND(v^($CU28+FaktorAlter)*$L28*$D28*0.5*(VLOOKUP($CU28-CY$103,Männer!$G$9:$J$102,4)+VLOOKUP($CU28-CY$103+1,Männer!$G$9:$J$102,4))*0.5*(VLOOKUP($CU28-CY$103,Männer!$AZ$9:$BD$102,5)+VLOOKUP($CU28-CY$103+1,Männer!$AZ$9:$BD$102,5)),RundDx)))</f>
        <v>3252935183</v>
      </c>
      <c r="CZ28" s="25">
        <f>IF($CU28&gt;=RAF,"",IF($CU28-CZ$103&lt;BeginnAlter,"",ROUND(v^($CU28+FaktorAlter)*$L28*$D28*0.5*(VLOOKUP($CU28-CZ$103,Männer!$G$9:$J$102,4)+VLOOKUP($CU28-CZ$103+1,Männer!$G$9:$J$102,4))*0.5*(VLOOKUP($CU28-CZ$103,Männer!$AZ$9:$BD$102,5)+VLOOKUP($CU28-CZ$103+1,Männer!$AZ$9:$BD$102,5)),RundDx)))</f>
        <v>3336089511</v>
      </c>
      <c r="DA28" s="25">
        <f>IF($CU28&gt;=RAF,"",IF($CU28-DA$103&lt;BeginnAlter,"",ROUND(v^($CU28+FaktorAlter)*$L28*$D28*0.5*(VLOOKUP($CU28-DA$103,Männer!$G$9:$J$102,4)+VLOOKUP($CU28-DA$103+1,Männer!$G$9:$J$102,4))*0.5*(VLOOKUP($CU28-DA$103,Männer!$AZ$9:$BD$102,5)+VLOOKUP($CU28-DA$103+1,Männer!$AZ$9:$BD$102,5)),RundDx)))</f>
        <v>3417783931</v>
      </c>
      <c r="DB28" s="25">
        <f>IF($CU28&gt;=RAF,"",IF($CU28-DB$103&lt;BeginnAlter,"",ROUND(v^($CU28+FaktorAlter)*$L28*$D28*0.5*(VLOOKUP($CU28-DB$103,Männer!$G$9:$J$102,4)+VLOOKUP($CU28-DB$103+1,Männer!$G$9:$J$102,4))*0.5*(VLOOKUP($CU28-DB$103,Männer!$AZ$9:$BD$102,5)+VLOOKUP($CU28-DB$103+1,Männer!$AZ$9:$BD$102,5)),RundDx)))</f>
        <v>3498014704</v>
      </c>
      <c r="DC28" s="25">
        <f>IF($CU28&gt;=RAF,"",IF($CU28-DC$103&lt;BeginnAlter,"",ROUND(v^($CU28+FaktorAlter)*$L28*$D28*0.5*(VLOOKUP($CU28-DC$103,Männer!$G$9:$J$102,4)+VLOOKUP($CU28-DC$103+1,Männer!$G$9:$J$102,4))*0.5*(VLOOKUP($CU28-DC$103,Männer!$AZ$9:$BD$102,5)+VLOOKUP($CU28-DC$103+1,Männer!$AZ$9:$BD$102,5)),RundDx)))</f>
        <v>3576782153</v>
      </c>
      <c r="DD28" s="25">
        <f>IF($CU28&gt;=RAF,"",IF($CU28-DD$103&lt;BeginnAlter,"",ROUND(v^($CU28+FaktorAlter)*$L28*$D28*0.5*(VLOOKUP($CU28-DD$103,Männer!$G$9:$J$102,4)+VLOOKUP($CU28-DD$103+1,Männer!$G$9:$J$102,4))*0.5*(VLOOKUP($CU28-DD$103,Männer!$AZ$9:$BD$102,5)+VLOOKUP($CU28-DD$103+1,Männer!$AZ$9:$BD$102,5)),RundDx)))</f>
        <v>3654053169</v>
      </c>
      <c r="DE28" s="25">
        <f>IF($CU28&gt;=RAF,"",IF($CU28-DE$103&lt;BeginnAlter,"",ROUND(v^($CU28+FaktorAlter)*$L28*$D28*0.5*(VLOOKUP($CU28-DE$103,Männer!$G$9:$J$102,4)+VLOOKUP($CU28-DE$103+1,Männer!$G$9:$J$102,4))*0.5*(VLOOKUP($CU28-DE$103,Männer!$AZ$9:$BD$102,5)+VLOOKUP($CU28-DE$103+1,Männer!$AZ$9:$BD$102,5)),RundDx)))</f>
        <v>3729912654</v>
      </c>
      <c r="DF28" s="25">
        <f>IF($CU28&gt;=RAF,"",IF($CU28-DF$103&lt;BeginnAlter,"",ROUND(v^($CU28+FaktorAlter)*$L28*$D28*0.5*(VLOOKUP($CU28-DF$103,Männer!$G$9:$J$102,4)+VLOOKUP($CU28-DF$103+1,Männer!$G$9:$J$102,4))*0.5*(VLOOKUP($CU28-DF$103,Männer!$AZ$9:$BD$102,5)+VLOOKUP($CU28-DF$103+1,Männer!$AZ$9:$BD$102,5)),RundDx)))</f>
        <v>3804430357</v>
      </c>
      <c r="DG28" s="25">
        <f>IF($CU28&gt;=RAF,"",IF($CU28-DG$103&lt;BeginnAlter,"",ROUND(v^($CU28+FaktorAlter)*$L28*$D28*0.5*(VLOOKUP($CU28-DG$103,Männer!$G$9:$J$102,4)+VLOOKUP($CU28-DG$103+1,Männer!$G$9:$J$102,4))*0.5*(VLOOKUP($CU28-DG$103,Männer!$AZ$9:$BD$102,5)+VLOOKUP($CU28-DG$103+1,Männer!$AZ$9:$BD$102,5)),RundDx)))</f>
        <v>3877480749</v>
      </c>
      <c r="DH28" s="25">
        <f>IF($CU28&gt;=RAF,"",IF($CU28-DH$103&lt;BeginnAlter,"",ROUND(v^($CU28+FaktorAlter)*$L28*$D28*0.5*(VLOOKUP($CU28-DH$103,Männer!$G$9:$J$102,4)+VLOOKUP($CU28-DH$103+1,Männer!$G$9:$J$102,4))*0.5*(VLOOKUP($CU28-DH$103,Männer!$AZ$9:$BD$102,5)+VLOOKUP($CU28-DH$103+1,Männer!$AZ$9:$BD$102,5)),RundDx)))</f>
        <v>3949056724</v>
      </c>
      <c r="DI28" s="25">
        <f>IF($CU28&gt;=RAF,"",IF($CU28-DI$103&lt;BeginnAlter,"",ROUND(v^($CU28+FaktorAlter)*$L28*$D28*0.5*(VLOOKUP($CU28-DI$103,Männer!$G$9:$J$102,4)+VLOOKUP($CU28-DI$103+1,Männer!$G$9:$J$102,4))*0.5*(VLOOKUP($CU28-DI$103,Männer!$AZ$9:$BD$102,5)+VLOOKUP($CU28-DI$103+1,Männer!$AZ$9:$BD$102,5)),RundDx)))</f>
        <v>4019371229</v>
      </c>
      <c r="DJ28" s="25">
        <f>IF($CU28&gt;=RAF,"",IF($CU28-DJ$103&lt;BeginnAlter,"",ROUND(v^($CU28+FaktorAlter)*$L28*$D28*0.5*(VLOOKUP($CU28-DJ$103,Männer!$G$9:$J$102,4)+VLOOKUP($CU28-DJ$103+1,Männer!$G$9:$J$102,4))*0.5*(VLOOKUP($CU28-DJ$103,Männer!$AZ$9:$BD$102,5)+VLOOKUP($CU28-DJ$103+1,Männer!$AZ$9:$BD$102,5)),RundDx)))</f>
        <v>4088341683</v>
      </c>
      <c r="DK28" s="25">
        <f>IF($CU28&gt;=RAF,"",IF($CU28-DK$103&lt;BeginnAlter,"",ROUND(v^($CU28+FaktorAlter)*$L28*$D28*0.5*(VLOOKUP($CU28-DK$103,Männer!$G$9:$J$102,4)+VLOOKUP($CU28-DK$103+1,Männer!$G$9:$J$102,4))*0.5*(VLOOKUP($CU28-DK$103,Männer!$AZ$9:$BD$102,5)+VLOOKUP($CU28-DK$103+1,Männer!$AZ$9:$BD$102,5)),RundDx)))</f>
        <v>4155908127</v>
      </c>
      <c r="DL28" s="25">
        <f>IF($CU28&gt;=RAF,"",IF($CU28-DL$103&lt;BeginnAlter,"",ROUND(v^($CU28+FaktorAlter)*$L28*$D28*0.5*(VLOOKUP($CU28-DL$103,Männer!$G$9:$J$102,4)+VLOOKUP($CU28-DL$103+1,Männer!$G$9:$J$102,4))*0.5*(VLOOKUP($CU28-DL$103,Männer!$AZ$9:$BD$102,5)+VLOOKUP($CU28-DL$103+1,Männer!$AZ$9:$BD$102,5)),RundDx)))</f>
        <v>4222209811</v>
      </c>
      <c r="DM28" s="25">
        <f>IF($CU28&gt;=RAF,"",IF($CU28-DM$103&lt;BeginnAlter,"",ROUND(v^($CU28+FaktorAlter)*$L28*$D28*0.5*(VLOOKUP($CU28-DM$103,Männer!$G$9:$J$102,4)+VLOOKUP($CU28-DM$103+1,Männer!$G$9:$J$102,4))*0.5*(VLOOKUP($CU28-DM$103,Männer!$AZ$9:$BD$102,5)+VLOOKUP($CU28-DM$103+1,Männer!$AZ$9:$BD$102,5)),RundDx)))</f>
        <v>4287147879</v>
      </c>
      <c r="DN28" s="25">
        <f>IF($CU28&gt;=RAF,"",IF($CU28-DN$103&lt;BeginnAlter,"",ROUND(v^($CU28+FaktorAlter)*$L28*$D28*0.5*(VLOOKUP($CU28-DN$103,Männer!$G$9:$J$102,4)+VLOOKUP($CU28-DN$103+1,Männer!$G$9:$J$102,4))*0.5*(VLOOKUP($CU28-DN$103,Männer!$AZ$9:$BD$102,5)+VLOOKUP($CU28-DN$103+1,Männer!$AZ$9:$BD$102,5)),RundDx)))</f>
        <v>4350769498</v>
      </c>
      <c r="DO28" s="25">
        <f>IF($CU28&gt;=RAF,"",IF($CU28-DO$103&lt;BeginnAlter,"",ROUND(v^($CU28+FaktorAlter)*$L28*$D28*0.5*(VLOOKUP($CU28-DO$103,Männer!$G$9:$J$102,4)+VLOOKUP($CU28-DO$103+1,Männer!$G$9:$J$102,4))*0.5*(VLOOKUP($CU28-DO$103,Männer!$AZ$9:$BD$102,5)+VLOOKUP($CU28-DO$103+1,Männer!$AZ$9:$BD$102,5)),RundDx)))</f>
        <v>4413125983</v>
      </c>
      <c r="DP28" s="25">
        <f>IF($CU28&gt;=RAF,"",IF($CU28-DP$103&lt;BeginnAlter,"",ROUND(v^($CU28+FaktorAlter)*$L28*$D28*0.5*(VLOOKUP($CU28-DP$103,Männer!$G$9:$J$102,4)+VLOOKUP($CU28-DP$103+1,Männer!$G$9:$J$102,4))*0.5*(VLOOKUP($CU28-DP$103,Männer!$AZ$9:$BD$102,5)+VLOOKUP($CU28-DP$103+1,Männer!$AZ$9:$BD$102,5)),RundDx)))</f>
        <v>4474250070</v>
      </c>
      <c r="DQ28" s="25">
        <f>IF($CU28&gt;=RAF,"",IF($CU28-DQ$103&lt;BeginnAlter,"",ROUND(v^($CU28+FaktorAlter)*$L28*$D28*0.5*(VLOOKUP($CU28-DQ$103,Männer!$G$9:$J$102,4)+VLOOKUP($CU28-DQ$103+1,Männer!$G$9:$J$102,4))*0.5*(VLOOKUP($CU28-DQ$103,Männer!$AZ$9:$BD$102,5)+VLOOKUP($CU28-DQ$103+1,Männer!$AZ$9:$BD$102,5)),RundDx)))</f>
        <v>4534154312</v>
      </c>
      <c r="DR28" s="25">
        <f>IF($CU28&gt;=RAF,"",IF($CU28-DR$103&lt;BeginnAlter,"",ROUND(v^($CU28+FaktorAlter)*$L28*$D28*0.5*(VLOOKUP($CU28-DR$103,Männer!$G$9:$J$102,4)+VLOOKUP($CU28-DR$103+1,Männer!$G$9:$J$102,4))*0.5*(VLOOKUP($CU28-DR$103,Männer!$AZ$9:$BD$102,5)+VLOOKUP($CU28-DR$103+1,Männer!$AZ$9:$BD$102,5)),RundDx)))</f>
        <v>4592818896</v>
      </c>
      <c r="DS28" s="25">
        <f>IF($CU28&gt;=RAF,"",IF($CU28-DS$103&lt;BeginnAlter,"",ROUND(v^($CU28+FaktorAlter)*$L28*$D28*0.5*(VLOOKUP($CU28-DS$103,Männer!$G$9:$J$102,4)+VLOOKUP($CU28-DS$103+1,Männer!$G$9:$J$102,4))*0.5*(VLOOKUP($CU28-DS$103,Männer!$AZ$9:$BD$102,5)+VLOOKUP($CU28-DS$103+1,Männer!$AZ$9:$BD$102,5)),RundDx)))</f>
        <v>4650307485</v>
      </c>
      <c r="DT28" s="25">
        <f>IF($CU28&gt;=RAF,"",IF($CU28-DT$103&lt;BeginnAlter,"",ROUND(v^($CU28+FaktorAlter)*$L28*$D28*0.5*(VLOOKUP($CU28-DT$103,Männer!$G$9:$J$102,4)+VLOOKUP($CU28-DT$103+1,Männer!$G$9:$J$102,4))*0.5*(VLOOKUP($CU28-DT$103,Männer!$AZ$9:$BD$102,5)+VLOOKUP($CU28-DT$103+1,Männer!$AZ$9:$BD$102,5)),RundDx)))</f>
        <v>4706583315</v>
      </c>
      <c r="DU28" s="25">
        <f>IF($CU28&gt;=RAF,"",IF($CU28-DU$103&lt;BeginnAlter,"",ROUND(v^($CU28+FaktorAlter)*$L28*$D28*0.5*(VLOOKUP($CU28-DU$103,Männer!$G$9:$J$102,4)+VLOOKUP($CU28-DU$103+1,Männer!$G$9:$J$102,4))*0.5*(VLOOKUP($CU28-DU$103,Männer!$AZ$9:$BD$102,5)+VLOOKUP($CU28-DU$103+1,Männer!$AZ$9:$BD$102,5)),RundDx)))</f>
        <v>4761795940</v>
      </c>
      <c r="DV28" s="25">
        <f>IF($CU28&gt;=RAF,"",IF($CU28-DV$103&lt;BeginnAlter,"",ROUND(v^($CU28+FaktorAlter)*$L28*$D28*0.5*(VLOOKUP($CU28-DV$103,Männer!$G$9:$J$102,4)+VLOOKUP($CU28-DV$103+1,Männer!$G$9:$J$102,4))*0.5*(VLOOKUP($CU28-DV$103,Männer!$AZ$9:$BD$102,5)+VLOOKUP($CU28-DV$103+1,Männer!$AZ$9:$BD$102,5)),RundDx)))</f>
        <v>4815921167</v>
      </c>
      <c r="DW28" s="25">
        <f>IF($CU28&gt;=RAF,"",IF($CU28-DW$103&lt;BeginnAlter,"",ROUND(v^($CU28+FaktorAlter)*$L28*$D28*0.5*(VLOOKUP($CU28-DW$103,Männer!$G$9:$J$102,4)+VLOOKUP($CU28-DW$103+1,Männer!$G$9:$J$102,4))*0.5*(VLOOKUP($CU28-DW$103,Männer!$AZ$9:$BD$102,5)+VLOOKUP($CU28-DW$103+1,Männer!$AZ$9:$BD$102,5)),RundDx)))</f>
        <v>4868821947</v>
      </c>
      <c r="DX28" s="25">
        <f>IF($CU28&gt;=RAF,"",IF($CU28-DX$103&lt;BeginnAlter,"",ROUND(v^($CU28+FaktorAlter)*$L28*$D28*0.5*(VLOOKUP($CU28-DX$103,Männer!$G$9:$J$102,4)+VLOOKUP($CU28-DX$103+1,Männer!$G$9:$J$102,4))*0.5*(VLOOKUP($CU28-DX$103,Männer!$AZ$9:$BD$102,5)+VLOOKUP($CU28-DX$103+1,Männer!$AZ$9:$BD$102,5)),RundDx)))</f>
        <v>4920738862</v>
      </c>
      <c r="DY28" s="25">
        <f>IF($CU28&gt;=RAF,"",IF($CU28-DY$103&lt;BeginnAlter,"",ROUND(v^($CU28+FaktorAlter)*$L28*$D28*0.5*(VLOOKUP($CU28-DY$103,Männer!$G$9:$J$102,4)+VLOOKUP($CU28-DY$103+1,Männer!$G$9:$J$102,4))*0.5*(VLOOKUP($CU28-DY$103,Männer!$AZ$9:$BD$102,5)+VLOOKUP($CU28-DY$103+1,Männer!$AZ$9:$BD$102,5)),RundDx)))</f>
        <v>4971652510</v>
      </c>
      <c r="DZ28" s="25">
        <f>IF($CU28&gt;=RAF,"",IF($CU28-DZ$103&lt;BeginnAlter,"",ROUND(v^($CU28+FaktorAlter)*$L28*$D28*0.5*(VLOOKUP($CU28-DZ$103,Männer!$G$9:$J$102,4)+VLOOKUP($CU28-DZ$103+1,Männer!$G$9:$J$102,4))*0.5*(VLOOKUP($CU28-DZ$103,Männer!$AZ$9:$BD$102,5)+VLOOKUP($CU28-DZ$103+1,Männer!$AZ$9:$BD$102,5)),RundDx)))</f>
        <v>5021539887</v>
      </c>
      <c r="EA28" s="43">
        <f>IF($CU28&gt;=RAF,"",IF($CU28-EA$103&lt;BeginnAlter,"",ROUND((SUM(CV28:CV$56)+SUM(FN$9:FN$56))/VLOOKUP($CU28,$AH$9:$AI$102,2)/VLOOKUP($CU28-EA$103,Männer!$G$9:$J$102,4),Rundäx)))</f>
        <v>4.5640000000000001</v>
      </c>
      <c r="EB28" s="43">
        <f>IF($CU28&gt;=RAF,"",IF($CU28-EB$103&lt;BeginnAlter,"",ROUND((SUM(CW28:CW$56)+SUM(FO$9:FO$56))/VLOOKUP($CU28,$AH$9:$AI$102,2)/VLOOKUP($CU28-EB$103,Männer!$G$9:$J$102,4),Rundäx)))</f>
        <v>4.7569999999999997</v>
      </c>
      <c r="EC28" s="43">
        <f>IF($CU28&gt;=RAF,"",IF($CU28-EC$103&lt;BeginnAlter,"",ROUND((SUM(CX28:CX$56)+SUM(FP$9:FP$56))/VLOOKUP($CU28,$AH$9:$AI$102,2)/VLOOKUP($CU28-EC$103,Männer!$G$9:$J$102,4),Rundäx)))</f>
        <v>4.9530000000000003</v>
      </c>
      <c r="ED28" s="43">
        <f>IF($CU28&gt;=RAF,"",IF($CU28-ED$103&lt;BeginnAlter,"",ROUND((SUM(CY28:CY$56)+SUM(FQ$9:FQ$56))/VLOOKUP($CU28,$AH$9:$AI$102,2)/VLOOKUP($CU28-ED$103,Männer!$G$9:$J$102,4),Rundäx)))</f>
        <v>5.1509999999999998</v>
      </c>
      <c r="EE28" s="43">
        <f>IF($CU28&gt;=RAF,"",IF($CU28-EE$103&lt;BeginnAlter,"",ROUND((SUM(CZ28:CZ$56)+SUM(FR$9:FR$56))/VLOOKUP($CU28,$AH$9:$AI$102,2)/VLOOKUP($CU28-EE$103,Männer!$G$9:$J$102,4),Rundäx)))</f>
        <v>5.351</v>
      </c>
      <c r="EF28" s="43">
        <f>IF($CU28&gt;=RAF,"",IF($CU28-EF$103&lt;BeginnAlter,"",ROUND((SUM(DA28:DA$56)+SUM(FS$9:FS$56))/VLOOKUP($CU28,$AH$9:$AI$102,2)/VLOOKUP($CU28-EF$103,Männer!$G$9:$J$102,4),Rundäx)))</f>
        <v>5.5529999999999999</v>
      </c>
      <c r="EG28" s="43">
        <f>IF($CU28&gt;=RAF,"",IF($CU28-EG$103&lt;BeginnAlter,"",ROUND((SUM(DB28:DB$56)+SUM(FT$9:FT$56))/VLOOKUP($CU28,$AH$9:$AI$102,2)/VLOOKUP($CU28-EG$103,Männer!$G$9:$J$102,4),Rundäx)))</f>
        <v>5.7569999999999997</v>
      </c>
      <c r="EH28" s="43">
        <f>IF($CU28&gt;=RAF,"",IF($CU28-EH$103&lt;BeginnAlter,"",ROUND((SUM(DC28:DC$56)+SUM(FU$9:FU$56))/VLOOKUP($CU28,$AH$9:$AI$102,2)/VLOOKUP($CU28-EH$103,Männer!$G$9:$J$102,4),Rundäx)))</f>
        <v>5.9619999999999997</v>
      </c>
      <c r="EI28" s="89"/>
      <c r="EJ28" s="35">
        <f t="shared" si="61"/>
        <v>36</v>
      </c>
      <c r="EK28" s="43">
        <f>IF($CU28&gt;=RAF,"",IF($CU28-EK$103&lt;BeginnAlter,"",ROUND((SUM(DD28:DD$56)+SUM(FV$9:FV$56))/VLOOKUP($CU28,$AH$9:$AI$102,2)/VLOOKUP($CU28-EK$103,Männer!$G$9:$J$102,4),Rundäx)))</f>
        <v>6.17</v>
      </c>
      <c r="EL28" s="43">
        <f>IF($CU28&gt;=RAF,"",IF($CU28-EL$103&lt;BeginnAlter,"",ROUND((SUM(DE28:DE$56)+SUM(FW$9:FW$56))/VLOOKUP($CU28,$AH$9:$AI$102,2)/VLOOKUP($CU28-EL$103,Männer!$G$9:$J$102,4),Rundäx)))</f>
        <v>6.3789999999999996</v>
      </c>
      <c r="EM28" s="43">
        <f>IF($CU28&gt;=RAF,"",IF($CU28-EM$103&lt;BeginnAlter,"",ROUND((SUM(DF28:DF$56)+SUM(FX$9:FX$56))/VLOOKUP($CU28,$AH$9:$AI$102,2)/VLOOKUP($CU28-EM$103,Männer!$G$9:$J$102,4),Rundäx)))</f>
        <v>6.59</v>
      </c>
      <c r="EN28" s="43">
        <f>IF($CU28&gt;=RAF,"",IF($CU28-EN$103&lt;BeginnAlter,"",ROUND((SUM(DG28:DG$56)+SUM(FY$9:FY$56))/VLOOKUP($CU28,$AH$9:$AI$102,2)/VLOOKUP($CU28-EN$103,Männer!$G$9:$J$102,4),Rundäx)))</f>
        <v>6.8029999999999999</v>
      </c>
      <c r="EO28" s="43">
        <f>IF($CU28&gt;=RAF,"",IF($CU28-EO$103&lt;BeginnAlter,"",ROUND((SUM(DH28:DH$56)+SUM(FZ$9:FZ$56))/VLOOKUP($CU28,$AH$9:$AI$102,2)/VLOOKUP($CU28-EO$103,Männer!$G$9:$J$102,4),Rundäx)))</f>
        <v>7.0190000000000001</v>
      </c>
      <c r="EP28" s="43">
        <f>IF($CU28&gt;=RAF,"",IF($CU28-EP$103&lt;BeginnAlter,"",ROUND((SUM(DI28:DI$56)+SUM(GA$9:GA$56))/VLOOKUP($CU28,$AH$9:$AI$102,2)/VLOOKUP($CU28-EP$103,Männer!$G$9:$J$102,4),Rundäx)))</f>
        <v>7.2359999999999998</v>
      </c>
      <c r="EQ28" s="43">
        <f>IF($CU28&gt;=RAF,"",IF($CU28-EQ$103&lt;BeginnAlter,"",ROUND((SUM(DJ28:DJ$56)+SUM(GB$9:GB$56))/VLOOKUP($CU28,$AH$9:$AI$102,2)/VLOOKUP($CU28-EQ$103,Männer!$G$9:$J$102,4),Rundäx)))</f>
        <v>7.4550000000000001</v>
      </c>
      <c r="ER28" s="43">
        <f>IF($CU28&gt;=RAF,"",IF($CU28-ER$103&lt;BeginnAlter,"",ROUND((SUM(DK28:DK$56)+SUM(GC$9:GC$56))/VLOOKUP($CU28,$AH$9:$AI$102,2)/VLOOKUP($CU28-ER$103,Männer!$G$9:$J$102,4),Rundäx)))</f>
        <v>7.6760000000000002</v>
      </c>
      <c r="ES28" s="89"/>
      <c r="ET28" s="35">
        <f t="shared" si="62"/>
        <v>36</v>
      </c>
      <c r="EU28" s="43">
        <f>IF($CU28&gt;=RAF,"",IF($CU28-EU$103&lt;BeginnAlter,"",ROUND((SUM(DL28:DL$56)+SUM(GD$9:GD$56))/VLOOKUP($CU28,$AH$9:$AI$102,2)/VLOOKUP($CU28-EU$103,Männer!$G$9:$J$102,4),Rundäx)))</f>
        <v>7.899</v>
      </c>
      <c r="EV28" s="43">
        <f>IF($CU28&gt;=RAF,"",IF($CU28-EV$103&lt;BeginnAlter,"",ROUND((SUM(DM28:DM$56)+SUM(GE$9:GE$56))/VLOOKUP($CU28,$AH$9:$AI$102,2)/VLOOKUP($CU28-EV$103,Männer!$G$9:$J$102,4),Rundäx)))</f>
        <v>8.1240000000000006</v>
      </c>
      <c r="EW28" s="43">
        <f>IF($CU28&gt;=RAF,"",IF($CU28-EW$103&lt;BeginnAlter,"",ROUND((SUM(DN28:DN$56)+SUM(GF$9:GF$56))/VLOOKUP($CU28,$AH$9:$AI$102,2)/VLOOKUP($CU28-EW$103,Männer!$G$9:$J$102,4),Rundäx)))</f>
        <v>8.35</v>
      </c>
      <c r="EX28" s="43">
        <f>IF($CU28&gt;=RAF,"",IF($CU28-EX$103&lt;BeginnAlter,"",ROUND((SUM(DO28:DO$56)+SUM(GG$9:GG$56))/VLOOKUP($CU28,$AH$9:$AI$102,2)/VLOOKUP($CU28-EX$103,Männer!$G$9:$J$102,4),Rundäx)))</f>
        <v>8.577</v>
      </c>
      <c r="EY28" s="43">
        <f>IF($CU28&gt;=RAF,"",IF($CU28-EY$103&lt;BeginnAlter,"",ROUND((SUM(DP28:DP$56)+SUM(GH$9:GH$56))/VLOOKUP($CU28,$AH$9:$AI$102,2)/VLOOKUP($CU28-EY$103,Männer!$G$9:$J$102,4),Rundäx)))</f>
        <v>8.8049999999999997</v>
      </c>
      <c r="EZ28" s="43">
        <f>IF($CU28&gt;=RAF,"",IF($CU28-EZ$103&lt;BeginnAlter,"",ROUND((SUM(DQ28:DQ$56)+SUM(GI$9:GI$56))/VLOOKUP($CU28,$AH$9:$AI$102,2)/VLOOKUP($CU28-EZ$103,Männer!$G$9:$J$102,4),Rundäx)))</f>
        <v>9.0340000000000007</v>
      </c>
      <c r="FA28" s="43">
        <f>IF($CU28&gt;=RAF,"",IF($CU28-FA$103&lt;BeginnAlter,"",ROUND((SUM(DR28:DR$56)+SUM(GJ$9:GJ$56))/VLOOKUP($CU28,$AH$9:$AI$102,2)/VLOOKUP($CU28-FA$103,Männer!$G$9:$J$102,4),Rundäx)))</f>
        <v>9.2620000000000005</v>
      </c>
      <c r="FB28" s="43">
        <f>IF($CU28&gt;=RAF,"",IF($CU28-FB$103&lt;BeginnAlter,"",ROUND((SUM(DS28:DS$56)+SUM(GK$9:GK$56))/VLOOKUP($CU28,$AH$9:$AI$102,2)/VLOOKUP($CU28-FB$103,Männer!$G$9:$J$102,4),Rundäx)))</f>
        <v>9.4909999999999997</v>
      </c>
      <c r="FC28" s="89"/>
      <c r="FD28" s="35">
        <f t="shared" si="63"/>
        <v>36</v>
      </c>
      <c r="FE28" s="43">
        <f>IF($CU28&gt;=RAF,"",IF($CU28-FE$103&lt;BeginnAlter,"",ROUND((SUM(DT28:DT$56)+SUM(GL$9:GL$56))/VLOOKUP($CU28,$AH$9:$AI$102,2)/VLOOKUP($CU28-FE$103,Männer!$G$9:$J$102,4),Rundäx)))</f>
        <v>9.718</v>
      </c>
      <c r="FF28" s="43">
        <f>IF($CU28&gt;=RAF,"",IF($CU28-FF$103&lt;BeginnAlter,"",ROUND((SUM(DU28:DU$56)+SUM(GM$9:GM$56))/VLOOKUP($CU28,$AH$9:$AI$102,2)/VLOOKUP($CU28-FF$103,Männer!$G$9:$J$102,4),Rundäx)))</f>
        <v>9.9450000000000003</v>
      </c>
      <c r="FG28" s="43">
        <f>IF($CU28&gt;=RAF,"",IF($CU28-FG$103&lt;BeginnAlter,"",ROUND((SUM(DV28:DV$56)+SUM(GN$9:GN$56))/VLOOKUP($CU28,$AH$9:$AI$102,2)/VLOOKUP($CU28-FG$103,Männer!$G$9:$J$102,4),Rundäx)))</f>
        <v>10.170999999999999</v>
      </c>
      <c r="FH28" s="43">
        <f>IF($CU28&gt;=RAF,"",IF($CU28-FH$103&lt;BeginnAlter,"",ROUND((SUM(DW28:DW$56)+SUM(GO$9:GO$56))/VLOOKUP($CU28,$AH$9:$AI$102,2)/VLOOKUP($CU28-FH$103,Männer!$G$9:$J$102,4),Rundäx)))</f>
        <v>10.395</v>
      </c>
      <c r="FI28" s="43">
        <f>IF($CU28&gt;=RAF,"",IF($CU28-FI$103&lt;BeginnAlter,"",ROUND((SUM(DX28:DX$56)+SUM(GP$9:GP$56))/VLOOKUP($CU28,$AH$9:$AI$102,2)/VLOOKUP($CU28-FI$103,Männer!$G$9:$J$102,4),Rundäx)))</f>
        <v>10.617000000000001</v>
      </c>
      <c r="FJ28" s="43">
        <f>IF($CU28&gt;=RAF,"",IF($CU28-FJ$103&lt;BeginnAlter,"",ROUND((SUM(DY28:DY$56)+SUM(GQ$9:GQ$56))/VLOOKUP($CU28,$AH$9:$AI$102,2)/VLOOKUP($CU28-FJ$103,Männer!$G$9:$J$102,4),Rundäx)))</f>
        <v>10.839</v>
      </c>
      <c r="FK28" s="43">
        <f>IF($CU28&gt;=RAF,"",IF($CU28-FK$103&lt;BeginnAlter,"",ROUND((SUM(DZ28:DZ$56)+SUM(GR$9:GR$56))/VLOOKUP($CU28,$AH$9:$AI$102,2)/VLOOKUP($CU28-FK$103,Männer!$G$9:$J$102,4),Rundäx)))</f>
        <v>11.058999999999999</v>
      </c>
      <c r="FL28" s="89"/>
      <c r="FM28" s="35">
        <f t="shared" si="64"/>
        <v>83</v>
      </c>
      <c r="FN28" s="25">
        <f>ROUND(v^($FM28+FaktorAlter)*VLOOKUP($FM28,$G$9:$J$102,4)*VLOOKUP($FM28,$A$9:$E$102,5)*0.5*(VLOOKUP($FM28-FN$103,Männer!$G$9:$J$102,4)+VLOOKUP($FM28-FN$103+1,Männer!$G$9:$J$102,4))*0.5*(VLOOKUP($FM28-FN$103,Männer!$AZ$9:$BD$102,5)+VLOOKUP($FM28-FN$103+1,Männer!$AZ$9:$BD$102,5)),RundDx)</f>
        <v>632143</v>
      </c>
      <c r="FO28" s="25">
        <f>ROUND(v^($FM28+FaktorAlter)*VLOOKUP($FM28,$G$9:$J$102,4)*VLOOKUP($FM28,$A$9:$E$102,5)*0.5*(VLOOKUP($FM28-FO$103,Männer!$G$9:$J$102,4)+VLOOKUP($FM28-FO$103+1,Männer!$G$9:$J$102,4))*0.5*(VLOOKUP($FM28-FO$103,Männer!$AZ$9:$BD$102,5)+VLOOKUP($FM28-FO$103+1,Männer!$AZ$9:$BD$102,5)),RundDx)</f>
        <v>1287418</v>
      </c>
      <c r="FP28" s="25">
        <f>ROUND(v^($FM28+FaktorAlter)*VLOOKUP($FM28,$G$9:$J$102,4)*VLOOKUP($FM28,$A$9:$E$102,5)*0.5*(VLOOKUP($FM28-FP$103,Männer!$G$9:$J$102,4)+VLOOKUP($FM28-FP$103+1,Männer!$G$9:$J$102,4))*0.5*(VLOOKUP($FM28-FP$103,Männer!$AZ$9:$BD$102,5)+VLOOKUP($FM28-FP$103+1,Männer!$AZ$9:$BD$102,5)),RundDx)</f>
        <v>2401005</v>
      </c>
      <c r="FQ28" s="25">
        <f>ROUND(v^($FM28+FaktorAlter)*VLOOKUP($FM28,$G$9:$J$102,4)*VLOOKUP($FM28,$A$9:$E$102,5)*0.5*(VLOOKUP($FM28-FQ$103,Männer!$G$9:$J$102,4)+VLOOKUP($FM28-FQ$103+1,Männer!$G$9:$J$102,4))*0.5*(VLOOKUP($FM28-FQ$103,Männer!$AZ$9:$BD$102,5)+VLOOKUP($FM28-FQ$103+1,Männer!$AZ$9:$BD$102,5)),RundDx)</f>
        <v>4155775</v>
      </c>
      <c r="FR28" s="25">
        <f>ROUND(v^($FM28+FaktorAlter)*VLOOKUP($FM28,$G$9:$J$102,4)*VLOOKUP($FM28,$A$9:$E$102,5)*0.5*(VLOOKUP($FM28-FR$103,Männer!$G$9:$J$102,4)+VLOOKUP($FM28-FR$103+1,Männer!$G$9:$J$102,4))*0.5*(VLOOKUP($FM28-FR$103,Männer!$AZ$9:$BD$102,5)+VLOOKUP($FM28-FR$103+1,Männer!$AZ$9:$BD$102,5)),RundDx)</f>
        <v>6754575</v>
      </c>
      <c r="FS28" s="25">
        <f>ROUND(v^($FM28+FaktorAlter)*VLOOKUP($FM28,$G$9:$J$102,4)*VLOOKUP($FM28,$A$9:$E$102,5)*0.5*(VLOOKUP($FM28-FS$103,Männer!$G$9:$J$102,4)+VLOOKUP($FM28-FS$103+1,Männer!$G$9:$J$102,4))*0.5*(VLOOKUP($FM28-FS$103,Männer!$AZ$9:$BD$102,5)+VLOOKUP($FM28-FS$103+1,Männer!$AZ$9:$BD$102,5)),RundDx)</f>
        <v>10394575</v>
      </c>
      <c r="FT28" s="25">
        <f>ROUND(v^($FM28+FaktorAlter)*VLOOKUP($FM28,$G$9:$J$102,4)*VLOOKUP($FM28,$A$9:$E$102,5)*0.5*(VLOOKUP($FM28-FT$103,Männer!$G$9:$J$102,4)+VLOOKUP($FM28-FT$103+1,Männer!$G$9:$J$102,4))*0.5*(VLOOKUP($FM28-FT$103,Männer!$AZ$9:$BD$102,5)+VLOOKUP($FM28-FT$103+1,Männer!$AZ$9:$BD$102,5)),RundDx)</f>
        <v>15283610</v>
      </c>
      <c r="FU28" s="25">
        <f>ROUND(v^($FM28+FaktorAlter)*VLOOKUP($FM28,$G$9:$J$102,4)*VLOOKUP($FM28,$A$9:$E$102,5)*0.5*(VLOOKUP($FM28-FU$103,Männer!$G$9:$J$102,4)+VLOOKUP($FM28-FU$103+1,Männer!$G$9:$J$102,4))*0.5*(VLOOKUP($FM28-FU$103,Männer!$AZ$9:$BD$102,5)+VLOOKUP($FM28-FU$103+1,Männer!$AZ$9:$BD$102,5)),RundDx)</f>
        <v>21610670</v>
      </c>
      <c r="FV28" s="25">
        <f>ROUND(v^($FM28+FaktorAlter)*VLOOKUP($FM28,$G$9:$J$102,4)*VLOOKUP($FM28,$A$9:$E$102,5)*0.5*(VLOOKUP($FM28-FV$103,Männer!$G$9:$J$102,4)+VLOOKUP($FM28-FV$103+1,Männer!$G$9:$J$102,4))*0.5*(VLOOKUP($FM28-FV$103,Männer!$AZ$9:$BD$102,5)+VLOOKUP($FM28-FV$103+1,Männer!$AZ$9:$BD$102,5)),RundDx)</f>
        <v>29514408</v>
      </c>
      <c r="FW28" s="25">
        <f>ROUND(v^($FM28+FaktorAlter)*VLOOKUP($FM28,$G$9:$J$102,4)*VLOOKUP($FM28,$A$9:$E$102,5)*0.5*(VLOOKUP($FM28-FW$103,Männer!$G$9:$J$102,4)+VLOOKUP($FM28-FW$103+1,Männer!$G$9:$J$102,4))*0.5*(VLOOKUP($FM28-FW$103,Männer!$AZ$9:$BD$102,5)+VLOOKUP($FM28-FW$103+1,Männer!$AZ$9:$BD$102,5)),RundDx)</f>
        <v>39101751</v>
      </c>
      <c r="FX28" s="25">
        <f>ROUND(v^($FM28+FaktorAlter)*VLOOKUP($FM28,$G$9:$J$102,4)*VLOOKUP($FM28,$A$9:$E$102,5)*0.5*(VLOOKUP($FM28-FX$103,Männer!$G$9:$J$102,4)+VLOOKUP($FM28-FX$103+1,Männer!$G$9:$J$102,4))*0.5*(VLOOKUP($FM28-FX$103,Männer!$AZ$9:$BD$102,5)+VLOOKUP($FM28-FX$103+1,Männer!$AZ$9:$BD$102,5)),RundDx)</f>
        <v>50427875</v>
      </c>
      <c r="FY28" s="25">
        <f>ROUND(v^($FM28+FaktorAlter)*VLOOKUP($FM28,$G$9:$J$102,4)*VLOOKUP($FM28,$A$9:$E$102,5)*0.5*(VLOOKUP($FM28-FY$103,Männer!$G$9:$J$102,4)+VLOOKUP($FM28-FY$103+1,Männer!$G$9:$J$102,4))*0.5*(VLOOKUP($FM28-FY$103,Männer!$AZ$9:$BD$102,5)+VLOOKUP($FM28-FY$103+1,Männer!$AZ$9:$BD$102,5)),RundDx)</f>
        <v>63451371</v>
      </c>
      <c r="FZ28" s="25">
        <f>ROUND(v^($FM28+FaktorAlter)*VLOOKUP($FM28,$G$9:$J$102,4)*VLOOKUP($FM28,$A$9:$E$102,5)*0.5*(VLOOKUP($FM28-FZ$103,Männer!$G$9:$J$102,4)+VLOOKUP($FM28-FZ$103+1,Männer!$G$9:$J$102,4))*0.5*(VLOOKUP($FM28-FZ$103,Männer!$AZ$9:$BD$102,5)+VLOOKUP($FM28-FZ$103+1,Männer!$AZ$9:$BD$102,5)),RundDx)</f>
        <v>78089920</v>
      </c>
      <c r="GA28" s="25">
        <f>ROUND(v^($FM28+FaktorAlter)*VLOOKUP($FM28,$G$9:$J$102,4)*VLOOKUP($FM28,$A$9:$E$102,5)*0.5*(VLOOKUP($FM28-GA$103,Männer!$G$9:$J$102,4)+VLOOKUP($FM28-GA$103+1,Männer!$G$9:$J$102,4))*0.5*(VLOOKUP($FM28-GA$103,Männer!$AZ$9:$BD$102,5)+VLOOKUP($FM28-GA$103+1,Männer!$AZ$9:$BD$102,5)),RundDx)</f>
        <v>94301797</v>
      </c>
      <c r="GB28" s="25">
        <f>ROUND(v^($FM28+FaktorAlter)*VLOOKUP($FM28,$G$9:$J$102,4)*VLOOKUP($FM28,$A$9:$E$102,5)*0.5*(VLOOKUP($FM28-GB$103,Männer!$G$9:$J$102,4)+VLOOKUP($FM28-GB$103+1,Männer!$G$9:$J$102,4))*0.5*(VLOOKUP($FM28-GB$103,Männer!$AZ$9:$BD$102,5)+VLOOKUP($FM28-GB$103+1,Männer!$AZ$9:$BD$102,5)),RundDx)</f>
        <v>112032199</v>
      </c>
      <c r="GC28" s="25">
        <f>ROUND(v^($FM28+FaktorAlter)*VLOOKUP($FM28,$G$9:$J$102,4)*VLOOKUP($FM28,$A$9:$E$102,5)*0.5*(VLOOKUP($FM28-GC$103,Männer!$G$9:$J$102,4)+VLOOKUP($FM28-GC$103+1,Männer!$G$9:$J$102,4))*0.5*(VLOOKUP($FM28-GC$103,Männer!$AZ$9:$BD$102,5)+VLOOKUP($FM28-GC$103+1,Männer!$AZ$9:$BD$102,5)),RundDx)</f>
        <v>131189655</v>
      </c>
      <c r="GD28" s="25">
        <f>ROUND(v^($FM28+FaktorAlter)*VLOOKUP($FM28,$G$9:$J$102,4)*VLOOKUP($FM28,$A$9:$E$102,5)*0.5*(VLOOKUP($FM28-GD$103,Männer!$G$9:$J$102,4)+VLOOKUP($FM28-GD$103+1,Männer!$G$9:$J$102,4))*0.5*(VLOOKUP($FM28-GD$103,Männer!$AZ$9:$BD$102,5)+VLOOKUP($FM28-GD$103+1,Männer!$AZ$9:$BD$102,5)),RundDx)</f>
        <v>151702247</v>
      </c>
      <c r="GE28" s="25">
        <f>ROUND(v^($FM28+FaktorAlter)*VLOOKUP($FM28,$G$9:$J$102,4)*VLOOKUP($FM28,$A$9:$E$102,5)*0.5*(VLOOKUP($FM28-GE$103,Männer!$G$9:$J$102,4)+VLOOKUP($FM28-GE$103+1,Männer!$G$9:$J$102,4))*0.5*(VLOOKUP($FM28-GE$103,Männer!$AZ$9:$BD$102,5)+VLOOKUP($FM28-GE$103+1,Männer!$AZ$9:$BD$102,5)),RundDx)</f>
        <v>173486955</v>
      </c>
      <c r="GF28" s="25">
        <f>ROUND(v^($FM28+FaktorAlter)*VLOOKUP($FM28,$G$9:$J$102,4)*VLOOKUP($FM28,$A$9:$E$102,5)*0.5*(VLOOKUP($FM28-GF$103,Männer!$G$9:$J$102,4)+VLOOKUP($FM28-GF$103+1,Männer!$G$9:$J$102,4))*0.5*(VLOOKUP($FM28-GF$103,Männer!$AZ$9:$BD$102,5)+VLOOKUP($FM28-GF$103+1,Männer!$AZ$9:$BD$102,5)),RundDx)</f>
        <v>196428790</v>
      </c>
      <c r="GG28" s="25">
        <f>ROUND(v^($FM28+FaktorAlter)*VLOOKUP($FM28,$G$9:$J$102,4)*VLOOKUP($FM28,$A$9:$E$102,5)*0.5*(VLOOKUP($FM28-GG$103,Männer!$G$9:$J$102,4)+VLOOKUP($FM28-GG$103+1,Männer!$G$9:$J$102,4))*0.5*(VLOOKUP($FM28-GG$103,Männer!$AZ$9:$BD$102,5)+VLOOKUP($FM28-GG$103+1,Männer!$AZ$9:$BD$102,5)),RundDx)</f>
        <v>220417562</v>
      </c>
      <c r="GH28" s="25">
        <f>ROUND(v^($FM28+FaktorAlter)*VLOOKUP($FM28,$G$9:$J$102,4)*VLOOKUP($FM28,$A$9:$E$102,5)*0.5*(VLOOKUP($FM28-GH$103,Männer!$G$9:$J$102,4)+VLOOKUP($FM28-GH$103+1,Männer!$G$9:$J$102,4))*0.5*(VLOOKUP($FM28-GH$103,Männer!$AZ$9:$BD$102,5)+VLOOKUP($FM28-GH$103+1,Männer!$AZ$9:$BD$102,5)),RundDx)</f>
        <v>245337585</v>
      </c>
      <c r="GI28" s="25">
        <f>ROUND(v^($FM28+FaktorAlter)*VLOOKUP($FM28,$G$9:$J$102,4)*VLOOKUP($FM28,$A$9:$E$102,5)*0.5*(VLOOKUP($FM28-GI$103,Männer!$G$9:$J$102,4)+VLOOKUP($FM28-GI$103+1,Männer!$G$9:$J$102,4))*0.5*(VLOOKUP($FM28-GI$103,Männer!$AZ$9:$BD$102,5)+VLOOKUP($FM28-GI$103+1,Männer!$AZ$9:$BD$102,5)),RundDx)</f>
        <v>271064406</v>
      </c>
      <c r="GJ28" s="25">
        <f>ROUND(v^($FM28+FaktorAlter)*VLOOKUP($FM28,$G$9:$J$102,4)*VLOOKUP($FM28,$A$9:$E$102,5)*0.5*(VLOOKUP($FM28-GJ$103,Männer!$G$9:$J$102,4)+VLOOKUP($FM28-GJ$103+1,Männer!$G$9:$J$102,4))*0.5*(VLOOKUP($FM28-GJ$103,Männer!$AZ$9:$BD$102,5)+VLOOKUP($FM28-GJ$103+1,Männer!$AZ$9:$BD$102,5)),RundDx)</f>
        <v>297459682</v>
      </c>
      <c r="GK28" s="25">
        <f>ROUND(v^($FM28+FaktorAlter)*VLOOKUP($FM28,$G$9:$J$102,4)*VLOOKUP($FM28,$A$9:$E$102,5)*0.5*(VLOOKUP($FM28-GK$103,Männer!$G$9:$J$102,4)+VLOOKUP($FM28-GK$103+1,Männer!$G$9:$J$102,4))*0.5*(VLOOKUP($FM28-GK$103,Männer!$AZ$9:$BD$102,5)+VLOOKUP($FM28-GK$103+1,Männer!$AZ$9:$BD$102,5)),RundDx)</f>
        <v>324354859</v>
      </c>
      <c r="GL28" s="25">
        <f>ROUND(v^($FM28+FaktorAlter)*VLOOKUP($FM28,$G$9:$J$102,4)*VLOOKUP($FM28,$A$9:$E$102,5)*0.5*(VLOOKUP($FM28-GL$103,Männer!$G$9:$J$102,4)+VLOOKUP($FM28-GL$103+1,Männer!$G$9:$J$102,4))*0.5*(VLOOKUP($FM28-GL$103,Männer!$AZ$9:$BD$102,5)+VLOOKUP($FM28-GL$103+1,Männer!$AZ$9:$BD$102,5)),RundDx)</f>
        <v>351624445</v>
      </c>
      <c r="GM28" s="25">
        <f>ROUND(v^($FM28+FaktorAlter)*VLOOKUP($FM28,$G$9:$J$102,4)*VLOOKUP($FM28,$A$9:$E$102,5)*0.5*(VLOOKUP($FM28-GM$103,Männer!$G$9:$J$102,4)+VLOOKUP($FM28-GM$103+1,Männer!$G$9:$J$102,4))*0.5*(VLOOKUP($FM28-GM$103,Männer!$AZ$9:$BD$102,5)+VLOOKUP($FM28-GM$103+1,Männer!$AZ$9:$BD$102,5)),RundDx)</f>
        <v>379112888</v>
      </c>
      <c r="GN28" s="25">
        <f>ROUND(v^($FM28+FaktorAlter)*VLOOKUP($FM28,$G$9:$J$102,4)*VLOOKUP($FM28,$A$9:$E$102,5)*0.5*(VLOOKUP($FM28-GN$103,Männer!$G$9:$J$102,4)+VLOOKUP($FM28-GN$103+1,Männer!$G$9:$J$102,4))*0.5*(VLOOKUP($FM28-GN$103,Männer!$AZ$9:$BD$102,5)+VLOOKUP($FM28-GN$103+1,Männer!$AZ$9:$BD$102,5)),RundDx)</f>
        <v>406806026</v>
      </c>
      <c r="GO28" s="25">
        <f>ROUND(v^($FM28+FaktorAlter)*VLOOKUP($FM28,$G$9:$J$102,4)*VLOOKUP($FM28,$A$9:$E$102,5)*0.5*(VLOOKUP($FM28-GO$103,Männer!$G$9:$J$102,4)+VLOOKUP($FM28-GO$103+1,Männer!$G$9:$J$102,4))*0.5*(VLOOKUP($FM28-GO$103,Männer!$AZ$9:$BD$102,5)+VLOOKUP($FM28-GO$103+1,Männer!$AZ$9:$BD$102,5)),RundDx)</f>
        <v>434669620</v>
      </c>
      <c r="GP28" s="25">
        <f>ROUND(v^($FM28+FaktorAlter)*VLOOKUP($FM28,$G$9:$J$102,4)*VLOOKUP($FM28,$A$9:$E$102,5)*0.5*(VLOOKUP($FM28-GP$103,Männer!$G$9:$J$102,4)+VLOOKUP($FM28-GP$103+1,Männer!$G$9:$J$102,4))*0.5*(VLOOKUP($FM28-GP$103,Männer!$AZ$9:$BD$102,5)+VLOOKUP($FM28-GP$103+1,Männer!$AZ$9:$BD$102,5)),RundDx)</f>
        <v>462572059</v>
      </c>
      <c r="GQ28" s="25">
        <f>ROUND(v^($FM28+FaktorAlter)*VLOOKUP($FM28,$G$9:$J$102,4)*VLOOKUP($FM28,$A$9:$E$102,5)*0.5*(VLOOKUP($FM28-GQ$103,Männer!$G$9:$J$102,4)+VLOOKUP($FM28-GQ$103+1,Männer!$G$9:$J$102,4))*0.5*(VLOOKUP($FM28-GQ$103,Männer!$AZ$9:$BD$102,5)+VLOOKUP($FM28-GQ$103+1,Männer!$AZ$9:$BD$102,5)),RundDx)</f>
        <v>490496642</v>
      </c>
      <c r="GR28" s="25">
        <f>ROUND(v^($FM28+FaktorAlter)*VLOOKUP($FM28,$G$9:$J$102,4)*VLOOKUP($FM28,$A$9:$E$102,5)*0.5*(VLOOKUP($FM28-GR$103,Männer!$G$9:$J$102,4)+VLOOKUP($FM28-GR$103+1,Männer!$G$9:$J$102,4))*0.5*(VLOOKUP($FM28-GR$103,Männer!$AZ$9:$BD$102,5)+VLOOKUP($FM28-GR$103+1,Männer!$AZ$9:$BD$102,5)),RundDx)</f>
        <v>518542412</v>
      </c>
      <c r="GS28" s="24">
        <f>ROUND(SUM(FN28:FN$56)/VLOOKUP($FM28,$AQ$9:$AR$102,2)/VLOOKUP($FM28-GS$103,Männer!$G$9:$J$102,4),Rundäx)</f>
        <v>0.10100000000000001</v>
      </c>
      <c r="GT28" s="24">
        <f>ROUND(SUM(FO28:FO$56)/VLOOKUP($FM28,$AQ$9:$AR$102,2)/VLOOKUP($FM28-GT$103,Männer!$G$9:$J$102,4),Rundäx)</f>
        <v>0.13300000000000001</v>
      </c>
      <c r="GU28" s="24">
        <f>ROUND(SUM(FP28:FP$56)/VLOOKUP($FM28,$AQ$9:$AR$102,2)/VLOOKUP($FM28-GU$103,Männer!$G$9:$J$102,4),Rundäx)</f>
        <v>0.17100000000000001</v>
      </c>
      <c r="GV28" s="24">
        <f>ROUND(SUM(FQ28:FQ$56)/VLOOKUP($FM28,$AQ$9:$AR$102,2)/VLOOKUP($FM28-GV$103,Männer!$G$9:$J$102,4),Rundäx)</f>
        <v>0.215</v>
      </c>
      <c r="GW28" s="24">
        <f>ROUND(SUM(FR28:FR$56)/VLOOKUP($FM28,$AQ$9:$AR$102,2)/VLOOKUP($FM28-GW$103,Männer!$G$9:$J$102,4),Rundäx)</f>
        <v>0.26800000000000002</v>
      </c>
      <c r="GX28" s="24">
        <f>ROUND(SUM(FS28:FS$56)/VLOOKUP($FM28,$AQ$9:$AR$102,2)/VLOOKUP($FM28-GX$103,Männer!$G$9:$J$102,4),Rundäx)</f>
        <v>0.33</v>
      </c>
      <c r="GY28" s="24">
        <f>ROUND(SUM(FT28:FT$56)/VLOOKUP($FM28,$AQ$9:$AR$102,2)/VLOOKUP($FM28-GY$103,Männer!$G$9:$J$102,4),Rundäx)</f>
        <v>0.40300000000000002</v>
      </c>
      <c r="GZ28" s="24">
        <f>ROUND(SUM(FU28:FU$56)/VLOOKUP($FM28,$AQ$9:$AR$102,2)/VLOOKUP($FM28-GZ$103,Männer!$G$9:$J$102,4),Rundäx)</f>
        <v>0.48799999999999999</v>
      </c>
      <c r="HA28" s="89"/>
      <c r="HB28" s="35">
        <f t="shared" si="65"/>
        <v>83</v>
      </c>
      <c r="HC28" s="24">
        <f>ROUND(SUM(FV28:FV$56)/VLOOKUP($FM28,$AQ$9:$AR$102,2)/VLOOKUP($FM28-HC$103,Männer!$G$9:$J$102,4),Rundäx)</f>
        <v>0.58699999999999997</v>
      </c>
      <c r="HD28" s="24">
        <f>ROUND(SUM(FW28:FW$56)/VLOOKUP($FM28,$AQ$9:$AR$102,2)/VLOOKUP($FM28-HD$103,Männer!$G$9:$J$102,4),Rundäx)</f>
        <v>0.70099999999999996</v>
      </c>
      <c r="HE28" s="24">
        <f>ROUND(SUM(FX28:FX$56)/VLOOKUP($FM28,$AQ$9:$AR$102,2)/VLOOKUP($FM28-HE$103,Männer!$G$9:$J$102,4),Rundäx)</f>
        <v>0.83</v>
      </c>
      <c r="HF28" s="24">
        <f>ROUND(SUM(FY28:FY$56)/VLOOKUP($FM28,$AQ$9:$AR$102,2)/VLOOKUP($FM28-HF$103,Männer!$G$9:$J$102,4),Rundäx)</f>
        <v>0.97499999999999998</v>
      </c>
      <c r="HG28" s="24">
        <f>ROUND(SUM(FZ28:FZ$56)/VLOOKUP($FM28,$AQ$9:$AR$102,2)/VLOOKUP($FM28-HG$103,Männer!$G$9:$J$102,4),Rundäx)</f>
        <v>1.1359999999999999</v>
      </c>
      <c r="HH28" s="24">
        <f>ROUND(SUM(GA28:GA$56)/VLOOKUP($FM28,$AQ$9:$AR$102,2)/VLOOKUP($FM28-HH$103,Männer!$G$9:$J$102,4),Rundäx)</f>
        <v>1.3149999999999999</v>
      </c>
      <c r="HI28" s="24">
        <f>ROUND(SUM(GB28:GB$56)/VLOOKUP($FM28,$AQ$9:$AR$102,2)/VLOOKUP($FM28-HI$103,Männer!$G$9:$J$102,4),Rundäx)</f>
        <v>1.5089999999999999</v>
      </c>
      <c r="HJ28" s="24">
        <f>ROUND(SUM(GC28:GC$56)/VLOOKUP($FM28,$AQ$9:$AR$102,2)/VLOOKUP($FM28-HJ$103,Männer!$G$9:$J$102,4),Rundäx)</f>
        <v>1.72</v>
      </c>
      <c r="HK28" s="89"/>
      <c r="HL28" s="35">
        <f t="shared" si="66"/>
        <v>83</v>
      </c>
      <c r="HM28" s="24">
        <f>ROUND(SUM(GD28:GD$56)/VLOOKUP($FM28,$AQ$9:$AR$102,2)/VLOOKUP($FM28-HM$103,Männer!$G$9:$J$102,4),Rundäx)</f>
        <v>1.9470000000000001</v>
      </c>
      <c r="HN28" s="24">
        <f>ROUND(SUM(GE28:GE$56)/VLOOKUP($FM28,$AQ$9:$AR$102,2)/VLOOKUP($FM28-HN$103,Männer!$G$9:$J$102,4),Rundäx)</f>
        <v>2.1890000000000001</v>
      </c>
      <c r="HO28" s="24">
        <f>ROUND(SUM(GF28:GF$56)/VLOOKUP($FM28,$AQ$9:$AR$102,2)/VLOOKUP($FM28-HO$103,Männer!$G$9:$J$102,4),Rundäx)</f>
        <v>2.4460000000000002</v>
      </c>
      <c r="HP28" s="24">
        <f>ROUND(SUM(GG28:GG$56)/VLOOKUP($FM28,$AQ$9:$AR$102,2)/VLOOKUP($FM28-HP$103,Männer!$G$9:$J$102,4),Rundäx)</f>
        <v>2.7160000000000002</v>
      </c>
      <c r="HQ28" s="24">
        <f>ROUND(SUM(GH28:GH$56)/VLOOKUP($FM28,$AQ$9:$AR$102,2)/VLOOKUP($FM28-HQ$103,Männer!$G$9:$J$102,4),Rundäx)</f>
        <v>2.9990000000000001</v>
      </c>
      <c r="HR28" s="24">
        <f>ROUND(SUM(GI28:GI$56)/VLOOKUP($FM28,$AQ$9:$AR$102,2)/VLOOKUP($FM28-HR$103,Männer!$G$9:$J$102,4),Rundäx)</f>
        <v>3.2949999999999999</v>
      </c>
      <c r="HS28" s="24">
        <f>ROUND(SUM(GJ28:GJ$56)/VLOOKUP($FM28,$AQ$9:$AR$102,2)/VLOOKUP($FM28-HS$103,Männer!$G$9:$J$102,4),Rundäx)</f>
        <v>3.601</v>
      </c>
      <c r="HT28" s="24">
        <f>ROUND(SUM(GK28:GK$56)/VLOOKUP($FM28,$AQ$9:$AR$102,2)/VLOOKUP($FM28-HT$103,Männer!$G$9:$J$102,4),Rundäx)</f>
        <v>3.9169999999999998</v>
      </c>
      <c r="HU28" s="89"/>
      <c r="HV28" s="35">
        <f t="shared" si="67"/>
        <v>83</v>
      </c>
      <c r="HW28" s="24">
        <f>ROUND(SUM(GL28:GL$56)/VLOOKUP($FM28,$AQ$9:$AR$102,2)/VLOOKUP($FM28-HW$103,Männer!$G$9:$J$102,4),Rundäx)</f>
        <v>4.2439999999999998</v>
      </c>
      <c r="HX28" s="24">
        <f>ROUND(SUM(GM28:GM$56)/VLOOKUP($FM28,$AQ$9:$AR$102,2)/VLOOKUP($FM28-HX$103,Männer!$G$9:$J$102,4),Rundäx)</f>
        <v>4.5789999999999997</v>
      </c>
      <c r="HY28" s="24">
        <f>ROUND(SUM(GN28:GN$56)/VLOOKUP($FM28,$AQ$9:$AR$102,2)/VLOOKUP($FM28-HY$103,Männer!$G$9:$J$102,4),Rundäx)</f>
        <v>4.92</v>
      </c>
      <c r="HZ28" s="24">
        <f>ROUND(SUM(GO28:GO$56)/VLOOKUP($FM28,$AQ$9:$AR$102,2)/VLOOKUP($FM28-HZ$103,Männer!$G$9:$J$102,4),Rundäx)</f>
        <v>5.2679999999999998</v>
      </c>
      <c r="IA28" s="24">
        <f>ROUND(SUM(GP28:GP$56)/VLOOKUP($FM28,$AQ$9:$AR$102,2)/VLOOKUP($FM28-IA$103,Männer!$G$9:$J$102,4),Rundäx)</f>
        <v>5.6219999999999999</v>
      </c>
      <c r="IB28" s="24">
        <f>ROUND(SUM(GQ28:GQ$56)/VLOOKUP($FM28,$AQ$9:$AR$102,2)/VLOOKUP($FM28-IB$103,Männer!$G$9:$J$102,4),Rundäx)</f>
        <v>5.9809999999999999</v>
      </c>
      <c r="IC28" s="24">
        <f>ROUND(SUM(GR28:GR$56)/VLOOKUP($FM28,$AQ$9:$AR$102,2)/VLOOKUP($FM28-IC$103,Männer!$G$9:$J$102,4),Rundäx)</f>
        <v>6.3410000000000002</v>
      </c>
      <c r="ID28" s="89"/>
      <c r="IE28" s="9">
        <f t="shared" si="68"/>
        <v>36</v>
      </c>
      <c r="IF28" s="11">
        <f t="shared" si="25"/>
        <v>335</v>
      </c>
      <c r="IG28" s="11">
        <f>IF($IE28&lt;RAF,IF(S29&lt;=RAK,ROUND(SUM(IF28:INDEX(Daky,RAF-BeginnAlter))+INDEX(Day,RAF-BeginnAlter+1)*INDEX(äky,1),RundDx),0),"")</f>
        <v>3637</v>
      </c>
      <c r="IH28" s="11">
        <f>IF($IE28&lt;RAF,IF(S29&lt;=RAK,ROUND(SUM(IG28:INDEX(Naky,RAF-BeginnAlter))+INDEX(Day,RAF-BeginnAlter+1)*INDEX(äky,1),RundDx),0),"")</f>
        <v>24924</v>
      </c>
      <c r="II28" s="10">
        <f t="shared" si="26"/>
        <v>8.3000000000000004E-2</v>
      </c>
      <c r="IJ28" s="11">
        <f t="shared" si="27"/>
        <v>16573</v>
      </c>
      <c r="IK28" s="11">
        <f>IF($IE28&lt;RAF,IF(S29&lt;=RAK,SUM(IJ28:INDEX(Diky,RAF-BeginnAlter))+INDEX(Diy,RAF-BeginnAlter+1)*INDEX(äky,1),0),"")</f>
        <v>126216</v>
      </c>
      <c r="IL28" s="10">
        <f t="shared" si="28"/>
        <v>1.732</v>
      </c>
      <c r="IM28" s="89"/>
      <c r="IN28" s="9">
        <f t="shared" si="29"/>
        <v>83</v>
      </c>
      <c r="IO28" s="11"/>
      <c r="IP28" s="11"/>
      <c r="IQ28" s="10"/>
      <c r="IR28" s="86"/>
    </row>
    <row r="29" spans="1:252" ht="15.75" customHeight="1" x14ac:dyDescent="0.25">
      <c r="A29" s="9">
        <f t="shared" si="4"/>
        <v>37</v>
      </c>
      <c r="B29" s="93">
        <v>3.7611195106030949E-4</v>
      </c>
      <c r="C29" s="93">
        <v>2.6430107983538894E-3</v>
      </c>
      <c r="D29" s="93">
        <v>2.218772575588164E-2</v>
      </c>
      <c r="E29" s="93">
        <v>8.0663863597407737E-4</v>
      </c>
      <c r="F29" s="89"/>
      <c r="G29" s="9">
        <f t="shared" si="5"/>
        <v>37</v>
      </c>
      <c r="H29" s="11">
        <f t="shared" si="30"/>
        <v>97361</v>
      </c>
      <c r="I29" s="25">
        <f t="shared" si="31"/>
        <v>1816</v>
      </c>
      <c r="J29" s="25">
        <f t="shared" si="32"/>
        <v>99177</v>
      </c>
      <c r="K29" s="30">
        <f>IF(J29&gt;0,ROUND(SUM(J29:J$102)/J29-0.5,Rundex),"")</f>
        <v>45.52</v>
      </c>
      <c r="L29" s="25">
        <f t="shared" si="6"/>
        <v>158704</v>
      </c>
      <c r="M29" s="30">
        <f>IF(L29&gt;0,ROUND(SUM(L29:L$102)/L29-0.5,Rundex),"")</f>
        <v>32.75</v>
      </c>
      <c r="N29" s="89"/>
      <c r="O29" s="9">
        <f t="shared" si="49"/>
        <v>37</v>
      </c>
      <c r="P29" s="94">
        <v>0.24799175109355076</v>
      </c>
      <c r="Q29" s="95">
        <v>40.392246960231603</v>
      </c>
      <c r="R29" s="94">
        <v>0.58123005792418037</v>
      </c>
      <c r="S29" s="95">
        <v>1.9835502659755719</v>
      </c>
      <c r="T29" s="28">
        <v>8.0663863597407737E-4</v>
      </c>
      <c r="U29" s="11">
        <f t="shared" si="33"/>
        <v>99177</v>
      </c>
      <c r="V29" s="30">
        <f>IF(U29&gt;0,ROUND(SUM(U29:U$102)/U29-0.5,Rundex),"")</f>
        <v>46.81</v>
      </c>
      <c r="W29" s="89"/>
      <c r="X29" s="9">
        <f t="shared" si="50"/>
        <v>37</v>
      </c>
      <c r="Y29" s="11">
        <f t="shared" si="34"/>
        <v>42741</v>
      </c>
      <c r="Z29" s="11">
        <f>IF($X29&lt;RAF,SUM(Y29:INDEX(Day,RAF-BeginnAlter))," ")</f>
        <v>809135</v>
      </c>
      <c r="AA29" s="11">
        <f t="shared" si="0"/>
        <v>16</v>
      </c>
      <c r="AB29" s="11">
        <f>IF($X29&lt;RAF,SUM(AA29:INDEX(Cay,RAF-BeginnAlter))," ")</f>
        <v>1176</v>
      </c>
      <c r="AC29" s="11">
        <f t="shared" si="1"/>
        <v>112</v>
      </c>
      <c r="AD29" s="11">
        <f>IF($X29&lt;RAF,SUM(AC29:INDEX(Caiy,RAF-BeginnAlter))," ")</f>
        <v>7483</v>
      </c>
      <c r="AE29" s="10">
        <f t="shared" si="35"/>
        <v>18.931000000000001</v>
      </c>
      <c r="AF29" s="10">
        <f t="shared" si="36"/>
        <v>18.648</v>
      </c>
      <c r="AG29" s="89"/>
      <c r="AH29" s="9">
        <f t="shared" si="51"/>
        <v>37</v>
      </c>
      <c r="AI29" s="11">
        <f t="shared" si="37"/>
        <v>69670</v>
      </c>
      <c r="AJ29" s="11">
        <f>IF($AH29&gt;RAF," ",IF($AH29&lt;RAF,SUM(AI29:INDEX(Diy,RAF-BeginnAlter))+INDEX(Ny,RAF-BeginnAlter+1),INDEX(Ny,RAF-BeginnAlter+1)))</f>
        <v>1504063</v>
      </c>
      <c r="AK29" s="11">
        <f>IF($AH29&lt;RAF,SUM(AI29:INDEX(Diy,RAF-BeginnAlter))," ")</f>
        <v>1137969</v>
      </c>
      <c r="AL29" s="10">
        <f t="shared" si="38"/>
        <v>21.588000000000001</v>
      </c>
      <c r="AM29" s="10">
        <f t="shared" si="39"/>
        <v>21.13</v>
      </c>
      <c r="AN29" s="10">
        <f t="shared" si="40"/>
        <v>16.334</v>
      </c>
      <c r="AO29" s="10">
        <f t="shared" si="41"/>
        <v>16.018000000000001</v>
      </c>
      <c r="AP29" s="89"/>
      <c r="AQ29" s="9">
        <f t="shared" si="52"/>
        <v>37</v>
      </c>
      <c r="AR29" s="11">
        <f t="shared" si="42"/>
        <v>43538</v>
      </c>
      <c r="AS29" s="11">
        <f>SUM(AR29:AR$96)</f>
        <v>1239630</v>
      </c>
      <c r="AT29" s="25">
        <f>IF($AQ29&lt;RAF,SUM(AR29:INDEX(Dy,RAF-BeginnAlter))," ")</f>
        <v>873536</v>
      </c>
      <c r="AU29" s="24">
        <f t="shared" si="43"/>
        <v>28.472000000000001</v>
      </c>
      <c r="AV29" s="24">
        <f t="shared" si="44"/>
        <v>28.013999999999999</v>
      </c>
      <c r="AW29" s="24">
        <f t="shared" si="45"/>
        <v>20.064</v>
      </c>
      <c r="AX29" s="24">
        <f t="shared" si="46"/>
        <v>19.834</v>
      </c>
      <c r="AY29" s="89"/>
      <c r="AZ29" s="9">
        <f t="shared" si="53"/>
        <v>37</v>
      </c>
      <c r="BA29" s="11">
        <f t="shared" si="47"/>
        <v>43538</v>
      </c>
      <c r="BB29" s="11">
        <f>SUM(BA29:BA$96)</f>
        <v>1262419</v>
      </c>
      <c r="BC29" s="10">
        <f t="shared" si="48"/>
        <v>28.995999999999999</v>
      </c>
      <c r="BD29" s="10">
        <f t="shared" si="7"/>
        <v>28.536999999999999</v>
      </c>
      <c r="BE29" s="89"/>
      <c r="BF29" s="9">
        <f t="shared" si="54"/>
        <v>20</v>
      </c>
      <c r="BG29" s="10">
        <f t="shared" si="8"/>
        <v>4.7850000000000001</v>
      </c>
      <c r="BH29" s="10">
        <f t="shared" si="9"/>
        <v>4.7359999999999998</v>
      </c>
      <c r="BI29" s="89"/>
      <c r="BJ29" s="9">
        <f t="shared" si="55"/>
        <v>37</v>
      </c>
      <c r="BK29" s="11">
        <f t="shared" si="10"/>
        <v>2357</v>
      </c>
      <c r="BL29" s="11">
        <f>IF(BJ29&lt;RAF,SUM(BK29:INDEX(Daiy,RAF-BeginnAlter))," ")</f>
        <v>137949</v>
      </c>
      <c r="BM29" s="11">
        <f>IF(BJ29&lt;RAF,SUM(BL29:INDEX(Naiy,RAF-BeginnAlter))," ")</f>
        <v>2382428</v>
      </c>
      <c r="BN29" s="10">
        <f t="shared" si="11"/>
        <v>6.274</v>
      </c>
      <c r="BO29" s="10">
        <f t="shared" si="12"/>
        <v>3.2280000000000002</v>
      </c>
      <c r="BP29" s="89"/>
      <c r="BQ29" s="9">
        <f t="shared" si="56"/>
        <v>37</v>
      </c>
      <c r="BR29" s="11">
        <f t="shared" si="13"/>
        <v>1773</v>
      </c>
      <c r="BS29" s="11">
        <f>IF(BQ29&lt;RAF,SUM(BR29:INDEX(Daiys,RAF-BeginnAlter))," ")</f>
        <v>54082</v>
      </c>
      <c r="BT29" s="11">
        <f>IF(BQ29&lt;RAF,SUM(BS29:INDEX(Naiys,RAF-BeginnAlter))," ")</f>
        <v>717040</v>
      </c>
      <c r="BU29" s="10">
        <f t="shared" si="14"/>
        <v>8.2370000000000001</v>
      </c>
      <c r="BV29" s="10">
        <f t="shared" si="15"/>
        <v>1.2649999999999999</v>
      </c>
      <c r="BW29" s="89"/>
      <c r="BX29" s="9">
        <f t="shared" si="57"/>
        <v>37</v>
      </c>
      <c r="BY29" s="10">
        <f t="shared" si="16"/>
        <v>14.465798809510581</v>
      </c>
      <c r="BZ29" s="11">
        <f t="shared" si="17"/>
        <v>953</v>
      </c>
      <c r="CA29" s="11">
        <f>IF(S30&lt;=RAK,IF($BX29&lt;RAF,SUM(BZ29:INDEX(Dazy,RAF-BeginnAlter)),""),"")</f>
        <v>11765</v>
      </c>
      <c r="CB29" s="10">
        <f t="shared" si="18"/>
        <v>0.27500000000000002</v>
      </c>
      <c r="CC29" s="11">
        <f t="shared" si="19"/>
        <v>24560</v>
      </c>
      <c r="CD29" s="10">
        <f t="shared" si="20"/>
        <v>18.259</v>
      </c>
      <c r="CE29" s="10">
        <f t="shared" si="21"/>
        <v>3.0000000000000001E-3</v>
      </c>
      <c r="CF29" s="89"/>
      <c r="CG29" s="9">
        <f t="shared" si="58"/>
        <v>37</v>
      </c>
      <c r="CH29" s="11">
        <f>IF(CG29&lt;RAF,ROUND(v^($CG29+FaktorAlter)*$H29*($B29*0.5*($P29+$P30)*(VLOOKUP(TRUNC(0.5*($Q29+$Q30),0),Männer!$AZ$9:$BD$95,5)+(0.5*($Q29+$Q30)-TRUNC(0.5*($Q29+$Q30),0))*(VLOOKUP(TRUNC(0.5*($Q29+$Q30)+1,0),Männer!$AZ$9:$BD$95,5)-VLOOKUP(TRUNC(0.5*($Q29+$Q30),0),Männer!$AZ$9:$BD$95,5)))+$C29*0.5*($CN29+$CN30)),RundDx),"")</f>
        <v>298</v>
      </c>
      <c r="CI29" s="11">
        <f>IF(CG29&lt;RAF,ROUND(SUM(CH29:INDEX(Dawy,RAF-BeginnAlter))+INDEX(Day,RAF-BeginnAlter+1)*INDEX(äwy,1),RundDx),"")</f>
        <v>11421</v>
      </c>
      <c r="CJ29" s="11">
        <f>IF(CG29&lt;RAF,ROUND(SUM(CI29:INDEX(Nawy,RAF-BeginnAlter))+INDEX(Day,RAF-BeginnAlter+1)*INDEX(äwy,1),RundDx),"")</f>
        <v>182775</v>
      </c>
      <c r="CK29" s="10">
        <f t="shared" si="22"/>
        <v>0.26700000000000002</v>
      </c>
      <c r="CL29" s="11">
        <f>IF(CG29&lt;RAF,ROUND(v^($CG29+FaktorAlter)*$L29*$D29*0.5*($P29+$P30)*(VLOOKUP(TRUNC(0.5*($Q29+$Q30),0),Männer!$AZ$9:$BD$95,5)+(0.5*($Q29+$Q30)-TRUNC(0.5*($Q29+$Q30),0))*(VLOOKUP(TRUNC(0.5*($Q29+$Q30)+1,0),Männer!$AZ$9:$BD$95,5)-VLOOKUP(TRUNC(0.5*($Q29+$Q30),0),Männer!$AZ$9:$BD$95,5))),RundDx),"")</f>
        <v>9484</v>
      </c>
      <c r="CM29" s="11">
        <f>IF(CG29&lt;RAF,SUM(CL29:INDEX(Diwy,RAF-BeginnAlter))+INDEX(Diy,RAF-BeginnAlter+1)*INDEX(äwy,1),"")</f>
        <v>126143.304</v>
      </c>
      <c r="CN29" s="10">
        <f t="shared" si="23"/>
        <v>1.8109999999999999</v>
      </c>
      <c r="CO29" s="89"/>
      <c r="CP29" s="9">
        <f t="shared" si="59"/>
        <v>84</v>
      </c>
      <c r="CQ29" s="11">
        <f>ROUND(v^($CP29+FaktorAlter)*VLOOKUP(CP29,G$9:J$102,4)*VLOOKUP(CP29,A$9:E$102,5)*0.5*(VLOOKUP(CP29,O$9:P$102,2)+VLOOKUP(CP29+1,O$9:P$102,2))*(VLOOKUP(TRUNC(0.5*(VLOOKUP(CP29,O$9:Q$102,3)+VLOOKUP(CP29+1,O$9:Q$102,3)),0),Männer!$AZ$9:$BD$95,5)+(0.5*(VLOOKUP(CP29,O$9:Q$102,3)+VLOOKUP(CP29+1,O$9:Q$102,3))-TRUNC(0.5*(VLOOKUP(CP29,O$9:Q$102,3)+VLOOKUP(CP29+1,O$9:Q$102,3)),0))*(VLOOKUP(TRUNC(0.5*(VLOOKUP(CP29,O$9:Q$102,3)+VLOOKUP(CP29+1,O$9:Q$102,3))+1,0),Männer!$AZ$9:$BD$95,5)-VLOOKUP(TRUNC(0.5*(VLOOKUP(CP29,O$9:Q$102,3)+VLOOKUP(CP29+1,O$9:Q$102,3)),0),Männer!$AZ$9:$BD$95,5))),RundDx)</f>
        <v>19</v>
      </c>
      <c r="CR29" s="11">
        <f>SUM(CQ29:CQ$56)</f>
        <v>125</v>
      </c>
      <c r="CS29" s="24">
        <f t="shared" si="24"/>
        <v>1.4999999999999999E-2</v>
      </c>
      <c r="CT29" s="89"/>
      <c r="CU29" s="35">
        <f t="shared" si="60"/>
        <v>37</v>
      </c>
      <c r="CV29" s="25">
        <f>IF($CU29&gt;=RAF,"",IF($CU29-CV$103&lt;BeginnAlter,"",ROUND(v^($CU29+FaktorAlter)*$L29*$D29*0.5*(VLOOKUP($CU29-CV$103,Männer!$G$9:$J$102,4)+VLOOKUP($CU29-CV$103+1,Männer!$G$9:$J$102,4))*0.5*(VLOOKUP($CU29-CV$103,Männer!$AZ$9:$BD$102,5)+VLOOKUP($CU29-CV$103+1,Männer!$AZ$9:$BD$102,5)),RundDx)))</f>
        <v>2754171031</v>
      </c>
      <c r="CW29" s="25">
        <f>IF($CU29&gt;=RAF,"",IF($CU29-CW$103&lt;BeginnAlter,"",ROUND(v^($CU29+FaktorAlter)*$L29*$D29*0.5*(VLOOKUP($CU29-CW$103,Männer!$G$9:$J$102,4)+VLOOKUP($CU29-CW$103+1,Männer!$G$9:$J$102,4))*0.5*(VLOOKUP($CU29-CW$103,Männer!$AZ$9:$BD$102,5)+VLOOKUP($CU29-CW$103+1,Männer!$AZ$9:$BD$102,5)),RundDx)))</f>
        <v>2838691779</v>
      </c>
      <c r="CX29" s="25">
        <f>IF($CU29&gt;=RAF,"",IF($CU29-CX$103&lt;BeginnAlter,"",ROUND(v^($CU29+FaktorAlter)*$L29*$D29*0.5*(VLOOKUP($CU29-CX$103,Männer!$G$9:$J$102,4)+VLOOKUP($CU29-CX$103+1,Männer!$G$9:$J$102,4))*0.5*(VLOOKUP($CU29-CX$103,Männer!$AZ$9:$BD$102,5)+VLOOKUP($CU29-CX$103+1,Männer!$AZ$9:$BD$102,5)),RundDx)))</f>
        <v>2921741117</v>
      </c>
      <c r="CY29" s="25">
        <f>IF($CU29&gt;=RAF,"",IF($CU29-CY$103&lt;BeginnAlter,"",ROUND(v^($CU29+FaktorAlter)*$L29*$D29*0.5*(VLOOKUP($CU29-CY$103,Männer!$G$9:$J$102,4)+VLOOKUP($CU29-CY$103+1,Männer!$G$9:$J$102,4))*0.5*(VLOOKUP($CU29-CY$103,Männer!$AZ$9:$BD$102,5)+VLOOKUP($CU29-CY$103+1,Männer!$AZ$9:$BD$102,5)),RundDx)))</f>
        <v>3003447610</v>
      </c>
      <c r="CZ29" s="25">
        <f>IF($CU29&gt;=RAF,"",IF($CU29-CZ$103&lt;BeginnAlter,"",ROUND(v^($CU29+FaktorAlter)*$L29*$D29*0.5*(VLOOKUP($CU29-CZ$103,Männer!$G$9:$J$102,4)+VLOOKUP($CU29-CZ$103+1,Männer!$G$9:$J$102,4))*0.5*(VLOOKUP($CU29-CZ$103,Männer!$AZ$9:$BD$102,5)+VLOOKUP($CU29-CZ$103+1,Männer!$AZ$9:$BD$102,5)),RundDx)))</f>
        <v>3083758675</v>
      </c>
      <c r="DA29" s="25">
        <f>IF($CU29&gt;=RAF,"",IF($CU29-DA$103&lt;BeginnAlter,"",ROUND(v^($CU29+FaktorAlter)*$L29*$D29*0.5*(VLOOKUP($CU29-DA$103,Männer!$G$9:$J$102,4)+VLOOKUP($CU29-DA$103+1,Männer!$G$9:$J$102,4))*0.5*(VLOOKUP($CU29-DA$103,Männer!$AZ$9:$BD$102,5)+VLOOKUP($CU29-DA$103+1,Männer!$AZ$9:$BD$102,5)),RundDx)))</f>
        <v>3162588367</v>
      </c>
      <c r="DB29" s="25">
        <f>IF($CU29&gt;=RAF,"",IF($CU29-DB$103&lt;BeginnAlter,"",ROUND(v^($CU29+FaktorAlter)*$L29*$D29*0.5*(VLOOKUP($CU29-DB$103,Männer!$G$9:$J$102,4)+VLOOKUP($CU29-DB$103+1,Männer!$G$9:$J$102,4))*0.5*(VLOOKUP($CU29-DB$103,Männer!$AZ$9:$BD$102,5)+VLOOKUP($CU29-DB$103+1,Männer!$AZ$9:$BD$102,5)),RundDx)))</f>
        <v>3240034079</v>
      </c>
      <c r="DC29" s="25">
        <f>IF($CU29&gt;=RAF,"",IF($CU29-DC$103&lt;BeginnAlter,"",ROUND(v^($CU29+FaktorAlter)*$L29*$D29*0.5*(VLOOKUP($CU29-DC$103,Männer!$G$9:$J$102,4)+VLOOKUP($CU29-DC$103+1,Männer!$G$9:$J$102,4))*0.5*(VLOOKUP($CU29-DC$103,Männer!$AZ$9:$BD$102,5)+VLOOKUP($CU29-DC$103+1,Männer!$AZ$9:$BD$102,5)),RundDx)))</f>
        <v>3316092262</v>
      </c>
      <c r="DD29" s="25">
        <f>IF($CU29&gt;=RAF,"",IF($CU29-DD$103&lt;BeginnAlter,"",ROUND(v^($CU29+FaktorAlter)*$L29*$D29*0.5*(VLOOKUP($CU29-DD$103,Männer!$G$9:$J$102,4)+VLOOKUP($CU29-DD$103+1,Männer!$G$9:$J$102,4))*0.5*(VLOOKUP($CU29-DD$103,Männer!$AZ$9:$BD$102,5)+VLOOKUP($CU29-DD$103+1,Männer!$AZ$9:$BD$102,5)),RundDx)))</f>
        <v>3390763225</v>
      </c>
      <c r="DE29" s="25">
        <f>IF($CU29&gt;=RAF,"",IF($CU29-DE$103&lt;BeginnAlter,"",ROUND(v^($CU29+FaktorAlter)*$L29*$D29*0.5*(VLOOKUP($CU29-DE$103,Männer!$G$9:$J$102,4)+VLOOKUP($CU29-DE$103+1,Männer!$G$9:$J$102,4))*0.5*(VLOOKUP($CU29-DE$103,Männer!$AZ$9:$BD$102,5)+VLOOKUP($CU29-DE$103+1,Männer!$AZ$9:$BD$102,5)),RundDx)))</f>
        <v>3464015582</v>
      </c>
      <c r="DF29" s="25">
        <f>IF($CU29&gt;=RAF,"",IF($CU29-DF$103&lt;BeginnAlter,"",ROUND(v^($CU29+FaktorAlter)*$L29*$D29*0.5*(VLOOKUP($CU29-DF$103,Männer!$G$9:$J$102,4)+VLOOKUP($CU29-DF$103+1,Männer!$G$9:$J$102,4))*0.5*(VLOOKUP($CU29-DF$103,Männer!$AZ$9:$BD$102,5)+VLOOKUP($CU29-DF$103+1,Männer!$AZ$9:$BD$102,5)),RundDx)))</f>
        <v>3535929817</v>
      </c>
      <c r="DG29" s="25">
        <f>IF($CU29&gt;=RAF,"",IF($CU29-DG$103&lt;BeginnAlter,"",ROUND(v^($CU29+FaktorAlter)*$L29*$D29*0.5*(VLOOKUP($CU29-DG$103,Männer!$G$9:$J$102,4)+VLOOKUP($CU29-DG$103+1,Männer!$G$9:$J$102,4))*0.5*(VLOOKUP($CU29-DG$103,Männer!$AZ$9:$BD$102,5)+VLOOKUP($CU29-DG$103+1,Männer!$AZ$9:$BD$102,5)),RundDx)))</f>
        <v>3606572052</v>
      </c>
      <c r="DH29" s="25">
        <f>IF($CU29&gt;=RAF,"",IF($CU29-DH$103&lt;BeginnAlter,"",ROUND(v^($CU29+FaktorAlter)*$L29*$D29*0.5*(VLOOKUP($CU29-DH$103,Männer!$G$9:$J$102,4)+VLOOKUP($CU29-DH$103+1,Männer!$G$9:$J$102,4))*0.5*(VLOOKUP($CU29-DH$103,Männer!$AZ$9:$BD$102,5)+VLOOKUP($CU29-DH$103+1,Männer!$AZ$9:$BD$102,5)),RundDx)))</f>
        <v>3675823288</v>
      </c>
      <c r="DI29" s="25">
        <f>IF($CU29&gt;=RAF,"",IF($CU29-DI$103&lt;BeginnAlter,"",ROUND(v^($CU29+FaktorAlter)*$L29*$D29*0.5*(VLOOKUP($CU29-DI$103,Männer!$G$9:$J$102,4)+VLOOKUP($CU29-DI$103+1,Männer!$G$9:$J$102,4))*0.5*(VLOOKUP($CU29-DI$103,Männer!$AZ$9:$BD$102,5)+VLOOKUP($CU29-DI$103+1,Männer!$AZ$9:$BD$102,5)),RundDx)))</f>
        <v>3743676786</v>
      </c>
      <c r="DJ29" s="25">
        <f>IF($CU29&gt;=RAF,"",IF($CU29-DJ$103&lt;BeginnAlter,"",ROUND(v^($CU29+FaktorAlter)*$L29*$D29*0.5*(VLOOKUP($CU29-DJ$103,Männer!$G$9:$J$102,4)+VLOOKUP($CU29-DJ$103+1,Männer!$G$9:$J$102,4))*0.5*(VLOOKUP($CU29-DJ$103,Männer!$AZ$9:$BD$102,5)+VLOOKUP($CU29-DJ$103+1,Männer!$AZ$9:$BD$102,5)),RundDx)))</f>
        <v>3810334421</v>
      </c>
      <c r="DK29" s="25">
        <f>IF($CU29&gt;=RAF,"",IF($CU29-DK$103&lt;BeginnAlter,"",ROUND(v^($CU29+FaktorAlter)*$L29*$D29*0.5*(VLOOKUP($CU29-DK$103,Männer!$G$9:$J$102,4)+VLOOKUP($CU29-DK$103+1,Männer!$G$9:$J$102,4))*0.5*(VLOOKUP($CU29-DK$103,Männer!$AZ$9:$BD$102,5)+VLOOKUP($CU29-DK$103+1,Männer!$AZ$9:$BD$102,5)),RundDx)))</f>
        <v>3875717905</v>
      </c>
      <c r="DL29" s="25">
        <f>IF($CU29&gt;=RAF,"",IF($CU29-DL$103&lt;BeginnAlter,"",ROUND(v^($CU29+FaktorAlter)*$L29*$D29*0.5*(VLOOKUP($CU29-DL$103,Männer!$G$9:$J$102,4)+VLOOKUP($CU29-DL$103+1,Männer!$G$9:$J$102,4))*0.5*(VLOOKUP($CU29-DL$103,Männer!$AZ$9:$BD$102,5)+VLOOKUP($CU29-DL$103+1,Männer!$AZ$9:$BD$102,5)),RundDx)))</f>
        <v>3939770398</v>
      </c>
      <c r="DM29" s="25">
        <f>IF($CU29&gt;=RAF,"",IF($CU29-DM$103&lt;BeginnAlter,"",ROUND(v^($CU29+FaktorAlter)*$L29*$D29*0.5*(VLOOKUP($CU29-DM$103,Männer!$G$9:$J$102,4)+VLOOKUP($CU29-DM$103+1,Männer!$G$9:$J$102,4))*0.5*(VLOOKUP($CU29-DM$103,Männer!$AZ$9:$BD$102,5)+VLOOKUP($CU29-DM$103+1,Männer!$AZ$9:$BD$102,5)),RundDx)))</f>
        <v>4002623908</v>
      </c>
      <c r="DN29" s="25">
        <f>IF($CU29&gt;=RAF,"",IF($CU29-DN$103&lt;BeginnAlter,"",ROUND(v^($CU29+FaktorAlter)*$L29*$D29*0.5*(VLOOKUP($CU29-DN$103,Männer!$G$9:$J$102,4)+VLOOKUP($CU29-DN$103+1,Männer!$G$9:$J$102,4))*0.5*(VLOOKUP($CU29-DN$103,Männer!$AZ$9:$BD$102,5)+VLOOKUP($CU29-DN$103+1,Männer!$AZ$9:$BD$102,5)),RundDx)))</f>
        <v>4064184720</v>
      </c>
      <c r="DO29" s="25">
        <f>IF($CU29&gt;=RAF,"",IF($CU29-DO$103&lt;BeginnAlter,"",ROUND(v^($CU29+FaktorAlter)*$L29*$D29*0.5*(VLOOKUP($CU29-DO$103,Männer!$G$9:$J$102,4)+VLOOKUP($CU29-DO$103+1,Männer!$G$9:$J$102,4))*0.5*(VLOOKUP($CU29-DO$103,Männer!$AZ$9:$BD$102,5)+VLOOKUP($CU29-DO$103+1,Männer!$AZ$9:$BD$102,5)),RundDx)))</f>
        <v>4124497547</v>
      </c>
      <c r="DP29" s="25">
        <f>IF($CU29&gt;=RAF,"",IF($CU29-DP$103&lt;BeginnAlter,"",ROUND(v^($CU29+FaktorAlter)*$L29*$D29*0.5*(VLOOKUP($CU29-DP$103,Männer!$G$9:$J$102,4)+VLOOKUP($CU29-DP$103+1,Männer!$G$9:$J$102,4))*0.5*(VLOOKUP($CU29-DP$103,Männer!$AZ$9:$BD$102,5)+VLOOKUP($CU29-DP$103+1,Männer!$AZ$9:$BD$102,5)),RundDx)))</f>
        <v>4183611037</v>
      </c>
      <c r="DQ29" s="25">
        <f>IF($CU29&gt;=RAF,"",IF($CU29-DQ$103&lt;BeginnAlter,"",ROUND(v^($CU29+FaktorAlter)*$L29*$D29*0.5*(VLOOKUP($CU29-DQ$103,Männer!$G$9:$J$102,4)+VLOOKUP($CU29-DQ$103+1,Männer!$G$9:$J$102,4))*0.5*(VLOOKUP($CU29-DQ$103,Männer!$AZ$9:$BD$102,5)+VLOOKUP($CU29-DQ$103+1,Männer!$AZ$9:$BD$102,5)),RundDx)))</f>
        <v>4241556223</v>
      </c>
      <c r="DR29" s="25">
        <f>IF($CU29&gt;=RAF,"",IF($CU29-DR$103&lt;BeginnAlter,"",ROUND(v^($CU29+FaktorAlter)*$L29*$D29*0.5*(VLOOKUP($CU29-DR$103,Männer!$G$9:$J$102,4)+VLOOKUP($CU29-DR$103+1,Männer!$G$9:$J$102,4))*0.5*(VLOOKUP($CU29-DR$103,Männer!$AZ$9:$BD$102,5)+VLOOKUP($CU29-DR$103+1,Männer!$AZ$9:$BD$102,5)),RundDx)))</f>
        <v>4298345004</v>
      </c>
      <c r="DS29" s="25">
        <f>IF($CU29&gt;=RAF,"",IF($CU29-DS$103&lt;BeginnAlter,"",ROUND(v^($CU29+FaktorAlter)*$L29*$D29*0.5*(VLOOKUP($CU29-DS$103,Männer!$G$9:$J$102,4)+VLOOKUP($CU29-DS$103+1,Männer!$G$9:$J$102,4))*0.5*(VLOOKUP($CU29-DS$103,Männer!$AZ$9:$BD$102,5)+VLOOKUP($CU29-DS$103+1,Männer!$AZ$9:$BD$102,5)),RundDx)))</f>
        <v>4353958600</v>
      </c>
      <c r="DT29" s="25">
        <f>IF($CU29&gt;=RAF,"",IF($CU29-DT$103&lt;BeginnAlter,"",ROUND(v^($CU29+FaktorAlter)*$L29*$D29*0.5*(VLOOKUP($CU29-DT$103,Männer!$G$9:$J$102,4)+VLOOKUP($CU29-DT$103+1,Männer!$G$9:$J$102,4))*0.5*(VLOOKUP($CU29-DT$103,Männer!$AZ$9:$BD$102,5)+VLOOKUP($CU29-DT$103+1,Männer!$AZ$9:$BD$102,5)),RundDx)))</f>
        <v>4408457360</v>
      </c>
      <c r="DU29" s="25">
        <f>IF($CU29&gt;=RAF,"",IF($CU29-DU$103&lt;BeginnAlter,"",ROUND(v^($CU29+FaktorAlter)*$L29*$D29*0.5*(VLOOKUP($CU29-DU$103,Männer!$G$9:$J$102,4)+VLOOKUP($CU29-DU$103+1,Männer!$G$9:$J$102,4))*0.5*(VLOOKUP($CU29-DU$103,Männer!$AZ$9:$BD$102,5)+VLOOKUP($CU29-DU$103+1,Männer!$AZ$9:$BD$102,5)),RundDx)))</f>
        <v>4461806434</v>
      </c>
      <c r="DV29" s="25">
        <f>IF($CU29&gt;=RAF,"",IF($CU29-DV$103&lt;BeginnAlter,"",ROUND(v^($CU29+FaktorAlter)*$L29*$D29*0.5*(VLOOKUP($CU29-DV$103,Männer!$G$9:$J$102,4)+VLOOKUP($CU29-DV$103+1,Männer!$G$9:$J$102,4))*0.5*(VLOOKUP($CU29-DV$103,Männer!$AZ$9:$BD$102,5)+VLOOKUP($CU29-DV$103+1,Männer!$AZ$9:$BD$102,5)),RundDx)))</f>
        <v>4514147597</v>
      </c>
      <c r="DW29" s="25">
        <f>IF($CU29&gt;=RAF,"",IF($CU29-DW$103&lt;BeginnAlter,"",ROUND(v^($CU29+FaktorAlter)*$L29*$D29*0.5*(VLOOKUP($CU29-DW$103,Männer!$G$9:$J$102,4)+VLOOKUP($CU29-DW$103+1,Männer!$G$9:$J$102,4))*0.5*(VLOOKUP($CU29-DW$103,Männer!$AZ$9:$BD$102,5)+VLOOKUP($CU29-DW$103+1,Männer!$AZ$9:$BD$102,5)),RundDx)))</f>
        <v>4565457915</v>
      </c>
      <c r="DX29" s="25">
        <f>IF($CU29&gt;=RAF,"",IF($CU29-DX$103&lt;BeginnAlter,"",ROUND(v^($CU29+FaktorAlter)*$L29*$D29*0.5*(VLOOKUP($CU29-DX$103,Männer!$G$9:$J$102,4)+VLOOKUP($CU29-DX$103+1,Männer!$G$9:$J$102,4))*0.5*(VLOOKUP($CU29-DX$103,Männer!$AZ$9:$BD$102,5)+VLOOKUP($CU29-DX$103+1,Männer!$AZ$9:$BD$102,5)),RundDx)))</f>
        <v>4615607466</v>
      </c>
      <c r="DY29" s="25">
        <f>IF($CU29&gt;=RAF,"",IF($CU29-DY$103&lt;BeginnAlter,"",ROUND(v^($CU29+FaktorAlter)*$L29*$D29*0.5*(VLOOKUP($CU29-DY$103,Männer!$G$9:$J$102,4)+VLOOKUP($CU29-DY$103+1,Männer!$G$9:$J$102,4))*0.5*(VLOOKUP($CU29-DY$103,Männer!$AZ$9:$BD$102,5)+VLOOKUP($CU29-DY$103+1,Männer!$AZ$9:$BD$102,5)),RundDx)))</f>
        <v>4664824320</v>
      </c>
      <c r="DZ29" s="25">
        <f>IF($CU29&gt;=RAF,"",IF($CU29-DZ$103&lt;BeginnAlter,"",ROUND(v^($CU29+FaktorAlter)*$L29*$D29*0.5*(VLOOKUP($CU29-DZ$103,Männer!$G$9:$J$102,4)+VLOOKUP($CU29-DZ$103+1,Männer!$G$9:$J$102,4))*0.5*(VLOOKUP($CU29-DZ$103,Männer!$AZ$9:$BD$102,5)+VLOOKUP($CU29-DZ$103+1,Männer!$AZ$9:$BD$102,5)),RundDx)))</f>
        <v>4713090085</v>
      </c>
      <c r="EA29" s="43">
        <f>IF($CU29&gt;=RAF,"",IF($CU29-EA$103&lt;BeginnAlter,"",ROUND((SUM(CV29:CV$56)+SUM(FN$9:FN$56))/VLOOKUP($CU29,$AH$9:$AI$102,2)/VLOOKUP($CU29-EA$103,Männer!$G$9:$J$102,4),Rundäx)))</f>
        <v>4.3390000000000004</v>
      </c>
      <c r="EB29" s="43">
        <f>IF($CU29&gt;=RAF,"",IF($CU29-EB$103&lt;BeginnAlter,"",ROUND((SUM(CW29:CW$56)+SUM(FO$9:FO$56))/VLOOKUP($CU29,$AH$9:$AI$102,2)/VLOOKUP($CU29-EB$103,Männer!$G$9:$J$102,4),Rundäx)))</f>
        <v>4.5289999999999999</v>
      </c>
      <c r="EC29" s="43">
        <f>IF($CU29&gt;=RAF,"",IF($CU29-EC$103&lt;BeginnAlter,"",ROUND((SUM(CX29:CX$56)+SUM(FP$9:FP$56))/VLOOKUP($CU29,$AH$9:$AI$102,2)/VLOOKUP($CU29-EC$103,Männer!$G$9:$J$102,4),Rundäx)))</f>
        <v>4.7220000000000004</v>
      </c>
      <c r="ED29" s="43">
        <f>IF($CU29&gt;=RAF,"",IF($CU29-ED$103&lt;BeginnAlter,"",ROUND((SUM(CY29:CY$56)+SUM(FQ$9:FQ$56))/VLOOKUP($CU29,$AH$9:$AI$102,2)/VLOOKUP($CU29-ED$103,Männer!$G$9:$J$102,4),Rundäx)))</f>
        <v>4.9180000000000001</v>
      </c>
      <c r="EE29" s="43">
        <f>IF($CU29&gt;=RAF,"",IF($CU29-EE$103&lt;BeginnAlter,"",ROUND((SUM(CZ29:CZ$56)+SUM(FR$9:FR$56))/VLOOKUP($CU29,$AH$9:$AI$102,2)/VLOOKUP($CU29-EE$103,Männer!$G$9:$J$102,4),Rundäx)))</f>
        <v>5.1150000000000002</v>
      </c>
      <c r="EF29" s="43">
        <f>IF($CU29&gt;=RAF,"",IF($CU29-EF$103&lt;BeginnAlter,"",ROUND((SUM(DA29:DA$56)+SUM(FS$9:FS$56))/VLOOKUP($CU29,$AH$9:$AI$102,2)/VLOOKUP($CU29-EF$103,Männer!$G$9:$J$102,4),Rundäx)))</f>
        <v>5.3150000000000004</v>
      </c>
      <c r="EG29" s="43">
        <f>IF($CU29&gt;=RAF,"",IF($CU29-EG$103&lt;BeginnAlter,"",ROUND((SUM(DB29:DB$56)+SUM(FT$9:FT$56))/VLOOKUP($CU29,$AH$9:$AI$102,2)/VLOOKUP($CU29-EG$103,Männer!$G$9:$J$102,4),Rundäx)))</f>
        <v>5.5170000000000003</v>
      </c>
      <c r="EH29" s="43">
        <f>IF($CU29&gt;=RAF,"",IF($CU29-EH$103&lt;BeginnAlter,"",ROUND((SUM(DC29:DC$56)+SUM(FU$9:FU$56))/VLOOKUP($CU29,$AH$9:$AI$102,2)/VLOOKUP($CU29-EH$103,Männer!$G$9:$J$102,4),Rundäx)))</f>
        <v>5.7210000000000001</v>
      </c>
      <c r="EI29" s="89"/>
      <c r="EJ29" s="35">
        <f t="shared" si="61"/>
        <v>37</v>
      </c>
      <c r="EK29" s="43">
        <f>IF($CU29&gt;=RAF,"",IF($CU29-EK$103&lt;BeginnAlter,"",ROUND((SUM(DD29:DD$56)+SUM(FV$9:FV$56))/VLOOKUP($CU29,$AH$9:$AI$102,2)/VLOOKUP($CU29-EK$103,Männer!$G$9:$J$102,4),Rundäx)))</f>
        <v>5.9269999999999996</v>
      </c>
      <c r="EL29" s="43">
        <f>IF($CU29&gt;=RAF,"",IF($CU29-EL$103&lt;BeginnAlter,"",ROUND((SUM(DE29:DE$56)+SUM(FW$9:FW$56))/VLOOKUP($CU29,$AH$9:$AI$102,2)/VLOOKUP($CU29-EL$103,Männer!$G$9:$J$102,4),Rundäx)))</f>
        <v>6.1360000000000001</v>
      </c>
      <c r="EM29" s="43">
        <f>IF($CU29&gt;=RAF,"",IF($CU29-EM$103&lt;BeginnAlter,"",ROUND((SUM(DF29:DF$56)+SUM(FX$9:FX$56))/VLOOKUP($CU29,$AH$9:$AI$102,2)/VLOOKUP($CU29-EM$103,Männer!$G$9:$J$102,4),Rundäx)))</f>
        <v>6.3460000000000001</v>
      </c>
      <c r="EN29" s="43">
        <f>IF($CU29&gt;=RAF,"",IF($CU29-EN$103&lt;BeginnAlter,"",ROUND((SUM(DG29:DG$56)+SUM(FY$9:FY$56))/VLOOKUP($CU29,$AH$9:$AI$102,2)/VLOOKUP($CU29-EN$103,Männer!$G$9:$J$102,4),Rundäx)))</f>
        <v>6.5590000000000002</v>
      </c>
      <c r="EO29" s="43">
        <f>IF($CU29&gt;=RAF,"",IF($CU29-EO$103&lt;BeginnAlter,"",ROUND((SUM(DH29:DH$56)+SUM(FZ$9:FZ$56))/VLOOKUP($CU29,$AH$9:$AI$102,2)/VLOOKUP($CU29-EO$103,Männer!$G$9:$J$102,4),Rundäx)))</f>
        <v>6.774</v>
      </c>
      <c r="EP29" s="43">
        <f>IF($CU29&gt;=RAF,"",IF($CU29-EP$103&lt;BeginnAlter,"",ROUND((SUM(DI29:DI$56)+SUM(GA$9:GA$56))/VLOOKUP($CU29,$AH$9:$AI$102,2)/VLOOKUP($CU29-EP$103,Männer!$G$9:$J$102,4),Rundäx)))</f>
        <v>6.9909999999999997</v>
      </c>
      <c r="EQ29" s="43">
        <f>IF($CU29&gt;=RAF,"",IF($CU29-EQ$103&lt;BeginnAlter,"",ROUND((SUM(DJ29:DJ$56)+SUM(GB$9:GB$56))/VLOOKUP($CU29,$AH$9:$AI$102,2)/VLOOKUP($CU29-EQ$103,Männer!$G$9:$J$102,4),Rundäx)))</f>
        <v>7.2110000000000003</v>
      </c>
      <c r="ER29" s="43">
        <f>IF($CU29&gt;=RAF,"",IF($CU29-ER$103&lt;BeginnAlter,"",ROUND((SUM(DK29:DK$56)+SUM(GC$9:GC$56))/VLOOKUP($CU29,$AH$9:$AI$102,2)/VLOOKUP($CU29-ER$103,Männer!$G$9:$J$102,4),Rundäx)))</f>
        <v>7.4329999999999998</v>
      </c>
      <c r="ES29" s="89"/>
      <c r="ET29" s="35">
        <f t="shared" si="62"/>
        <v>37</v>
      </c>
      <c r="EU29" s="43">
        <f>IF($CU29&gt;=RAF,"",IF($CU29-EU$103&lt;BeginnAlter,"",ROUND((SUM(DL29:DL$56)+SUM(GD$9:GD$56))/VLOOKUP($CU29,$AH$9:$AI$102,2)/VLOOKUP($CU29-EU$103,Männer!$G$9:$J$102,4),Rundäx)))</f>
        <v>7.6559999999999997</v>
      </c>
      <c r="EV29" s="43">
        <f>IF($CU29&gt;=RAF,"",IF($CU29-EV$103&lt;BeginnAlter,"",ROUND((SUM(DM29:DM$56)+SUM(GE$9:GE$56))/VLOOKUP($CU29,$AH$9:$AI$102,2)/VLOOKUP($CU29-EV$103,Männer!$G$9:$J$102,4),Rundäx)))</f>
        <v>7.8819999999999997</v>
      </c>
      <c r="EW29" s="43">
        <f>IF($CU29&gt;=RAF,"",IF($CU29-EW$103&lt;BeginnAlter,"",ROUND((SUM(DN29:DN$56)+SUM(GF$9:GF$56))/VLOOKUP($CU29,$AH$9:$AI$102,2)/VLOOKUP($CU29-EW$103,Männer!$G$9:$J$102,4),Rundäx)))</f>
        <v>8.109</v>
      </c>
      <c r="EX29" s="43">
        <f>IF($CU29&gt;=RAF,"",IF($CU29-EX$103&lt;BeginnAlter,"",ROUND((SUM(DO29:DO$56)+SUM(GG$9:GG$56))/VLOOKUP($CU29,$AH$9:$AI$102,2)/VLOOKUP($CU29-EX$103,Männer!$G$9:$J$102,4),Rundäx)))</f>
        <v>8.3379999999999992</v>
      </c>
      <c r="EY29" s="43">
        <f>IF($CU29&gt;=RAF,"",IF($CU29-EY$103&lt;BeginnAlter,"",ROUND((SUM(DP29:DP$56)+SUM(GH$9:GH$56))/VLOOKUP($CU29,$AH$9:$AI$102,2)/VLOOKUP($CU29-EY$103,Männer!$G$9:$J$102,4),Rundäx)))</f>
        <v>8.5679999999999996</v>
      </c>
      <c r="EZ29" s="43">
        <f>IF($CU29&gt;=RAF,"",IF($CU29-EZ$103&lt;BeginnAlter,"",ROUND((SUM(DQ29:DQ$56)+SUM(GI$9:GI$56))/VLOOKUP($CU29,$AH$9:$AI$102,2)/VLOOKUP($CU29-EZ$103,Männer!$G$9:$J$102,4),Rundäx)))</f>
        <v>8.7989999999999995</v>
      </c>
      <c r="FA29" s="43">
        <f>IF($CU29&gt;=RAF,"",IF($CU29-FA$103&lt;BeginnAlter,"",ROUND((SUM(DR29:DR$56)+SUM(GJ$9:GJ$56))/VLOOKUP($CU29,$AH$9:$AI$102,2)/VLOOKUP($CU29-FA$103,Männer!$G$9:$J$102,4),Rundäx)))</f>
        <v>9.0299999999999994</v>
      </c>
      <c r="FB29" s="43">
        <f>IF($CU29&gt;=RAF,"",IF($CU29-FB$103&lt;BeginnAlter,"",ROUND((SUM(DS29:DS$56)+SUM(GK$9:GK$56))/VLOOKUP($CU29,$AH$9:$AI$102,2)/VLOOKUP($CU29-FB$103,Männer!$G$9:$J$102,4),Rundäx)))</f>
        <v>9.2609999999999992</v>
      </c>
      <c r="FC29" s="89"/>
      <c r="FD29" s="35">
        <f t="shared" si="63"/>
        <v>37</v>
      </c>
      <c r="FE29" s="43">
        <f>IF($CU29&gt;=RAF,"",IF($CU29-FE$103&lt;BeginnAlter,"",ROUND((SUM(DT29:DT$56)+SUM(GL$9:GL$56))/VLOOKUP($CU29,$AH$9:$AI$102,2)/VLOOKUP($CU29-FE$103,Männer!$G$9:$J$102,4),Rundäx)))</f>
        <v>9.4909999999999997</v>
      </c>
      <c r="FF29" s="43">
        <f>IF($CU29&gt;=RAF,"",IF($CU29-FF$103&lt;BeginnAlter,"",ROUND((SUM(DU29:DU$56)+SUM(GM$9:GM$56))/VLOOKUP($CU29,$AH$9:$AI$102,2)/VLOOKUP($CU29-FF$103,Männer!$G$9:$J$102,4),Rundäx)))</f>
        <v>9.7210000000000001</v>
      </c>
      <c r="FG29" s="43">
        <f>IF($CU29&gt;=RAF,"",IF($CU29-FG$103&lt;BeginnAlter,"",ROUND((SUM(DV29:DV$56)+SUM(GN$9:GN$56))/VLOOKUP($CU29,$AH$9:$AI$102,2)/VLOOKUP($CU29-FG$103,Männer!$G$9:$J$102,4),Rundäx)))</f>
        <v>9.9499999999999993</v>
      </c>
      <c r="FH29" s="43">
        <f>IF($CU29&gt;=RAF,"",IF($CU29-FH$103&lt;BeginnAlter,"",ROUND((SUM(DW29:DW$56)+SUM(GO$9:GO$56))/VLOOKUP($CU29,$AH$9:$AI$102,2)/VLOOKUP($CU29-FH$103,Männer!$G$9:$J$102,4),Rundäx)))</f>
        <v>10.178000000000001</v>
      </c>
      <c r="FI29" s="43">
        <f>IF($CU29&gt;=RAF,"",IF($CU29-FI$103&lt;BeginnAlter,"",ROUND((SUM(DX29:DX$56)+SUM(GP$9:GP$56))/VLOOKUP($CU29,$AH$9:$AI$102,2)/VLOOKUP($CU29-FI$103,Männer!$G$9:$J$102,4),Rundäx)))</f>
        <v>10.404</v>
      </c>
      <c r="FJ29" s="43">
        <f>IF($CU29&gt;=RAF,"",IF($CU29-FJ$103&lt;BeginnAlter,"",ROUND((SUM(DY29:DY$56)+SUM(GQ$9:GQ$56))/VLOOKUP($CU29,$AH$9:$AI$102,2)/VLOOKUP($CU29-FJ$103,Männer!$G$9:$J$102,4),Rundäx)))</f>
        <v>10.628</v>
      </c>
      <c r="FK29" s="43">
        <f>IF($CU29&gt;=RAF,"",IF($CU29-FK$103&lt;BeginnAlter,"",ROUND((SUM(DZ29:DZ$56)+SUM(GR$9:GR$56))/VLOOKUP($CU29,$AH$9:$AI$102,2)/VLOOKUP($CU29-FK$103,Männer!$G$9:$J$102,4),Rundäx)))</f>
        <v>10.851000000000001</v>
      </c>
      <c r="FL29" s="89"/>
      <c r="FM29" s="35">
        <f t="shared" si="64"/>
        <v>84</v>
      </c>
      <c r="FN29" s="25">
        <f>ROUND(v^($FM29+FaktorAlter)*VLOOKUP($FM29,$G$9:$J$102,4)*VLOOKUP($FM29,$A$9:$E$102,5)*0.5*(VLOOKUP($FM29-FN$103,Männer!$G$9:$J$102,4)+VLOOKUP($FM29-FN$103+1,Männer!$G$9:$J$102,4))*0.5*(VLOOKUP($FM29-FN$103,Männer!$AZ$9:$BD$102,5)+VLOOKUP($FM29-FN$103+1,Männer!$AZ$9:$BD$102,5)),RundDx)</f>
        <v>301296</v>
      </c>
      <c r="FO29" s="25">
        <f>ROUND(v^($FM29+FaktorAlter)*VLOOKUP($FM29,$G$9:$J$102,4)*VLOOKUP($FM29,$A$9:$E$102,5)*0.5*(VLOOKUP($FM29-FO$103,Männer!$G$9:$J$102,4)+VLOOKUP($FM29-FO$103+1,Männer!$G$9:$J$102,4))*0.5*(VLOOKUP($FM29-FO$103,Männer!$AZ$9:$BD$102,5)+VLOOKUP($FM29-FO$103+1,Männer!$AZ$9:$BD$102,5)),RundDx)</f>
        <v>677788</v>
      </c>
      <c r="FP29" s="25">
        <f>ROUND(v^($FM29+FaktorAlter)*VLOOKUP($FM29,$G$9:$J$102,4)*VLOOKUP($FM29,$A$9:$E$102,5)*0.5*(VLOOKUP($FM29-FP$103,Männer!$G$9:$J$102,4)+VLOOKUP($FM29-FP$103+1,Männer!$G$9:$J$102,4))*0.5*(VLOOKUP($FM29-FP$103,Männer!$AZ$9:$BD$102,5)+VLOOKUP($FM29-FP$103+1,Männer!$AZ$9:$BD$102,5)),RundDx)</f>
        <v>1380379</v>
      </c>
      <c r="FQ29" s="25">
        <f>ROUND(v^($FM29+FaktorAlter)*VLOOKUP($FM29,$G$9:$J$102,4)*VLOOKUP($FM29,$A$9:$E$102,5)*0.5*(VLOOKUP($FM29-FQ$103,Männer!$G$9:$J$102,4)+VLOOKUP($FM29-FQ$103+1,Männer!$G$9:$J$102,4))*0.5*(VLOOKUP($FM29-FQ$103,Männer!$AZ$9:$BD$102,5)+VLOOKUP($FM29-FQ$103+1,Männer!$AZ$9:$BD$102,5)),RundDx)</f>
        <v>2574374</v>
      </c>
      <c r="FR29" s="25">
        <f>ROUND(v^($FM29+FaktorAlter)*VLOOKUP($FM29,$G$9:$J$102,4)*VLOOKUP($FM29,$A$9:$E$102,5)*0.5*(VLOOKUP($FM29-FR$103,Männer!$G$9:$J$102,4)+VLOOKUP($FM29-FR$103+1,Männer!$G$9:$J$102,4))*0.5*(VLOOKUP($FM29-FR$103,Männer!$AZ$9:$BD$102,5)+VLOOKUP($FM29-FR$103+1,Männer!$AZ$9:$BD$102,5)),RundDx)</f>
        <v>4455851</v>
      </c>
      <c r="FS29" s="25">
        <f>ROUND(v^($FM29+FaktorAlter)*VLOOKUP($FM29,$G$9:$J$102,4)*VLOOKUP($FM29,$A$9:$E$102,5)*0.5*(VLOOKUP($FM29-FS$103,Männer!$G$9:$J$102,4)+VLOOKUP($FM29-FS$103+1,Männer!$G$9:$J$102,4))*0.5*(VLOOKUP($FM29-FS$103,Männer!$AZ$9:$BD$102,5)+VLOOKUP($FM29-FS$103+1,Männer!$AZ$9:$BD$102,5)),RundDx)</f>
        <v>7242302</v>
      </c>
      <c r="FT29" s="25">
        <f>ROUND(v^($FM29+FaktorAlter)*VLOOKUP($FM29,$G$9:$J$102,4)*VLOOKUP($FM29,$A$9:$E$102,5)*0.5*(VLOOKUP($FM29-FT$103,Männer!$G$9:$J$102,4)+VLOOKUP($FM29-FT$103+1,Männer!$G$9:$J$102,4))*0.5*(VLOOKUP($FM29-FT$103,Männer!$AZ$9:$BD$102,5)+VLOOKUP($FM29-FT$103+1,Männer!$AZ$9:$BD$102,5)),RundDx)</f>
        <v>11145135</v>
      </c>
      <c r="FU29" s="25">
        <f>ROUND(v^($FM29+FaktorAlter)*VLOOKUP($FM29,$G$9:$J$102,4)*VLOOKUP($FM29,$A$9:$E$102,5)*0.5*(VLOOKUP($FM29-FU$103,Männer!$G$9:$J$102,4)+VLOOKUP($FM29-FU$103+1,Männer!$G$9:$J$102,4))*0.5*(VLOOKUP($FM29-FU$103,Männer!$AZ$9:$BD$102,5)+VLOOKUP($FM29-FU$103+1,Männer!$AZ$9:$BD$102,5)),RundDx)</f>
        <v>16387193</v>
      </c>
      <c r="FV29" s="25">
        <f>ROUND(v^($FM29+FaktorAlter)*VLOOKUP($FM29,$G$9:$J$102,4)*VLOOKUP($FM29,$A$9:$E$102,5)*0.5*(VLOOKUP($FM29-FV$103,Männer!$G$9:$J$102,4)+VLOOKUP($FM29-FV$103+1,Männer!$G$9:$J$102,4))*0.5*(VLOOKUP($FM29-FV$103,Männer!$AZ$9:$BD$102,5)+VLOOKUP($FM29-FV$103+1,Männer!$AZ$9:$BD$102,5)),RundDx)</f>
        <v>23171110</v>
      </c>
      <c r="FW29" s="25">
        <f>ROUND(v^($FM29+FaktorAlter)*VLOOKUP($FM29,$G$9:$J$102,4)*VLOOKUP($FM29,$A$9:$E$102,5)*0.5*(VLOOKUP($FM29-FW$103,Männer!$G$9:$J$102,4)+VLOOKUP($FM29-FW$103+1,Männer!$G$9:$J$102,4))*0.5*(VLOOKUP($FM29-FW$103,Männer!$AZ$9:$BD$102,5)+VLOOKUP($FM29-FW$103+1,Männer!$AZ$9:$BD$102,5)),RundDx)</f>
        <v>31645552</v>
      </c>
      <c r="FX29" s="25">
        <f>ROUND(v^($FM29+FaktorAlter)*VLOOKUP($FM29,$G$9:$J$102,4)*VLOOKUP($FM29,$A$9:$E$102,5)*0.5*(VLOOKUP($FM29-FX$103,Männer!$G$9:$J$102,4)+VLOOKUP($FM29-FX$103+1,Männer!$G$9:$J$102,4))*0.5*(VLOOKUP($FM29-FX$103,Männer!$AZ$9:$BD$102,5)+VLOOKUP($FM29-FX$103+1,Männer!$AZ$9:$BD$102,5)),RundDx)</f>
        <v>41925169</v>
      </c>
      <c r="FY29" s="25">
        <f>ROUND(v^($FM29+FaktorAlter)*VLOOKUP($FM29,$G$9:$J$102,4)*VLOOKUP($FM29,$A$9:$E$102,5)*0.5*(VLOOKUP($FM29-FY$103,Männer!$G$9:$J$102,4)+VLOOKUP($FM29-FY$103+1,Männer!$G$9:$J$102,4))*0.5*(VLOOKUP($FM29-FY$103,Männer!$AZ$9:$BD$102,5)+VLOOKUP($FM29-FY$103+1,Männer!$AZ$9:$BD$102,5)),RundDx)</f>
        <v>54069117</v>
      </c>
      <c r="FZ29" s="25">
        <f>ROUND(v^($FM29+FaktorAlter)*VLOOKUP($FM29,$G$9:$J$102,4)*VLOOKUP($FM29,$A$9:$E$102,5)*0.5*(VLOOKUP($FM29-FZ$103,Männer!$G$9:$J$102,4)+VLOOKUP($FM29-FZ$103+1,Männer!$G$9:$J$102,4))*0.5*(VLOOKUP($FM29-FZ$103,Männer!$AZ$9:$BD$102,5)+VLOOKUP($FM29-FZ$103+1,Männer!$AZ$9:$BD$102,5)),RundDx)</f>
        <v>68033000</v>
      </c>
      <c r="GA29" s="25">
        <f>ROUND(v^($FM29+FaktorAlter)*VLOOKUP($FM29,$G$9:$J$102,4)*VLOOKUP($FM29,$A$9:$E$102,5)*0.5*(VLOOKUP($FM29-GA$103,Männer!$G$9:$J$102,4)+VLOOKUP($FM29-GA$103+1,Männer!$G$9:$J$102,4))*0.5*(VLOOKUP($FM29-GA$103,Männer!$AZ$9:$BD$102,5)+VLOOKUP($FM29-GA$103+1,Männer!$AZ$9:$BD$102,5)),RundDx)</f>
        <v>83728553</v>
      </c>
      <c r="GB29" s="25">
        <f>ROUND(v^($FM29+FaktorAlter)*VLOOKUP($FM29,$G$9:$J$102,4)*VLOOKUP($FM29,$A$9:$E$102,5)*0.5*(VLOOKUP($FM29-GB$103,Männer!$G$9:$J$102,4)+VLOOKUP($FM29-GB$103+1,Männer!$G$9:$J$102,4))*0.5*(VLOOKUP($FM29-GB$103,Männer!$AZ$9:$BD$102,5)+VLOOKUP($FM29-GB$103+1,Männer!$AZ$9:$BD$102,5)),RundDx)</f>
        <v>101111040</v>
      </c>
      <c r="GC29" s="25">
        <f>ROUND(v^($FM29+FaktorAlter)*VLOOKUP($FM29,$G$9:$J$102,4)*VLOOKUP($FM29,$A$9:$E$102,5)*0.5*(VLOOKUP($FM29-GC$103,Männer!$G$9:$J$102,4)+VLOOKUP($FM29-GC$103+1,Männer!$G$9:$J$102,4))*0.5*(VLOOKUP($FM29-GC$103,Männer!$AZ$9:$BD$102,5)+VLOOKUP($FM29-GC$103+1,Männer!$AZ$9:$BD$102,5)),RundDx)</f>
        <v>120121701</v>
      </c>
      <c r="GD29" s="25">
        <f>ROUND(v^($FM29+FaktorAlter)*VLOOKUP($FM29,$G$9:$J$102,4)*VLOOKUP($FM29,$A$9:$E$102,5)*0.5*(VLOOKUP($FM29-GD$103,Männer!$G$9:$J$102,4)+VLOOKUP($FM29-GD$103+1,Männer!$G$9:$J$102,4))*0.5*(VLOOKUP($FM29-GD$103,Männer!$AZ$9:$BD$102,5)+VLOOKUP($FM29-GD$103+1,Männer!$AZ$9:$BD$102,5)),RundDx)</f>
        <v>140662457</v>
      </c>
      <c r="GE29" s="25">
        <f>ROUND(v^($FM29+FaktorAlter)*VLOOKUP($FM29,$G$9:$J$102,4)*VLOOKUP($FM29,$A$9:$E$102,5)*0.5*(VLOOKUP($FM29-GE$103,Männer!$G$9:$J$102,4)+VLOOKUP($FM29-GE$103+1,Männer!$G$9:$J$102,4))*0.5*(VLOOKUP($FM29-GE$103,Männer!$AZ$9:$BD$102,5)+VLOOKUP($FM29-GE$103+1,Männer!$AZ$9:$BD$102,5)),RundDx)</f>
        <v>162656201</v>
      </c>
      <c r="GF29" s="25">
        <f>ROUND(v^($FM29+FaktorAlter)*VLOOKUP($FM29,$G$9:$J$102,4)*VLOOKUP($FM29,$A$9:$E$102,5)*0.5*(VLOOKUP($FM29-GF$103,Männer!$G$9:$J$102,4)+VLOOKUP($FM29-GF$103+1,Männer!$G$9:$J$102,4))*0.5*(VLOOKUP($FM29-GF$103,Männer!$AZ$9:$BD$102,5)+VLOOKUP($FM29-GF$103+1,Männer!$AZ$9:$BD$102,5)),RundDx)</f>
        <v>186013916</v>
      </c>
      <c r="GG29" s="25">
        <f>ROUND(v^($FM29+FaktorAlter)*VLOOKUP($FM29,$G$9:$J$102,4)*VLOOKUP($FM29,$A$9:$E$102,5)*0.5*(VLOOKUP($FM29-GG$103,Männer!$G$9:$J$102,4)+VLOOKUP($FM29-GG$103+1,Männer!$G$9:$J$102,4))*0.5*(VLOOKUP($FM29-GG$103,Männer!$AZ$9:$BD$102,5)+VLOOKUP($FM29-GG$103+1,Männer!$AZ$9:$BD$102,5)),RundDx)</f>
        <v>210612310</v>
      </c>
      <c r="GH29" s="25">
        <f>ROUND(v^($FM29+FaktorAlter)*VLOOKUP($FM29,$G$9:$J$102,4)*VLOOKUP($FM29,$A$9:$E$102,5)*0.5*(VLOOKUP($FM29-GH$103,Männer!$G$9:$J$102,4)+VLOOKUP($FM29-GH$103+1,Männer!$G$9:$J$102,4))*0.5*(VLOOKUP($FM29-GH$103,Männer!$AZ$9:$BD$102,5)+VLOOKUP($FM29-GH$103+1,Männer!$AZ$9:$BD$102,5)),RundDx)</f>
        <v>236333238</v>
      </c>
      <c r="GI29" s="25">
        <f>ROUND(v^($FM29+FaktorAlter)*VLOOKUP($FM29,$G$9:$J$102,4)*VLOOKUP($FM29,$A$9:$E$102,5)*0.5*(VLOOKUP($FM29-GI$103,Männer!$G$9:$J$102,4)+VLOOKUP($FM29-GI$103+1,Männer!$G$9:$J$102,4))*0.5*(VLOOKUP($FM29-GI$103,Männer!$AZ$9:$BD$102,5)+VLOOKUP($FM29-GI$103+1,Männer!$AZ$9:$BD$102,5)),RundDx)</f>
        <v>263052659</v>
      </c>
      <c r="GJ29" s="25">
        <f>ROUND(v^($FM29+FaktorAlter)*VLOOKUP($FM29,$G$9:$J$102,4)*VLOOKUP($FM29,$A$9:$E$102,5)*0.5*(VLOOKUP($FM29-GJ$103,Männer!$G$9:$J$102,4)+VLOOKUP($FM29-GJ$103+1,Männer!$G$9:$J$102,4))*0.5*(VLOOKUP($FM29-GJ$103,Männer!$AZ$9:$BD$102,5)+VLOOKUP($FM29-GJ$103+1,Männer!$AZ$9:$BD$102,5)),RundDx)</f>
        <v>290637135</v>
      </c>
      <c r="GK29" s="25">
        <f>ROUND(v^($FM29+FaktorAlter)*VLOOKUP($FM29,$G$9:$J$102,4)*VLOOKUP($FM29,$A$9:$E$102,5)*0.5*(VLOOKUP($FM29-GK$103,Männer!$G$9:$J$102,4)+VLOOKUP($FM29-GK$103+1,Männer!$G$9:$J$102,4))*0.5*(VLOOKUP($FM29-GK$103,Männer!$AZ$9:$BD$102,5)+VLOOKUP($FM29-GK$103+1,Männer!$AZ$9:$BD$102,5)),RundDx)</f>
        <v>318938333</v>
      </c>
      <c r="GL29" s="25">
        <f>ROUND(v^($FM29+FaktorAlter)*VLOOKUP($FM29,$G$9:$J$102,4)*VLOOKUP($FM29,$A$9:$E$102,5)*0.5*(VLOOKUP($FM29-GL$103,Männer!$G$9:$J$102,4)+VLOOKUP($FM29-GL$103+1,Männer!$G$9:$J$102,4))*0.5*(VLOOKUP($FM29-GL$103,Männer!$AZ$9:$BD$102,5)+VLOOKUP($FM29-GL$103+1,Männer!$AZ$9:$BD$102,5)),RundDx)</f>
        <v>347775528</v>
      </c>
      <c r="GM29" s="25">
        <f>ROUND(v^($FM29+FaktorAlter)*VLOOKUP($FM29,$G$9:$J$102,4)*VLOOKUP($FM29,$A$9:$E$102,5)*0.5*(VLOOKUP($FM29-GM$103,Männer!$G$9:$J$102,4)+VLOOKUP($FM29-GM$103+1,Männer!$G$9:$J$102,4))*0.5*(VLOOKUP($FM29-GM$103,Männer!$AZ$9:$BD$102,5)+VLOOKUP($FM29-GM$103+1,Männer!$AZ$9:$BD$102,5)),RundDx)</f>
        <v>377014167</v>
      </c>
      <c r="GN29" s="25">
        <f>ROUND(v^($FM29+FaktorAlter)*VLOOKUP($FM29,$G$9:$J$102,4)*VLOOKUP($FM29,$A$9:$E$102,5)*0.5*(VLOOKUP($FM29-GN$103,Männer!$G$9:$J$102,4)+VLOOKUP($FM29-GN$103+1,Männer!$G$9:$J$102,4))*0.5*(VLOOKUP($FM29-GN$103,Männer!$AZ$9:$BD$102,5)+VLOOKUP($FM29-GN$103+1,Männer!$AZ$9:$BD$102,5)),RundDx)</f>
        <v>406487467</v>
      </c>
      <c r="GO29" s="25">
        <f>ROUND(v^($FM29+FaktorAlter)*VLOOKUP($FM29,$G$9:$J$102,4)*VLOOKUP($FM29,$A$9:$E$102,5)*0.5*(VLOOKUP($FM29-GO$103,Männer!$G$9:$J$102,4)+VLOOKUP($FM29-GO$103+1,Männer!$G$9:$J$102,4))*0.5*(VLOOKUP($FM29-GO$103,Männer!$AZ$9:$BD$102,5)+VLOOKUP($FM29-GO$103+1,Männer!$AZ$9:$BD$102,5)),RundDx)</f>
        <v>436180241</v>
      </c>
      <c r="GP29" s="25">
        <f>ROUND(v^($FM29+FaktorAlter)*VLOOKUP($FM29,$G$9:$J$102,4)*VLOOKUP($FM29,$A$9:$E$102,5)*0.5*(VLOOKUP($FM29-GP$103,Männer!$G$9:$J$102,4)+VLOOKUP($FM29-GP$103+1,Männer!$G$9:$J$102,4))*0.5*(VLOOKUP($FM29-GP$103,Männer!$AZ$9:$BD$102,5)+VLOOKUP($FM29-GP$103+1,Männer!$AZ$9:$BD$102,5)),RundDx)</f>
        <v>466055779</v>
      </c>
      <c r="GQ29" s="25">
        <f>ROUND(v^($FM29+FaktorAlter)*VLOOKUP($FM29,$G$9:$J$102,4)*VLOOKUP($FM29,$A$9:$E$102,5)*0.5*(VLOOKUP($FM29-GQ$103,Männer!$G$9:$J$102,4)+VLOOKUP($FM29-GQ$103+1,Männer!$G$9:$J$102,4))*0.5*(VLOOKUP($FM29-GQ$103,Männer!$AZ$9:$BD$102,5)+VLOOKUP($FM29-GQ$103+1,Männer!$AZ$9:$BD$102,5)),RundDx)</f>
        <v>495972968</v>
      </c>
      <c r="GR29" s="25">
        <f>ROUND(v^($FM29+FaktorAlter)*VLOOKUP($FM29,$G$9:$J$102,4)*VLOOKUP($FM29,$A$9:$E$102,5)*0.5*(VLOOKUP($FM29-GR$103,Männer!$G$9:$J$102,4)+VLOOKUP($FM29-GR$103+1,Männer!$G$9:$J$102,4))*0.5*(VLOOKUP($FM29-GR$103,Männer!$AZ$9:$BD$102,5)+VLOOKUP($FM29-GR$103+1,Männer!$AZ$9:$BD$102,5)),RundDx)</f>
        <v>525913900</v>
      </c>
      <c r="GS29" s="24">
        <f>ROUND(SUM(FN29:FN$56)/VLOOKUP($FM29,$AQ$9:$AR$102,2)/VLOOKUP($FM29-GS$103,Männer!$G$9:$J$102,4),Rundäx)</f>
        <v>8.4000000000000005E-2</v>
      </c>
      <c r="GT29" s="24">
        <f>ROUND(SUM(FO29:FO$56)/VLOOKUP($FM29,$AQ$9:$AR$102,2)/VLOOKUP($FM29-GT$103,Männer!$G$9:$J$102,4),Rundäx)</f>
        <v>0.11700000000000001</v>
      </c>
      <c r="GU29" s="24">
        <f>ROUND(SUM(FP29:FP$56)/VLOOKUP($FM29,$AQ$9:$AR$102,2)/VLOOKUP($FM29-GU$103,Männer!$G$9:$J$102,4),Rundäx)</f>
        <v>0.154</v>
      </c>
      <c r="GV29" s="24">
        <f>ROUND(SUM(FQ29:FQ$56)/VLOOKUP($FM29,$AQ$9:$AR$102,2)/VLOOKUP($FM29-GV$103,Männer!$G$9:$J$102,4),Rundäx)</f>
        <v>0.19600000000000001</v>
      </c>
      <c r="GW29" s="24">
        <f>ROUND(SUM(FR29:FR$56)/VLOOKUP($FM29,$AQ$9:$AR$102,2)/VLOOKUP($FM29-GW$103,Männer!$G$9:$J$102,4),Rundäx)</f>
        <v>0.246</v>
      </c>
      <c r="GX29" s="24">
        <f>ROUND(SUM(FS29:FS$56)/VLOOKUP($FM29,$AQ$9:$AR$102,2)/VLOOKUP($FM29-GX$103,Männer!$G$9:$J$102,4),Rundäx)</f>
        <v>0.30599999999999999</v>
      </c>
      <c r="GY29" s="24">
        <f>ROUND(SUM(FT29:FT$56)/VLOOKUP($FM29,$AQ$9:$AR$102,2)/VLOOKUP($FM29-GY$103,Männer!$G$9:$J$102,4),Rundäx)</f>
        <v>0.375</v>
      </c>
      <c r="GZ29" s="24">
        <f>ROUND(SUM(FU29:FU$56)/VLOOKUP($FM29,$AQ$9:$AR$102,2)/VLOOKUP($FM29-GZ$103,Männer!$G$9:$J$102,4),Rundäx)</f>
        <v>0.45700000000000002</v>
      </c>
      <c r="HA29" s="89"/>
      <c r="HB29" s="35">
        <f t="shared" si="65"/>
        <v>84</v>
      </c>
      <c r="HC29" s="24">
        <f>ROUND(SUM(FV29:FV$56)/VLOOKUP($FM29,$AQ$9:$AR$102,2)/VLOOKUP($FM29-HC$103,Männer!$G$9:$J$102,4),Rundäx)</f>
        <v>0.55200000000000005</v>
      </c>
      <c r="HD29" s="24">
        <f>ROUND(SUM(FW29:FW$56)/VLOOKUP($FM29,$AQ$9:$AR$102,2)/VLOOKUP($FM29-HD$103,Männer!$G$9:$J$102,4),Rundäx)</f>
        <v>0.66100000000000003</v>
      </c>
      <c r="HE29" s="24">
        <f>ROUND(SUM(FX29:FX$56)/VLOOKUP($FM29,$AQ$9:$AR$102,2)/VLOOKUP($FM29-HE$103,Männer!$G$9:$J$102,4),Rundäx)</f>
        <v>0.78600000000000003</v>
      </c>
      <c r="HF29" s="24">
        <f>ROUND(SUM(FY29:FY$56)/VLOOKUP($FM29,$AQ$9:$AR$102,2)/VLOOKUP($FM29-HF$103,Männer!$G$9:$J$102,4),Rundäx)</f>
        <v>0.92700000000000005</v>
      </c>
      <c r="HG29" s="24">
        <f>ROUND(SUM(FZ29:FZ$56)/VLOOKUP($FM29,$AQ$9:$AR$102,2)/VLOOKUP($FM29-HG$103,Männer!$G$9:$J$102,4),Rundäx)</f>
        <v>1.085</v>
      </c>
      <c r="HH29" s="24">
        <f>ROUND(SUM(GA29:GA$56)/VLOOKUP($FM29,$AQ$9:$AR$102,2)/VLOOKUP($FM29-HH$103,Männer!$G$9:$J$102,4),Rundäx)</f>
        <v>1.2609999999999999</v>
      </c>
      <c r="HI29" s="24">
        <f>ROUND(SUM(GB29:GB$56)/VLOOKUP($FM29,$AQ$9:$AR$102,2)/VLOOKUP($FM29-HI$103,Männer!$G$9:$J$102,4),Rundäx)</f>
        <v>1.4530000000000001</v>
      </c>
      <c r="HJ29" s="24">
        <f>ROUND(SUM(GC29:GC$56)/VLOOKUP($FM29,$AQ$9:$AR$102,2)/VLOOKUP($FM29-HJ$103,Männer!$G$9:$J$102,4),Rundäx)</f>
        <v>1.6619999999999999</v>
      </c>
      <c r="HK29" s="89"/>
      <c r="HL29" s="35">
        <f t="shared" si="66"/>
        <v>84</v>
      </c>
      <c r="HM29" s="24">
        <f>ROUND(SUM(GD29:GD$56)/VLOOKUP($FM29,$AQ$9:$AR$102,2)/VLOOKUP($FM29-HM$103,Männer!$G$9:$J$102,4),Rundäx)</f>
        <v>1.887</v>
      </c>
      <c r="HN29" s="24">
        <f>ROUND(SUM(GE29:GE$56)/VLOOKUP($FM29,$AQ$9:$AR$102,2)/VLOOKUP($FM29-HN$103,Männer!$G$9:$J$102,4),Rundäx)</f>
        <v>2.1280000000000001</v>
      </c>
      <c r="HO29" s="24">
        <f>ROUND(SUM(GF29:GF$56)/VLOOKUP($FM29,$AQ$9:$AR$102,2)/VLOOKUP($FM29-HO$103,Männer!$G$9:$J$102,4),Rundäx)</f>
        <v>2.3849999999999998</v>
      </c>
      <c r="HP29" s="24">
        <f>ROUND(SUM(GG29:GG$56)/VLOOKUP($FM29,$AQ$9:$AR$102,2)/VLOOKUP($FM29-HP$103,Männer!$G$9:$J$102,4),Rundäx)</f>
        <v>2.6549999999999998</v>
      </c>
      <c r="HQ29" s="24">
        <f>ROUND(SUM(GH29:GH$56)/VLOOKUP($FM29,$AQ$9:$AR$102,2)/VLOOKUP($FM29-HQ$103,Männer!$G$9:$J$102,4),Rundäx)</f>
        <v>2.9380000000000002</v>
      </c>
      <c r="HR29" s="24">
        <f>ROUND(SUM(GI29:GI$56)/VLOOKUP($FM29,$AQ$9:$AR$102,2)/VLOOKUP($FM29-HR$103,Männer!$G$9:$J$102,4),Rundäx)</f>
        <v>3.234</v>
      </c>
      <c r="HS29" s="24">
        <f>ROUND(SUM(GJ29:GJ$56)/VLOOKUP($FM29,$AQ$9:$AR$102,2)/VLOOKUP($FM29-HS$103,Männer!$G$9:$J$102,4),Rundäx)</f>
        <v>3.5409999999999999</v>
      </c>
      <c r="HT29" s="24">
        <f>ROUND(SUM(GK29:GK$56)/VLOOKUP($FM29,$AQ$9:$AR$102,2)/VLOOKUP($FM29-HT$103,Männer!$G$9:$J$102,4),Rundäx)</f>
        <v>3.859</v>
      </c>
      <c r="HU29" s="89"/>
      <c r="HV29" s="35">
        <f t="shared" si="67"/>
        <v>84</v>
      </c>
      <c r="HW29" s="24">
        <f>ROUND(SUM(GL29:GL$56)/VLOOKUP($FM29,$AQ$9:$AR$102,2)/VLOOKUP($FM29-HW$103,Männer!$G$9:$J$102,4),Rundäx)</f>
        <v>4.1859999999999999</v>
      </c>
      <c r="HX29" s="24">
        <f>ROUND(SUM(GM29:GM$56)/VLOOKUP($FM29,$AQ$9:$AR$102,2)/VLOOKUP($FM29-HX$103,Männer!$G$9:$J$102,4),Rundäx)</f>
        <v>4.5220000000000002</v>
      </c>
      <c r="HY29" s="24">
        <f>ROUND(SUM(GN29:GN$56)/VLOOKUP($FM29,$AQ$9:$AR$102,2)/VLOOKUP($FM29-HY$103,Männer!$G$9:$J$102,4),Rundäx)</f>
        <v>4.8659999999999997</v>
      </c>
      <c r="HZ29" s="24">
        <f>ROUND(SUM(GO29:GO$56)/VLOOKUP($FM29,$AQ$9:$AR$102,2)/VLOOKUP($FM29-HZ$103,Männer!$G$9:$J$102,4),Rundäx)</f>
        <v>5.2160000000000002</v>
      </c>
      <c r="IA29" s="24">
        <f>ROUND(SUM(GP29:GP$56)/VLOOKUP($FM29,$AQ$9:$AR$102,2)/VLOOKUP($FM29-IA$103,Männer!$G$9:$J$102,4),Rundäx)</f>
        <v>5.5709999999999997</v>
      </c>
      <c r="IB29" s="24">
        <f>ROUND(SUM(GQ29:GQ$56)/VLOOKUP($FM29,$AQ$9:$AR$102,2)/VLOOKUP($FM29-IB$103,Männer!$G$9:$J$102,4),Rundäx)</f>
        <v>5.9320000000000004</v>
      </c>
      <c r="IC29" s="24">
        <f>ROUND(SUM(GR29:GR$56)/VLOOKUP($FM29,$AQ$9:$AR$102,2)/VLOOKUP($FM29-IC$103,Männer!$G$9:$J$102,4),Rundäx)</f>
        <v>6.2960000000000003</v>
      </c>
      <c r="ID29" s="89"/>
      <c r="IE29" s="9">
        <f t="shared" si="68"/>
        <v>37</v>
      </c>
      <c r="IF29" s="11">
        <f t="shared" si="25"/>
        <v>334</v>
      </c>
      <c r="IG29" s="11">
        <f>IF($IE29&lt;RAF,IF(S30&lt;=RAK,ROUND(SUM(IF29:INDEX(Daky,RAF-BeginnAlter))+INDEX(Day,RAF-BeginnAlter+1)*INDEX(äky,1),RundDx),0),"")</f>
        <v>3302</v>
      </c>
      <c r="IH29" s="11">
        <f>IF($IE29&lt;RAF,IF(S30&lt;=RAK,ROUND(SUM(IG29:INDEX(Naky,RAF-BeginnAlter))+INDEX(Day,RAF-BeginnAlter+1)*INDEX(äky,1),RundDx),0),"")</f>
        <v>21287</v>
      </c>
      <c r="II29" s="10">
        <f t="shared" si="26"/>
        <v>7.6999999999999999E-2</v>
      </c>
      <c r="IJ29" s="11">
        <f t="shared" si="27"/>
        <v>16155</v>
      </c>
      <c r="IK29" s="11">
        <f>IF($IE29&lt;RAF,IF(S30&lt;=RAK,SUM(IJ29:INDEX(Diky,RAF-BeginnAlter))+INDEX(Diy,RAF-BeginnAlter+1)*INDEX(äky,1),0),"")</f>
        <v>109643</v>
      </c>
      <c r="IL29" s="10">
        <f t="shared" si="28"/>
        <v>1.5740000000000001</v>
      </c>
      <c r="IM29" s="89"/>
      <c r="IN29" s="9">
        <f t="shared" si="29"/>
        <v>84</v>
      </c>
      <c r="IO29" s="11"/>
      <c r="IP29" s="11"/>
      <c r="IQ29" s="10"/>
      <c r="IR29" s="86"/>
    </row>
    <row r="30" spans="1:252" ht="15.75" customHeight="1" x14ac:dyDescent="0.25">
      <c r="A30" s="9">
        <f t="shared" si="4"/>
        <v>38</v>
      </c>
      <c r="B30" s="93">
        <v>4.027375661928197E-4</v>
      </c>
      <c r="C30" s="93">
        <v>2.8593760850528769E-3</v>
      </c>
      <c r="D30" s="93">
        <v>2.1949782200209426E-2</v>
      </c>
      <c r="E30" s="93">
        <v>8.7792768701377977E-4</v>
      </c>
      <c r="F30" s="89"/>
      <c r="G30" s="9">
        <f t="shared" si="5"/>
        <v>38</v>
      </c>
      <c r="H30" s="11">
        <f t="shared" si="30"/>
        <v>97067</v>
      </c>
      <c r="I30" s="25">
        <f t="shared" si="31"/>
        <v>2030</v>
      </c>
      <c r="J30" s="25">
        <f t="shared" si="32"/>
        <v>99097</v>
      </c>
      <c r="K30" s="30">
        <f>IF(J30&gt;0,ROUND(SUM(J30:J$102)/J30-0.5,Rundex),"")</f>
        <v>44.55</v>
      </c>
      <c r="L30" s="25">
        <f t="shared" si="6"/>
        <v>155183</v>
      </c>
      <c r="M30" s="30">
        <f>IF(L30&gt;0,ROUND(SUM(L30:L$102)/L30-0.5,Rundex),"")</f>
        <v>32.479999999999997</v>
      </c>
      <c r="N30" s="89"/>
      <c r="O30" s="9">
        <f t="shared" si="49"/>
        <v>38</v>
      </c>
      <c r="P30" s="94">
        <v>0.26229091149763928</v>
      </c>
      <c r="Q30" s="95">
        <v>41.329778040971476</v>
      </c>
      <c r="R30" s="94">
        <v>0.59832242272584746</v>
      </c>
      <c r="S30" s="95">
        <v>2.3525793257785872</v>
      </c>
      <c r="T30" s="28">
        <v>8.5999999999999998E-4</v>
      </c>
      <c r="U30" s="11">
        <f t="shared" si="33"/>
        <v>99097</v>
      </c>
      <c r="V30" s="30">
        <f>IF(U30&gt;0,ROUND(SUM(U30:U$102)/U30-0.5,Rundex),"")</f>
        <v>45.85</v>
      </c>
      <c r="W30" s="89"/>
      <c r="X30" s="9">
        <f t="shared" si="50"/>
        <v>38</v>
      </c>
      <c r="Y30" s="11">
        <f t="shared" si="34"/>
        <v>41674</v>
      </c>
      <c r="Z30" s="11">
        <f>IF($X30&lt;RAF,SUM(Y30:INDEX(Day,RAF-BeginnAlter))," ")</f>
        <v>766394</v>
      </c>
      <c r="AA30" s="11">
        <f t="shared" si="0"/>
        <v>17</v>
      </c>
      <c r="AB30" s="11">
        <f>IF($X30&lt;RAF,SUM(AA30:INDEX(Cay,RAF-BeginnAlter))," ")</f>
        <v>1160</v>
      </c>
      <c r="AC30" s="11">
        <f t="shared" si="1"/>
        <v>118</v>
      </c>
      <c r="AD30" s="11">
        <f>IF($X30&lt;RAF,SUM(AC30:INDEX(Caiy,RAF-BeginnAlter))," ")</f>
        <v>7371</v>
      </c>
      <c r="AE30" s="10">
        <f t="shared" si="35"/>
        <v>18.39</v>
      </c>
      <c r="AF30" s="10">
        <f t="shared" si="36"/>
        <v>18.111999999999998</v>
      </c>
      <c r="AG30" s="89"/>
      <c r="AH30" s="9">
        <f t="shared" si="51"/>
        <v>38</v>
      </c>
      <c r="AI30" s="11">
        <f t="shared" si="37"/>
        <v>66625</v>
      </c>
      <c r="AJ30" s="11">
        <f>IF($AH30&gt;RAF," ",IF($AH30&lt;RAF,SUM(AI30:INDEX(Diy,RAF-BeginnAlter))+INDEX(Ny,RAF-BeginnAlter+1),INDEX(Ny,RAF-BeginnAlter+1)))</f>
        <v>1434393</v>
      </c>
      <c r="AK30" s="11">
        <f>IF($AH30&lt;RAF,SUM(AI30:INDEX(Diy,RAF-BeginnAlter))," ")</f>
        <v>1068299</v>
      </c>
      <c r="AL30" s="10">
        <f t="shared" si="38"/>
        <v>21.529</v>
      </c>
      <c r="AM30" s="10">
        <f t="shared" si="39"/>
        <v>21.071000000000002</v>
      </c>
      <c r="AN30" s="10">
        <f t="shared" si="40"/>
        <v>16.035</v>
      </c>
      <c r="AO30" s="10">
        <f t="shared" si="41"/>
        <v>15.726000000000001</v>
      </c>
      <c r="AP30" s="89"/>
      <c r="AQ30" s="9">
        <f t="shared" si="52"/>
        <v>38</v>
      </c>
      <c r="AR30" s="11">
        <f t="shared" si="42"/>
        <v>42546</v>
      </c>
      <c r="AS30" s="11">
        <f>SUM(AR30:AR$96)</f>
        <v>1196092</v>
      </c>
      <c r="AT30" s="25">
        <f>IF($AQ30&lt;RAF,SUM(AR30:INDEX(Dy,RAF-BeginnAlter))," ")</f>
        <v>829998</v>
      </c>
      <c r="AU30" s="24">
        <f t="shared" si="43"/>
        <v>28.113</v>
      </c>
      <c r="AV30" s="24">
        <f t="shared" si="44"/>
        <v>27.655000000000001</v>
      </c>
      <c r="AW30" s="24">
        <f t="shared" si="45"/>
        <v>19.507999999999999</v>
      </c>
      <c r="AX30" s="24">
        <f t="shared" si="46"/>
        <v>19.283999999999999</v>
      </c>
      <c r="AY30" s="89"/>
      <c r="AZ30" s="9">
        <f t="shared" si="53"/>
        <v>38</v>
      </c>
      <c r="BA30" s="11">
        <f t="shared" si="47"/>
        <v>42546</v>
      </c>
      <c r="BB30" s="11">
        <f>SUM(BA30:BA$96)</f>
        <v>1218881</v>
      </c>
      <c r="BC30" s="10">
        <f t="shared" si="48"/>
        <v>28.649000000000001</v>
      </c>
      <c r="BD30" s="10">
        <f t="shared" si="7"/>
        <v>28.19</v>
      </c>
      <c r="BE30" s="89"/>
      <c r="BF30" s="9">
        <f t="shared" si="54"/>
        <v>21</v>
      </c>
      <c r="BG30" s="10">
        <f t="shared" si="8"/>
        <v>3.87</v>
      </c>
      <c r="BH30" s="10">
        <f t="shared" si="9"/>
        <v>3.831</v>
      </c>
      <c r="BI30" s="89"/>
      <c r="BJ30" s="9">
        <f t="shared" si="55"/>
        <v>38</v>
      </c>
      <c r="BK30" s="11">
        <f t="shared" si="10"/>
        <v>2479</v>
      </c>
      <c r="BL30" s="11">
        <f>IF(BJ30&lt;RAF,SUM(BK30:INDEX(Daiy,RAF-BeginnAlter))," ")</f>
        <v>135592</v>
      </c>
      <c r="BM30" s="11">
        <f>IF(BJ30&lt;RAF,SUM(BL30:INDEX(Naiy,RAF-BeginnAlter))," ")</f>
        <v>2244479</v>
      </c>
      <c r="BN30" s="10">
        <f t="shared" si="11"/>
        <v>6.4349999999999996</v>
      </c>
      <c r="BO30" s="10">
        <f t="shared" si="12"/>
        <v>3.254</v>
      </c>
      <c r="BP30" s="89"/>
      <c r="BQ30" s="9">
        <f t="shared" si="56"/>
        <v>38</v>
      </c>
      <c r="BR30" s="11">
        <f t="shared" si="13"/>
        <v>1835</v>
      </c>
      <c r="BS30" s="11">
        <f>IF(BQ30&lt;RAF,SUM(BR30:INDEX(Daiys,RAF-BeginnAlter))," ")</f>
        <v>52309</v>
      </c>
      <c r="BT30" s="11">
        <f>IF(BQ30&lt;RAF,SUM(BS30:INDEX(Naiys,RAF-BeginnAlter))," ")</f>
        <v>662958</v>
      </c>
      <c r="BU30" s="10">
        <f t="shared" si="14"/>
        <v>8.4339999999999993</v>
      </c>
      <c r="BV30" s="10">
        <f t="shared" si="15"/>
        <v>1.2549999999999999</v>
      </c>
      <c r="BW30" s="89"/>
      <c r="BX30" s="9">
        <f t="shared" si="57"/>
        <v>38</v>
      </c>
      <c r="BY30" s="10">
        <f t="shared" si="16"/>
        <v>14.494392476995845</v>
      </c>
      <c r="BZ30" s="11">
        <f t="shared" si="17"/>
        <v>1026</v>
      </c>
      <c r="CA30" s="11">
        <f>IF(S31&lt;=RAK,IF($BX30&lt;RAF,SUM(BZ30:INDEX(Dazy,RAF-BeginnAlter)),""),"")</f>
        <v>10812</v>
      </c>
      <c r="CB30" s="10">
        <f t="shared" si="18"/>
        <v>0.25900000000000001</v>
      </c>
      <c r="CC30" s="11">
        <f t="shared" si="19"/>
        <v>24112</v>
      </c>
      <c r="CD30" s="10">
        <f t="shared" si="20"/>
        <v>17.960999999999999</v>
      </c>
      <c r="CE30" s="10">
        <f t="shared" si="21"/>
        <v>3.0000000000000001E-3</v>
      </c>
      <c r="CF30" s="89"/>
      <c r="CG30" s="9">
        <f t="shared" si="58"/>
        <v>38</v>
      </c>
      <c r="CH30" s="11">
        <f>IF(CG30&lt;RAF,ROUND(v^($CG30+FaktorAlter)*$H30*($B30*0.5*($P30+$P31)*(VLOOKUP(TRUNC(0.5*($Q30+$Q31),0),Männer!$AZ$9:$BD$95,5)+(0.5*($Q30+$Q31)-TRUNC(0.5*($Q30+$Q31),0))*(VLOOKUP(TRUNC(0.5*($Q30+$Q31)+1,0),Männer!$AZ$9:$BD$95,5)-VLOOKUP(TRUNC(0.5*($Q30+$Q31),0),Männer!$AZ$9:$BD$95,5)))+$C30*0.5*($CN30+$CN31)),RundDx),"")</f>
        <v>309</v>
      </c>
      <c r="CI30" s="11">
        <f>IF(CG30&lt;RAF,ROUND(SUM(CH30:INDEX(Dawy,RAF-BeginnAlter))+INDEX(Day,RAF-BeginnAlter+1)*INDEX(äwy,1),RundDx),"")</f>
        <v>11123</v>
      </c>
      <c r="CJ30" s="11">
        <f>IF(CG30&lt;RAF,ROUND(SUM(CI30:INDEX(Nawy,RAF-BeginnAlter))+INDEX(Day,RAF-BeginnAlter+1)*INDEX(äwy,1),RundDx),"")</f>
        <v>171354</v>
      </c>
      <c r="CK30" s="10">
        <f t="shared" si="22"/>
        <v>0.26700000000000002</v>
      </c>
      <c r="CL30" s="11">
        <f>IF(CG30&lt;RAF,ROUND(v^($CG30+FaktorAlter)*$L30*$D30*0.5*($P30+$P31)*(VLOOKUP(TRUNC(0.5*($Q30+$Q31),0),Männer!$AZ$9:$BD$95,5)+(0.5*($Q30+$Q31)-TRUNC(0.5*($Q30+$Q31),0))*(VLOOKUP(TRUNC(0.5*($Q30+$Q31)+1,0),Männer!$AZ$9:$BD$95,5)-VLOOKUP(TRUNC(0.5*($Q30+$Q31),0),Männer!$AZ$9:$BD$95,5))),RundDx),"")</f>
        <v>9288</v>
      </c>
      <c r="CM30" s="11">
        <f>IF(CG30&lt;RAF,SUM(CL30:INDEX(Diwy,RAF-BeginnAlter))+INDEX(Diy,RAF-BeginnAlter+1)*INDEX(äwy,1),"")</f>
        <v>116659.304</v>
      </c>
      <c r="CN30" s="10">
        <f t="shared" si="23"/>
        <v>1.7509999999999999</v>
      </c>
      <c r="CO30" s="89"/>
      <c r="CP30" s="9">
        <f t="shared" si="59"/>
        <v>85</v>
      </c>
      <c r="CQ30" s="11">
        <f>ROUND(v^($CP30+FaktorAlter)*VLOOKUP(CP30,G$9:J$102,4)*VLOOKUP(CP30,A$9:E$102,5)*0.5*(VLOOKUP(CP30,O$9:P$102,2)+VLOOKUP(CP30+1,O$9:P$102,2))*(VLOOKUP(TRUNC(0.5*(VLOOKUP(CP30,O$9:Q$102,3)+VLOOKUP(CP30+1,O$9:Q$102,3)),0),Männer!$AZ$9:$BD$95,5)+(0.5*(VLOOKUP(CP30,O$9:Q$102,3)+VLOOKUP(CP30+1,O$9:Q$102,3))-TRUNC(0.5*(VLOOKUP(CP30,O$9:Q$102,3)+VLOOKUP(CP30+1,O$9:Q$102,3)),0))*(VLOOKUP(TRUNC(0.5*(VLOOKUP(CP30,O$9:Q$102,3)+VLOOKUP(CP30+1,O$9:Q$102,3))+1,0),Männer!$AZ$9:$BD$95,5)-VLOOKUP(TRUNC(0.5*(VLOOKUP(CP30,O$9:Q$102,3)+VLOOKUP(CP30+1,O$9:Q$102,3)),0),Männer!$AZ$9:$BD$95,5))),RundDx)</f>
        <v>18</v>
      </c>
      <c r="CR30" s="11">
        <f>SUM(CQ30:CQ$56)</f>
        <v>106</v>
      </c>
      <c r="CS30" s="24">
        <f t="shared" si="24"/>
        <v>1.4E-2</v>
      </c>
      <c r="CT30" s="89"/>
      <c r="CU30" s="35">
        <f t="shared" si="60"/>
        <v>38</v>
      </c>
      <c r="CV30" s="25">
        <f>IF($CU30&gt;=RAF,"",IF($CU30-CV$103&lt;BeginnAlter,"",ROUND(v^($CU30+FaktorAlter)*$L30*$D30*0.5*(VLOOKUP($CU30-CV$103,Männer!$G$9:$J$102,4)+VLOOKUP($CU30-CV$103+1,Männer!$G$9:$J$102,4))*0.5*(VLOOKUP($CU30-CV$103,Männer!$AZ$9:$BD$102,5)+VLOOKUP($CU30-CV$103+1,Männer!$AZ$9:$BD$102,5)),RundDx)))</f>
        <v>2524200188</v>
      </c>
      <c r="CW30" s="25">
        <f>IF($CU30&gt;=RAF,"",IF($CU30-CW$103&lt;BeginnAlter,"",ROUND(v^($CU30+FaktorAlter)*$L30*$D30*0.5*(VLOOKUP($CU30-CW$103,Männer!$G$9:$J$102,4)+VLOOKUP($CU30-CW$103+1,Männer!$G$9:$J$102,4))*0.5*(VLOOKUP($CU30-CW$103,Männer!$AZ$9:$BD$102,5)+VLOOKUP($CU30-CW$103+1,Männer!$AZ$9:$BD$102,5)),RundDx)))</f>
        <v>2605561244</v>
      </c>
      <c r="CX30" s="25">
        <f>IF($CU30&gt;=RAF,"",IF($CU30-CX$103&lt;BeginnAlter,"",ROUND(v^($CU30+FaktorAlter)*$L30*$D30*0.5*(VLOOKUP($CU30-CX$103,Männer!$G$9:$J$102,4)+VLOOKUP($CU30-CX$103+1,Männer!$G$9:$J$102,4))*0.5*(VLOOKUP($CU30-CX$103,Männer!$AZ$9:$BD$102,5)+VLOOKUP($CU30-CX$103+1,Männer!$AZ$9:$BD$102,5)),RundDx)))</f>
        <v>2685521415</v>
      </c>
      <c r="CY30" s="25">
        <f>IF($CU30&gt;=RAF,"",IF($CU30-CY$103&lt;BeginnAlter,"",ROUND(v^($CU30+FaktorAlter)*$L30*$D30*0.5*(VLOOKUP($CU30-CY$103,Männer!$G$9:$J$102,4)+VLOOKUP($CU30-CY$103+1,Männer!$G$9:$J$102,4))*0.5*(VLOOKUP($CU30-CY$103,Männer!$AZ$9:$BD$102,5)+VLOOKUP($CU30-CY$103+1,Männer!$AZ$9:$BD$102,5)),RundDx)))</f>
        <v>2764089569</v>
      </c>
      <c r="CZ30" s="25">
        <f>IF($CU30&gt;=RAF,"",IF($CU30-CZ$103&lt;BeginnAlter,"",ROUND(v^($CU30+FaktorAlter)*$L30*$D30*0.5*(VLOOKUP($CU30-CZ$103,Männer!$G$9:$J$102,4)+VLOOKUP($CU30-CZ$103+1,Männer!$G$9:$J$102,4))*0.5*(VLOOKUP($CU30-CZ$103,Männer!$AZ$9:$BD$102,5)+VLOOKUP($CU30-CZ$103+1,Männer!$AZ$9:$BD$102,5)),RundDx)))</f>
        <v>2841387337</v>
      </c>
      <c r="DA30" s="25">
        <f>IF($CU30&gt;=RAF,"",IF($CU30-DA$103&lt;BeginnAlter,"",ROUND(v^($CU30+FaktorAlter)*$L30*$D30*0.5*(VLOOKUP($CU30-DA$103,Männer!$G$9:$J$102,4)+VLOOKUP($CU30-DA$103+1,Männer!$G$9:$J$102,4))*0.5*(VLOOKUP($CU30-DA$103,Männer!$AZ$9:$BD$102,5)+VLOOKUP($CU30-DA$103+1,Männer!$AZ$9:$BD$102,5)),RundDx)))</f>
        <v>2917364971</v>
      </c>
      <c r="DB30" s="25">
        <f>IF($CU30&gt;=RAF,"",IF($CU30-DB$103&lt;BeginnAlter,"",ROUND(v^($CU30+FaktorAlter)*$L30*$D30*0.5*(VLOOKUP($CU30-DB$103,Männer!$G$9:$J$102,4)+VLOOKUP($CU30-DB$103+1,Männer!$G$9:$J$102,4))*0.5*(VLOOKUP($CU30-DB$103,Männer!$AZ$9:$BD$102,5)+VLOOKUP($CU30-DB$103+1,Männer!$AZ$9:$BD$102,5)),RundDx)))</f>
        <v>2991941164</v>
      </c>
      <c r="DC30" s="25">
        <f>IF($CU30&gt;=RAF,"",IF($CU30-DC$103&lt;BeginnAlter,"",ROUND(v^($CU30+FaktorAlter)*$L30*$D30*0.5*(VLOOKUP($CU30-DC$103,Männer!$G$9:$J$102,4)+VLOOKUP($CU30-DC$103+1,Männer!$G$9:$J$102,4))*0.5*(VLOOKUP($CU30-DC$103,Männer!$AZ$9:$BD$102,5)+VLOOKUP($CU30-DC$103+1,Männer!$AZ$9:$BD$102,5)),RundDx)))</f>
        <v>3065208053</v>
      </c>
      <c r="DD30" s="25">
        <f>IF($CU30&gt;=RAF,"",IF($CU30-DD$103&lt;BeginnAlter,"",ROUND(v^($CU30+FaktorAlter)*$L30*$D30*0.5*(VLOOKUP($CU30-DD$103,Männer!$G$9:$J$102,4)+VLOOKUP($CU30-DD$103+1,Männer!$G$9:$J$102,4))*0.5*(VLOOKUP($CU30-DD$103,Männer!$AZ$9:$BD$102,5)+VLOOKUP($CU30-DD$103+1,Männer!$AZ$9:$BD$102,5)),RundDx)))</f>
        <v>3137162283</v>
      </c>
      <c r="DE30" s="25">
        <f>IF($CU30&gt;=RAF,"",IF($CU30-DE$103&lt;BeginnAlter,"",ROUND(v^($CU30+FaktorAlter)*$L30*$D30*0.5*(VLOOKUP($CU30-DE$103,Männer!$G$9:$J$102,4)+VLOOKUP($CU30-DE$103+1,Männer!$G$9:$J$102,4))*0.5*(VLOOKUP($CU30-DE$103,Männer!$AZ$9:$BD$102,5)+VLOOKUP($CU30-DE$103+1,Männer!$AZ$9:$BD$102,5)),RundDx)))</f>
        <v>3207804144</v>
      </c>
      <c r="DF30" s="25">
        <f>IF($CU30&gt;=RAF,"",IF($CU30-DF$103&lt;BeginnAlter,"",ROUND(v^($CU30+FaktorAlter)*$L30*$D30*0.5*(VLOOKUP($CU30-DF$103,Männer!$G$9:$J$102,4)+VLOOKUP($CU30-DF$103+1,Männer!$G$9:$J$102,4))*0.5*(VLOOKUP($CU30-DF$103,Männer!$AZ$9:$BD$102,5)+VLOOKUP($CU30-DF$103+1,Männer!$AZ$9:$BD$102,5)),RundDx)))</f>
        <v>3277103944</v>
      </c>
      <c r="DG30" s="25">
        <f>IF($CU30&gt;=RAF,"",IF($CU30-DG$103&lt;BeginnAlter,"",ROUND(v^($CU30+FaktorAlter)*$L30*$D30*0.5*(VLOOKUP($CU30-DG$103,Männer!$G$9:$J$102,4)+VLOOKUP($CU30-DG$103+1,Männer!$G$9:$J$102,4))*0.5*(VLOOKUP($CU30-DG$103,Männer!$AZ$9:$BD$102,5)+VLOOKUP($CU30-DG$103+1,Männer!$AZ$9:$BD$102,5)),RundDx)))</f>
        <v>3345137825</v>
      </c>
      <c r="DH30" s="25">
        <f>IF($CU30&gt;=RAF,"",IF($CU30-DH$103&lt;BeginnAlter,"",ROUND(v^($CU30+FaktorAlter)*$L30*$D30*0.5*(VLOOKUP($CU30-DH$103,Männer!$G$9:$J$102,4)+VLOOKUP($CU30-DH$103+1,Männer!$G$9:$J$102,4))*0.5*(VLOOKUP($CU30-DH$103,Männer!$AZ$9:$BD$102,5)+VLOOKUP($CU30-DH$103+1,Männer!$AZ$9:$BD$102,5)),RundDx)))</f>
        <v>3411968340</v>
      </c>
      <c r="DI30" s="25">
        <f>IF($CU30&gt;=RAF,"",IF($CU30-DI$103&lt;BeginnAlter,"",ROUND(v^($CU30+FaktorAlter)*$L30*$D30*0.5*(VLOOKUP($CU30-DI$103,Männer!$G$9:$J$102,4)+VLOOKUP($CU30-DI$103+1,Männer!$G$9:$J$102,4))*0.5*(VLOOKUP($CU30-DI$103,Männer!$AZ$9:$BD$102,5)+VLOOKUP($CU30-DI$103+1,Männer!$AZ$9:$BD$102,5)),RundDx)))</f>
        <v>3477482912</v>
      </c>
      <c r="DJ30" s="25">
        <f>IF($CU30&gt;=RAF,"",IF($CU30-DJ$103&lt;BeginnAlter,"",ROUND(v^($CU30+FaktorAlter)*$L30*$D30*0.5*(VLOOKUP($CU30-DJ$103,Männer!$G$9:$J$102,4)+VLOOKUP($CU30-DJ$103+1,Männer!$G$9:$J$102,4))*0.5*(VLOOKUP($CU30-DJ$103,Männer!$AZ$9:$BD$102,5)+VLOOKUP($CU30-DJ$103+1,Männer!$AZ$9:$BD$102,5)),RundDx)))</f>
        <v>3541675166</v>
      </c>
      <c r="DK30" s="25">
        <f>IF($CU30&gt;=RAF,"",IF($CU30-DK$103&lt;BeginnAlter,"",ROUND(v^($CU30+FaktorAlter)*$L30*$D30*0.5*(VLOOKUP($CU30-DK$103,Männer!$G$9:$J$102,4)+VLOOKUP($CU30-DK$103+1,Männer!$G$9:$J$102,4))*0.5*(VLOOKUP($CU30-DK$103,Männer!$AZ$9:$BD$102,5)+VLOOKUP($CU30-DK$103+1,Männer!$AZ$9:$BD$102,5)),RundDx)))</f>
        <v>3604736083</v>
      </c>
      <c r="DL30" s="25">
        <f>IF($CU30&gt;=RAF,"",IF($CU30-DL$103&lt;BeginnAlter,"",ROUND(v^($CU30+FaktorAlter)*$L30*$D30*0.5*(VLOOKUP($CU30-DL$103,Männer!$G$9:$J$102,4)+VLOOKUP($CU30-DL$103+1,Männer!$G$9:$J$102,4))*0.5*(VLOOKUP($CU30-DL$103,Männer!$AZ$9:$BD$102,5)+VLOOKUP($CU30-DL$103+1,Männer!$AZ$9:$BD$102,5)),RundDx)))</f>
        <v>3666591600</v>
      </c>
      <c r="DM30" s="25">
        <f>IF($CU30&gt;=RAF,"",IF($CU30-DM$103&lt;BeginnAlter,"",ROUND(v^($CU30+FaktorAlter)*$L30*$D30*0.5*(VLOOKUP($CU30-DM$103,Männer!$G$9:$J$102,4)+VLOOKUP($CU30-DM$103+1,Männer!$G$9:$J$102,4))*0.5*(VLOOKUP($CU30-DM$103,Männer!$AZ$9:$BD$102,5)+VLOOKUP($CU30-DM$103+1,Männer!$AZ$9:$BD$102,5)),RundDx)))</f>
        <v>3727187942</v>
      </c>
      <c r="DN30" s="25">
        <f>IF($CU30&gt;=RAF,"",IF($CU30-DN$103&lt;BeginnAlter,"",ROUND(v^($CU30+FaktorAlter)*$L30*$D30*0.5*(VLOOKUP($CU30-DN$103,Männer!$G$9:$J$102,4)+VLOOKUP($CU30-DN$103+1,Männer!$G$9:$J$102,4))*0.5*(VLOOKUP($CU30-DN$103,Männer!$AZ$9:$BD$102,5)+VLOOKUP($CU30-DN$103+1,Männer!$AZ$9:$BD$102,5)),RundDx)))</f>
        <v>3786649997</v>
      </c>
      <c r="DO30" s="25">
        <f>IF($CU30&gt;=RAF,"",IF($CU30-DO$103&lt;BeginnAlter,"",ROUND(v^($CU30+FaktorAlter)*$L30*$D30*0.5*(VLOOKUP($CU30-DO$103,Männer!$G$9:$J$102,4)+VLOOKUP($CU30-DO$103+1,Männer!$G$9:$J$102,4))*0.5*(VLOOKUP($CU30-DO$103,Männer!$AZ$9:$BD$102,5)+VLOOKUP($CU30-DO$103+1,Männer!$AZ$9:$BD$102,5)),RundDx)))</f>
        <v>3844889106</v>
      </c>
      <c r="DP30" s="25">
        <f>IF($CU30&gt;=RAF,"",IF($CU30-DP$103&lt;BeginnAlter,"",ROUND(v^($CU30+FaktorAlter)*$L30*$D30*0.5*(VLOOKUP($CU30-DP$103,Männer!$G$9:$J$102,4)+VLOOKUP($CU30-DP$103+1,Männer!$G$9:$J$102,4))*0.5*(VLOOKUP($CU30-DP$103,Männer!$AZ$9:$BD$102,5)+VLOOKUP($CU30-DP$103+1,Männer!$AZ$9:$BD$102,5)),RundDx)))</f>
        <v>3901947569</v>
      </c>
      <c r="DQ30" s="25">
        <f>IF($CU30&gt;=RAF,"",IF($CU30-DQ$103&lt;BeginnAlter,"",ROUND(v^($CU30+FaktorAlter)*$L30*$D30*0.5*(VLOOKUP($CU30-DQ$103,Männer!$G$9:$J$102,4)+VLOOKUP($CU30-DQ$103+1,Männer!$G$9:$J$102,4))*0.5*(VLOOKUP($CU30-DQ$103,Männer!$AZ$9:$BD$102,5)+VLOOKUP($CU30-DQ$103+1,Männer!$AZ$9:$BD$102,5)),RundDx)))</f>
        <v>3957871408</v>
      </c>
      <c r="DR30" s="25">
        <f>IF($CU30&gt;=RAF,"",IF($CU30-DR$103&lt;BeginnAlter,"",ROUND(v^($CU30+FaktorAlter)*$L30*$D30*0.5*(VLOOKUP($CU30-DR$103,Männer!$G$9:$J$102,4)+VLOOKUP($CU30-DR$103+1,Männer!$G$9:$J$102,4))*0.5*(VLOOKUP($CU30-DR$103,Männer!$AZ$9:$BD$102,5)+VLOOKUP($CU30-DR$103+1,Männer!$AZ$9:$BD$102,5)),RundDx)))</f>
        <v>4012689983</v>
      </c>
      <c r="DS30" s="25">
        <f>IF($CU30&gt;=RAF,"",IF($CU30-DS$103&lt;BeginnAlter,"",ROUND(v^($CU30+FaktorAlter)*$L30*$D30*0.5*(VLOOKUP($CU30-DS$103,Männer!$G$9:$J$102,4)+VLOOKUP($CU30-DS$103+1,Männer!$G$9:$J$102,4))*0.5*(VLOOKUP($CU30-DS$103,Männer!$AZ$9:$BD$102,5)+VLOOKUP($CU30-DS$103+1,Männer!$AZ$9:$BD$102,5)),RundDx)))</f>
        <v>4066414551</v>
      </c>
      <c r="DT30" s="25">
        <f>IF($CU30&gt;=RAF,"",IF($CU30-DT$103&lt;BeginnAlter,"",ROUND(v^($CU30+FaktorAlter)*$L30*$D30*0.5*(VLOOKUP($CU30-DT$103,Männer!$G$9:$J$102,4)+VLOOKUP($CU30-DT$103+1,Männer!$G$9:$J$102,4))*0.5*(VLOOKUP($CU30-DT$103,Männer!$AZ$9:$BD$102,5)+VLOOKUP($CU30-DT$103+1,Männer!$AZ$9:$BD$102,5)),RundDx)))</f>
        <v>4119027343</v>
      </c>
      <c r="DU30" s="25">
        <f>IF($CU30&gt;=RAF,"",IF($CU30-DU$103&lt;BeginnAlter,"",ROUND(v^($CU30+FaktorAlter)*$L30*$D30*0.5*(VLOOKUP($CU30-DU$103,Männer!$G$9:$J$102,4)+VLOOKUP($CU30-DU$103+1,Männer!$G$9:$J$102,4))*0.5*(VLOOKUP($CU30-DU$103,Männer!$AZ$9:$BD$102,5)+VLOOKUP($CU30-DU$103+1,Männer!$AZ$9:$BD$102,5)),RundDx)))</f>
        <v>4170585455</v>
      </c>
      <c r="DV30" s="25">
        <f>IF($CU30&gt;=RAF,"",IF($CU30-DV$103&lt;BeginnAlter,"",ROUND(v^($CU30+FaktorAlter)*$L30*$D30*0.5*(VLOOKUP($CU30-DV$103,Männer!$G$9:$J$102,4)+VLOOKUP($CU30-DV$103+1,Männer!$G$9:$J$102,4))*0.5*(VLOOKUP($CU30-DV$103,Männer!$AZ$9:$BD$102,5)+VLOOKUP($CU30-DV$103+1,Männer!$AZ$9:$BD$102,5)),RundDx)))</f>
        <v>4221055915</v>
      </c>
      <c r="DW30" s="25">
        <f>IF($CU30&gt;=RAF,"",IF($CU30-DW$103&lt;BeginnAlter,"",ROUND(v^($CU30+FaktorAlter)*$L30*$D30*0.5*(VLOOKUP($CU30-DW$103,Männer!$G$9:$J$102,4)+VLOOKUP($CU30-DW$103+1,Männer!$G$9:$J$102,4))*0.5*(VLOOKUP($CU30-DW$103,Männer!$AZ$9:$BD$102,5)+VLOOKUP($CU30-DW$103+1,Männer!$AZ$9:$BD$102,5)),RundDx)))</f>
        <v>4270572849</v>
      </c>
      <c r="DX30" s="25">
        <f>IF($CU30&gt;=RAF,"",IF($CU30-DX$103&lt;BeginnAlter,"",ROUND(v^($CU30+FaktorAlter)*$L30*$D30*0.5*(VLOOKUP($CU30-DX$103,Männer!$G$9:$J$102,4)+VLOOKUP($CU30-DX$103+1,Männer!$G$9:$J$102,4))*0.5*(VLOOKUP($CU30-DX$103,Männer!$AZ$9:$BD$102,5)+VLOOKUP($CU30-DX$103+1,Männer!$AZ$9:$BD$102,5)),RundDx)))</f>
        <v>4319114561</v>
      </c>
      <c r="DY30" s="25">
        <f>IF($CU30&gt;=RAF,"",IF($CU30-DY$103&lt;BeginnAlter,"",ROUND(v^($CU30+FaktorAlter)*$L30*$D30*0.5*(VLOOKUP($CU30-DY$103,Männer!$G$9:$J$102,4)+VLOOKUP($CU30-DY$103+1,Männer!$G$9:$J$102,4))*0.5*(VLOOKUP($CU30-DY$103,Männer!$AZ$9:$BD$102,5)+VLOOKUP($CU30-DY$103+1,Männer!$AZ$9:$BD$102,5)),RundDx)))</f>
        <v>4366558139</v>
      </c>
      <c r="DZ30" s="25">
        <f>IF($CU30&gt;=RAF,"",IF($CU30-DZ$103&lt;BeginnAlter,"",ROUND(v^($CU30+FaktorAlter)*$L30*$D30*0.5*(VLOOKUP($CU30-DZ$103,Männer!$G$9:$J$102,4)+VLOOKUP($CU30-DZ$103+1,Männer!$G$9:$J$102,4))*0.5*(VLOOKUP($CU30-DZ$103,Männer!$AZ$9:$BD$102,5)+VLOOKUP($CU30-DZ$103+1,Männer!$AZ$9:$BD$102,5)),RundDx)))</f>
        <v>4413119346</v>
      </c>
      <c r="EA30" s="43">
        <f>IF($CU30&gt;=RAF,"",IF($CU30-EA$103&lt;BeginnAlter,"",ROUND((SUM(CV30:CV$56)+SUM(FN$9:FN$56))/VLOOKUP($CU30,$AH$9:$AI$102,2)/VLOOKUP($CU30-EA$103,Männer!$G$9:$J$102,4),Rundäx)))</f>
        <v>4.12</v>
      </c>
      <c r="EB30" s="43">
        <f>IF($CU30&gt;=RAF,"",IF($CU30-EB$103&lt;BeginnAlter,"",ROUND((SUM(CW30:CW$56)+SUM(FO$9:FO$56))/VLOOKUP($CU30,$AH$9:$AI$102,2)/VLOOKUP($CU30-EB$103,Männer!$G$9:$J$102,4),Rundäx)))</f>
        <v>4.306</v>
      </c>
      <c r="EC30" s="43">
        <f>IF($CU30&gt;=RAF,"",IF($CU30-EC$103&lt;BeginnAlter,"",ROUND((SUM(CX30:CX$56)+SUM(FP$9:FP$56))/VLOOKUP($CU30,$AH$9:$AI$102,2)/VLOOKUP($CU30-EC$103,Männer!$G$9:$J$102,4),Rundäx)))</f>
        <v>4.4960000000000004</v>
      </c>
      <c r="ED30" s="43">
        <f>IF($CU30&gt;=RAF,"",IF($CU30-ED$103&lt;BeginnAlter,"",ROUND((SUM(CY30:CY$56)+SUM(FQ$9:FQ$56))/VLOOKUP($CU30,$AH$9:$AI$102,2)/VLOOKUP($CU30-ED$103,Männer!$G$9:$J$102,4),Rundäx)))</f>
        <v>4.6879999999999997</v>
      </c>
      <c r="EE30" s="43">
        <f>IF($CU30&gt;=RAF,"",IF($CU30-EE$103&lt;BeginnAlter,"",ROUND((SUM(CZ30:CZ$56)+SUM(FR$9:FR$56))/VLOOKUP($CU30,$AH$9:$AI$102,2)/VLOOKUP($CU30-EE$103,Männer!$G$9:$J$102,4),Rundäx)))</f>
        <v>4.883</v>
      </c>
      <c r="EF30" s="43">
        <f>IF($CU30&gt;=RAF,"",IF($CU30-EF$103&lt;BeginnAlter,"",ROUND((SUM(DA30:DA$56)+SUM(FS$9:FS$56))/VLOOKUP($CU30,$AH$9:$AI$102,2)/VLOOKUP($CU30-EF$103,Männer!$G$9:$J$102,4),Rundäx)))</f>
        <v>5.0810000000000004</v>
      </c>
      <c r="EG30" s="43">
        <f>IF($CU30&gt;=RAF,"",IF($CU30-EG$103&lt;BeginnAlter,"",ROUND((SUM(DB30:DB$56)+SUM(FT$9:FT$56))/VLOOKUP($CU30,$AH$9:$AI$102,2)/VLOOKUP($CU30-EG$103,Männer!$G$9:$J$102,4),Rundäx)))</f>
        <v>5.2809999999999997</v>
      </c>
      <c r="EH30" s="43">
        <f>IF($CU30&gt;=RAF,"",IF($CU30-EH$103&lt;BeginnAlter,"",ROUND((SUM(DC30:DC$56)+SUM(FU$9:FU$56))/VLOOKUP($CU30,$AH$9:$AI$102,2)/VLOOKUP($CU30-EH$103,Männer!$G$9:$J$102,4),Rundäx)))</f>
        <v>5.4829999999999997</v>
      </c>
      <c r="EI30" s="89"/>
      <c r="EJ30" s="35">
        <f t="shared" si="61"/>
        <v>38</v>
      </c>
      <c r="EK30" s="43">
        <f>IF($CU30&gt;=RAF,"",IF($CU30-EK$103&lt;BeginnAlter,"",ROUND((SUM(DD30:DD$56)+SUM(FV$9:FV$56))/VLOOKUP($CU30,$AH$9:$AI$102,2)/VLOOKUP($CU30-EK$103,Männer!$G$9:$J$102,4),Rundäx)))</f>
        <v>5.6879999999999997</v>
      </c>
      <c r="EL30" s="43">
        <f>IF($CU30&gt;=RAF,"",IF($CU30-EL$103&lt;BeginnAlter,"",ROUND((SUM(DE30:DE$56)+SUM(FW$9:FW$56))/VLOOKUP($CU30,$AH$9:$AI$102,2)/VLOOKUP($CU30-EL$103,Männer!$G$9:$J$102,4),Rundäx)))</f>
        <v>5.8949999999999996</v>
      </c>
      <c r="EM30" s="43">
        <f>IF($CU30&gt;=RAF,"",IF($CU30-EM$103&lt;BeginnAlter,"",ROUND((SUM(DF30:DF$56)+SUM(FX$9:FX$56))/VLOOKUP($CU30,$AH$9:$AI$102,2)/VLOOKUP($CU30-EM$103,Männer!$G$9:$J$102,4),Rundäx)))</f>
        <v>6.1050000000000004</v>
      </c>
      <c r="EN30" s="43">
        <f>IF($CU30&gt;=RAF,"",IF($CU30-EN$103&lt;BeginnAlter,"",ROUND((SUM(DG30:DG$56)+SUM(FY$9:FY$56))/VLOOKUP($CU30,$AH$9:$AI$102,2)/VLOOKUP($CU30-EN$103,Männer!$G$9:$J$102,4),Rundäx)))</f>
        <v>6.3170000000000002</v>
      </c>
      <c r="EO30" s="43">
        <f>IF($CU30&gt;=RAF,"",IF($CU30-EO$103&lt;BeginnAlter,"",ROUND((SUM(DH30:DH$56)+SUM(FZ$9:FZ$56))/VLOOKUP($CU30,$AH$9:$AI$102,2)/VLOOKUP($CU30-EO$103,Männer!$G$9:$J$102,4),Rundäx)))</f>
        <v>6.532</v>
      </c>
      <c r="EP30" s="43">
        <f>IF($CU30&gt;=RAF,"",IF($CU30-EP$103&lt;BeginnAlter,"",ROUND((SUM(DI30:DI$56)+SUM(GA$9:GA$56))/VLOOKUP($CU30,$AH$9:$AI$102,2)/VLOOKUP($CU30-EP$103,Männer!$G$9:$J$102,4),Rundäx)))</f>
        <v>6.7489999999999997</v>
      </c>
      <c r="EQ30" s="43">
        <f>IF($CU30&gt;=RAF,"",IF($CU30-EQ$103&lt;BeginnAlter,"",ROUND((SUM(DJ30:DJ$56)+SUM(GB$9:GB$56))/VLOOKUP($CU30,$AH$9:$AI$102,2)/VLOOKUP($CU30-EQ$103,Männer!$G$9:$J$102,4),Rundäx)))</f>
        <v>6.9690000000000003</v>
      </c>
      <c r="ER30" s="43">
        <f>IF($CU30&gt;=RAF,"",IF($CU30-ER$103&lt;BeginnAlter,"",ROUND((SUM(DK30:DK$56)+SUM(GC$9:GC$56))/VLOOKUP($CU30,$AH$9:$AI$102,2)/VLOOKUP($CU30-ER$103,Männer!$G$9:$J$102,4),Rundäx)))</f>
        <v>7.1909999999999998</v>
      </c>
      <c r="ES30" s="89"/>
      <c r="ET30" s="35">
        <f t="shared" si="62"/>
        <v>38</v>
      </c>
      <c r="EU30" s="43">
        <f>IF($CU30&gt;=RAF,"",IF($CU30-EU$103&lt;BeginnAlter,"",ROUND((SUM(DL30:DL$56)+SUM(GD$9:GD$56))/VLOOKUP($CU30,$AH$9:$AI$102,2)/VLOOKUP($CU30-EU$103,Männer!$G$9:$J$102,4),Rundäx)))</f>
        <v>7.415</v>
      </c>
      <c r="EV30" s="43">
        <f>IF($CU30&gt;=RAF,"",IF($CU30-EV$103&lt;BeginnAlter,"",ROUND((SUM(DM30:DM$56)+SUM(GE$9:GE$56))/VLOOKUP($CU30,$AH$9:$AI$102,2)/VLOOKUP($CU30-EV$103,Männer!$G$9:$J$102,4),Rundäx)))</f>
        <v>7.6420000000000003</v>
      </c>
      <c r="EW30" s="43">
        <f>IF($CU30&gt;=RAF,"",IF($CU30-EW$103&lt;BeginnAlter,"",ROUND((SUM(DN30:DN$56)+SUM(GF$9:GF$56))/VLOOKUP($CU30,$AH$9:$AI$102,2)/VLOOKUP($CU30-EW$103,Männer!$G$9:$J$102,4),Rundäx)))</f>
        <v>7.87</v>
      </c>
      <c r="EX30" s="43">
        <f>IF($CU30&gt;=RAF,"",IF($CU30-EX$103&lt;BeginnAlter,"",ROUND((SUM(DO30:DO$56)+SUM(GG$9:GG$56))/VLOOKUP($CU30,$AH$9:$AI$102,2)/VLOOKUP($CU30-EX$103,Männer!$G$9:$J$102,4),Rundäx)))</f>
        <v>8.1010000000000009</v>
      </c>
      <c r="EY30" s="43">
        <f>IF($CU30&gt;=RAF,"",IF($CU30-EY$103&lt;BeginnAlter,"",ROUND((SUM(DP30:DP$56)+SUM(GH$9:GH$56))/VLOOKUP($CU30,$AH$9:$AI$102,2)/VLOOKUP($CU30-EY$103,Männer!$G$9:$J$102,4),Rundäx)))</f>
        <v>8.3320000000000007</v>
      </c>
      <c r="EZ30" s="43">
        <f>IF($CU30&gt;=RAF,"",IF($CU30-EZ$103&lt;BeginnAlter,"",ROUND((SUM(DQ30:DQ$56)+SUM(GI$9:GI$56))/VLOOKUP($CU30,$AH$9:$AI$102,2)/VLOOKUP($CU30-EZ$103,Männer!$G$9:$J$102,4),Rundäx)))</f>
        <v>8.5649999999999995</v>
      </c>
      <c r="FA30" s="43">
        <f>IF($CU30&gt;=RAF,"",IF($CU30-FA$103&lt;BeginnAlter,"",ROUND((SUM(DR30:DR$56)+SUM(GJ$9:GJ$56))/VLOOKUP($CU30,$AH$9:$AI$102,2)/VLOOKUP($CU30-FA$103,Männer!$G$9:$J$102,4),Rundäx)))</f>
        <v>8.798</v>
      </c>
      <c r="FB30" s="43">
        <f>IF($CU30&gt;=RAF,"",IF($CU30-FB$103&lt;BeginnAlter,"",ROUND((SUM(DS30:DS$56)+SUM(GK$9:GK$56))/VLOOKUP($CU30,$AH$9:$AI$102,2)/VLOOKUP($CU30-FB$103,Männer!$G$9:$J$102,4),Rundäx)))</f>
        <v>9.032</v>
      </c>
      <c r="FC30" s="89"/>
      <c r="FD30" s="35">
        <f t="shared" si="63"/>
        <v>38</v>
      </c>
      <c r="FE30" s="43">
        <f>IF($CU30&gt;=RAF,"",IF($CU30-FE$103&lt;BeginnAlter,"",ROUND((SUM(DT30:DT$56)+SUM(GL$9:GL$56))/VLOOKUP($CU30,$AH$9:$AI$102,2)/VLOOKUP($CU30-FE$103,Männer!$G$9:$J$102,4),Rundäx)))</f>
        <v>9.2650000000000006</v>
      </c>
      <c r="FF30" s="43">
        <f>IF($CU30&gt;=RAF,"",IF($CU30-FF$103&lt;BeginnAlter,"",ROUND((SUM(DU30:DU$56)+SUM(GM$9:GM$56))/VLOOKUP($CU30,$AH$9:$AI$102,2)/VLOOKUP($CU30-FF$103,Männer!$G$9:$J$102,4),Rundäx)))</f>
        <v>9.4979999999999993</v>
      </c>
      <c r="FG30" s="43">
        <f>IF($CU30&gt;=RAF,"",IF($CU30-FG$103&lt;BeginnAlter,"",ROUND((SUM(DV30:DV$56)+SUM(GN$9:GN$56))/VLOOKUP($CU30,$AH$9:$AI$102,2)/VLOOKUP($CU30-FG$103,Männer!$G$9:$J$102,4),Rundäx)))</f>
        <v>9.73</v>
      </c>
      <c r="FH30" s="43">
        <f>IF($CU30&gt;=RAF,"",IF($CU30-FH$103&lt;BeginnAlter,"",ROUND((SUM(DW30:DW$56)+SUM(GO$9:GO$56))/VLOOKUP($CU30,$AH$9:$AI$102,2)/VLOOKUP($CU30-FH$103,Männer!$G$9:$J$102,4),Rundäx)))</f>
        <v>9.9610000000000003</v>
      </c>
      <c r="FI30" s="43">
        <f>IF($CU30&gt;=RAF,"",IF($CU30-FI$103&lt;BeginnAlter,"",ROUND((SUM(DX30:DX$56)+SUM(GP$9:GP$56))/VLOOKUP($CU30,$AH$9:$AI$102,2)/VLOOKUP($CU30-FI$103,Männer!$G$9:$J$102,4),Rundäx)))</f>
        <v>10.191000000000001</v>
      </c>
      <c r="FJ30" s="43">
        <f>IF($CU30&gt;=RAF,"",IF($CU30-FJ$103&lt;BeginnAlter,"",ROUND((SUM(DY30:DY$56)+SUM(GQ$9:GQ$56))/VLOOKUP($CU30,$AH$9:$AI$102,2)/VLOOKUP($CU30-FJ$103,Männer!$G$9:$J$102,4),Rundäx)))</f>
        <v>10.419</v>
      </c>
      <c r="FK30" s="43">
        <f>IF($CU30&gt;=RAF,"",IF($CU30-FK$103&lt;BeginnAlter,"",ROUND((SUM(DZ30:DZ$56)+SUM(GR$9:GR$56))/VLOOKUP($CU30,$AH$9:$AI$102,2)/VLOOKUP($CU30-FK$103,Männer!$G$9:$J$102,4),Rundäx)))</f>
        <v>10.646000000000001</v>
      </c>
      <c r="FL30" s="89"/>
      <c r="FM30" s="35">
        <f t="shared" si="64"/>
        <v>85</v>
      </c>
      <c r="FN30" s="25">
        <f>ROUND(v^($FM30+FaktorAlter)*VLOOKUP($FM30,$G$9:$J$102,4)*VLOOKUP($FM30,$A$9:$E$102,5)*0.5*(VLOOKUP($FM30-FN$103,Männer!$G$9:$J$102,4)+VLOOKUP($FM30-FN$103+1,Männer!$G$9:$J$102,4))*0.5*(VLOOKUP($FM30-FN$103,Männer!$AZ$9:$BD$102,5)+VLOOKUP($FM30-FN$103+1,Männer!$AZ$9:$BD$102,5)),RundDx)</f>
        <v>120236</v>
      </c>
      <c r="FO30" s="25">
        <f>ROUND(v^($FM30+FaktorAlter)*VLOOKUP($FM30,$G$9:$J$102,4)*VLOOKUP($FM30,$A$9:$E$102,5)*0.5*(VLOOKUP($FM30-FO$103,Männer!$G$9:$J$102,4)+VLOOKUP($FM30-FO$103+1,Männer!$G$9:$J$102,4))*0.5*(VLOOKUP($FM30-FO$103,Männer!$AZ$9:$BD$102,5)+VLOOKUP($FM30-FO$103+1,Männer!$AZ$9:$BD$102,5)),RundDx)</f>
        <v>317090</v>
      </c>
      <c r="FP30" s="25">
        <f>ROUND(v^($FM30+FaktorAlter)*VLOOKUP($FM30,$G$9:$J$102,4)*VLOOKUP($FM30,$A$9:$E$102,5)*0.5*(VLOOKUP($FM30-FP$103,Männer!$G$9:$J$102,4)+VLOOKUP($FM30-FP$103+1,Männer!$G$9:$J$102,4))*0.5*(VLOOKUP($FM30-FP$103,Männer!$AZ$9:$BD$102,5)+VLOOKUP($FM30-FP$103+1,Männer!$AZ$9:$BD$102,5)),RundDx)</f>
        <v>713317</v>
      </c>
      <c r="FQ30" s="25">
        <f>ROUND(v^($FM30+FaktorAlter)*VLOOKUP($FM30,$G$9:$J$102,4)*VLOOKUP($FM30,$A$9:$E$102,5)*0.5*(VLOOKUP($FM30-FQ$103,Männer!$G$9:$J$102,4)+VLOOKUP($FM30-FQ$103+1,Männer!$G$9:$J$102,4))*0.5*(VLOOKUP($FM30-FQ$103,Männer!$AZ$9:$BD$102,5)+VLOOKUP($FM30-FQ$103+1,Männer!$AZ$9:$BD$102,5)),RundDx)</f>
        <v>1452736</v>
      </c>
      <c r="FR30" s="25">
        <f>ROUND(v^($FM30+FaktorAlter)*VLOOKUP($FM30,$G$9:$J$102,4)*VLOOKUP($FM30,$A$9:$E$102,5)*0.5*(VLOOKUP($FM30-FR$103,Männer!$G$9:$J$102,4)+VLOOKUP($FM30-FR$103+1,Männer!$G$9:$J$102,4))*0.5*(VLOOKUP($FM30-FR$103,Männer!$AZ$9:$BD$102,5)+VLOOKUP($FM30-FR$103+1,Männer!$AZ$9:$BD$102,5)),RundDx)</f>
        <v>2709319</v>
      </c>
      <c r="FS30" s="25">
        <f>ROUND(v^($FM30+FaktorAlter)*VLOOKUP($FM30,$G$9:$J$102,4)*VLOOKUP($FM30,$A$9:$E$102,5)*0.5*(VLOOKUP($FM30-FS$103,Männer!$G$9:$J$102,4)+VLOOKUP($FM30-FS$103+1,Männer!$G$9:$J$102,4))*0.5*(VLOOKUP($FM30-FS$103,Männer!$AZ$9:$BD$102,5)+VLOOKUP($FM30-FS$103+1,Männer!$AZ$9:$BD$102,5)),RundDx)</f>
        <v>4689421</v>
      </c>
      <c r="FT30" s="25">
        <f>ROUND(v^($FM30+FaktorAlter)*VLOOKUP($FM30,$G$9:$J$102,4)*VLOOKUP($FM30,$A$9:$E$102,5)*0.5*(VLOOKUP($FM30-FT$103,Männer!$G$9:$J$102,4)+VLOOKUP($FM30-FT$103+1,Männer!$G$9:$J$102,4))*0.5*(VLOOKUP($FM30-FT$103,Männer!$AZ$9:$BD$102,5)+VLOOKUP($FM30-FT$103+1,Männer!$AZ$9:$BD$102,5)),RundDx)</f>
        <v>7621935</v>
      </c>
      <c r="FU30" s="25">
        <f>ROUND(v^($FM30+FaktorAlter)*VLOOKUP($FM30,$G$9:$J$102,4)*VLOOKUP($FM30,$A$9:$E$102,5)*0.5*(VLOOKUP($FM30-FU$103,Männer!$G$9:$J$102,4)+VLOOKUP($FM30-FU$103+1,Männer!$G$9:$J$102,4))*0.5*(VLOOKUP($FM30-FU$103,Männer!$AZ$9:$BD$102,5)+VLOOKUP($FM30-FU$103+1,Männer!$AZ$9:$BD$102,5)),RundDx)</f>
        <v>11729349</v>
      </c>
      <c r="FV30" s="25">
        <f>ROUND(v^($FM30+FaktorAlter)*VLOOKUP($FM30,$G$9:$J$102,4)*VLOOKUP($FM30,$A$9:$E$102,5)*0.5*(VLOOKUP($FM30-FV$103,Männer!$G$9:$J$102,4)+VLOOKUP($FM30-FV$103+1,Männer!$G$9:$J$102,4))*0.5*(VLOOKUP($FM30-FV$103,Männer!$AZ$9:$BD$102,5)+VLOOKUP($FM30-FV$103+1,Männer!$AZ$9:$BD$102,5)),RundDx)</f>
        <v>17246189</v>
      </c>
      <c r="FW30" s="25">
        <f>ROUND(v^($FM30+FaktorAlter)*VLOOKUP($FM30,$G$9:$J$102,4)*VLOOKUP($FM30,$A$9:$E$102,5)*0.5*(VLOOKUP($FM30-FW$103,Männer!$G$9:$J$102,4)+VLOOKUP($FM30-FW$103+1,Männer!$G$9:$J$102,4))*0.5*(VLOOKUP($FM30-FW$103,Männer!$AZ$9:$BD$102,5)+VLOOKUP($FM30-FW$103+1,Männer!$AZ$9:$BD$102,5)),RundDx)</f>
        <v>24385710</v>
      </c>
      <c r="FX30" s="25">
        <f>ROUND(v^($FM30+FaktorAlter)*VLOOKUP($FM30,$G$9:$J$102,4)*VLOOKUP($FM30,$A$9:$E$102,5)*0.5*(VLOOKUP($FM30-FX$103,Männer!$G$9:$J$102,4)+VLOOKUP($FM30-FX$103+1,Männer!$G$9:$J$102,4))*0.5*(VLOOKUP($FM30-FX$103,Männer!$AZ$9:$BD$102,5)+VLOOKUP($FM30-FX$103+1,Männer!$AZ$9:$BD$102,5)),RundDx)</f>
        <v>33304372</v>
      </c>
      <c r="FY30" s="25">
        <f>ROUND(v^($FM30+FaktorAlter)*VLOOKUP($FM30,$G$9:$J$102,4)*VLOOKUP($FM30,$A$9:$E$102,5)*0.5*(VLOOKUP($FM30-FY$103,Männer!$G$9:$J$102,4)+VLOOKUP($FM30-FY$103+1,Männer!$G$9:$J$102,4))*0.5*(VLOOKUP($FM30-FY$103,Männer!$AZ$9:$BD$102,5)+VLOOKUP($FM30-FY$103+1,Männer!$AZ$9:$BD$102,5)),RundDx)</f>
        <v>44122833</v>
      </c>
      <c r="FZ30" s="25">
        <f>ROUND(v^($FM30+FaktorAlter)*VLOOKUP($FM30,$G$9:$J$102,4)*VLOOKUP($FM30,$A$9:$E$102,5)*0.5*(VLOOKUP($FM30-FZ$103,Männer!$G$9:$J$102,4)+VLOOKUP($FM30-FZ$103+1,Männer!$G$9:$J$102,4))*0.5*(VLOOKUP($FM30-FZ$103,Männer!$AZ$9:$BD$102,5)+VLOOKUP($FM30-FZ$103+1,Männer!$AZ$9:$BD$102,5)),RundDx)</f>
        <v>56903352</v>
      </c>
      <c r="GA30" s="25">
        <f>ROUND(v^($FM30+FaktorAlter)*VLOOKUP($FM30,$G$9:$J$102,4)*VLOOKUP($FM30,$A$9:$E$102,5)*0.5*(VLOOKUP($FM30-GA$103,Männer!$G$9:$J$102,4)+VLOOKUP($FM30-GA$103+1,Männer!$G$9:$J$102,4))*0.5*(VLOOKUP($FM30-GA$103,Männer!$AZ$9:$BD$102,5)+VLOOKUP($FM30-GA$103+1,Männer!$AZ$9:$BD$102,5)),RundDx)</f>
        <v>71599204</v>
      </c>
      <c r="GB30" s="25">
        <f>ROUND(v^($FM30+FaktorAlter)*VLOOKUP($FM30,$G$9:$J$102,4)*VLOOKUP($FM30,$A$9:$E$102,5)*0.5*(VLOOKUP($FM30-GB$103,Männer!$G$9:$J$102,4)+VLOOKUP($FM30-GB$103+1,Männer!$G$9:$J$102,4))*0.5*(VLOOKUP($FM30-GB$103,Männer!$AZ$9:$BD$102,5)+VLOOKUP($FM30-GB$103+1,Männer!$AZ$9:$BD$102,5)),RundDx)</f>
        <v>88117498</v>
      </c>
      <c r="GC30" s="25">
        <f>ROUND(v^($FM30+FaktorAlter)*VLOOKUP($FM30,$G$9:$J$102,4)*VLOOKUP($FM30,$A$9:$E$102,5)*0.5*(VLOOKUP($FM30-GC$103,Männer!$G$9:$J$102,4)+VLOOKUP($FM30-GC$103+1,Männer!$G$9:$J$102,4))*0.5*(VLOOKUP($FM30-GC$103,Männer!$AZ$9:$BD$102,5)+VLOOKUP($FM30-GC$103+1,Männer!$AZ$9:$BD$102,5)),RundDx)</f>
        <v>106411154</v>
      </c>
      <c r="GD30" s="25">
        <f>ROUND(v^($FM30+FaktorAlter)*VLOOKUP($FM30,$G$9:$J$102,4)*VLOOKUP($FM30,$A$9:$E$102,5)*0.5*(VLOOKUP($FM30-GD$103,Männer!$G$9:$J$102,4)+VLOOKUP($FM30-GD$103+1,Männer!$G$9:$J$102,4))*0.5*(VLOOKUP($FM30-GD$103,Männer!$AZ$9:$BD$102,5)+VLOOKUP($FM30-GD$103+1,Männer!$AZ$9:$BD$102,5)),RundDx)</f>
        <v>126418329</v>
      </c>
      <c r="GE30" s="25">
        <f>ROUND(v^($FM30+FaktorAlter)*VLOOKUP($FM30,$G$9:$J$102,4)*VLOOKUP($FM30,$A$9:$E$102,5)*0.5*(VLOOKUP($FM30-GE$103,Männer!$G$9:$J$102,4)+VLOOKUP($FM30-GE$103+1,Männer!$G$9:$J$102,4))*0.5*(VLOOKUP($FM30-GE$103,Männer!$AZ$9:$BD$102,5)+VLOOKUP($FM30-GE$103+1,Männer!$AZ$9:$BD$102,5)),RundDx)</f>
        <v>148035806</v>
      </c>
      <c r="GF30" s="25">
        <f>ROUND(v^($FM30+FaktorAlter)*VLOOKUP($FM30,$G$9:$J$102,4)*VLOOKUP($FM30,$A$9:$E$102,5)*0.5*(VLOOKUP($FM30-GF$103,Männer!$G$9:$J$102,4)+VLOOKUP($FM30-GF$103+1,Männer!$G$9:$J$102,4))*0.5*(VLOOKUP($FM30-GF$103,Männer!$AZ$9:$BD$102,5)+VLOOKUP($FM30-GF$103+1,Männer!$AZ$9:$BD$102,5)),RundDx)</f>
        <v>171182434</v>
      </c>
      <c r="GG30" s="25">
        <f>ROUND(v^($FM30+FaktorAlter)*VLOOKUP($FM30,$G$9:$J$102,4)*VLOOKUP($FM30,$A$9:$E$102,5)*0.5*(VLOOKUP($FM30-GG$103,Männer!$G$9:$J$102,4)+VLOOKUP($FM30-GG$103+1,Männer!$G$9:$J$102,4))*0.5*(VLOOKUP($FM30-GG$103,Männer!$AZ$9:$BD$102,5)+VLOOKUP($FM30-GG$103+1,Männer!$AZ$9:$BD$102,5)),RundDx)</f>
        <v>195764531</v>
      </c>
      <c r="GH30" s="25">
        <f>ROUND(v^($FM30+FaktorAlter)*VLOOKUP($FM30,$G$9:$J$102,4)*VLOOKUP($FM30,$A$9:$E$102,5)*0.5*(VLOOKUP($FM30-GH$103,Männer!$G$9:$J$102,4)+VLOOKUP($FM30-GH$103+1,Männer!$G$9:$J$102,4))*0.5*(VLOOKUP($FM30-GH$103,Männer!$AZ$9:$BD$102,5)+VLOOKUP($FM30-GH$103+1,Männer!$AZ$9:$BD$102,5)),RundDx)</f>
        <v>221652342</v>
      </c>
      <c r="GI30" s="25">
        <f>ROUND(v^($FM30+FaktorAlter)*VLOOKUP($FM30,$G$9:$J$102,4)*VLOOKUP($FM30,$A$9:$E$102,5)*0.5*(VLOOKUP($FM30-GI$103,Männer!$G$9:$J$102,4)+VLOOKUP($FM30-GI$103+1,Männer!$G$9:$J$102,4))*0.5*(VLOOKUP($FM30-GI$103,Männer!$AZ$9:$BD$102,5)+VLOOKUP($FM30-GI$103+1,Männer!$AZ$9:$BD$102,5)),RundDx)</f>
        <v>248721528</v>
      </c>
      <c r="GJ30" s="25">
        <f>ROUND(v^($FM30+FaktorAlter)*VLOOKUP($FM30,$G$9:$J$102,4)*VLOOKUP($FM30,$A$9:$E$102,5)*0.5*(VLOOKUP($FM30-GJ$103,Männer!$G$9:$J$102,4)+VLOOKUP($FM30-GJ$103+1,Männer!$G$9:$J$102,4))*0.5*(VLOOKUP($FM30-GJ$103,Männer!$AZ$9:$BD$102,5)+VLOOKUP($FM30-GJ$103+1,Männer!$AZ$9:$BD$102,5)),RundDx)</f>
        <v>276841548</v>
      </c>
      <c r="GK30" s="25">
        <f>ROUND(v^($FM30+FaktorAlter)*VLOOKUP($FM30,$G$9:$J$102,4)*VLOOKUP($FM30,$A$9:$E$102,5)*0.5*(VLOOKUP($FM30-GK$103,Männer!$G$9:$J$102,4)+VLOOKUP($FM30-GK$103+1,Männer!$G$9:$J$102,4))*0.5*(VLOOKUP($FM30-GK$103,Männer!$AZ$9:$BD$102,5)+VLOOKUP($FM30-GK$103+1,Männer!$AZ$9:$BD$102,5)),RundDx)</f>
        <v>305871967</v>
      </c>
      <c r="GL30" s="25">
        <f>ROUND(v^($FM30+FaktorAlter)*VLOOKUP($FM30,$G$9:$J$102,4)*VLOOKUP($FM30,$A$9:$E$102,5)*0.5*(VLOOKUP($FM30-GL$103,Männer!$G$9:$J$102,4)+VLOOKUP($FM30-GL$103+1,Männer!$G$9:$J$102,4))*0.5*(VLOOKUP($FM30-GL$103,Männer!$AZ$9:$BD$102,5)+VLOOKUP($FM30-GL$103+1,Männer!$AZ$9:$BD$102,5)),RundDx)</f>
        <v>335656678</v>
      </c>
      <c r="GM30" s="25">
        <f>ROUND(v^($FM30+FaktorAlter)*VLOOKUP($FM30,$G$9:$J$102,4)*VLOOKUP($FM30,$A$9:$E$102,5)*0.5*(VLOOKUP($FM30-GM$103,Männer!$G$9:$J$102,4)+VLOOKUP($FM30-GM$103+1,Männer!$G$9:$J$102,4))*0.5*(VLOOKUP($FM30-GM$103,Männer!$AZ$9:$BD$102,5)+VLOOKUP($FM30-GM$103+1,Männer!$AZ$9:$BD$102,5)),RundDx)</f>
        <v>366005483</v>
      </c>
      <c r="GN30" s="25">
        <f>ROUND(v^($FM30+FaktorAlter)*VLOOKUP($FM30,$G$9:$J$102,4)*VLOOKUP($FM30,$A$9:$E$102,5)*0.5*(VLOOKUP($FM30-GN$103,Männer!$G$9:$J$102,4)+VLOOKUP($FM30-GN$103+1,Männer!$G$9:$J$102,4))*0.5*(VLOOKUP($FM30-GN$103,Männer!$AZ$9:$BD$102,5)+VLOOKUP($FM30-GN$103+1,Männer!$AZ$9:$BD$102,5)),RundDx)</f>
        <v>396776775</v>
      </c>
      <c r="GO30" s="25">
        <f>ROUND(v^($FM30+FaktorAlter)*VLOOKUP($FM30,$G$9:$J$102,4)*VLOOKUP($FM30,$A$9:$E$102,5)*0.5*(VLOOKUP($FM30-GO$103,Männer!$G$9:$J$102,4)+VLOOKUP($FM30-GO$103+1,Männer!$G$9:$J$102,4))*0.5*(VLOOKUP($FM30-GO$103,Männer!$AZ$9:$BD$102,5)+VLOOKUP($FM30-GO$103+1,Männer!$AZ$9:$BD$102,5)),RundDx)</f>
        <v>427795027</v>
      </c>
      <c r="GP30" s="25">
        <f>ROUND(v^($FM30+FaktorAlter)*VLOOKUP($FM30,$G$9:$J$102,4)*VLOOKUP($FM30,$A$9:$E$102,5)*0.5*(VLOOKUP($FM30-GP$103,Männer!$G$9:$J$102,4)+VLOOKUP($FM30-GP$103+1,Männer!$G$9:$J$102,4))*0.5*(VLOOKUP($FM30-GP$103,Männer!$AZ$9:$BD$102,5)+VLOOKUP($FM30-GP$103+1,Männer!$AZ$9:$BD$102,5)),RundDx)</f>
        <v>459044259</v>
      </c>
      <c r="GQ30" s="25">
        <f>ROUND(v^($FM30+FaktorAlter)*VLOOKUP($FM30,$G$9:$J$102,4)*VLOOKUP($FM30,$A$9:$E$102,5)*0.5*(VLOOKUP($FM30-GQ$103,Männer!$G$9:$J$102,4)+VLOOKUP($FM30-GQ$103+1,Männer!$G$9:$J$102,4))*0.5*(VLOOKUP($FM30-GQ$103,Männer!$AZ$9:$BD$102,5)+VLOOKUP($FM30-GQ$103+1,Männer!$AZ$9:$BD$102,5)),RundDx)</f>
        <v>490485835</v>
      </c>
      <c r="GR30" s="25">
        <f>ROUND(v^($FM30+FaktorAlter)*VLOOKUP($FM30,$G$9:$J$102,4)*VLOOKUP($FM30,$A$9:$E$102,5)*0.5*(VLOOKUP($FM30-GR$103,Männer!$G$9:$J$102,4)+VLOOKUP($FM30-GR$103+1,Männer!$G$9:$J$102,4))*0.5*(VLOOKUP($FM30-GR$103,Männer!$AZ$9:$BD$102,5)+VLOOKUP($FM30-GR$103+1,Männer!$AZ$9:$BD$102,5)),RundDx)</f>
        <v>521971245</v>
      </c>
      <c r="GS30" s="24">
        <f>ROUND(SUM(FN30:FN$56)/VLOOKUP($FM30,$AQ$9:$AR$102,2)/VLOOKUP($FM30-GS$103,Männer!$G$9:$J$102,4),Rundäx)</f>
        <v>5.6000000000000001E-2</v>
      </c>
      <c r="GT30" s="24">
        <f>ROUND(SUM(FO30:FO$56)/VLOOKUP($FM30,$AQ$9:$AR$102,2)/VLOOKUP($FM30-GT$103,Männer!$G$9:$J$102,4),Rundäx)</f>
        <v>9.7000000000000003E-2</v>
      </c>
      <c r="GU30" s="24">
        <f>ROUND(SUM(FP30:FP$56)/VLOOKUP($FM30,$AQ$9:$AR$102,2)/VLOOKUP($FM30-GU$103,Männer!$G$9:$J$102,4),Rundäx)</f>
        <v>0.13400000000000001</v>
      </c>
      <c r="GV30" s="24">
        <f>ROUND(SUM(FQ30:FQ$56)/VLOOKUP($FM30,$AQ$9:$AR$102,2)/VLOOKUP($FM30-GV$103,Männer!$G$9:$J$102,4),Rundäx)</f>
        <v>0.17499999999999999</v>
      </c>
      <c r="GW30" s="24">
        <f>ROUND(SUM(FR30:FR$56)/VLOOKUP($FM30,$AQ$9:$AR$102,2)/VLOOKUP($FM30-GW$103,Männer!$G$9:$J$102,4),Rundäx)</f>
        <v>0.223</v>
      </c>
      <c r="GX30" s="24">
        <f>ROUND(SUM(FS30:FS$56)/VLOOKUP($FM30,$AQ$9:$AR$102,2)/VLOOKUP($FM30-GX$103,Männer!$G$9:$J$102,4),Rundäx)</f>
        <v>0.28000000000000003</v>
      </c>
      <c r="GY30" s="24">
        <f>ROUND(SUM(FT30:FT$56)/VLOOKUP($FM30,$AQ$9:$AR$102,2)/VLOOKUP($FM30-GY$103,Männer!$G$9:$J$102,4),Rundäx)</f>
        <v>0.34599999999999997</v>
      </c>
      <c r="GZ30" s="24">
        <f>ROUND(SUM(FU30:FU$56)/VLOOKUP($FM30,$AQ$9:$AR$102,2)/VLOOKUP($FM30-GZ$103,Männer!$G$9:$J$102,4),Rundäx)</f>
        <v>0.42299999999999999</v>
      </c>
      <c r="HA30" s="89"/>
      <c r="HB30" s="35">
        <f t="shared" si="65"/>
        <v>85</v>
      </c>
      <c r="HC30" s="24">
        <f>ROUND(SUM(FV30:FV$56)/VLOOKUP($FM30,$AQ$9:$AR$102,2)/VLOOKUP($FM30-HC$103,Männer!$G$9:$J$102,4),Rundäx)</f>
        <v>0.51300000000000001</v>
      </c>
      <c r="HD30" s="24">
        <f>ROUND(SUM(FW30:FW$56)/VLOOKUP($FM30,$AQ$9:$AR$102,2)/VLOOKUP($FM30-HD$103,Männer!$G$9:$J$102,4),Rundäx)</f>
        <v>0.61799999999999999</v>
      </c>
      <c r="HE30" s="24">
        <f>ROUND(SUM(FX30:FX$56)/VLOOKUP($FM30,$AQ$9:$AR$102,2)/VLOOKUP($FM30-HE$103,Männer!$G$9:$J$102,4),Rundäx)</f>
        <v>0.73699999999999999</v>
      </c>
      <c r="HF30" s="24">
        <f>ROUND(SUM(FY30:FY$56)/VLOOKUP($FM30,$AQ$9:$AR$102,2)/VLOOKUP($FM30-HF$103,Männer!$G$9:$J$102,4),Rundäx)</f>
        <v>0.874</v>
      </c>
      <c r="HG30" s="24">
        <f>ROUND(SUM(FZ30:FZ$56)/VLOOKUP($FM30,$AQ$9:$AR$102,2)/VLOOKUP($FM30-HG$103,Männer!$G$9:$J$102,4),Rundäx)</f>
        <v>1.0269999999999999</v>
      </c>
      <c r="HH30" s="24">
        <f>ROUND(SUM(GA30:GA$56)/VLOOKUP($FM30,$AQ$9:$AR$102,2)/VLOOKUP($FM30-HH$103,Männer!$G$9:$J$102,4),Rundäx)</f>
        <v>1.1990000000000001</v>
      </c>
      <c r="HI30" s="24">
        <f>ROUND(SUM(GB30:GB$56)/VLOOKUP($FM30,$AQ$9:$AR$102,2)/VLOOKUP($FM30-HI$103,Männer!$G$9:$J$102,4),Rundäx)</f>
        <v>1.3879999999999999</v>
      </c>
      <c r="HJ30" s="24">
        <f>ROUND(SUM(GC30:GC$56)/VLOOKUP($FM30,$AQ$9:$AR$102,2)/VLOOKUP($FM30-HJ$103,Männer!$G$9:$J$102,4),Rundäx)</f>
        <v>1.5940000000000001</v>
      </c>
      <c r="HK30" s="89"/>
      <c r="HL30" s="35">
        <f t="shared" si="66"/>
        <v>85</v>
      </c>
      <c r="HM30" s="24">
        <f>ROUND(SUM(GD30:GD$56)/VLOOKUP($FM30,$AQ$9:$AR$102,2)/VLOOKUP($FM30-HM$103,Männer!$G$9:$J$102,4),Rundäx)</f>
        <v>1.8160000000000001</v>
      </c>
      <c r="HN30" s="24">
        <f>ROUND(SUM(GE30:GE$56)/VLOOKUP($FM30,$AQ$9:$AR$102,2)/VLOOKUP($FM30-HN$103,Männer!$G$9:$J$102,4),Rundäx)</f>
        <v>2.056</v>
      </c>
      <c r="HO30" s="24">
        <f>ROUND(SUM(GF30:GF$56)/VLOOKUP($FM30,$AQ$9:$AR$102,2)/VLOOKUP($FM30-HO$103,Männer!$G$9:$J$102,4),Rundäx)</f>
        <v>2.31</v>
      </c>
      <c r="HP30" s="24">
        <f>ROUND(SUM(GG30:GG$56)/VLOOKUP($FM30,$AQ$9:$AR$102,2)/VLOOKUP($FM30-HP$103,Männer!$G$9:$J$102,4),Rundäx)</f>
        <v>2.58</v>
      </c>
      <c r="HQ30" s="24">
        <f>ROUND(SUM(GH30:GH$56)/VLOOKUP($FM30,$AQ$9:$AR$102,2)/VLOOKUP($FM30-HQ$103,Männer!$G$9:$J$102,4),Rundäx)</f>
        <v>2.863</v>
      </c>
      <c r="HR30" s="24">
        <f>ROUND(SUM(GI30:GI$56)/VLOOKUP($FM30,$AQ$9:$AR$102,2)/VLOOKUP($FM30-HR$103,Männer!$G$9:$J$102,4),Rundäx)</f>
        <v>3.1589999999999998</v>
      </c>
      <c r="HS30" s="24">
        <f>ROUND(SUM(GJ30:GJ$56)/VLOOKUP($FM30,$AQ$9:$AR$102,2)/VLOOKUP($FM30-HS$103,Männer!$G$9:$J$102,4),Rundäx)</f>
        <v>3.4660000000000002</v>
      </c>
      <c r="HT30" s="24">
        <f>ROUND(SUM(GK30:GK$56)/VLOOKUP($FM30,$AQ$9:$AR$102,2)/VLOOKUP($FM30-HT$103,Männer!$G$9:$J$102,4),Rundäx)</f>
        <v>3.7839999999999998</v>
      </c>
      <c r="HU30" s="89"/>
      <c r="HV30" s="35">
        <f t="shared" si="67"/>
        <v>85</v>
      </c>
      <c r="HW30" s="24">
        <f>ROUND(SUM(GL30:GL$56)/VLOOKUP($FM30,$AQ$9:$AR$102,2)/VLOOKUP($FM30-HW$103,Männer!$G$9:$J$102,4),Rundäx)</f>
        <v>4.1120000000000001</v>
      </c>
      <c r="HX30" s="24">
        <f>ROUND(SUM(GM30:GM$56)/VLOOKUP($FM30,$AQ$9:$AR$102,2)/VLOOKUP($FM30-HX$103,Männer!$G$9:$J$102,4),Rundäx)</f>
        <v>4.4480000000000004</v>
      </c>
      <c r="HY30" s="24">
        <f>ROUND(SUM(GN30:GN$56)/VLOOKUP($FM30,$AQ$9:$AR$102,2)/VLOOKUP($FM30-HY$103,Männer!$G$9:$J$102,4),Rundäx)</f>
        <v>4.7930000000000001</v>
      </c>
      <c r="HZ30" s="24">
        <f>ROUND(SUM(GO30:GO$56)/VLOOKUP($FM30,$AQ$9:$AR$102,2)/VLOOKUP($FM30-HZ$103,Männer!$G$9:$J$102,4),Rundäx)</f>
        <v>5.1449999999999996</v>
      </c>
      <c r="IA30" s="24">
        <f>ROUND(SUM(GP30:GP$56)/VLOOKUP($FM30,$AQ$9:$AR$102,2)/VLOOKUP($FM30-IA$103,Männer!$G$9:$J$102,4),Rundäx)</f>
        <v>5.5019999999999998</v>
      </c>
      <c r="IB30" s="24">
        <f>ROUND(SUM(GQ30:GQ$56)/VLOOKUP($FM30,$AQ$9:$AR$102,2)/VLOOKUP($FM30-IB$103,Männer!$G$9:$J$102,4),Rundäx)</f>
        <v>5.8639999999999999</v>
      </c>
      <c r="IC30" s="24">
        <f>ROUND(SUM(GR30:GR$56)/VLOOKUP($FM30,$AQ$9:$AR$102,2)/VLOOKUP($FM30-IC$103,Männer!$G$9:$J$102,4),Rundäx)</f>
        <v>6.23</v>
      </c>
      <c r="ID30" s="89"/>
      <c r="IE30" s="9">
        <f t="shared" si="68"/>
        <v>38</v>
      </c>
      <c r="IF30" s="11">
        <f t="shared" si="25"/>
        <v>331</v>
      </c>
      <c r="IG30" s="11">
        <f>IF($IE30&lt;RAF,IF(S31&lt;=RAK,ROUND(SUM(IF30:INDEX(Daky,RAF-BeginnAlter))+INDEX(Day,RAF-BeginnAlter+1)*INDEX(äky,1),RundDx),0),"")</f>
        <v>2968</v>
      </c>
      <c r="IH30" s="11">
        <f>IF($IE30&lt;RAF,IF(S31&lt;=RAK,ROUND(SUM(IG30:INDEX(Naky,RAF-BeginnAlter))+INDEX(Day,RAF-BeginnAlter+1)*INDEX(äky,1),RundDx),0),"")</f>
        <v>17985</v>
      </c>
      <c r="II30" s="10">
        <f t="shared" si="26"/>
        <v>7.0999999999999994E-2</v>
      </c>
      <c r="IJ30" s="11">
        <f t="shared" si="27"/>
        <v>15326</v>
      </c>
      <c r="IK30" s="11">
        <f>IF($IE30&lt;RAF,IF(S31&lt;=RAK,SUM(IJ30:INDEX(Diky,RAF-BeginnAlter))+INDEX(Diy,RAF-BeginnAlter+1)*INDEX(äky,1),0),"")</f>
        <v>93488</v>
      </c>
      <c r="IL30" s="10">
        <f t="shared" si="28"/>
        <v>1.403</v>
      </c>
      <c r="IM30" s="89"/>
      <c r="IN30" s="9">
        <f t="shared" si="29"/>
        <v>85</v>
      </c>
      <c r="IO30" s="11"/>
      <c r="IP30" s="11"/>
      <c r="IQ30" s="10"/>
      <c r="IR30" s="86"/>
    </row>
    <row r="31" spans="1:252" ht="15.75" customHeight="1" x14ac:dyDescent="0.25">
      <c r="A31" s="9">
        <f t="shared" si="4"/>
        <v>39</v>
      </c>
      <c r="B31" s="93">
        <v>4.3895314162170352E-4</v>
      </c>
      <c r="C31" s="93">
        <v>3.0941056022431076E-3</v>
      </c>
      <c r="D31" s="93">
        <v>2.1672893918406252E-2</v>
      </c>
      <c r="E31" s="93">
        <v>9.5949904050096624E-4</v>
      </c>
      <c r="F31" s="89"/>
      <c r="G31" s="9">
        <f t="shared" si="5"/>
        <v>39</v>
      </c>
      <c r="H31" s="11">
        <f t="shared" si="30"/>
        <v>96750</v>
      </c>
      <c r="I31" s="25">
        <f t="shared" si="31"/>
        <v>2260</v>
      </c>
      <c r="J31" s="25">
        <f t="shared" si="32"/>
        <v>99010</v>
      </c>
      <c r="K31" s="30">
        <f>IF(J31&gt;0,ROUND(SUM(J31:J$102)/J31-0.5,Rundex),"")</f>
        <v>43.59</v>
      </c>
      <c r="L31" s="25">
        <f t="shared" si="6"/>
        <v>151777</v>
      </c>
      <c r="M31" s="30">
        <f>IF(L31&gt;0,ROUND(SUM(L31:L$102)/L31-0.5,Rundex),"")</f>
        <v>32.200000000000003</v>
      </c>
      <c r="N31" s="89"/>
      <c r="O31" s="9">
        <f t="shared" si="49"/>
        <v>39</v>
      </c>
      <c r="P31" s="94">
        <v>0.27482729222698898</v>
      </c>
      <c r="Q31" s="95">
        <v>42.267309121711349</v>
      </c>
      <c r="R31" s="94">
        <v>0.60328898802974584</v>
      </c>
      <c r="S31" s="95">
        <v>2.9044140834721817</v>
      </c>
      <c r="T31" s="28">
        <v>9.1500000000000001E-4</v>
      </c>
      <c r="U31" s="11">
        <f t="shared" si="33"/>
        <v>99012</v>
      </c>
      <c r="V31" s="30">
        <f>IF(U31&gt;0,ROUND(SUM(U31:U$102)/U31-0.5,Rundex),"")</f>
        <v>44.89</v>
      </c>
      <c r="W31" s="89"/>
      <c r="X31" s="9">
        <f t="shared" si="50"/>
        <v>39</v>
      </c>
      <c r="Y31" s="11">
        <f t="shared" si="34"/>
        <v>40624</v>
      </c>
      <c r="Z31" s="11">
        <f>IF($X31&lt;RAF,SUM(Y31:INDEX(Day,RAF-BeginnAlter))," ")</f>
        <v>724720</v>
      </c>
      <c r="AA31" s="11">
        <f t="shared" si="0"/>
        <v>18</v>
      </c>
      <c r="AB31" s="11">
        <f>IF($X31&lt;RAF,SUM(AA31:INDEX(Cay,RAF-BeginnAlter))," ")</f>
        <v>1143</v>
      </c>
      <c r="AC31" s="11">
        <f t="shared" si="1"/>
        <v>124</v>
      </c>
      <c r="AD31" s="11">
        <f>IF($X31&lt;RAF,SUM(AC31:INDEX(Caiy,RAF-BeginnAlter))," ")</f>
        <v>7253</v>
      </c>
      <c r="AE31" s="10">
        <f t="shared" si="35"/>
        <v>17.84</v>
      </c>
      <c r="AF31" s="10">
        <f t="shared" si="36"/>
        <v>17.565999999999999</v>
      </c>
      <c r="AG31" s="89"/>
      <c r="AH31" s="9">
        <f t="shared" si="51"/>
        <v>39</v>
      </c>
      <c r="AI31" s="11">
        <f t="shared" si="37"/>
        <v>63729</v>
      </c>
      <c r="AJ31" s="11">
        <f>IF($AH31&gt;RAF," ",IF($AH31&lt;RAF,SUM(AI31:INDEX(Diy,RAF-BeginnAlter))+INDEX(Ny,RAF-BeginnAlter+1),INDEX(Ny,RAF-BeginnAlter+1)))</f>
        <v>1367768</v>
      </c>
      <c r="AK31" s="11">
        <f>IF($AH31&lt;RAF,SUM(AI31:INDEX(Diy,RAF-BeginnAlter))," ")</f>
        <v>1001674</v>
      </c>
      <c r="AL31" s="10">
        <f t="shared" si="38"/>
        <v>21.462</v>
      </c>
      <c r="AM31" s="10">
        <f t="shared" si="39"/>
        <v>21.004000000000001</v>
      </c>
      <c r="AN31" s="10">
        <f t="shared" si="40"/>
        <v>15.718</v>
      </c>
      <c r="AO31" s="10">
        <f t="shared" si="41"/>
        <v>15.416</v>
      </c>
      <c r="AP31" s="89"/>
      <c r="AQ31" s="9">
        <f t="shared" si="52"/>
        <v>39</v>
      </c>
      <c r="AR31" s="11">
        <f t="shared" si="42"/>
        <v>41573</v>
      </c>
      <c r="AS31" s="11">
        <f>SUM(AR31:AR$96)</f>
        <v>1153546</v>
      </c>
      <c r="AT31" s="25">
        <f>IF($AQ31&lt;RAF,SUM(AR31:INDEX(Dy,RAF-BeginnAlter))," ")</f>
        <v>787452</v>
      </c>
      <c r="AU31" s="24">
        <f t="shared" si="43"/>
        <v>27.747</v>
      </c>
      <c r="AV31" s="24">
        <f t="shared" si="44"/>
        <v>27.289000000000001</v>
      </c>
      <c r="AW31" s="24">
        <f t="shared" si="45"/>
        <v>18.940999999999999</v>
      </c>
      <c r="AX31" s="24">
        <f t="shared" si="46"/>
        <v>18.722999999999999</v>
      </c>
      <c r="AY31" s="89"/>
      <c r="AZ31" s="9">
        <f t="shared" si="53"/>
        <v>39</v>
      </c>
      <c r="BA31" s="11">
        <f t="shared" si="47"/>
        <v>41574</v>
      </c>
      <c r="BB31" s="11">
        <f>SUM(BA31:BA$96)</f>
        <v>1176335</v>
      </c>
      <c r="BC31" s="10">
        <f t="shared" si="48"/>
        <v>28.295000000000002</v>
      </c>
      <c r="BD31" s="10">
        <f t="shared" si="7"/>
        <v>27.837</v>
      </c>
      <c r="BE31" s="89"/>
      <c r="BF31" s="9">
        <f t="shared" si="54"/>
        <v>22</v>
      </c>
      <c r="BG31" s="10">
        <f t="shared" si="8"/>
        <v>2.9340000000000002</v>
      </c>
      <c r="BH31" s="10">
        <f t="shared" si="9"/>
        <v>2.9049999999999998</v>
      </c>
      <c r="BI31" s="89"/>
      <c r="BJ31" s="9">
        <f t="shared" si="55"/>
        <v>39</v>
      </c>
      <c r="BK31" s="11">
        <f t="shared" si="10"/>
        <v>2606</v>
      </c>
      <c r="BL31" s="11">
        <f>IF(BJ31&lt;RAF,SUM(BK31:INDEX(Daiy,RAF-BeginnAlter))," ")</f>
        <v>133113</v>
      </c>
      <c r="BM31" s="11">
        <f>IF(BJ31&lt;RAF,SUM(BL31:INDEX(Naiy,RAF-BeginnAlter))," ")</f>
        <v>2108887</v>
      </c>
      <c r="BN31" s="10">
        <f t="shared" si="11"/>
        <v>6.601</v>
      </c>
      <c r="BO31" s="10">
        <f t="shared" si="12"/>
        <v>3.2770000000000001</v>
      </c>
      <c r="BP31" s="89"/>
      <c r="BQ31" s="9">
        <f t="shared" si="56"/>
        <v>39</v>
      </c>
      <c r="BR31" s="11">
        <f t="shared" si="13"/>
        <v>1896</v>
      </c>
      <c r="BS31" s="11">
        <f>IF(BQ31&lt;RAF,SUM(BR31:INDEX(Daiys,RAF-BeginnAlter))," ")</f>
        <v>50474</v>
      </c>
      <c r="BT31" s="11">
        <f>IF(BQ31&lt;RAF,SUM(BS31:INDEX(Naiys,RAF-BeginnAlter))," ")</f>
        <v>610649</v>
      </c>
      <c r="BU31" s="10">
        <f t="shared" si="14"/>
        <v>8.6359999999999992</v>
      </c>
      <c r="BV31" s="10">
        <f t="shared" si="15"/>
        <v>1.242</v>
      </c>
      <c r="BW31" s="89"/>
      <c r="BX31" s="9">
        <f t="shared" si="57"/>
        <v>39</v>
      </c>
      <c r="BY31" s="10">
        <f t="shared" si="16"/>
        <v>14.126499692198941</v>
      </c>
      <c r="BZ31" s="11">
        <f t="shared" si="17"/>
        <v>1054</v>
      </c>
      <c r="CA31" s="11">
        <f>IF(S32&lt;=RAK,IF($BX31&lt;RAF,SUM(BZ31:INDEX(Dazy,RAF-BeginnAlter)),""),"")</f>
        <v>9786</v>
      </c>
      <c r="CB31" s="10">
        <f t="shared" si="18"/>
        <v>0.24099999999999999</v>
      </c>
      <c r="CC31" s="11">
        <f t="shared" si="19"/>
        <v>23794</v>
      </c>
      <c r="CD31" s="10">
        <f t="shared" si="20"/>
        <v>17.75</v>
      </c>
      <c r="CE31" s="10">
        <f t="shared" si="21"/>
        <v>3.0000000000000001E-3</v>
      </c>
      <c r="CF31" s="89"/>
      <c r="CG31" s="9">
        <f t="shared" si="58"/>
        <v>39</v>
      </c>
      <c r="CH31" s="11">
        <f>IF(CG31&lt;RAF,ROUND(v^($CG31+FaktorAlter)*$H31*($B31*0.5*($P31+$P32)*(VLOOKUP(TRUNC(0.5*($Q31+$Q32),0),Männer!$AZ$9:$BD$95,5)+(0.5*($Q31+$Q32)-TRUNC(0.5*($Q31+$Q32),0))*(VLOOKUP(TRUNC(0.5*($Q31+$Q32)+1,0),Männer!$AZ$9:$BD$95,5)-VLOOKUP(TRUNC(0.5*($Q31+$Q32),0),Männer!$AZ$9:$BD$95,5)))+$C31*0.5*($CN31+$CN32)),RundDx),"")</f>
        <v>321</v>
      </c>
      <c r="CI31" s="11">
        <f>IF(CG31&lt;RAF,ROUND(SUM(CH31:INDEX(Dawy,RAF-BeginnAlter))+INDEX(Day,RAF-BeginnAlter+1)*INDEX(äwy,1),RundDx),"")</f>
        <v>10814</v>
      </c>
      <c r="CJ31" s="11">
        <f>IF(CG31&lt;RAF,ROUND(SUM(CI31:INDEX(Nawy,RAF-BeginnAlter))+INDEX(Day,RAF-BeginnAlter+1)*INDEX(äwy,1),RundDx),"")</f>
        <v>160231</v>
      </c>
      <c r="CK31" s="10">
        <f t="shared" si="22"/>
        <v>0.26600000000000001</v>
      </c>
      <c r="CL31" s="11">
        <f>IF(CG31&lt;RAF,ROUND(v^($CG31+FaktorAlter)*$L31*$D31*0.5*($P31+$P32)*(VLOOKUP(TRUNC(0.5*($Q31+$Q32),0),Männer!$AZ$9:$BD$95,5)+(0.5*($Q31+$Q32)-TRUNC(0.5*($Q31+$Q32),0))*(VLOOKUP(TRUNC(0.5*($Q31+$Q32)+1,0),Männer!$AZ$9:$BD$95,5)-VLOOKUP(TRUNC(0.5*($Q31+$Q32),0),Männer!$AZ$9:$BD$95,5))),RundDx),"")</f>
        <v>8996</v>
      </c>
      <c r="CM31" s="11">
        <f>IF(CG31&lt;RAF,SUM(CL31:INDEX(Diwy,RAF-BeginnAlter))+INDEX(Diy,RAF-BeginnAlter+1)*INDEX(äwy,1),"")</f>
        <v>107371.304</v>
      </c>
      <c r="CN31" s="10">
        <f t="shared" si="23"/>
        <v>1.6850000000000001</v>
      </c>
      <c r="CO31" s="89"/>
      <c r="CP31" s="9">
        <f t="shared" si="59"/>
        <v>86</v>
      </c>
      <c r="CQ31" s="11">
        <f>ROUND(v^($CP31+FaktorAlter)*VLOOKUP(CP31,G$9:J$102,4)*VLOOKUP(CP31,A$9:E$102,5)*0.5*(VLOOKUP(CP31,O$9:P$102,2)+VLOOKUP(CP31+1,O$9:P$102,2))*(VLOOKUP(TRUNC(0.5*(VLOOKUP(CP31,O$9:Q$102,3)+VLOOKUP(CP31+1,O$9:Q$102,3)),0),Männer!$AZ$9:$BD$95,5)+(0.5*(VLOOKUP(CP31,O$9:Q$102,3)+VLOOKUP(CP31+1,O$9:Q$102,3))-TRUNC(0.5*(VLOOKUP(CP31,O$9:Q$102,3)+VLOOKUP(CP31+1,O$9:Q$102,3)),0))*(VLOOKUP(TRUNC(0.5*(VLOOKUP(CP31,O$9:Q$102,3)+VLOOKUP(CP31+1,O$9:Q$102,3))+1,0),Männer!$AZ$9:$BD$95,5)-VLOOKUP(TRUNC(0.5*(VLOOKUP(CP31,O$9:Q$102,3)+VLOOKUP(CP31+1,O$9:Q$102,3)),0),Männer!$AZ$9:$BD$95,5))),RundDx)</f>
        <v>16</v>
      </c>
      <c r="CR31" s="11">
        <f>SUM(CQ31:CQ$56)</f>
        <v>88</v>
      </c>
      <c r="CS31" s="24">
        <f t="shared" si="24"/>
        <v>1.2999999999999999E-2</v>
      </c>
      <c r="CT31" s="89"/>
      <c r="CU31" s="35">
        <f t="shared" si="60"/>
        <v>39</v>
      </c>
      <c r="CV31" s="25">
        <f>IF($CU31&gt;=RAF,"",IF($CU31-CV$103&lt;BeginnAlter,"",ROUND(v^($CU31+FaktorAlter)*$L31*$D31*0.5*(VLOOKUP($CU31-CV$103,Männer!$G$9:$J$102,4)+VLOOKUP($CU31-CV$103+1,Männer!$G$9:$J$102,4))*0.5*(VLOOKUP($CU31-CV$103,Männer!$AZ$9:$BD$102,5)+VLOOKUP($CU31-CV$103+1,Männer!$AZ$9:$BD$102,5)),RundDx)))</f>
        <v>2305987464</v>
      </c>
      <c r="CW31" s="25">
        <f>IF($CU31&gt;=RAF,"",IF($CU31-CW$103&lt;BeginnAlter,"",ROUND(v^($CU31+FaktorAlter)*$L31*$D31*0.5*(VLOOKUP($CU31-CW$103,Männer!$G$9:$J$102,4)+VLOOKUP($CU31-CW$103+1,Männer!$G$9:$J$102,4))*0.5*(VLOOKUP($CU31-CW$103,Männer!$AZ$9:$BD$102,5)+VLOOKUP($CU31-CW$103+1,Männer!$AZ$9:$BD$102,5)),RundDx)))</f>
        <v>2384015030</v>
      </c>
      <c r="CX31" s="25">
        <f>IF($CU31&gt;=RAF,"",IF($CU31-CX$103&lt;BeginnAlter,"",ROUND(v^($CU31+FaktorAlter)*$L31*$D31*0.5*(VLOOKUP($CU31-CX$103,Männer!$G$9:$J$102,4)+VLOOKUP($CU31-CX$103+1,Männer!$G$9:$J$102,4))*0.5*(VLOOKUP($CU31-CX$103,Männer!$AZ$9:$BD$102,5)+VLOOKUP($CU31-CX$103+1,Männer!$AZ$9:$BD$102,5)),RundDx)))</f>
        <v>2460857580</v>
      </c>
      <c r="CY31" s="25">
        <f>IF($CU31&gt;=RAF,"",IF($CU31-CY$103&lt;BeginnAlter,"",ROUND(v^($CU31+FaktorAlter)*$L31*$D31*0.5*(VLOOKUP($CU31-CY$103,Männer!$G$9:$J$102,4)+VLOOKUP($CU31-CY$103+1,Männer!$G$9:$J$102,4))*0.5*(VLOOKUP($CU31-CY$103,Männer!$AZ$9:$BD$102,5)+VLOOKUP($CU31-CY$103+1,Männer!$AZ$9:$BD$102,5)),RundDx)))</f>
        <v>2536377046</v>
      </c>
      <c r="CZ31" s="25">
        <f>IF($CU31&gt;=RAF,"",IF($CU31-CZ$103&lt;BeginnAlter,"",ROUND(v^($CU31+FaktorAlter)*$L31*$D31*0.5*(VLOOKUP($CU31-CZ$103,Männer!$G$9:$J$102,4)+VLOOKUP($CU31-CZ$103+1,Männer!$G$9:$J$102,4))*0.5*(VLOOKUP($CU31-CZ$103,Männer!$AZ$9:$BD$102,5)+VLOOKUP($CU31-CZ$103+1,Männer!$AZ$9:$BD$102,5)),RundDx)))</f>
        <v>2610581803</v>
      </c>
      <c r="DA31" s="25">
        <f>IF($CU31&gt;=RAF,"",IF($CU31-DA$103&lt;BeginnAlter,"",ROUND(v^($CU31+FaktorAlter)*$L31*$D31*0.5*(VLOOKUP($CU31-DA$103,Männer!$G$9:$J$102,4)+VLOOKUP($CU31-DA$103+1,Männer!$G$9:$J$102,4))*0.5*(VLOOKUP($CU31-DA$103,Männer!$AZ$9:$BD$102,5)+VLOOKUP($CU31-DA$103+1,Männer!$AZ$9:$BD$102,5)),RundDx)))</f>
        <v>2683586725</v>
      </c>
      <c r="DB31" s="25">
        <f>IF($CU31&gt;=RAF,"",IF($CU31-DB$103&lt;BeginnAlter,"",ROUND(v^($CU31+FaktorAlter)*$L31*$D31*0.5*(VLOOKUP($CU31-DB$103,Männer!$G$9:$J$102,4)+VLOOKUP($CU31-DB$103+1,Männer!$G$9:$J$102,4))*0.5*(VLOOKUP($CU31-DB$103,Männer!$AZ$9:$BD$102,5)+VLOOKUP($CU31-DB$103+1,Männer!$AZ$9:$BD$102,5)),RundDx)))</f>
        <v>2755344830</v>
      </c>
      <c r="DC31" s="25">
        <f>IF($CU31&gt;=RAF,"",IF($CU31-DC$103&lt;BeginnAlter,"",ROUND(v^($CU31+FaktorAlter)*$L31*$D31*0.5*(VLOOKUP($CU31-DC$103,Männer!$G$9:$J$102,4)+VLOOKUP($CU31-DC$103+1,Männer!$G$9:$J$102,4))*0.5*(VLOOKUP($CU31-DC$103,Männer!$AZ$9:$BD$102,5)+VLOOKUP($CU31-DC$103+1,Männer!$AZ$9:$BD$102,5)),RundDx)))</f>
        <v>2825779325</v>
      </c>
      <c r="DD31" s="25">
        <f>IF($CU31&gt;=RAF,"",IF($CU31-DD$103&lt;BeginnAlter,"",ROUND(v^($CU31+FaktorAlter)*$L31*$D31*0.5*(VLOOKUP($CU31-DD$103,Männer!$G$9:$J$102,4)+VLOOKUP($CU31-DD$103+1,Männer!$G$9:$J$102,4))*0.5*(VLOOKUP($CU31-DD$103,Männer!$AZ$9:$BD$102,5)+VLOOKUP($CU31-DD$103+1,Männer!$AZ$9:$BD$102,5)),RundDx)))</f>
        <v>2894977230</v>
      </c>
      <c r="DE31" s="25">
        <f>IF($CU31&gt;=RAF,"",IF($CU31-DE$103&lt;BeginnAlter,"",ROUND(v^($CU31+FaktorAlter)*$L31*$D31*0.5*(VLOOKUP($CU31-DE$103,Männer!$G$9:$J$102,4)+VLOOKUP($CU31-DE$103+1,Männer!$G$9:$J$102,4))*0.5*(VLOOKUP($CU31-DE$103,Männer!$AZ$9:$BD$102,5)+VLOOKUP($CU31-DE$103+1,Männer!$AZ$9:$BD$102,5)),RundDx)))</f>
        <v>2962935376</v>
      </c>
      <c r="DF31" s="25">
        <f>IF($CU31&gt;=RAF,"",IF($CU31-DF$103&lt;BeginnAlter,"",ROUND(v^($CU31+FaktorAlter)*$L31*$D31*0.5*(VLOOKUP($CU31-DF$103,Männer!$G$9:$J$102,4)+VLOOKUP($CU31-DF$103+1,Männer!$G$9:$J$102,4))*0.5*(VLOOKUP($CU31-DF$103,Männer!$AZ$9:$BD$102,5)+VLOOKUP($CU31-DF$103+1,Männer!$AZ$9:$BD$102,5)),RundDx)))</f>
        <v>3029654038</v>
      </c>
      <c r="DG31" s="25">
        <f>IF($CU31&gt;=RAF,"",IF($CU31-DG$103&lt;BeginnAlter,"",ROUND(v^($CU31+FaktorAlter)*$L31*$D31*0.5*(VLOOKUP($CU31-DG$103,Männer!$G$9:$J$102,4)+VLOOKUP($CU31-DG$103+1,Männer!$G$9:$J$102,4))*0.5*(VLOOKUP($CU31-DG$103,Männer!$AZ$9:$BD$102,5)+VLOOKUP($CU31-DG$103+1,Männer!$AZ$9:$BD$102,5)),RundDx)))</f>
        <v>3095105172</v>
      </c>
      <c r="DH31" s="25">
        <f>IF($CU31&gt;=RAF,"",IF($CU31-DH$103&lt;BeginnAlter,"",ROUND(v^($CU31+FaktorAlter)*$L31*$D31*0.5*(VLOOKUP($CU31-DH$103,Männer!$G$9:$J$102,4)+VLOOKUP($CU31-DH$103+1,Männer!$G$9:$J$102,4))*0.5*(VLOOKUP($CU31-DH$103,Männer!$AZ$9:$BD$102,5)+VLOOKUP($CU31-DH$103+1,Männer!$AZ$9:$BD$102,5)),RundDx)))</f>
        <v>3159360691</v>
      </c>
      <c r="DI31" s="25">
        <f>IF($CU31&gt;=RAF,"",IF($CU31-DI$103&lt;BeginnAlter,"",ROUND(v^($CU31+FaktorAlter)*$L31*$D31*0.5*(VLOOKUP($CU31-DI$103,Männer!$G$9:$J$102,4)+VLOOKUP($CU31-DI$103+1,Männer!$G$9:$J$102,4))*0.5*(VLOOKUP($CU31-DI$103,Männer!$AZ$9:$BD$102,5)+VLOOKUP($CU31-DI$103+1,Männer!$AZ$9:$BD$102,5)),RundDx)))</f>
        <v>3222479676</v>
      </c>
      <c r="DJ31" s="25">
        <f>IF($CU31&gt;=RAF,"",IF($CU31-DJ$103&lt;BeginnAlter,"",ROUND(v^($CU31+FaktorAlter)*$L31*$D31*0.5*(VLOOKUP($CU31-DJ$103,Männer!$G$9:$J$102,4)+VLOOKUP($CU31-DJ$103+1,Männer!$G$9:$J$102,4))*0.5*(VLOOKUP($CU31-DJ$103,Männer!$AZ$9:$BD$102,5)+VLOOKUP($CU31-DJ$103+1,Männer!$AZ$9:$BD$102,5)),RundDx)))</f>
        <v>3284355800</v>
      </c>
      <c r="DK31" s="25">
        <f>IF($CU31&gt;=RAF,"",IF($CU31-DK$103&lt;BeginnAlter,"",ROUND(v^($CU31+FaktorAlter)*$L31*$D31*0.5*(VLOOKUP($CU31-DK$103,Männer!$G$9:$J$102,4)+VLOOKUP($CU31-DK$103+1,Männer!$G$9:$J$102,4))*0.5*(VLOOKUP($CU31-DK$103,Männer!$AZ$9:$BD$102,5)+VLOOKUP($CU31-DK$103+1,Männer!$AZ$9:$BD$102,5)),RundDx)))</f>
        <v>3344983044</v>
      </c>
      <c r="DL31" s="25">
        <f>IF($CU31&gt;=RAF,"",IF($CU31-DL$103&lt;BeginnAlter,"",ROUND(v^($CU31+FaktorAlter)*$L31*$D31*0.5*(VLOOKUP($CU31-DL$103,Männer!$G$9:$J$102,4)+VLOOKUP($CU31-DL$103+1,Männer!$G$9:$J$102,4))*0.5*(VLOOKUP($CU31-DL$103,Männer!$AZ$9:$BD$102,5)+VLOOKUP($CU31-DL$103+1,Männer!$AZ$9:$BD$102,5)),RundDx)))</f>
        <v>3404541780</v>
      </c>
      <c r="DM31" s="25">
        <f>IF($CU31&gt;=RAF,"",IF($CU31-DM$103&lt;BeginnAlter,"",ROUND(v^($CU31+FaktorAlter)*$L31*$D31*0.5*(VLOOKUP($CU31-DM$103,Männer!$G$9:$J$102,4)+VLOOKUP($CU31-DM$103+1,Männer!$G$9:$J$102,4))*0.5*(VLOOKUP($CU31-DM$103,Männer!$AZ$9:$BD$102,5)+VLOOKUP($CU31-DM$103+1,Männer!$AZ$9:$BD$102,5)),RundDx)))</f>
        <v>3462962060</v>
      </c>
      <c r="DN31" s="25">
        <f>IF($CU31&gt;=RAF,"",IF($CU31-DN$103&lt;BeginnAlter,"",ROUND(v^($CU31+FaktorAlter)*$L31*$D31*0.5*(VLOOKUP($CU31-DN$103,Männer!$G$9:$J$102,4)+VLOOKUP($CU31-DN$103+1,Männer!$G$9:$J$102,4))*0.5*(VLOOKUP($CU31-DN$103,Männer!$AZ$9:$BD$102,5)+VLOOKUP($CU31-DN$103+1,Männer!$AZ$9:$BD$102,5)),RundDx)))</f>
        <v>3520193096</v>
      </c>
      <c r="DO31" s="25">
        <f>IF($CU31&gt;=RAF,"",IF($CU31-DO$103&lt;BeginnAlter,"",ROUND(v^($CU31+FaktorAlter)*$L31*$D31*0.5*(VLOOKUP($CU31-DO$103,Männer!$G$9:$J$102,4)+VLOOKUP($CU31-DO$103+1,Männer!$G$9:$J$102,4))*0.5*(VLOOKUP($CU31-DO$103,Männer!$AZ$9:$BD$102,5)+VLOOKUP($CU31-DO$103+1,Männer!$AZ$9:$BD$102,5)),RundDx)))</f>
        <v>3576352838</v>
      </c>
      <c r="DP31" s="25">
        <f>IF($CU31&gt;=RAF,"",IF($CU31-DP$103&lt;BeginnAlter,"",ROUND(v^($CU31+FaktorAlter)*$L31*$D31*0.5*(VLOOKUP($CU31-DP$103,Männer!$G$9:$J$102,4)+VLOOKUP($CU31-DP$103+1,Männer!$G$9:$J$102,4))*0.5*(VLOOKUP($CU31-DP$103,Männer!$AZ$9:$BD$102,5)+VLOOKUP($CU31-DP$103+1,Männer!$AZ$9:$BD$102,5)),RundDx)))</f>
        <v>3631357553</v>
      </c>
      <c r="DQ31" s="25">
        <f>IF($CU31&gt;=RAF,"",IF($CU31-DQ$103&lt;BeginnAlter,"",ROUND(v^($CU31+FaktorAlter)*$L31*$D31*0.5*(VLOOKUP($CU31-DQ$103,Männer!$G$9:$J$102,4)+VLOOKUP($CU31-DQ$103+1,Männer!$G$9:$J$102,4))*0.5*(VLOOKUP($CU31-DQ$103,Männer!$AZ$9:$BD$102,5)+VLOOKUP($CU31-DQ$103+1,Männer!$AZ$9:$BD$102,5)),RundDx)))</f>
        <v>3685247190</v>
      </c>
      <c r="DR31" s="25">
        <f>IF($CU31&gt;=RAF,"",IF($CU31-DR$103&lt;BeginnAlter,"",ROUND(v^($CU31+FaktorAlter)*$L31*$D31*0.5*(VLOOKUP($CU31-DR$103,Männer!$G$9:$J$102,4)+VLOOKUP($CU31-DR$103+1,Männer!$G$9:$J$102,4))*0.5*(VLOOKUP($CU31-DR$103,Männer!$AZ$9:$BD$102,5)+VLOOKUP($CU31-DR$103+1,Männer!$AZ$9:$BD$102,5)),RundDx)))</f>
        <v>3738065217</v>
      </c>
      <c r="DS31" s="25">
        <f>IF($CU31&gt;=RAF,"",IF($CU31-DS$103&lt;BeginnAlter,"",ROUND(v^($CU31+FaktorAlter)*$L31*$D31*0.5*(VLOOKUP($CU31-DS$103,Männer!$G$9:$J$102,4)+VLOOKUP($CU31-DS$103+1,Männer!$G$9:$J$102,4))*0.5*(VLOOKUP($CU31-DS$103,Männer!$AZ$9:$BD$102,5)+VLOOKUP($CU31-DS$103+1,Männer!$AZ$9:$BD$102,5)),RundDx)))</f>
        <v>3789839362</v>
      </c>
      <c r="DT31" s="25">
        <f>IF($CU31&gt;=RAF,"",IF($CU31-DT$103&lt;BeginnAlter,"",ROUND(v^($CU31+FaktorAlter)*$L31*$D31*0.5*(VLOOKUP($CU31-DT$103,Männer!$G$9:$J$102,4)+VLOOKUP($CU31-DT$103+1,Männer!$G$9:$J$102,4))*0.5*(VLOOKUP($CU31-DT$103,Männer!$AZ$9:$BD$102,5)+VLOOKUP($CU31-DT$103+1,Männer!$AZ$9:$BD$102,5)),RundDx)))</f>
        <v>3840580257</v>
      </c>
      <c r="DU31" s="25">
        <f>IF($CU31&gt;=RAF,"",IF($CU31-DU$103&lt;BeginnAlter,"",ROUND(v^($CU31+FaktorAlter)*$L31*$D31*0.5*(VLOOKUP($CU31-DU$103,Männer!$G$9:$J$102,4)+VLOOKUP($CU31-DU$103+1,Männer!$G$9:$J$102,4))*0.5*(VLOOKUP($CU31-DU$103,Männer!$AZ$9:$BD$102,5)+VLOOKUP($CU31-DU$103+1,Männer!$AZ$9:$BD$102,5)),RundDx)))</f>
        <v>3890271121</v>
      </c>
      <c r="DV31" s="25">
        <f>IF($CU31&gt;=RAF,"",IF($CU31-DV$103&lt;BeginnAlter,"",ROUND(v^($CU31+FaktorAlter)*$L31*$D31*0.5*(VLOOKUP($CU31-DV$103,Männer!$G$9:$J$102,4)+VLOOKUP($CU31-DV$103+1,Männer!$G$9:$J$102,4))*0.5*(VLOOKUP($CU31-DV$103,Männer!$AZ$9:$BD$102,5)+VLOOKUP($CU31-DV$103+1,Männer!$AZ$9:$BD$102,5)),RundDx)))</f>
        <v>3938965877</v>
      </c>
      <c r="DW31" s="25">
        <f>IF($CU31&gt;=RAF,"",IF($CU31-DW$103&lt;BeginnAlter,"",ROUND(v^($CU31+FaktorAlter)*$L31*$D31*0.5*(VLOOKUP($CU31-DW$103,Männer!$G$9:$J$102,4)+VLOOKUP($CU31-DW$103+1,Männer!$G$9:$J$102,4))*0.5*(VLOOKUP($CU31-DW$103,Männer!$AZ$9:$BD$102,5)+VLOOKUP($CU31-DW$103+1,Männer!$AZ$9:$BD$102,5)),RundDx)))</f>
        <v>3986633387</v>
      </c>
      <c r="DX31" s="25">
        <f>IF($CU31&gt;=RAF,"",IF($CU31-DX$103&lt;BeginnAlter,"",ROUND(v^($CU31+FaktorAlter)*$L31*$D31*0.5*(VLOOKUP($CU31-DX$103,Männer!$G$9:$J$102,4)+VLOOKUP($CU31-DX$103+1,Männer!$G$9:$J$102,4))*0.5*(VLOOKUP($CU31-DX$103,Männer!$AZ$9:$BD$102,5)+VLOOKUP($CU31-DX$103+1,Männer!$AZ$9:$BD$102,5)),RundDx)))</f>
        <v>4033400325</v>
      </c>
      <c r="DY31" s="25">
        <f>IF($CU31&gt;=RAF,"",IF($CU31-DY$103&lt;BeginnAlter,"",ROUND(v^($CU31+FaktorAlter)*$L31*$D31*0.5*(VLOOKUP($CU31-DY$103,Männer!$G$9:$J$102,4)+VLOOKUP($CU31-DY$103+1,Männer!$G$9:$J$102,4))*0.5*(VLOOKUP($CU31-DY$103,Männer!$AZ$9:$BD$102,5)+VLOOKUP($CU31-DY$103+1,Männer!$AZ$9:$BD$102,5)),RundDx)))</f>
        <v>4079246202</v>
      </c>
      <c r="DZ31" s="25">
        <f>IF($CU31&gt;=RAF,"",IF($CU31-DZ$103&lt;BeginnAlter,"",ROUND(v^($CU31+FaktorAlter)*$L31*$D31*0.5*(VLOOKUP($CU31-DZ$103,Männer!$G$9:$J$102,4)+VLOOKUP($CU31-DZ$103+1,Männer!$G$9:$J$102,4))*0.5*(VLOOKUP($CU31-DZ$103,Männer!$AZ$9:$BD$102,5)+VLOOKUP($CU31-DZ$103+1,Männer!$AZ$9:$BD$102,5)),RundDx)))</f>
        <v>4124054931</v>
      </c>
      <c r="EA31" s="43">
        <f>IF($CU31&gt;=RAF,"",IF($CU31-EA$103&lt;BeginnAlter,"",ROUND((SUM(CV31:CV$56)+SUM(FN$9:FN$56))/VLOOKUP($CU31,$AH$9:$AI$102,2)/VLOOKUP($CU31-EA$103,Männer!$G$9:$J$102,4),Rundäx)))</f>
        <v>3.907</v>
      </c>
      <c r="EB31" s="43">
        <f>IF($CU31&gt;=RAF,"",IF($CU31-EB$103&lt;BeginnAlter,"",ROUND((SUM(CW31:CW$56)+SUM(FO$9:FO$56))/VLOOKUP($CU31,$AH$9:$AI$102,2)/VLOOKUP($CU31-EB$103,Männer!$G$9:$J$102,4),Rundäx)))</f>
        <v>4.0890000000000004</v>
      </c>
      <c r="EC31" s="43">
        <f>IF($CU31&gt;=RAF,"",IF($CU31-EC$103&lt;BeginnAlter,"",ROUND((SUM(CX31:CX$56)+SUM(FP$9:FP$56))/VLOOKUP($CU31,$AH$9:$AI$102,2)/VLOOKUP($CU31-EC$103,Männer!$G$9:$J$102,4),Rundäx)))</f>
        <v>4.2750000000000004</v>
      </c>
      <c r="ED31" s="43">
        <f>IF($CU31&gt;=RAF,"",IF($CU31-ED$103&lt;BeginnAlter,"",ROUND((SUM(CY31:CY$56)+SUM(FQ$9:FQ$56))/VLOOKUP($CU31,$AH$9:$AI$102,2)/VLOOKUP($CU31-ED$103,Männer!$G$9:$J$102,4),Rundäx)))</f>
        <v>4.4640000000000004</v>
      </c>
      <c r="EE31" s="43">
        <f>IF($CU31&gt;=RAF,"",IF($CU31-EE$103&lt;BeginnAlter,"",ROUND((SUM(CZ31:CZ$56)+SUM(FR$9:FR$56))/VLOOKUP($CU31,$AH$9:$AI$102,2)/VLOOKUP($CU31-EE$103,Männer!$G$9:$J$102,4),Rundäx)))</f>
        <v>4.6559999999999997</v>
      </c>
      <c r="EF31" s="43">
        <f>IF($CU31&gt;=RAF,"",IF($CU31-EF$103&lt;BeginnAlter,"",ROUND((SUM(DA31:DA$56)+SUM(FS$9:FS$56))/VLOOKUP($CU31,$AH$9:$AI$102,2)/VLOOKUP($CU31-EF$103,Männer!$G$9:$J$102,4),Rundäx)))</f>
        <v>4.851</v>
      </c>
      <c r="EG31" s="43">
        <f>IF($CU31&gt;=RAF,"",IF($CU31-EG$103&lt;BeginnAlter,"",ROUND((SUM(DB31:DB$56)+SUM(FT$9:FT$56))/VLOOKUP($CU31,$AH$9:$AI$102,2)/VLOOKUP($CU31-EG$103,Männer!$G$9:$J$102,4),Rundäx)))</f>
        <v>5.0490000000000004</v>
      </c>
      <c r="EH31" s="43">
        <f>IF($CU31&gt;=RAF,"",IF($CU31-EH$103&lt;BeginnAlter,"",ROUND((SUM(DC31:DC$56)+SUM(FU$9:FU$56))/VLOOKUP($CU31,$AH$9:$AI$102,2)/VLOOKUP($CU31-EH$103,Männer!$G$9:$J$102,4),Rundäx)))</f>
        <v>5.2489999999999997</v>
      </c>
      <c r="EI31" s="89"/>
      <c r="EJ31" s="35">
        <f t="shared" si="61"/>
        <v>39</v>
      </c>
      <c r="EK31" s="43">
        <f>IF($CU31&gt;=RAF,"",IF($CU31-EK$103&lt;BeginnAlter,"",ROUND((SUM(DD31:DD$56)+SUM(FV$9:FV$56))/VLOOKUP($CU31,$AH$9:$AI$102,2)/VLOOKUP($CU31-EK$103,Männer!$G$9:$J$102,4),Rundäx)))</f>
        <v>5.452</v>
      </c>
      <c r="EL31" s="43">
        <f>IF($CU31&gt;=RAF,"",IF($CU31-EL$103&lt;BeginnAlter,"",ROUND((SUM(DE31:DE$56)+SUM(FW$9:FW$56))/VLOOKUP($CU31,$AH$9:$AI$102,2)/VLOOKUP($CU31-EL$103,Männer!$G$9:$J$102,4),Rundäx)))</f>
        <v>5.6580000000000004</v>
      </c>
      <c r="EM31" s="43">
        <f>IF($CU31&gt;=RAF,"",IF($CU31-EM$103&lt;BeginnAlter,"",ROUND((SUM(DF31:DF$56)+SUM(FX$9:FX$56))/VLOOKUP($CU31,$AH$9:$AI$102,2)/VLOOKUP($CU31-EM$103,Männer!$G$9:$J$102,4),Rundäx)))</f>
        <v>5.867</v>
      </c>
      <c r="EN31" s="43">
        <f>IF($CU31&gt;=RAF,"",IF($CU31-EN$103&lt;BeginnAlter,"",ROUND((SUM(DG31:DG$56)+SUM(FY$9:FY$56))/VLOOKUP($CU31,$AH$9:$AI$102,2)/VLOOKUP($CU31-EN$103,Männer!$G$9:$J$102,4),Rundäx)))</f>
        <v>6.0780000000000003</v>
      </c>
      <c r="EO31" s="43">
        <f>IF($CU31&gt;=RAF,"",IF($CU31-EO$103&lt;BeginnAlter,"",ROUND((SUM(DH31:DH$56)+SUM(FZ$9:FZ$56))/VLOOKUP($CU31,$AH$9:$AI$102,2)/VLOOKUP($CU31-EO$103,Männer!$G$9:$J$102,4),Rundäx)))</f>
        <v>6.2930000000000001</v>
      </c>
      <c r="EP31" s="43">
        <f>IF($CU31&gt;=RAF,"",IF($CU31-EP$103&lt;BeginnAlter,"",ROUND((SUM(DI31:DI$56)+SUM(GA$9:GA$56))/VLOOKUP($CU31,$AH$9:$AI$102,2)/VLOOKUP($CU31-EP$103,Männer!$G$9:$J$102,4),Rundäx)))</f>
        <v>6.51</v>
      </c>
      <c r="EQ31" s="43">
        <f>IF($CU31&gt;=RAF,"",IF($CU31-EQ$103&lt;BeginnAlter,"",ROUND((SUM(DJ31:DJ$56)+SUM(GB$9:GB$56))/VLOOKUP($CU31,$AH$9:$AI$102,2)/VLOOKUP($CU31-EQ$103,Männer!$G$9:$J$102,4),Rundäx)))</f>
        <v>6.73</v>
      </c>
      <c r="ER31" s="43">
        <f>IF($CU31&gt;=RAF,"",IF($CU31-ER$103&lt;BeginnAlter,"",ROUND((SUM(DK31:DK$56)+SUM(GC$9:GC$56))/VLOOKUP($CU31,$AH$9:$AI$102,2)/VLOOKUP($CU31-ER$103,Männer!$G$9:$J$102,4),Rundäx)))</f>
        <v>6.952</v>
      </c>
      <c r="ES31" s="89"/>
      <c r="ET31" s="35">
        <f t="shared" si="62"/>
        <v>39</v>
      </c>
      <c r="EU31" s="43">
        <f>IF($CU31&gt;=RAF,"",IF($CU31-EU$103&lt;BeginnAlter,"",ROUND((SUM(DL31:DL$56)+SUM(GD$9:GD$56))/VLOOKUP($CU31,$AH$9:$AI$102,2)/VLOOKUP($CU31-EU$103,Männer!$G$9:$J$102,4),Rundäx)))</f>
        <v>7.1769999999999996</v>
      </c>
      <c r="EV31" s="43">
        <f>IF($CU31&gt;=RAF,"",IF($CU31-EV$103&lt;BeginnAlter,"",ROUND((SUM(DM31:DM$56)+SUM(GE$9:GE$56))/VLOOKUP($CU31,$AH$9:$AI$102,2)/VLOOKUP($CU31-EV$103,Männer!$G$9:$J$102,4),Rundäx)))</f>
        <v>7.4050000000000002</v>
      </c>
      <c r="EW31" s="43">
        <f>IF($CU31&gt;=RAF,"",IF($CU31-EW$103&lt;BeginnAlter,"",ROUND((SUM(DN31:DN$56)+SUM(GF$9:GF$56))/VLOOKUP($CU31,$AH$9:$AI$102,2)/VLOOKUP($CU31-EW$103,Männer!$G$9:$J$102,4),Rundäx)))</f>
        <v>7.6340000000000003</v>
      </c>
      <c r="EX31" s="43">
        <f>IF($CU31&gt;=RAF,"",IF($CU31-EX$103&lt;BeginnAlter,"",ROUND((SUM(DO31:DO$56)+SUM(GG$9:GG$56))/VLOOKUP($CU31,$AH$9:$AI$102,2)/VLOOKUP($CU31-EX$103,Männer!$G$9:$J$102,4),Rundäx)))</f>
        <v>7.8659999999999997</v>
      </c>
      <c r="EY31" s="43">
        <f>IF($CU31&gt;=RAF,"",IF($CU31-EY$103&lt;BeginnAlter,"",ROUND((SUM(DP31:DP$56)+SUM(GH$9:GH$56))/VLOOKUP($CU31,$AH$9:$AI$102,2)/VLOOKUP($CU31-EY$103,Männer!$G$9:$J$102,4),Rundäx)))</f>
        <v>8.0990000000000002</v>
      </c>
      <c r="EZ31" s="43">
        <f>IF($CU31&gt;=RAF,"",IF($CU31-EZ$103&lt;BeginnAlter,"",ROUND((SUM(DQ31:DQ$56)+SUM(GI$9:GI$56))/VLOOKUP($CU31,$AH$9:$AI$102,2)/VLOOKUP($CU31-EZ$103,Männer!$G$9:$J$102,4),Rundäx)))</f>
        <v>8.3339999999999996</v>
      </c>
      <c r="FA31" s="43">
        <f>IF($CU31&gt;=RAF,"",IF($CU31-FA$103&lt;BeginnAlter,"",ROUND((SUM(DR31:DR$56)+SUM(GJ$9:GJ$56))/VLOOKUP($CU31,$AH$9:$AI$102,2)/VLOOKUP($CU31-FA$103,Männer!$G$9:$J$102,4),Rundäx)))</f>
        <v>8.5690000000000008</v>
      </c>
      <c r="FB31" s="43">
        <f>IF($CU31&gt;=RAF,"",IF($CU31-FB$103&lt;BeginnAlter,"",ROUND((SUM(DS31:DS$56)+SUM(GK$9:GK$56))/VLOOKUP($CU31,$AH$9:$AI$102,2)/VLOOKUP($CU31-FB$103,Männer!$G$9:$J$102,4),Rundäx)))</f>
        <v>8.8049999999999997</v>
      </c>
      <c r="FC31" s="89"/>
      <c r="FD31" s="35">
        <f t="shared" si="63"/>
        <v>39</v>
      </c>
      <c r="FE31" s="43">
        <f>IF($CU31&gt;=RAF,"",IF($CU31-FE$103&lt;BeginnAlter,"",ROUND((SUM(DT31:DT$56)+SUM(GL$9:GL$56))/VLOOKUP($CU31,$AH$9:$AI$102,2)/VLOOKUP($CU31-FE$103,Männer!$G$9:$J$102,4),Rundäx)))</f>
        <v>9.0410000000000004</v>
      </c>
      <c r="FF31" s="43">
        <f>IF($CU31&gt;=RAF,"",IF($CU31-FF$103&lt;BeginnAlter,"",ROUND((SUM(DU31:DU$56)+SUM(GM$9:GM$56))/VLOOKUP($CU31,$AH$9:$AI$102,2)/VLOOKUP($CU31-FF$103,Männer!$G$9:$J$102,4),Rundäx)))</f>
        <v>9.2769999999999992</v>
      </c>
      <c r="FG31" s="43">
        <f>IF($CU31&gt;=RAF,"",IF($CU31-FG$103&lt;BeginnAlter,"",ROUND((SUM(DV31:DV$56)+SUM(GN$9:GN$56))/VLOOKUP($CU31,$AH$9:$AI$102,2)/VLOOKUP($CU31-FG$103,Männer!$G$9:$J$102,4),Rundäx)))</f>
        <v>9.5120000000000005</v>
      </c>
      <c r="FH31" s="43">
        <f>IF($CU31&gt;=RAF,"",IF($CU31-FH$103&lt;BeginnAlter,"",ROUND((SUM(DW31:DW$56)+SUM(GO$9:GO$56))/VLOOKUP($CU31,$AH$9:$AI$102,2)/VLOOKUP($CU31-FH$103,Männer!$G$9:$J$102,4),Rundäx)))</f>
        <v>9.7469999999999999</v>
      </c>
      <c r="FI31" s="43">
        <f>IF($CU31&gt;=RAF,"",IF($CU31-FI$103&lt;BeginnAlter,"",ROUND((SUM(DX31:DX$56)+SUM(GP$9:GP$56))/VLOOKUP($CU31,$AH$9:$AI$102,2)/VLOOKUP($CU31-FI$103,Männer!$G$9:$J$102,4),Rundäx)))</f>
        <v>9.98</v>
      </c>
      <c r="FJ31" s="43">
        <f>IF($CU31&gt;=RAF,"",IF($CU31-FJ$103&lt;BeginnAlter,"",ROUND((SUM(DY31:DY$56)+SUM(GQ$9:GQ$56))/VLOOKUP($CU31,$AH$9:$AI$102,2)/VLOOKUP($CU31-FJ$103,Männer!$G$9:$J$102,4),Rundäx)))</f>
        <v>10.212</v>
      </c>
      <c r="FK31" s="43">
        <f>IF($CU31&gt;=RAF,"",IF($CU31-FK$103&lt;BeginnAlter,"",ROUND((SUM(DZ31:DZ$56)+SUM(GR$9:GR$56))/VLOOKUP($CU31,$AH$9:$AI$102,2)/VLOOKUP($CU31-FK$103,Männer!$G$9:$J$102,4),Rundäx)))</f>
        <v>10.442</v>
      </c>
      <c r="FL31" s="89"/>
      <c r="FM31" s="35">
        <f t="shared" si="64"/>
        <v>86</v>
      </c>
      <c r="FN31" s="25"/>
      <c r="FO31" s="25">
        <f>ROUND(v^($FM31+FaktorAlter)*VLOOKUP($FM31,$G$9:$J$102,4)*VLOOKUP($FM31,$A$9:$E$102,5)*0.5*(VLOOKUP($FM31-FO$103,Männer!$G$9:$J$102,4)+VLOOKUP($FM31-FO$103+1,Männer!$G$9:$J$102,4))*0.5*(VLOOKUP($FM31-FO$103,Männer!$AZ$9:$BD$102,5)+VLOOKUP($FM31-FO$103+1,Männer!$AZ$9:$BD$102,5)),RundDx)</f>
        <v>123976</v>
      </c>
      <c r="FP31" s="25">
        <f>ROUND(v^($FM31+FaktorAlter)*VLOOKUP($FM31,$G$9:$J$102,4)*VLOOKUP($FM31,$A$9:$E$102,5)*0.5*(VLOOKUP($FM31-FP$103,Männer!$G$9:$J$102,4)+VLOOKUP($FM31-FP$103+1,Männer!$G$9:$J$102,4))*0.5*(VLOOKUP($FM31-FP$103,Männer!$AZ$9:$BD$102,5)+VLOOKUP($FM31-FP$103+1,Männer!$AZ$9:$BD$102,5)),RundDx)</f>
        <v>326952</v>
      </c>
      <c r="FQ31" s="25">
        <f>ROUND(v^($FM31+FaktorAlter)*VLOOKUP($FM31,$G$9:$J$102,4)*VLOOKUP($FM31,$A$9:$E$102,5)*0.5*(VLOOKUP($FM31-FQ$103,Männer!$G$9:$J$102,4)+VLOOKUP($FM31-FQ$103+1,Männer!$G$9:$J$102,4))*0.5*(VLOOKUP($FM31-FQ$103,Männer!$AZ$9:$BD$102,5)+VLOOKUP($FM31-FQ$103+1,Männer!$AZ$9:$BD$102,5)),RundDx)</f>
        <v>735503</v>
      </c>
      <c r="FR31" s="25">
        <f>ROUND(v^($FM31+FaktorAlter)*VLOOKUP($FM31,$G$9:$J$102,4)*VLOOKUP($FM31,$A$9:$E$102,5)*0.5*(VLOOKUP($FM31-FR$103,Männer!$G$9:$J$102,4)+VLOOKUP($FM31-FR$103+1,Männer!$G$9:$J$102,4))*0.5*(VLOOKUP($FM31-FR$103,Männer!$AZ$9:$BD$102,5)+VLOOKUP($FM31-FR$103+1,Männer!$AZ$9:$BD$102,5)),RundDx)</f>
        <v>1497921</v>
      </c>
      <c r="FS31" s="25">
        <f>ROUND(v^($FM31+FaktorAlter)*VLOOKUP($FM31,$G$9:$J$102,4)*VLOOKUP($FM31,$A$9:$E$102,5)*0.5*(VLOOKUP($FM31-FS$103,Männer!$G$9:$J$102,4)+VLOOKUP($FM31-FS$103+1,Männer!$G$9:$J$102,4))*0.5*(VLOOKUP($FM31-FS$103,Männer!$AZ$9:$BD$102,5)+VLOOKUP($FM31-FS$103+1,Männer!$AZ$9:$BD$102,5)),RundDx)</f>
        <v>2793587</v>
      </c>
      <c r="FT31" s="25">
        <f>ROUND(v^($FM31+FaktorAlter)*VLOOKUP($FM31,$G$9:$J$102,4)*VLOOKUP($FM31,$A$9:$E$102,5)*0.5*(VLOOKUP($FM31-FT$103,Männer!$G$9:$J$102,4)+VLOOKUP($FM31-FT$103+1,Männer!$G$9:$J$102,4))*0.5*(VLOOKUP($FM31-FT$103,Männer!$AZ$9:$BD$102,5)+VLOOKUP($FM31-FT$103+1,Männer!$AZ$9:$BD$102,5)),RundDx)</f>
        <v>4835275</v>
      </c>
      <c r="FU31" s="25">
        <f>ROUND(v^($FM31+FaktorAlter)*VLOOKUP($FM31,$G$9:$J$102,4)*VLOOKUP($FM31,$A$9:$E$102,5)*0.5*(VLOOKUP($FM31-FU$103,Männer!$G$9:$J$102,4)+VLOOKUP($FM31-FU$103+1,Männer!$G$9:$J$102,4))*0.5*(VLOOKUP($FM31-FU$103,Männer!$AZ$9:$BD$102,5)+VLOOKUP($FM31-FU$103+1,Männer!$AZ$9:$BD$102,5)),RundDx)</f>
        <v>7858998</v>
      </c>
      <c r="FV31" s="25">
        <f>ROUND(v^($FM31+FaktorAlter)*VLOOKUP($FM31,$G$9:$J$102,4)*VLOOKUP($FM31,$A$9:$E$102,5)*0.5*(VLOOKUP($FM31-FV$103,Männer!$G$9:$J$102,4)+VLOOKUP($FM31-FV$103+1,Männer!$G$9:$J$102,4))*0.5*(VLOOKUP($FM31-FV$103,Männer!$AZ$9:$BD$102,5)+VLOOKUP($FM31-FV$103+1,Männer!$AZ$9:$BD$102,5)),RundDx)</f>
        <v>12094164</v>
      </c>
      <c r="FW31" s="25">
        <f>ROUND(v^($FM31+FaktorAlter)*VLOOKUP($FM31,$G$9:$J$102,4)*VLOOKUP($FM31,$A$9:$E$102,5)*0.5*(VLOOKUP($FM31-FW$103,Männer!$G$9:$J$102,4)+VLOOKUP($FM31-FW$103+1,Männer!$G$9:$J$102,4))*0.5*(VLOOKUP($FM31-FW$103,Männer!$AZ$9:$BD$102,5)+VLOOKUP($FM31-FW$103+1,Männer!$AZ$9:$BD$102,5)),RundDx)</f>
        <v>17782593</v>
      </c>
      <c r="FX31" s="25">
        <f>ROUND(v^($FM31+FaktorAlter)*VLOOKUP($FM31,$G$9:$J$102,4)*VLOOKUP($FM31,$A$9:$E$102,5)*0.5*(VLOOKUP($FM31-FX$103,Männer!$G$9:$J$102,4)+VLOOKUP($FM31-FX$103+1,Männer!$G$9:$J$102,4))*0.5*(VLOOKUP($FM31-FX$103,Männer!$AZ$9:$BD$102,5)+VLOOKUP($FM31-FX$103+1,Männer!$AZ$9:$BD$102,5)),RundDx)</f>
        <v>25144173</v>
      </c>
      <c r="FY31" s="25">
        <f>ROUND(v^($FM31+FaktorAlter)*VLOOKUP($FM31,$G$9:$J$102,4)*VLOOKUP($FM31,$A$9:$E$102,5)*0.5*(VLOOKUP($FM31-FY$103,Männer!$G$9:$J$102,4)+VLOOKUP($FM31-FY$103+1,Männer!$G$9:$J$102,4))*0.5*(VLOOKUP($FM31-FY$103,Männer!$AZ$9:$BD$102,5)+VLOOKUP($FM31-FY$103+1,Männer!$AZ$9:$BD$102,5)),RundDx)</f>
        <v>34340230</v>
      </c>
      <c r="FZ31" s="25">
        <f>ROUND(v^($FM31+FaktorAlter)*VLOOKUP($FM31,$G$9:$J$102,4)*VLOOKUP($FM31,$A$9:$E$102,5)*0.5*(VLOOKUP($FM31-FZ$103,Männer!$G$9:$J$102,4)+VLOOKUP($FM31-FZ$103+1,Männer!$G$9:$J$102,4))*0.5*(VLOOKUP($FM31-FZ$103,Männer!$AZ$9:$BD$102,5)+VLOOKUP($FM31-FZ$103+1,Männer!$AZ$9:$BD$102,5)),RundDx)</f>
        <v>45495175</v>
      </c>
      <c r="GA31" s="25">
        <f>ROUND(v^($FM31+FaktorAlter)*VLOOKUP($FM31,$G$9:$J$102,4)*VLOOKUP($FM31,$A$9:$E$102,5)*0.5*(VLOOKUP($FM31-GA$103,Männer!$G$9:$J$102,4)+VLOOKUP($FM31-GA$103+1,Männer!$G$9:$J$102,4))*0.5*(VLOOKUP($FM31-GA$103,Männer!$AZ$9:$BD$102,5)+VLOOKUP($FM31-GA$103+1,Männer!$AZ$9:$BD$102,5)),RundDx)</f>
        <v>58673203</v>
      </c>
      <c r="GB31" s="25">
        <f>ROUND(v^($FM31+FaktorAlter)*VLOOKUP($FM31,$G$9:$J$102,4)*VLOOKUP($FM31,$A$9:$E$102,5)*0.5*(VLOOKUP($FM31-GB$103,Männer!$G$9:$J$102,4)+VLOOKUP($FM31-GB$103+1,Männer!$G$9:$J$102,4))*0.5*(VLOOKUP($FM31-GB$103,Männer!$AZ$9:$BD$102,5)+VLOOKUP($FM31-GB$103+1,Männer!$AZ$9:$BD$102,5)),RundDx)</f>
        <v>73826138</v>
      </c>
      <c r="GC31" s="25">
        <f>ROUND(v^($FM31+FaktorAlter)*VLOOKUP($FM31,$G$9:$J$102,4)*VLOOKUP($FM31,$A$9:$E$102,5)*0.5*(VLOOKUP($FM31-GC$103,Männer!$G$9:$J$102,4)+VLOOKUP($FM31-GC$103+1,Männer!$G$9:$J$102,4))*0.5*(VLOOKUP($FM31-GC$103,Männer!$AZ$9:$BD$102,5)+VLOOKUP($FM31-GC$103+1,Männer!$AZ$9:$BD$102,5)),RundDx)</f>
        <v>90858196</v>
      </c>
      <c r="GD31" s="25">
        <f>ROUND(v^($FM31+FaktorAlter)*VLOOKUP($FM31,$G$9:$J$102,4)*VLOOKUP($FM31,$A$9:$E$102,5)*0.5*(VLOOKUP($FM31-GD$103,Männer!$G$9:$J$102,4)+VLOOKUP($FM31-GD$103+1,Männer!$G$9:$J$102,4))*0.5*(VLOOKUP($FM31-GD$103,Männer!$AZ$9:$BD$102,5)+VLOOKUP($FM31-GD$103+1,Männer!$AZ$9:$BD$102,5)),RundDx)</f>
        <v>109720835</v>
      </c>
      <c r="GE31" s="25">
        <f>ROUND(v^($FM31+FaktorAlter)*VLOOKUP($FM31,$G$9:$J$102,4)*VLOOKUP($FM31,$A$9:$E$102,5)*0.5*(VLOOKUP($FM31-GE$103,Männer!$G$9:$J$102,4)+VLOOKUP($FM31-GE$103+1,Männer!$G$9:$J$102,4))*0.5*(VLOOKUP($FM31-GE$103,Männer!$AZ$9:$BD$102,5)+VLOOKUP($FM31-GE$103+1,Männer!$AZ$9:$BD$102,5)),RundDx)</f>
        <v>130350288</v>
      </c>
      <c r="GF31" s="25">
        <f>ROUND(v^($FM31+FaktorAlter)*VLOOKUP($FM31,$G$9:$J$102,4)*VLOOKUP($FM31,$A$9:$E$102,5)*0.5*(VLOOKUP($FM31-GF$103,Männer!$G$9:$J$102,4)+VLOOKUP($FM31-GF$103+1,Männer!$G$9:$J$102,4))*0.5*(VLOOKUP($FM31-GF$103,Männer!$AZ$9:$BD$102,5)+VLOOKUP($FM31-GF$103+1,Männer!$AZ$9:$BD$102,5)),RundDx)</f>
        <v>152640129</v>
      </c>
      <c r="GG31" s="25">
        <f>ROUND(v^($FM31+FaktorAlter)*VLOOKUP($FM31,$G$9:$J$102,4)*VLOOKUP($FM31,$A$9:$E$102,5)*0.5*(VLOOKUP($FM31-GG$103,Männer!$G$9:$J$102,4)+VLOOKUP($FM31-GG$103+1,Männer!$G$9:$J$102,4))*0.5*(VLOOKUP($FM31-GG$103,Männer!$AZ$9:$BD$102,5)+VLOOKUP($FM31-GG$103+1,Männer!$AZ$9:$BD$102,5)),RundDx)</f>
        <v>176506681</v>
      </c>
      <c r="GH31" s="25">
        <f>ROUND(v^($FM31+FaktorAlter)*VLOOKUP($FM31,$G$9:$J$102,4)*VLOOKUP($FM31,$A$9:$E$102,5)*0.5*(VLOOKUP($FM31-GH$103,Männer!$G$9:$J$102,4)+VLOOKUP($FM31-GH$103+1,Männer!$G$9:$J$102,4))*0.5*(VLOOKUP($FM31-GH$103,Männer!$AZ$9:$BD$102,5)+VLOOKUP($FM31-GH$103+1,Männer!$AZ$9:$BD$102,5)),RundDx)</f>
        <v>201853349</v>
      </c>
      <c r="GI31" s="25">
        <f>ROUND(v^($FM31+FaktorAlter)*VLOOKUP($FM31,$G$9:$J$102,4)*VLOOKUP($FM31,$A$9:$E$102,5)*0.5*(VLOOKUP($FM31-GI$103,Männer!$G$9:$J$102,4)+VLOOKUP($FM31-GI$103+1,Männer!$G$9:$J$102,4))*0.5*(VLOOKUP($FM31-GI$103,Männer!$AZ$9:$BD$102,5)+VLOOKUP($FM31-GI$103+1,Männer!$AZ$9:$BD$102,5)),RundDx)</f>
        <v>228546343</v>
      </c>
      <c r="GJ31" s="25">
        <f>ROUND(v^($FM31+FaktorAlter)*VLOOKUP($FM31,$G$9:$J$102,4)*VLOOKUP($FM31,$A$9:$E$102,5)*0.5*(VLOOKUP($FM31-GJ$103,Männer!$G$9:$J$102,4)+VLOOKUP($FM31-GJ$103+1,Männer!$G$9:$J$102,4))*0.5*(VLOOKUP($FM31-GJ$103,Männer!$AZ$9:$BD$102,5)+VLOOKUP($FM31-GJ$103+1,Männer!$AZ$9:$BD$102,5)),RundDx)</f>
        <v>256457455</v>
      </c>
      <c r="GK31" s="25">
        <f>ROUND(v^($FM31+FaktorAlter)*VLOOKUP($FM31,$G$9:$J$102,4)*VLOOKUP($FM31,$A$9:$E$102,5)*0.5*(VLOOKUP($FM31-GK$103,Männer!$G$9:$J$102,4)+VLOOKUP($FM31-GK$103+1,Männer!$G$9:$J$102,4))*0.5*(VLOOKUP($FM31-GK$103,Männer!$AZ$9:$BD$102,5)+VLOOKUP($FM31-GK$103+1,Männer!$AZ$9:$BD$102,5)),RundDx)</f>
        <v>285452086</v>
      </c>
      <c r="GL31" s="25">
        <f>ROUND(v^($FM31+FaktorAlter)*VLOOKUP($FM31,$G$9:$J$102,4)*VLOOKUP($FM31,$A$9:$E$102,5)*0.5*(VLOOKUP($FM31-GL$103,Männer!$G$9:$J$102,4)+VLOOKUP($FM31-GL$103+1,Männer!$G$9:$J$102,4))*0.5*(VLOOKUP($FM31-GL$103,Männer!$AZ$9:$BD$102,5)+VLOOKUP($FM31-GL$103+1,Männer!$AZ$9:$BD$102,5)),RundDx)</f>
        <v>315385431</v>
      </c>
      <c r="GM31" s="25">
        <f>ROUND(v^($FM31+FaktorAlter)*VLOOKUP($FM31,$G$9:$J$102,4)*VLOOKUP($FM31,$A$9:$E$102,5)*0.5*(VLOOKUP($FM31-GM$103,Männer!$G$9:$J$102,4)+VLOOKUP($FM31-GM$103+1,Männer!$G$9:$J$102,4))*0.5*(VLOOKUP($FM31-GM$103,Männer!$AZ$9:$BD$102,5)+VLOOKUP($FM31-GM$103+1,Männer!$AZ$9:$BD$102,5)),RundDx)</f>
        <v>346096529</v>
      </c>
      <c r="GN31" s="25">
        <f>ROUND(v^($FM31+FaktorAlter)*VLOOKUP($FM31,$G$9:$J$102,4)*VLOOKUP($FM31,$A$9:$E$102,5)*0.5*(VLOOKUP($FM31-GN$103,Männer!$G$9:$J$102,4)+VLOOKUP($FM31-GN$103+1,Männer!$G$9:$J$102,4))*0.5*(VLOOKUP($FM31-GN$103,Männer!$AZ$9:$BD$102,5)+VLOOKUP($FM31-GN$103+1,Männer!$AZ$9:$BD$102,5)),RundDx)</f>
        <v>377389266</v>
      </c>
      <c r="GO31" s="25">
        <f>ROUND(v^($FM31+FaktorAlter)*VLOOKUP($FM31,$G$9:$J$102,4)*VLOOKUP($FM31,$A$9:$E$102,5)*0.5*(VLOOKUP($FM31-GO$103,Männer!$G$9:$J$102,4)+VLOOKUP($FM31-GO$103+1,Männer!$G$9:$J$102,4))*0.5*(VLOOKUP($FM31-GO$103,Männer!$AZ$9:$BD$102,5)+VLOOKUP($FM31-GO$103+1,Männer!$AZ$9:$BD$102,5)),RundDx)</f>
        <v>409117630</v>
      </c>
      <c r="GP31" s="25">
        <f>ROUND(v^($FM31+FaktorAlter)*VLOOKUP($FM31,$G$9:$J$102,4)*VLOOKUP($FM31,$A$9:$E$102,5)*0.5*(VLOOKUP($FM31-GP$103,Männer!$G$9:$J$102,4)+VLOOKUP($FM31-GP$103+1,Männer!$G$9:$J$102,4))*0.5*(VLOOKUP($FM31-GP$103,Männer!$AZ$9:$BD$102,5)+VLOOKUP($FM31-GP$103+1,Männer!$AZ$9:$BD$102,5)),RundDx)</f>
        <v>441100636</v>
      </c>
      <c r="GQ31" s="25">
        <f>ROUND(v^($FM31+FaktorAlter)*VLOOKUP($FM31,$G$9:$J$102,4)*VLOOKUP($FM31,$A$9:$E$102,5)*0.5*(VLOOKUP($FM31-GQ$103,Männer!$G$9:$J$102,4)+VLOOKUP($FM31-GQ$103+1,Männer!$G$9:$J$102,4))*0.5*(VLOOKUP($FM31-GQ$103,Männer!$AZ$9:$BD$102,5)+VLOOKUP($FM31-GQ$103+1,Männer!$AZ$9:$BD$102,5)),RundDx)</f>
        <v>473321805</v>
      </c>
      <c r="GR31" s="25">
        <f>ROUND(v^($FM31+FaktorAlter)*VLOOKUP($FM31,$G$9:$J$102,4)*VLOOKUP($FM31,$A$9:$E$102,5)*0.5*(VLOOKUP($FM31-GR$103,Männer!$G$9:$J$102,4)+VLOOKUP($FM31-GR$103+1,Männer!$G$9:$J$102,4))*0.5*(VLOOKUP($FM31-GR$103,Männer!$AZ$9:$BD$102,5)+VLOOKUP($FM31-GR$103+1,Männer!$AZ$9:$BD$102,5)),RundDx)</f>
        <v>505741301</v>
      </c>
      <c r="GS31" s="24">
        <f>ROUND(SUM(FN31:FN$56)/VLOOKUP($FM31,$AQ$9:$AR$102,2)/VLOOKUP($FM31-GS$103,Männer!$G$9:$J$102,4),Rundäx)</f>
        <v>0</v>
      </c>
      <c r="GT31" s="24">
        <f>ROUND(SUM(FO31:FO$56)/VLOOKUP($FM31,$AQ$9:$AR$102,2)/VLOOKUP($FM31-GT$103,Männer!$G$9:$J$102,4),Rundäx)</f>
        <v>6.5000000000000002E-2</v>
      </c>
      <c r="GU31" s="24">
        <f>ROUND(SUM(FP31:FP$56)/VLOOKUP($FM31,$AQ$9:$AR$102,2)/VLOOKUP($FM31-GU$103,Männer!$G$9:$J$102,4),Rundäx)</f>
        <v>0.111</v>
      </c>
      <c r="GV31" s="24">
        <f>ROUND(SUM(FQ31:FQ$56)/VLOOKUP($FM31,$AQ$9:$AR$102,2)/VLOOKUP($FM31-GV$103,Männer!$G$9:$J$102,4),Rundäx)</f>
        <v>0.153</v>
      </c>
      <c r="GW31" s="24">
        <f>ROUND(SUM(FR31:FR$56)/VLOOKUP($FM31,$AQ$9:$AR$102,2)/VLOOKUP($FM31-GW$103,Männer!$G$9:$J$102,4),Rundäx)</f>
        <v>0.19900000000000001</v>
      </c>
      <c r="GX31" s="24">
        <f>ROUND(SUM(FS31:FS$56)/VLOOKUP($FM31,$AQ$9:$AR$102,2)/VLOOKUP($FM31-GX$103,Männer!$G$9:$J$102,4),Rundäx)</f>
        <v>0.252</v>
      </c>
      <c r="GY31" s="24">
        <f>ROUND(SUM(FT31:FT$56)/VLOOKUP($FM31,$AQ$9:$AR$102,2)/VLOOKUP($FM31-GY$103,Männer!$G$9:$J$102,4),Rundäx)</f>
        <v>0.314</v>
      </c>
      <c r="GZ31" s="24">
        <f>ROUND(SUM(FU31:FU$56)/VLOOKUP($FM31,$AQ$9:$AR$102,2)/VLOOKUP($FM31-GZ$103,Männer!$G$9:$J$102,4),Rundäx)</f>
        <v>0.38800000000000001</v>
      </c>
      <c r="HA31" s="89"/>
      <c r="HB31" s="35">
        <f t="shared" si="65"/>
        <v>86</v>
      </c>
      <c r="HC31" s="24">
        <f>ROUND(SUM(FV31:FV$56)/VLOOKUP($FM31,$AQ$9:$AR$102,2)/VLOOKUP($FM31-HC$103,Männer!$G$9:$J$102,4),Rundäx)</f>
        <v>0.47299999999999998</v>
      </c>
      <c r="HD31" s="24">
        <f>ROUND(SUM(FW31:FW$56)/VLOOKUP($FM31,$AQ$9:$AR$102,2)/VLOOKUP($FM31-HD$103,Männer!$G$9:$J$102,4),Rundäx)</f>
        <v>0.57199999999999995</v>
      </c>
      <c r="HE31" s="24">
        <f>ROUND(SUM(FX31:FX$56)/VLOOKUP($FM31,$AQ$9:$AR$102,2)/VLOOKUP($FM31-HE$103,Männer!$G$9:$J$102,4),Rundäx)</f>
        <v>0.68600000000000005</v>
      </c>
      <c r="HF31" s="24">
        <f>ROUND(SUM(FY31:FY$56)/VLOOKUP($FM31,$AQ$9:$AR$102,2)/VLOOKUP($FM31-HF$103,Männer!$G$9:$J$102,4),Rundäx)</f>
        <v>0.81599999999999995</v>
      </c>
      <c r="HG31" s="24">
        <f>ROUND(SUM(FZ31:FZ$56)/VLOOKUP($FM31,$AQ$9:$AR$102,2)/VLOOKUP($FM31-HG$103,Männer!$G$9:$J$102,4),Rundäx)</f>
        <v>0.96399999999999997</v>
      </c>
      <c r="HH31" s="24">
        <f>ROUND(SUM(GA31:GA$56)/VLOOKUP($FM31,$AQ$9:$AR$102,2)/VLOOKUP($FM31-HH$103,Männer!$G$9:$J$102,4),Rundäx)</f>
        <v>1.1299999999999999</v>
      </c>
      <c r="HI31" s="24">
        <f>ROUND(SUM(GB31:GB$56)/VLOOKUP($FM31,$AQ$9:$AR$102,2)/VLOOKUP($FM31-HI$103,Männer!$G$9:$J$102,4),Rundäx)</f>
        <v>1.3140000000000001</v>
      </c>
      <c r="HJ31" s="24">
        <f>ROUND(SUM(GC31:GC$56)/VLOOKUP($FM31,$AQ$9:$AR$102,2)/VLOOKUP($FM31-HJ$103,Männer!$G$9:$J$102,4),Rundäx)</f>
        <v>1.516</v>
      </c>
      <c r="HK31" s="89"/>
      <c r="HL31" s="35">
        <f t="shared" si="66"/>
        <v>86</v>
      </c>
      <c r="HM31" s="24">
        <f>ROUND(SUM(GD31:GD$56)/VLOOKUP($FM31,$AQ$9:$AR$102,2)/VLOOKUP($FM31-HM$103,Männer!$G$9:$J$102,4),Rundäx)</f>
        <v>1.7350000000000001</v>
      </c>
      <c r="HN31" s="24">
        <f>ROUND(SUM(GE31:GE$56)/VLOOKUP($FM31,$AQ$9:$AR$102,2)/VLOOKUP($FM31-HN$103,Männer!$G$9:$J$102,4),Rundäx)</f>
        <v>1.9710000000000001</v>
      </c>
      <c r="HO31" s="24">
        <f>ROUND(SUM(GF31:GF$56)/VLOOKUP($FM31,$AQ$9:$AR$102,2)/VLOOKUP($FM31-HO$103,Männer!$G$9:$J$102,4),Rundäx)</f>
        <v>2.2229999999999999</v>
      </c>
      <c r="HP31" s="24">
        <f>ROUND(SUM(GG31:GG$56)/VLOOKUP($FM31,$AQ$9:$AR$102,2)/VLOOKUP($FM31-HP$103,Männer!$G$9:$J$102,4),Rundäx)</f>
        <v>2.4910000000000001</v>
      </c>
      <c r="HQ31" s="24">
        <f>ROUND(SUM(GH31:GH$56)/VLOOKUP($FM31,$AQ$9:$AR$102,2)/VLOOKUP($FM31-HQ$103,Männer!$G$9:$J$102,4),Rundäx)</f>
        <v>2.7719999999999998</v>
      </c>
      <c r="HR31" s="24">
        <f>ROUND(SUM(GI31:GI$56)/VLOOKUP($FM31,$AQ$9:$AR$102,2)/VLOOKUP($FM31-HR$103,Männer!$G$9:$J$102,4),Rundäx)</f>
        <v>3.0670000000000002</v>
      </c>
      <c r="HS31" s="24">
        <f>ROUND(SUM(GJ31:GJ$56)/VLOOKUP($FM31,$AQ$9:$AR$102,2)/VLOOKUP($FM31-HS$103,Männer!$G$9:$J$102,4),Rundäx)</f>
        <v>3.3740000000000001</v>
      </c>
      <c r="HT31" s="24">
        <f>ROUND(SUM(GK31:GK$56)/VLOOKUP($FM31,$AQ$9:$AR$102,2)/VLOOKUP($FM31-HT$103,Männer!$G$9:$J$102,4),Rundäx)</f>
        <v>3.6920000000000002</v>
      </c>
      <c r="HU31" s="89"/>
      <c r="HV31" s="35">
        <f t="shared" si="67"/>
        <v>86</v>
      </c>
      <c r="HW31" s="24">
        <f>ROUND(SUM(GL31:GL$56)/VLOOKUP($FM31,$AQ$9:$AR$102,2)/VLOOKUP($FM31-HW$103,Männer!$G$9:$J$102,4),Rundäx)</f>
        <v>4.0199999999999996</v>
      </c>
      <c r="HX31" s="24">
        <f>ROUND(SUM(GM31:GM$56)/VLOOKUP($FM31,$AQ$9:$AR$102,2)/VLOOKUP($FM31-HX$103,Männer!$G$9:$J$102,4),Rundäx)</f>
        <v>4.3570000000000002</v>
      </c>
      <c r="HY31" s="24">
        <f>ROUND(SUM(GN31:GN$56)/VLOOKUP($FM31,$AQ$9:$AR$102,2)/VLOOKUP($FM31-HY$103,Männer!$G$9:$J$102,4),Rundäx)</f>
        <v>4.702</v>
      </c>
      <c r="HZ31" s="24">
        <f>ROUND(SUM(GO31:GO$56)/VLOOKUP($FM31,$AQ$9:$AR$102,2)/VLOOKUP($FM31-HZ$103,Männer!$G$9:$J$102,4),Rundäx)</f>
        <v>5.0540000000000003</v>
      </c>
      <c r="IA31" s="24">
        <f>ROUND(SUM(GP31:GP$56)/VLOOKUP($FM31,$AQ$9:$AR$102,2)/VLOOKUP($FM31-IA$103,Männer!$G$9:$J$102,4),Rundäx)</f>
        <v>5.4130000000000003</v>
      </c>
      <c r="IB31" s="24">
        <f>ROUND(SUM(GQ31:GQ$56)/VLOOKUP($FM31,$AQ$9:$AR$102,2)/VLOOKUP($FM31-IB$103,Männer!$G$9:$J$102,4),Rundäx)</f>
        <v>5.7759999999999998</v>
      </c>
      <c r="IC31" s="24">
        <f>ROUND(SUM(GR31:GR$56)/VLOOKUP($FM31,$AQ$9:$AR$102,2)/VLOOKUP($FM31-IC$103,Männer!$G$9:$J$102,4),Rundäx)</f>
        <v>6.1429999999999998</v>
      </c>
      <c r="ID31" s="89"/>
      <c r="IE31" s="9">
        <f t="shared" si="68"/>
        <v>39</v>
      </c>
      <c r="IF31" s="11">
        <f t="shared" si="25"/>
        <v>324</v>
      </c>
      <c r="IG31" s="11">
        <f>IF($IE31&lt;RAF,IF(S32&lt;=RAK,ROUND(SUM(IF31:INDEX(Daky,RAF-BeginnAlter))+INDEX(Day,RAF-BeginnAlter+1)*INDEX(äky,1),RundDx),0),"")</f>
        <v>2637</v>
      </c>
      <c r="IH31" s="11">
        <f>IF($IE31&lt;RAF,IF(S32&lt;=RAK,ROUND(SUM(IG31:INDEX(Naky,RAF-BeginnAlter))+INDEX(Day,RAF-BeginnAlter+1)*INDEX(äky,1),RundDx),0),"")</f>
        <v>15017</v>
      </c>
      <c r="II31" s="10">
        <f t="shared" si="26"/>
        <v>6.5000000000000002E-2</v>
      </c>
      <c r="IJ31" s="11">
        <f t="shared" si="27"/>
        <v>14131</v>
      </c>
      <c r="IK31" s="11">
        <f>IF($IE31&lt;RAF,IF(S32&lt;=RAK,SUM(IJ31:INDEX(Diky,RAF-BeginnAlter))+INDEX(Diy,RAF-BeginnAlter+1)*INDEX(äky,1),0),"")</f>
        <v>78162</v>
      </c>
      <c r="IL31" s="10">
        <f t="shared" si="28"/>
        <v>1.226</v>
      </c>
      <c r="IM31" s="89"/>
      <c r="IN31" s="9">
        <f t="shared" si="29"/>
        <v>86</v>
      </c>
      <c r="IO31" s="11"/>
      <c r="IP31" s="11"/>
      <c r="IQ31" s="10"/>
      <c r="IR31" s="86"/>
    </row>
    <row r="32" spans="1:252" ht="15.75" customHeight="1" x14ac:dyDescent="0.25">
      <c r="A32" s="9">
        <f t="shared" si="4"/>
        <v>40</v>
      </c>
      <c r="B32" s="93">
        <v>4.8509475800617312E-4</v>
      </c>
      <c r="C32" s="93">
        <v>3.3490886522002284E-3</v>
      </c>
      <c r="D32" s="93">
        <v>2.1366116010051284E-2</v>
      </c>
      <c r="E32" s="93">
        <v>1.0514077743517536E-3</v>
      </c>
      <c r="F32" s="89"/>
      <c r="G32" s="9">
        <f t="shared" si="5"/>
        <v>40</v>
      </c>
      <c r="H32" s="11">
        <f t="shared" si="30"/>
        <v>96408</v>
      </c>
      <c r="I32" s="25">
        <f t="shared" si="31"/>
        <v>2507</v>
      </c>
      <c r="J32" s="25">
        <f t="shared" si="32"/>
        <v>98915</v>
      </c>
      <c r="K32" s="30">
        <f>IF(J32&gt;0,ROUND(SUM(J32:J$102)/J32-0.5,Rundex),"")</f>
        <v>42.63</v>
      </c>
      <c r="L32" s="25">
        <f t="shared" si="6"/>
        <v>148488</v>
      </c>
      <c r="M32" s="30">
        <f>IF(L32&gt;0,ROUND(SUM(L32:L$102)/L32-0.5,Rundex),"")</f>
        <v>31.9</v>
      </c>
      <c r="N32" s="89"/>
      <c r="O32" s="9">
        <f t="shared" si="49"/>
        <v>40</v>
      </c>
      <c r="P32" s="94">
        <v>0.28553607548187276</v>
      </c>
      <c r="Q32" s="95">
        <v>43.204840202451223</v>
      </c>
      <c r="R32" s="94">
        <v>0.59686823845729442</v>
      </c>
      <c r="S32" s="95">
        <v>3.6526807826002909</v>
      </c>
      <c r="T32" s="28">
        <v>9.7499999999999996E-4</v>
      </c>
      <c r="U32" s="11">
        <f t="shared" si="33"/>
        <v>98921</v>
      </c>
      <c r="V32" s="30">
        <f>IF(U32&gt;0,ROUND(SUM(U32:U$102)/U32-0.5,Rundex),"")</f>
        <v>43.93</v>
      </c>
      <c r="W32" s="89"/>
      <c r="X32" s="9">
        <f t="shared" si="50"/>
        <v>40</v>
      </c>
      <c r="Y32" s="11">
        <f t="shared" si="34"/>
        <v>39590</v>
      </c>
      <c r="Z32" s="11">
        <f>IF($X32&lt;RAF,SUM(Y32:INDEX(Day,RAF-BeginnAlter))," ")</f>
        <v>684096</v>
      </c>
      <c r="AA32" s="11">
        <f t="shared" si="0"/>
        <v>19</v>
      </c>
      <c r="AB32" s="11">
        <f>IF($X32&lt;RAF,SUM(AA32:INDEX(Cay,RAF-BeginnAlter))," ")</f>
        <v>1125</v>
      </c>
      <c r="AC32" s="11">
        <f t="shared" si="1"/>
        <v>131</v>
      </c>
      <c r="AD32" s="11">
        <f>IF($X32&lt;RAF,SUM(AC32:INDEX(Caiy,RAF-BeginnAlter))," ")</f>
        <v>7129</v>
      </c>
      <c r="AE32" s="10">
        <f t="shared" si="35"/>
        <v>17.28</v>
      </c>
      <c r="AF32" s="10">
        <f t="shared" si="36"/>
        <v>17.010999999999999</v>
      </c>
      <c r="AG32" s="89"/>
      <c r="AH32" s="9">
        <f t="shared" si="51"/>
        <v>40</v>
      </c>
      <c r="AI32" s="11">
        <f t="shared" si="37"/>
        <v>60976</v>
      </c>
      <c r="AJ32" s="11">
        <f>IF($AH32&gt;RAF," ",IF($AH32&lt;RAF,SUM(AI32:INDEX(Diy,RAF-BeginnAlter))+INDEX(Ny,RAF-BeginnAlter+1),INDEX(Ny,RAF-BeginnAlter+1)))</f>
        <v>1304039</v>
      </c>
      <c r="AK32" s="11">
        <f>IF($AH32&lt;RAF,SUM(AI32:INDEX(Diy,RAF-BeginnAlter))," ")</f>
        <v>937945</v>
      </c>
      <c r="AL32" s="10">
        <f t="shared" si="38"/>
        <v>21.385999999999999</v>
      </c>
      <c r="AM32" s="10">
        <f t="shared" si="39"/>
        <v>20.928000000000001</v>
      </c>
      <c r="AN32" s="10">
        <f t="shared" si="40"/>
        <v>15.382</v>
      </c>
      <c r="AO32" s="10">
        <f t="shared" si="41"/>
        <v>15.087</v>
      </c>
      <c r="AP32" s="89"/>
      <c r="AQ32" s="9">
        <f t="shared" si="52"/>
        <v>40</v>
      </c>
      <c r="AR32" s="11">
        <f t="shared" si="42"/>
        <v>40619</v>
      </c>
      <c r="AS32" s="11">
        <f>SUM(AR32:AR$96)</f>
        <v>1111973</v>
      </c>
      <c r="AT32" s="25">
        <f>IF($AQ32&lt;RAF,SUM(AR32:INDEX(Dy,RAF-BeginnAlter))," ")</f>
        <v>745879</v>
      </c>
      <c r="AU32" s="24">
        <f t="shared" si="43"/>
        <v>27.376000000000001</v>
      </c>
      <c r="AV32" s="24">
        <f t="shared" si="44"/>
        <v>26.917000000000002</v>
      </c>
      <c r="AW32" s="24">
        <f t="shared" si="45"/>
        <v>18.363</v>
      </c>
      <c r="AX32" s="24">
        <f t="shared" si="46"/>
        <v>18.149999999999999</v>
      </c>
      <c r="AY32" s="89"/>
      <c r="AZ32" s="9">
        <f t="shared" si="53"/>
        <v>40</v>
      </c>
      <c r="BA32" s="11">
        <f t="shared" si="47"/>
        <v>40621</v>
      </c>
      <c r="BB32" s="11">
        <f>SUM(BA32:BA$96)</f>
        <v>1134761</v>
      </c>
      <c r="BC32" s="10">
        <f t="shared" si="48"/>
        <v>27.934999999999999</v>
      </c>
      <c r="BD32" s="10">
        <f t="shared" si="7"/>
        <v>27.477</v>
      </c>
      <c r="BE32" s="89"/>
      <c r="BF32" s="9">
        <f t="shared" si="54"/>
        <v>23</v>
      </c>
      <c r="BG32" s="10">
        <f t="shared" si="8"/>
        <v>1.978</v>
      </c>
      <c r="BH32" s="10">
        <f t="shared" si="9"/>
        <v>1.958</v>
      </c>
      <c r="BI32" s="89"/>
      <c r="BJ32" s="9">
        <f t="shared" si="55"/>
        <v>40</v>
      </c>
      <c r="BK32" s="11">
        <f t="shared" si="10"/>
        <v>2738</v>
      </c>
      <c r="BL32" s="11">
        <f>IF(BJ32&lt;RAF,SUM(BK32:INDEX(Daiy,RAF-BeginnAlter))," ")</f>
        <v>130507</v>
      </c>
      <c r="BM32" s="11">
        <f>IF(BJ32&lt;RAF,SUM(BL32:INDEX(Naiy,RAF-BeginnAlter))," ")</f>
        <v>1975774</v>
      </c>
      <c r="BN32" s="10">
        <f t="shared" si="11"/>
        <v>6.774</v>
      </c>
      <c r="BO32" s="10">
        <f t="shared" si="12"/>
        <v>3.2959999999999998</v>
      </c>
      <c r="BP32" s="89"/>
      <c r="BQ32" s="9">
        <f t="shared" si="56"/>
        <v>40</v>
      </c>
      <c r="BR32" s="11">
        <f t="shared" si="13"/>
        <v>1956</v>
      </c>
      <c r="BS32" s="11">
        <f>IF(BQ32&lt;RAF,SUM(BR32:INDEX(Daiys,RAF-BeginnAlter))," ")</f>
        <v>48578</v>
      </c>
      <c r="BT32" s="11">
        <f>IF(BQ32&lt;RAF,SUM(BS32:INDEX(Naiys,RAF-BeginnAlter))," ")</f>
        <v>560175</v>
      </c>
      <c r="BU32" s="10">
        <f t="shared" si="14"/>
        <v>8.843</v>
      </c>
      <c r="BV32" s="10">
        <f t="shared" si="15"/>
        <v>1.2270000000000001</v>
      </c>
      <c r="BW32" s="89"/>
      <c r="BX32" s="9">
        <f t="shared" si="57"/>
        <v>40</v>
      </c>
      <c r="BY32" s="10">
        <f t="shared" si="16"/>
        <v>13.737785055985638</v>
      </c>
      <c r="BZ32" s="11">
        <f t="shared" si="17"/>
        <v>1060</v>
      </c>
      <c r="CA32" s="11">
        <f>IF(S33&lt;=RAK,IF($BX32&lt;RAF,SUM(BZ32:INDEX(Dazy,RAF-BeginnAlter)),""),"")</f>
        <v>8732</v>
      </c>
      <c r="CB32" s="10">
        <f t="shared" si="18"/>
        <v>0.221</v>
      </c>
      <c r="CC32" s="11">
        <f t="shared" si="19"/>
        <v>23616</v>
      </c>
      <c r="CD32" s="10">
        <f t="shared" si="20"/>
        <v>17.631</v>
      </c>
      <c r="CE32" s="10">
        <f t="shared" si="21"/>
        <v>3.0000000000000001E-3</v>
      </c>
      <c r="CF32" s="89"/>
      <c r="CG32" s="9">
        <f t="shared" si="58"/>
        <v>40</v>
      </c>
      <c r="CH32" s="11">
        <f>IF(CG32&lt;RAF,ROUND(v^($CG32+FaktorAlter)*$H32*($B32*0.5*($P32+$P33)*(VLOOKUP(TRUNC(0.5*($Q32+$Q33),0),Männer!$AZ$9:$BD$95,5)+(0.5*($Q32+$Q33)-TRUNC(0.5*($Q32+$Q33),0))*(VLOOKUP(TRUNC(0.5*($Q32+$Q33)+1,0),Männer!$AZ$9:$BD$95,5)-VLOOKUP(TRUNC(0.5*($Q32+$Q33),0),Männer!$AZ$9:$BD$95,5)))+$C32*0.5*($CN32+$CN33)),RundDx),"")</f>
        <v>334</v>
      </c>
      <c r="CI32" s="11">
        <f>IF(CG32&lt;RAF,ROUND(SUM(CH32:INDEX(Dawy,RAF-BeginnAlter))+INDEX(Day,RAF-BeginnAlter+1)*INDEX(äwy,1),RundDx),"")</f>
        <v>10493</v>
      </c>
      <c r="CJ32" s="11">
        <f>IF(CG32&lt;RAF,ROUND(SUM(CI32:INDEX(Nawy,RAF-BeginnAlter))+INDEX(Day,RAF-BeginnAlter+1)*INDEX(äwy,1),RundDx),"")</f>
        <v>149417</v>
      </c>
      <c r="CK32" s="10">
        <f t="shared" si="22"/>
        <v>0.26500000000000001</v>
      </c>
      <c r="CL32" s="11">
        <f>IF(CG32&lt;RAF,ROUND(v^($CG32+FaktorAlter)*$L32*$D32*0.5*($P32+$P33)*(VLOOKUP(TRUNC(0.5*($Q32+$Q33),0),Männer!$AZ$9:$BD$95,5)+(0.5*($Q32+$Q33)-TRUNC(0.5*($Q32+$Q33),0))*(VLOOKUP(TRUNC(0.5*($Q32+$Q33)+1,0),Männer!$AZ$9:$BD$95,5)-VLOOKUP(TRUNC(0.5*($Q32+$Q33),0),Männer!$AZ$9:$BD$95,5))),RundDx),"")</f>
        <v>8626</v>
      </c>
      <c r="CM32" s="11">
        <f>IF(CG32&lt;RAF,SUM(CL32:INDEX(Diwy,RAF-BeginnAlter))+INDEX(Diy,RAF-BeginnAlter+1)*INDEX(äwy,1),"")</f>
        <v>98375.304000000004</v>
      </c>
      <c r="CN32" s="10">
        <f t="shared" si="23"/>
        <v>1.613</v>
      </c>
      <c r="CO32" s="89"/>
      <c r="CP32" s="9">
        <f t="shared" si="59"/>
        <v>87</v>
      </c>
      <c r="CQ32" s="11">
        <f>ROUND(v^($CP32+FaktorAlter)*VLOOKUP(CP32,G$9:J$102,4)*VLOOKUP(CP32,A$9:E$102,5)*0.5*(VLOOKUP(CP32,O$9:P$102,2)+VLOOKUP(CP32+1,O$9:P$102,2))*(VLOOKUP(TRUNC(0.5*(VLOOKUP(CP32,O$9:Q$102,3)+VLOOKUP(CP32+1,O$9:Q$102,3)),0),Männer!$AZ$9:$BD$95,5)+(0.5*(VLOOKUP(CP32,O$9:Q$102,3)+VLOOKUP(CP32+1,O$9:Q$102,3))-TRUNC(0.5*(VLOOKUP(CP32,O$9:Q$102,3)+VLOOKUP(CP32+1,O$9:Q$102,3)),0))*(VLOOKUP(TRUNC(0.5*(VLOOKUP(CP32,O$9:Q$102,3)+VLOOKUP(CP32+1,O$9:Q$102,3))+1,0),Männer!$AZ$9:$BD$95,5)-VLOOKUP(TRUNC(0.5*(VLOOKUP(CP32,O$9:Q$102,3)+VLOOKUP(CP32+1,O$9:Q$102,3)),0),Männer!$AZ$9:$BD$95,5))),RundDx)</f>
        <v>15</v>
      </c>
      <c r="CR32" s="11">
        <f>SUM(CQ32:CQ$56)</f>
        <v>72</v>
      </c>
      <c r="CS32" s="24">
        <f t="shared" si="24"/>
        <v>1.2E-2</v>
      </c>
      <c r="CT32" s="89"/>
      <c r="CU32" s="35">
        <f t="shared" si="60"/>
        <v>40</v>
      </c>
      <c r="CV32" s="25">
        <f>IF($CU32&gt;=RAF,"",IF($CU32-CV$103&lt;BeginnAlter,"",ROUND(v^($CU32+FaktorAlter)*$L32*$D32*0.5*(VLOOKUP($CU32-CV$103,Männer!$G$9:$J$102,4)+VLOOKUP($CU32-CV$103+1,Männer!$G$9:$J$102,4))*0.5*(VLOOKUP($CU32-CV$103,Männer!$AZ$9:$BD$102,5)+VLOOKUP($CU32-CV$103+1,Männer!$AZ$9:$BD$102,5)),RundDx)))</f>
        <v>2100413353</v>
      </c>
      <c r="CW32" s="25">
        <f>IF($CU32&gt;=RAF,"",IF($CU32-CW$103&lt;BeginnAlter,"",ROUND(v^($CU32+FaktorAlter)*$L32*$D32*0.5*(VLOOKUP($CU32-CW$103,Männer!$G$9:$J$102,4)+VLOOKUP($CU32-CW$103+1,Männer!$G$9:$J$102,4))*0.5*(VLOOKUP($CU32-CW$103,Männer!$AZ$9:$BD$102,5)+VLOOKUP($CU32-CW$103+1,Männer!$AZ$9:$BD$102,5)),RundDx)))</f>
        <v>2175142407</v>
      </c>
      <c r="CX32" s="25">
        <f>IF($CU32&gt;=RAF,"",IF($CU32-CX$103&lt;BeginnAlter,"",ROUND(v^($CU32+FaktorAlter)*$L32*$D32*0.5*(VLOOKUP($CU32-CX$103,Männer!$G$9:$J$102,4)+VLOOKUP($CU32-CX$103+1,Männer!$G$9:$J$102,4))*0.5*(VLOOKUP($CU32-CX$103,Männer!$AZ$9:$BD$102,5)+VLOOKUP($CU32-CX$103+1,Männer!$AZ$9:$BD$102,5)),RundDx)))</f>
        <v>2248742576</v>
      </c>
      <c r="CY32" s="25">
        <f>IF($CU32&gt;=RAF,"",IF($CU32-CY$103&lt;BeginnAlter,"",ROUND(v^($CU32+FaktorAlter)*$L32*$D32*0.5*(VLOOKUP($CU32-CY$103,Männer!$G$9:$J$102,4)+VLOOKUP($CU32-CY$103+1,Männer!$G$9:$J$102,4))*0.5*(VLOOKUP($CU32-CY$103,Männer!$AZ$9:$BD$102,5)+VLOOKUP($CU32-CY$103+1,Männer!$AZ$9:$BD$102,5)),RundDx)))</f>
        <v>2321224969</v>
      </c>
      <c r="CZ32" s="25">
        <f>IF($CU32&gt;=RAF,"",IF($CU32-CZ$103&lt;BeginnAlter,"",ROUND(v^($CU32+FaktorAlter)*$L32*$D32*0.5*(VLOOKUP($CU32-CZ$103,Männer!$G$9:$J$102,4)+VLOOKUP($CU32-CZ$103+1,Männer!$G$9:$J$102,4))*0.5*(VLOOKUP($CU32-CZ$103,Männer!$AZ$9:$BD$102,5)+VLOOKUP($CU32-CZ$103+1,Männer!$AZ$9:$BD$102,5)),RundDx)))</f>
        <v>2392459351</v>
      </c>
      <c r="DA32" s="25">
        <f>IF($CU32&gt;=RAF,"",IF($CU32-DA$103&lt;BeginnAlter,"",ROUND(v^($CU32+FaktorAlter)*$L32*$D32*0.5*(VLOOKUP($CU32-DA$103,Männer!$G$9:$J$102,4)+VLOOKUP($CU32-DA$103+1,Männer!$G$9:$J$102,4))*0.5*(VLOOKUP($CU32-DA$103,Männer!$AZ$9:$BD$102,5)+VLOOKUP($CU32-DA$103+1,Männer!$AZ$9:$BD$102,5)),RundDx)))</f>
        <v>2462453623</v>
      </c>
      <c r="DB32" s="25">
        <f>IF($CU32&gt;=RAF,"",IF($CU32-DB$103&lt;BeginnAlter,"",ROUND(v^($CU32+FaktorAlter)*$L32*$D32*0.5*(VLOOKUP($CU32-DB$103,Männer!$G$9:$J$102,4)+VLOOKUP($CU32-DB$103+1,Männer!$G$9:$J$102,4))*0.5*(VLOOKUP($CU32-DB$103,Männer!$AZ$9:$BD$102,5)+VLOOKUP($CU32-DB$103+1,Männer!$AZ$9:$BD$102,5)),RundDx)))</f>
        <v>2531316141</v>
      </c>
      <c r="DC32" s="25">
        <f>IF($CU32&gt;=RAF,"",IF($CU32-DC$103&lt;BeginnAlter,"",ROUND(v^($CU32+FaktorAlter)*$L32*$D32*0.5*(VLOOKUP($CU32-DC$103,Männer!$G$9:$J$102,4)+VLOOKUP($CU32-DC$103+1,Männer!$G$9:$J$102,4))*0.5*(VLOOKUP($CU32-DC$103,Männer!$AZ$9:$BD$102,5)+VLOOKUP($CU32-DC$103+1,Männer!$AZ$9:$BD$102,5)),RundDx)))</f>
        <v>2599002587</v>
      </c>
      <c r="DD32" s="25">
        <f>IF($CU32&gt;=RAF,"",IF($CU32-DD$103&lt;BeginnAlter,"",ROUND(v^($CU32+FaktorAlter)*$L32*$D32*0.5*(VLOOKUP($CU32-DD$103,Männer!$G$9:$J$102,4)+VLOOKUP($CU32-DD$103+1,Männer!$G$9:$J$102,4))*0.5*(VLOOKUP($CU32-DD$103,Männer!$AZ$9:$BD$102,5)+VLOOKUP($CU32-DD$103+1,Männer!$AZ$9:$BD$102,5)),RundDx)))</f>
        <v>2665440527</v>
      </c>
      <c r="DE32" s="25">
        <f>IF($CU32&gt;=RAF,"",IF($CU32-DE$103&lt;BeginnAlter,"",ROUND(v^($CU32+FaktorAlter)*$L32*$D32*0.5*(VLOOKUP($CU32-DE$103,Männer!$G$9:$J$102,4)+VLOOKUP($CU32-DE$103+1,Männer!$G$9:$J$102,4))*0.5*(VLOOKUP($CU32-DE$103,Männer!$AZ$9:$BD$102,5)+VLOOKUP($CU32-DE$103+1,Männer!$AZ$9:$BD$102,5)),RundDx)))</f>
        <v>2730712043</v>
      </c>
      <c r="DF32" s="25">
        <f>IF($CU32&gt;=RAF,"",IF($CU32-DF$103&lt;BeginnAlter,"",ROUND(v^($CU32+FaktorAlter)*$L32*$D32*0.5*(VLOOKUP($CU32-DF$103,Männer!$G$9:$J$102,4)+VLOOKUP($CU32-DF$103+1,Männer!$G$9:$J$102,4))*0.5*(VLOOKUP($CU32-DF$103,Männer!$AZ$9:$BD$102,5)+VLOOKUP($CU32-DF$103+1,Männer!$AZ$9:$BD$102,5)),RundDx)))</f>
        <v>2794814147</v>
      </c>
      <c r="DG32" s="25">
        <f>IF($CU32&gt;=RAF,"",IF($CU32-DG$103&lt;BeginnAlter,"",ROUND(v^($CU32+FaktorAlter)*$L32*$D32*0.5*(VLOOKUP($CU32-DG$103,Männer!$G$9:$J$102,4)+VLOOKUP($CU32-DG$103+1,Männer!$G$9:$J$102,4))*0.5*(VLOOKUP($CU32-DG$103,Männer!$AZ$9:$BD$102,5)+VLOOKUP($CU32-DG$103+1,Männer!$AZ$9:$BD$102,5)),RundDx)))</f>
        <v>2857747095</v>
      </c>
      <c r="DH32" s="25">
        <f>IF($CU32&gt;=RAF,"",IF($CU32-DH$103&lt;BeginnAlter,"",ROUND(v^($CU32+FaktorAlter)*$L32*$D32*0.5*(VLOOKUP($CU32-DH$103,Männer!$G$9:$J$102,4)+VLOOKUP($CU32-DH$103+1,Männer!$G$9:$J$102,4))*0.5*(VLOOKUP($CU32-DH$103,Männer!$AZ$9:$BD$102,5)+VLOOKUP($CU32-DH$103+1,Männer!$AZ$9:$BD$102,5)),RundDx)))</f>
        <v>2919484437</v>
      </c>
      <c r="DI32" s="25">
        <f>IF($CU32&gt;=RAF,"",IF($CU32-DI$103&lt;BeginnAlter,"",ROUND(v^($CU32+FaktorAlter)*$L32*$D32*0.5*(VLOOKUP($CU32-DI$103,Männer!$G$9:$J$102,4)+VLOOKUP($CU32-DI$103+1,Männer!$G$9:$J$102,4))*0.5*(VLOOKUP($CU32-DI$103,Männer!$AZ$9:$BD$102,5)+VLOOKUP($CU32-DI$103+1,Männer!$AZ$9:$BD$102,5)),RundDx)))</f>
        <v>2980094006</v>
      </c>
      <c r="DJ32" s="25">
        <f>IF($CU32&gt;=RAF,"",IF($CU32-DJ$103&lt;BeginnAlter,"",ROUND(v^($CU32+FaktorAlter)*$L32*$D32*0.5*(VLOOKUP($CU32-DJ$103,Männer!$G$9:$J$102,4)+VLOOKUP($CU32-DJ$103+1,Männer!$G$9:$J$102,4))*0.5*(VLOOKUP($CU32-DJ$103,Männer!$AZ$9:$BD$102,5)+VLOOKUP($CU32-DJ$103+1,Männer!$AZ$9:$BD$102,5)),RundDx)))</f>
        <v>3039631528</v>
      </c>
      <c r="DK32" s="25">
        <f>IF($CU32&gt;=RAF,"",IF($CU32-DK$103&lt;BeginnAlter,"",ROUND(v^($CU32+FaktorAlter)*$L32*$D32*0.5*(VLOOKUP($CU32-DK$103,Männer!$G$9:$J$102,4)+VLOOKUP($CU32-DK$103+1,Männer!$G$9:$J$102,4))*0.5*(VLOOKUP($CU32-DK$103,Männer!$AZ$9:$BD$102,5)+VLOOKUP($CU32-DK$103+1,Männer!$AZ$9:$BD$102,5)),RundDx)))</f>
        <v>3097996712</v>
      </c>
      <c r="DL32" s="25">
        <f>IF($CU32&gt;=RAF,"",IF($CU32-DL$103&lt;BeginnAlter,"",ROUND(v^($CU32+FaktorAlter)*$L32*$D32*0.5*(VLOOKUP($CU32-DL$103,Männer!$G$9:$J$102,4)+VLOOKUP($CU32-DL$103+1,Männer!$G$9:$J$102,4))*0.5*(VLOOKUP($CU32-DL$103,Männer!$AZ$9:$BD$102,5)+VLOOKUP($CU32-DL$103+1,Männer!$AZ$9:$BD$102,5)),RundDx)))</f>
        <v>3155183878</v>
      </c>
      <c r="DM32" s="25">
        <f>IF($CU32&gt;=RAF,"",IF($CU32-DM$103&lt;BeginnAlter,"",ROUND(v^($CU32+FaktorAlter)*$L32*$D32*0.5*(VLOOKUP($CU32-DM$103,Männer!$G$9:$J$102,4)+VLOOKUP($CU32-DM$103+1,Männer!$G$9:$J$102,4))*0.5*(VLOOKUP($CU32-DM$103,Männer!$AZ$9:$BD$102,5)+VLOOKUP($CU32-DM$103+1,Männer!$AZ$9:$BD$102,5)),RundDx)))</f>
        <v>3211363165</v>
      </c>
      <c r="DN32" s="25">
        <f>IF($CU32&gt;=RAF,"",IF($CU32-DN$103&lt;BeginnAlter,"",ROUND(v^($CU32+FaktorAlter)*$L32*$D32*0.5*(VLOOKUP($CU32-DN$103,Männer!$G$9:$J$102,4)+VLOOKUP($CU32-DN$103+1,Männer!$G$9:$J$102,4))*0.5*(VLOOKUP($CU32-DN$103,Männer!$AZ$9:$BD$102,5)+VLOOKUP($CU32-DN$103+1,Männer!$AZ$9:$BD$102,5)),RundDx)))</f>
        <v>3266468594</v>
      </c>
      <c r="DO32" s="25">
        <f>IF($CU32&gt;=RAF,"",IF($CU32-DO$103&lt;BeginnAlter,"",ROUND(v^($CU32+FaktorAlter)*$L32*$D32*0.5*(VLOOKUP($CU32-DO$103,Männer!$G$9:$J$102,4)+VLOOKUP($CU32-DO$103+1,Männer!$G$9:$J$102,4))*0.5*(VLOOKUP($CU32-DO$103,Männer!$AZ$9:$BD$102,5)+VLOOKUP($CU32-DO$103+1,Männer!$AZ$9:$BD$102,5)),RundDx)))</f>
        <v>3320452259</v>
      </c>
      <c r="DP32" s="25">
        <f>IF($CU32&gt;=RAF,"",IF($CU32-DP$103&lt;BeginnAlter,"",ROUND(v^($CU32+FaktorAlter)*$L32*$D32*0.5*(VLOOKUP($CU32-DP$103,Männer!$G$9:$J$102,4)+VLOOKUP($CU32-DP$103+1,Männer!$G$9:$J$102,4))*0.5*(VLOOKUP($CU32-DP$103,Männer!$AZ$9:$BD$102,5)+VLOOKUP($CU32-DP$103+1,Männer!$AZ$9:$BD$102,5)),RundDx)))</f>
        <v>3373425416</v>
      </c>
      <c r="DQ32" s="25">
        <f>IF($CU32&gt;=RAF,"",IF($CU32-DQ$103&lt;BeginnAlter,"",ROUND(v^($CU32+FaktorAlter)*$L32*$D32*0.5*(VLOOKUP($CU32-DQ$103,Männer!$G$9:$J$102,4)+VLOOKUP($CU32-DQ$103+1,Männer!$G$9:$J$102,4))*0.5*(VLOOKUP($CU32-DQ$103,Männer!$AZ$9:$BD$102,5)+VLOOKUP($CU32-DQ$103+1,Männer!$AZ$9:$BD$102,5)),RundDx)))</f>
        <v>3425309084</v>
      </c>
      <c r="DR32" s="25">
        <f>IF($CU32&gt;=RAF,"",IF($CU32-DR$103&lt;BeginnAlter,"",ROUND(v^($CU32+FaktorAlter)*$L32*$D32*0.5*(VLOOKUP($CU32-DR$103,Männer!$G$9:$J$102,4)+VLOOKUP($CU32-DR$103+1,Männer!$G$9:$J$102,4))*0.5*(VLOOKUP($CU32-DR$103,Männer!$AZ$9:$BD$102,5)+VLOOKUP($CU32-DR$103+1,Männer!$AZ$9:$BD$102,5)),RundDx)))</f>
        <v>3476140945</v>
      </c>
      <c r="DS32" s="25">
        <f>IF($CU32&gt;=RAF,"",IF($CU32-DS$103&lt;BeginnAlter,"",ROUND(v^($CU32+FaktorAlter)*$L32*$D32*0.5*(VLOOKUP($CU32-DS$103,Männer!$G$9:$J$102,4)+VLOOKUP($CU32-DS$103+1,Männer!$G$9:$J$102,4))*0.5*(VLOOKUP($CU32-DS$103,Männer!$AZ$9:$BD$102,5)+VLOOKUP($CU32-DS$103+1,Männer!$AZ$9:$BD$102,5)),RundDx)))</f>
        <v>3525962001</v>
      </c>
      <c r="DT32" s="25">
        <f>IF($CU32&gt;=RAF,"",IF($CU32-DT$103&lt;BeginnAlter,"",ROUND(v^($CU32+FaktorAlter)*$L32*$D32*0.5*(VLOOKUP($CU32-DT$103,Männer!$G$9:$J$102,4)+VLOOKUP($CU32-DT$103+1,Männer!$G$9:$J$102,4))*0.5*(VLOOKUP($CU32-DT$103,Männer!$AZ$9:$BD$102,5)+VLOOKUP($CU32-DT$103+1,Männer!$AZ$9:$BD$102,5)),RundDx)))</f>
        <v>3574798406</v>
      </c>
      <c r="DU32" s="25">
        <f>IF($CU32&gt;=RAF,"",IF($CU32-DU$103&lt;BeginnAlter,"",ROUND(v^($CU32+FaktorAlter)*$L32*$D32*0.5*(VLOOKUP($CU32-DU$103,Männer!$G$9:$J$102,4)+VLOOKUP($CU32-DU$103+1,Männer!$G$9:$J$102,4))*0.5*(VLOOKUP($CU32-DU$103,Männer!$AZ$9:$BD$102,5)+VLOOKUP($CU32-DU$103+1,Männer!$AZ$9:$BD$102,5)),RundDx)))</f>
        <v>3622660190</v>
      </c>
      <c r="DV32" s="25">
        <f>IF($CU32&gt;=RAF,"",IF($CU32-DV$103&lt;BeginnAlter,"",ROUND(v^($CU32+FaktorAlter)*$L32*$D32*0.5*(VLOOKUP($CU32-DV$103,Männer!$G$9:$J$102,4)+VLOOKUP($CU32-DV$103+1,Männer!$G$9:$J$102,4))*0.5*(VLOOKUP($CU32-DV$103,Männer!$AZ$9:$BD$102,5)+VLOOKUP($CU32-DV$103+1,Männer!$AZ$9:$BD$102,5)),RundDx)))</f>
        <v>3669531522</v>
      </c>
      <c r="DW32" s="25">
        <f>IF($CU32&gt;=RAF,"",IF($CU32-DW$103&lt;BeginnAlter,"",ROUND(v^($CU32+FaktorAlter)*$L32*$D32*0.5*(VLOOKUP($CU32-DW$103,Männer!$G$9:$J$102,4)+VLOOKUP($CU32-DW$103+1,Männer!$G$9:$J$102,4))*0.5*(VLOOKUP($CU32-DW$103,Männer!$AZ$9:$BD$102,5)+VLOOKUP($CU32-DW$103+1,Männer!$AZ$9:$BD$102,5)),RundDx)))</f>
        <v>3715463268</v>
      </c>
      <c r="DX32" s="25">
        <f>IF($CU32&gt;=RAF,"",IF($CU32-DX$103&lt;BeginnAlter,"",ROUND(v^($CU32+FaktorAlter)*$L32*$D32*0.5*(VLOOKUP($CU32-DX$103,Männer!$G$9:$J$102,4)+VLOOKUP($CU32-DX$103+1,Männer!$G$9:$J$102,4))*0.5*(VLOOKUP($CU32-DX$103,Männer!$AZ$9:$BD$102,5)+VLOOKUP($CU32-DX$103+1,Männer!$AZ$9:$BD$102,5)),RundDx)))</f>
        <v>3760426054</v>
      </c>
      <c r="DY32" s="25">
        <f>IF($CU32&gt;=RAF,"",IF($CU32-DY$103&lt;BeginnAlter,"",ROUND(v^($CU32+FaktorAlter)*$L32*$D32*0.5*(VLOOKUP($CU32-DY$103,Männer!$G$9:$J$102,4)+VLOOKUP($CU32-DY$103+1,Männer!$G$9:$J$102,4))*0.5*(VLOOKUP($CU32-DY$103,Männer!$AZ$9:$BD$102,5)+VLOOKUP($CU32-DY$103+1,Männer!$AZ$9:$BD$102,5)),RundDx)))</f>
        <v>3804539369</v>
      </c>
      <c r="DZ32" s="25">
        <f>IF($CU32&gt;=RAF,"",IF($CU32-DZ$103&lt;BeginnAlter,"",ROUND(v^($CU32+FaktorAlter)*$L32*$D32*0.5*(VLOOKUP($CU32-DZ$103,Männer!$G$9:$J$102,4)+VLOOKUP($CU32-DZ$103+1,Männer!$G$9:$J$102,4))*0.5*(VLOOKUP($CU32-DZ$103,Männer!$AZ$9:$BD$102,5)+VLOOKUP($CU32-DZ$103+1,Männer!$AZ$9:$BD$102,5)),RundDx)))</f>
        <v>3847783884</v>
      </c>
      <c r="EA32" s="43">
        <f>IF($CU32&gt;=RAF,"",IF($CU32-EA$103&lt;BeginnAlter,"",ROUND((SUM(CV32:CV$56)+SUM(FN$9:FN$56))/VLOOKUP($CU32,$AH$9:$AI$102,2)/VLOOKUP($CU32-EA$103,Männer!$G$9:$J$102,4),Rundäx)))</f>
        <v>3.702</v>
      </c>
      <c r="EB32" s="43">
        <f>IF($CU32&gt;=RAF,"",IF($CU32-EB$103&lt;BeginnAlter,"",ROUND((SUM(CW32:CW$56)+SUM(FO$9:FO$56))/VLOOKUP($CU32,$AH$9:$AI$102,2)/VLOOKUP($CU32-EB$103,Männer!$G$9:$J$102,4),Rundäx)))</f>
        <v>3.879</v>
      </c>
      <c r="EC32" s="43">
        <f>IF($CU32&gt;=RAF,"",IF($CU32-EC$103&lt;BeginnAlter,"",ROUND((SUM(CX32:CX$56)+SUM(FP$9:FP$56))/VLOOKUP($CU32,$AH$9:$AI$102,2)/VLOOKUP($CU32-EC$103,Männer!$G$9:$J$102,4),Rundäx)))</f>
        <v>4.0609999999999999</v>
      </c>
      <c r="ED32" s="43">
        <f>IF($CU32&gt;=RAF,"",IF($CU32-ED$103&lt;BeginnAlter,"",ROUND((SUM(CY32:CY$56)+SUM(FQ$9:FQ$56))/VLOOKUP($CU32,$AH$9:$AI$102,2)/VLOOKUP($CU32-ED$103,Männer!$G$9:$J$102,4),Rundäx)))</f>
        <v>4.2460000000000004</v>
      </c>
      <c r="EE32" s="43">
        <f>IF($CU32&gt;=RAF,"",IF($CU32-EE$103&lt;BeginnAlter,"",ROUND((SUM(CZ32:CZ$56)+SUM(FR$9:FR$56))/VLOOKUP($CU32,$AH$9:$AI$102,2)/VLOOKUP($CU32-EE$103,Männer!$G$9:$J$102,4),Rundäx)))</f>
        <v>4.4340000000000002</v>
      </c>
      <c r="EF32" s="43">
        <f>IF($CU32&gt;=RAF,"",IF($CU32-EF$103&lt;BeginnAlter,"",ROUND((SUM(DA32:DA$56)+SUM(FS$9:FS$56))/VLOOKUP($CU32,$AH$9:$AI$102,2)/VLOOKUP($CU32-EF$103,Männer!$G$9:$J$102,4),Rundäx)))</f>
        <v>4.6260000000000003</v>
      </c>
      <c r="EG32" s="43">
        <f>IF($CU32&gt;=RAF,"",IF($CU32-EG$103&lt;BeginnAlter,"",ROUND((SUM(DB32:DB$56)+SUM(FT$9:FT$56))/VLOOKUP($CU32,$AH$9:$AI$102,2)/VLOOKUP($CU32-EG$103,Männer!$G$9:$J$102,4),Rundäx)))</f>
        <v>4.8220000000000001</v>
      </c>
      <c r="EH32" s="43">
        <f>IF($CU32&gt;=RAF,"",IF($CU32-EH$103&lt;BeginnAlter,"",ROUND((SUM(DC32:DC$56)+SUM(FU$9:FU$56))/VLOOKUP($CU32,$AH$9:$AI$102,2)/VLOOKUP($CU32-EH$103,Männer!$G$9:$J$102,4),Rundäx)))</f>
        <v>5.0199999999999996</v>
      </c>
      <c r="EI32" s="89"/>
      <c r="EJ32" s="35">
        <f t="shared" si="61"/>
        <v>40</v>
      </c>
      <c r="EK32" s="43">
        <f>IF($CU32&gt;=RAF,"",IF($CU32-EK$103&lt;BeginnAlter,"",ROUND((SUM(DD32:DD$56)+SUM(FV$9:FV$56))/VLOOKUP($CU32,$AH$9:$AI$102,2)/VLOOKUP($CU32-EK$103,Männer!$G$9:$J$102,4),Rundäx)))</f>
        <v>5.2220000000000004</v>
      </c>
      <c r="EL32" s="43">
        <f>IF($CU32&gt;=RAF,"",IF($CU32-EL$103&lt;BeginnAlter,"",ROUND((SUM(DE32:DE$56)+SUM(FW$9:FW$56))/VLOOKUP($CU32,$AH$9:$AI$102,2)/VLOOKUP($CU32-EL$103,Männer!$G$9:$J$102,4),Rundäx)))</f>
        <v>5.4260000000000002</v>
      </c>
      <c r="EM32" s="43">
        <f>IF($CU32&gt;=RAF,"",IF($CU32-EM$103&lt;BeginnAlter,"",ROUND((SUM(DF32:DF$56)+SUM(FX$9:FX$56))/VLOOKUP($CU32,$AH$9:$AI$102,2)/VLOOKUP($CU32-EM$103,Männer!$G$9:$J$102,4),Rundäx)))</f>
        <v>5.6340000000000003</v>
      </c>
      <c r="EN32" s="43">
        <f>IF($CU32&gt;=RAF,"",IF($CU32-EN$103&lt;BeginnAlter,"",ROUND((SUM(DG32:DG$56)+SUM(FY$9:FY$56))/VLOOKUP($CU32,$AH$9:$AI$102,2)/VLOOKUP($CU32-EN$103,Männer!$G$9:$J$102,4),Rundäx)))</f>
        <v>5.8440000000000003</v>
      </c>
      <c r="EO32" s="43">
        <f>IF($CU32&gt;=RAF,"",IF($CU32-EO$103&lt;BeginnAlter,"",ROUND((SUM(DH32:DH$56)+SUM(FZ$9:FZ$56))/VLOOKUP($CU32,$AH$9:$AI$102,2)/VLOOKUP($CU32-EO$103,Männer!$G$9:$J$102,4),Rundäx)))</f>
        <v>6.0579999999999998</v>
      </c>
      <c r="EP32" s="43">
        <f>IF($CU32&gt;=RAF,"",IF($CU32-EP$103&lt;BeginnAlter,"",ROUND((SUM(DI32:DI$56)+SUM(GA$9:GA$56))/VLOOKUP($CU32,$AH$9:$AI$102,2)/VLOOKUP($CU32-EP$103,Männer!$G$9:$J$102,4),Rundäx)))</f>
        <v>6.2750000000000004</v>
      </c>
      <c r="EQ32" s="43">
        <f>IF($CU32&gt;=RAF,"",IF($CU32-EQ$103&lt;BeginnAlter,"",ROUND((SUM(DJ32:DJ$56)+SUM(GB$9:GB$56))/VLOOKUP($CU32,$AH$9:$AI$102,2)/VLOOKUP($CU32-EQ$103,Männer!$G$9:$J$102,4),Rundäx)))</f>
        <v>6.4950000000000001</v>
      </c>
      <c r="ER32" s="43">
        <f>IF($CU32&gt;=RAF,"",IF($CU32-ER$103&lt;BeginnAlter,"",ROUND((SUM(DK32:DK$56)+SUM(GC$9:GC$56))/VLOOKUP($CU32,$AH$9:$AI$102,2)/VLOOKUP($CU32-ER$103,Männer!$G$9:$J$102,4),Rundäx)))</f>
        <v>6.718</v>
      </c>
      <c r="ES32" s="89"/>
      <c r="ET32" s="35">
        <f t="shared" si="62"/>
        <v>40</v>
      </c>
      <c r="EU32" s="43">
        <f>IF($CU32&gt;=RAF,"",IF($CU32-EU$103&lt;BeginnAlter,"",ROUND((SUM(DL32:DL$56)+SUM(GD$9:GD$56))/VLOOKUP($CU32,$AH$9:$AI$102,2)/VLOOKUP($CU32-EU$103,Männer!$G$9:$J$102,4),Rundäx)))</f>
        <v>6.9429999999999996</v>
      </c>
      <c r="EV32" s="43">
        <f>IF($CU32&gt;=RAF,"",IF($CU32-EV$103&lt;BeginnAlter,"",ROUND((SUM(DM32:DM$56)+SUM(GE$9:GE$56))/VLOOKUP($CU32,$AH$9:$AI$102,2)/VLOOKUP($CU32-EV$103,Männer!$G$9:$J$102,4),Rundäx)))</f>
        <v>7.1710000000000003</v>
      </c>
      <c r="EW32" s="43">
        <f>IF($CU32&gt;=RAF,"",IF($CU32-EW$103&lt;BeginnAlter,"",ROUND((SUM(DN32:DN$56)+SUM(GF$9:GF$56))/VLOOKUP($CU32,$AH$9:$AI$102,2)/VLOOKUP($CU32-EW$103,Männer!$G$9:$J$102,4),Rundäx)))</f>
        <v>7.4020000000000001</v>
      </c>
      <c r="EX32" s="43">
        <f>IF($CU32&gt;=RAF,"",IF($CU32-EX$103&lt;BeginnAlter,"",ROUND((SUM(DO32:DO$56)+SUM(GG$9:GG$56))/VLOOKUP($CU32,$AH$9:$AI$102,2)/VLOOKUP($CU32-EX$103,Männer!$G$9:$J$102,4),Rundäx)))</f>
        <v>7.6349999999999998</v>
      </c>
      <c r="EY32" s="43">
        <f>IF($CU32&gt;=RAF,"",IF($CU32-EY$103&lt;BeginnAlter,"",ROUND((SUM(DP32:DP$56)+SUM(GH$9:GH$56))/VLOOKUP($CU32,$AH$9:$AI$102,2)/VLOOKUP($CU32-EY$103,Männer!$G$9:$J$102,4),Rundäx)))</f>
        <v>7.87</v>
      </c>
      <c r="EZ32" s="43">
        <f>IF($CU32&gt;=RAF,"",IF($CU32-EZ$103&lt;BeginnAlter,"",ROUND((SUM(DQ32:DQ$56)+SUM(GI$9:GI$56))/VLOOKUP($CU32,$AH$9:$AI$102,2)/VLOOKUP($CU32-EZ$103,Männer!$G$9:$J$102,4),Rundäx)))</f>
        <v>8.1059999999999999</v>
      </c>
      <c r="FA32" s="43">
        <f>IF($CU32&gt;=RAF,"",IF($CU32-FA$103&lt;BeginnAlter,"",ROUND((SUM(DR32:DR$56)+SUM(GJ$9:GJ$56))/VLOOKUP($CU32,$AH$9:$AI$102,2)/VLOOKUP($CU32-FA$103,Männer!$G$9:$J$102,4),Rundäx)))</f>
        <v>8.3439999999999994</v>
      </c>
      <c r="FB32" s="43">
        <f>IF($CU32&gt;=RAF,"",IF($CU32-FB$103&lt;BeginnAlter,"",ROUND((SUM(DS32:DS$56)+SUM(GK$9:GK$56))/VLOOKUP($CU32,$AH$9:$AI$102,2)/VLOOKUP($CU32-FB$103,Männer!$G$9:$J$102,4),Rundäx)))</f>
        <v>8.5820000000000007</v>
      </c>
      <c r="FC32" s="89"/>
      <c r="FD32" s="35">
        <f t="shared" si="63"/>
        <v>40</v>
      </c>
      <c r="FE32" s="43">
        <f>IF($CU32&gt;=RAF,"",IF($CU32-FE$103&lt;BeginnAlter,"",ROUND((SUM(DT32:DT$56)+SUM(GL$9:GL$56))/VLOOKUP($CU32,$AH$9:$AI$102,2)/VLOOKUP($CU32-FE$103,Männer!$G$9:$J$102,4),Rundäx)))</f>
        <v>8.8209999999999997</v>
      </c>
      <c r="FF32" s="43">
        <f>IF($CU32&gt;=RAF,"",IF($CU32-FF$103&lt;BeginnAlter,"",ROUND((SUM(DU32:DU$56)+SUM(GM$9:GM$56))/VLOOKUP($CU32,$AH$9:$AI$102,2)/VLOOKUP($CU32-FF$103,Männer!$G$9:$J$102,4),Rundäx)))</f>
        <v>9.0589999999999993</v>
      </c>
      <c r="FG32" s="43">
        <f>IF($CU32&gt;=RAF,"",IF($CU32-FG$103&lt;BeginnAlter,"",ROUND((SUM(DV32:DV$56)+SUM(GN$9:GN$56))/VLOOKUP($CU32,$AH$9:$AI$102,2)/VLOOKUP($CU32-FG$103,Männer!$G$9:$J$102,4),Rundäx)))</f>
        <v>9.298</v>
      </c>
      <c r="FH32" s="43">
        <f>IF($CU32&gt;=RAF,"",IF($CU32-FH$103&lt;BeginnAlter,"",ROUND((SUM(DW32:DW$56)+SUM(GO$9:GO$56))/VLOOKUP($CU32,$AH$9:$AI$102,2)/VLOOKUP($CU32-FH$103,Männer!$G$9:$J$102,4),Rundäx)))</f>
        <v>9.5359999999999996</v>
      </c>
      <c r="FI32" s="43">
        <f>IF($CU32&gt;=RAF,"",IF($CU32-FI$103&lt;BeginnAlter,"",ROUND((SUM(DX32:DX$56)+SUM(GP$9:GP$56))/VLOOKUP($CU32,$AH$9:$AI$102,2)/VLOOKUP($CU32-FI$103,Männer!$G$9:$J$102,4),Rundäx)))</f>
        <v>9.7720000000000002</v>
      </c>
      <c r="FJ32" s="43">
        <f>IF($CU32&gt;=RAF,"",IF($CU32-FJ$103&lt;BeginnAlter,"",ROUND((SUM(DY32:DY$56)+SUM(GQ$9:GQ$56))/VLOOKUP($CU32,$AH$9:$AI$102,2)/VLOOKUP($CU32-FJ$103,Männer!$G$9:$J$102,4),Rundäx)))</f>
        <v>10.007999999999999</v>
      </c>
      <c r="FK32" s="43">
        <f>IF($CU32&gt;=RAF,"",IF($CU32-FK$103&lt;BeginnAlter,"",ROUND((SUM(DZ32:DZ$56)+SUM(GR$9:GR$56))/VLOOKUP($CU32,$AH$9:$AI$102,2)/VLOOKUP($CU32-FK$103,Männer!$G$9:$J$102,4),Rundäx)))</f>
        <v>10.242000000000001</v>
      </c>
      <c r="FL32" s="89"/>
      <c r="FM32" s="35">
        <f t="shared" si="64"/>
        <v>87</v>
      </c>
      <c r="FN32" s="25"/>
      <c r="FO32" s="25"/>
      <c r="FP32" s="25">
        <f>ROUND(v^($FM32+FaktorAlter)*VLOOKUP($FM32,$G$9:$J$102,4)*VLOOKUP($FM32,$A$9:$E$102,5)*0.5*(VLOOKUP($FM32-FP$103,Männer!$G$9:$J$102,4)+VLOOKUP($FM32-FP$103+1,Männer!$G$9:$J$102,4))*0.5*(VLOOKUP($FM32-FP$103,Männer!$AZ$9:$BD$102,5)+VLOOKUP($FM32-FP$103+1,Männer!$AZ$9:$BD$102,5)),RundDx)</f>
        <v>125084</v>
      </c>
      <c r="FQ32" s="25">
        <f>ROUND(v^($FM32+FaktorAlter)*VLOOKUP($FM32,$G$9:$J$102,4)*VLOOKUP($FM32,$A$9:$E$102,5)*0.5*(VLOOKUP($FM32-FQ$103,Männer!$G$9:$J$102,4)+VLOOKUP($FM32-FQ$103+1,Männer!$G$9:$J$102,4))*0.5*(VLOOKUP($FM32-FQ$103,Männer!$AZ$9:$BD$102,5)+VLOOKUP($FM32-FQ$103+1,Männer!$AZ$9:$BD$102,5)),RundDx)</f>
        <v>329875</v>
      </c>
      <c r="FR32" s="25">
        <f>ROUND(v^($FM32+FaktorAlter)*VLOOKUP($FM32,$G$9:$J$102,4)*VLOOKUP($FM32,$A$9:$E$102,5)*0.5*(VLOOKUP($FM32-FR$103,Männer!$G$9:$J$102,4)+VLOOKUP($FM32-FR$103+1,Männer!$G$9:$J$102,4))*0.5*(VLOOKUP($FM32-FR$103,Männer!$AZ$9:$BD$102,5)+VLOOKUP($FM32-FR$103+1,Männer!$AZ$9:$BD$102,5)),RundDx)</f>
        <v>742080</v>
      </c>
      <c r="FS32" s="25">
        <f>ROUND(v^($FM32+FaktorAlter)*VLOOKUP($FM32,$G$9:$J$102,4)*VLOOKUP($FM32,$A$9:$E$102,5)*0.5*(VLOOKUP($FM32-FS$103,Männer!$G$9:$J$102,4)+VLOOKUP($FM32-FS$103+1,Männer!$G$9:$J$102,4))*0.5*(VLOOKUP($FM32-FS$103,Männer!$AZ$9:$BD$102,5)+VLOOKUP($FM32-FS$103+1,Männer!$AZ$9:$BD$102,5)),RundDx)</f>
        <v>1511314</v>
      </c>
      <c r="FT32" s="25">
        <f>ROUND(v^($FM32+FaktorAlter)*VLOOKUP($FM32,$G$9:$J$102,4)*VLOOKUP($FM32,$A$9:$E$102,5)*0.5*(VLOOKUP($FM32-FT$103,Männer!$G$9:$J$102,4)+VLOOKUP($FM32-FT$103+1,Männer!$G$9:$J$102,4))*0.5*(VLOOKUP($FM32-FT$103,Männer!$AZ$9:$BD$102,5)+VLOOKUP($FM32-FT$103+1,Männer!$AZ$9:$BD$102,5)),RundDx)</f>
        <v>2818566</v>
      </c>
      <c r="FU32" s="25">
        <f>ROUND(v^($FM32+FaktorAlter)*VLOOKUP($FM32,$G$9:$J$102,4)*VLOOKUP($FM32,$A$9:$E$102,5)*0.5*(VLOOKUP($FM32-FU$103,Männer!$G$9:$J$102,4)+VLOOKUP($FM32-FU$103+1,Männer!$G$9:$J$102,4))*0.5*(VLOOKUP($FM32-FU$103,Männer!$AZ$9:$BD$102,5)+VLOOKUP($FM32-FU$103+1,Männer!$AZ$9:$BD$102,5)),RundDx)</f>
        <v>4878510</v>
      </c>
      <c r="FV32" s="25">
        <f>ROUND(v^($FM32+FaktorAlter)*VLOOKUP($FM32,$G$9:$J$102,4)*VLOOKUP($FM32,$A$9:$E$102,5)*0.5*(VLOOKUP($FM32-FV$103,Männer!$G$9:$J$102,4)+VLOOKUP($FM32-FV$103+1,Männer!$G$9:$J$102,4))*0.5*(VLOOKUP($FM32-FV$103,Männer!$AZ$9:$BD$102,5)+VLOOKUP($FM32-FV$103+1,Männer!$AZ$9:$BD$102,5)),RundDx)</f>
        <v>7929270</v>
      </c>
      <c r="FW32" s="25">
        <f>ROUND(v^($FM32+FaktorAlter)*VLOOKUP($FM32,$G$9:$J$102,4)*VLOOKUP($FM32,$A$9:$E$102,5)*0.5*(VLOOKUP($FM32-FW$103,Männer!$G$9:$J$102,4)+VLOOKUP($FM32-FW$103+1,Männer!$G$9:$J$102,4))*0.5*(VLOOKUP($FM32-FW$103,Männer!$AZ$9:$BD$102,5)+VLOOKUP($FM32-FW$103+1,Männer!$AZ$9:$BD$102,5)),RundDx)</f>
        <v>12202306</v>
      </c>
      <c r="FX32" s="25">
        <f>ROUND(v^($FM32+FaktorAlter)*VLOOKUP($FM32,$G$9:$J$102,4)*VLOOKUP($FM32,$A$9:$E$102,5)*0.5*(VLOOKUP($FM32-FX$103,Männer!$G$9:$J$102,4)+VLOOKUP($FM32-FX$103+1,Männer!$G$9:$J$102,4))*0.5*(VLOOKUP($FM32-FX$103,Männer!$AZ$9:$BD$102,5)+VLOOKUP($FM32-FX$103+1,Männer!$AZ$9:$BD$102,5)),RundDx)</f>
        <v>17941598</v>
      </c>
      <c r="FY32" s="25">
        <f>ROUND(v^($FM32+FaktorAlter)*VLOOKUP($FM32,$G$9:$J$102,4)*VLOOKUP($FM32,$A$9:$E$102,5)*0.5*(VLOOKUP($FM32-FY$103,Männer!$G$9:$J$102,4)+VLOOKUP($FM32-FY$103+1,Männer!$G$9:$J$102,4))*0.5*(VLOOKUP($FM32-FY$103,Männer!$AZ$9:$BD$102,5)+VLOOKUP($FM32-FY$103+1,Männer!$AZ$9:$BD$102,5)),RundDx)</f>
        <v>25369003</v>
      </c>
      <c r="FZ32" s="25">
        <f>ROUND(v^($FM32+FaktorAlter)*VLOOKUP($FM32,$G$9:$J$102,4)*VLOOKUP($FM32,$A$9:$E$102,5)*0.5*(VLOOKUP($FM32-FZ$103,Männer!$G$9:$J$102,4)+VLOOKUP($FM32-FZ$103+1,Männer!$G$9:$J$102,4))*0.5*(VLOOKUP($FM32-FZ$103,Männer!$AZ$9:$BD$102,5)+VLOOKUP($FM32-FZ$103+1,Männer!$AZ$9:$BD$102,5)),RundDx)</f>
        <v>34647288</v>
      </c>
      <c r="GA32" s="25">
        <f>ROUND(v^($FM32+FaktorAlter)*VLOOKUP($FM32,$G$9:$J$102,4)*VLOOKUP($FM32,$A$9:$E$102,5)*0.5*(VLOOKUP($FM32-GA$103,Männer!$G$9:$J$102,4)+VLOOKUP($FM32-GA$103+1,Männer!$G$9:$J$102,4))*0.5*(VLOOKUP($FM32-GA$103,Männer!$AZ$9:$BD$102,5)+VLOOKUP($FM32-GA$103+1,Männer!$AZ$9:$BD$102,5)),RundDx)</f>
        <v>45901976</v>
      </c>
      <c r="GB32" s="25">
        <f>ROUND(v^($FM32+FaktorAlter)*VLOOKUP($FM32,$G$9:$J$102,4)*VLOOKUP($FM32,$A$9:$E$102,5)*0.5*(VLOOKUP($FM32-GB$103,Männer!$G$9:$J$102,4)+VLOOKUP($FM32-GB$103+1,Männer!$G$9:$J$102,4))*0.5*(VLOOKUP($FM32-GB$103,Männer!$AZ$9:$BD$102,5)+VLOOKUP($FM32-GB$103+1,Männer!$AZ$9:$BD$102,5)),RundDx)</f>
        <v>59197837</v>
      </c>
      <c r="GC32" s="25">
        <f>ROUND(v^($FM32+FaktorAlter)*VLOOKUP($FM32,$G$9:$J$102,4)*VLOOKUP($FM32,$A$9:$E$102,5)*0.5*(VLOOKUP($FM32-GC$103,Männer!$G$9:$J$102,4)+VLOOKUP($FM32-GC$103+1,Männer!$G$9:$J$102,4))*0.5*(VLOOKUP($FM32-GC$103,Männer!$AZ$9:$BD$102,5)+VLOOKUP($FM32-GC$103+1,Männer!$AZ$9:$BD$102,5)),RundDx)</f>
        <v>74486263</v>
      </c>
      <c r="GD32" s="25">
        <f>ROUND(v^($FM32+FaktorAlter)*VLOOKUP($FM32,$G$9:$J$102,4)*VLOOKUP($FM32,$A$9:$E$102,5)*0.5*(VLOOKUP($FM32-GD$103,Männer!$G$9:$J$102,4)+VLOOKUP($FM32-GD$103+1,Männer!$G$9:$J$102,4))*0.5*(VLOOKUP($FM32-GD$103,Männer!$AZ$9:$BD$102,5)+VLOOKUP($FM32-GD$103+1,Männer!$AZ$9:$BD$102,5)),RundDx)</f>
        <v>91670616</v>
      </c>
      <c r="GE32" s="25">
        <f>ROUND(v^($FM32+FaktorAlter)*VLOOKUP($FM32,$G$9:$J$102,4)*VLOOKUP($FM32,$A$9:$E$102,5)*0.5*(VLOOKUP($FM32-GE$103,Männer!$G$9:$J$102,4)+VLOOKUP($FM32-GE$103+1,Männer!$G$9:$J$102,4))*0.5*(VLOOKUP($FM32-GE$103,Männer!$AZ$9:$BD$102,5)+VLOOKUP($FM32-GE$103+1,Männer!$AZ$9:$BD$102,5)),RundDx)</f>
        <v>110701918</v>
      </c>
      <c r="GF32" s="25">
        <f>ROUND(v^($FM32+FaktorAlter)*VLOOKUP($FM32,$G$9:$J$102,4)*VLOOKUP($FM32,$A$9:$E$102,5)*0.5*(VLOOKUP($FM32-GF$103,Männer!$G$9:$J$102,4)+VLOOKUP($FM32-GF$103+1,Männer!$G$9:$J$102,4))*0.5*(VLOOKUP($FM32-GF$103,Männer!$AZ$9:$BD$102,5)+VLOOKUP($FM32-GF$103+1,Männer!$AZ$9:$BD$102,5)),RundDx)</f>
        <v>131515832</v>
      </c>
      <c r="GG32" s="25">
        <f>ROUND(v^($FM32+FaktorAlter)*VLOOKUP($FM32,$G$9:$J$102,4)*VLOOKUP($FM32,$A$9:$E$102,5)*0.5*(VLOOKUP($FM32-GG$103,Männer!$G$9:$J$102,4)+VLOOKUP($FM32-GG$103+1,Männer!$G$9:$J$102,4))*0.5*(VLOOKUP($FM32-GG$103,Männer!$AZ$9:$BD$102,5)+VLOOKUP($FM32-GG$103+1,Männer!$AZ$9:$BD$102,5)),RundDx)</f>
        <v>154004980</v>
      </c>
      <c r="GH32" s="25">
        <f>ROUND(v^($FM32+FaktorAlter)*VLOOKUP($FM32,$G$9:$J$102,4)*VLOOKUP($FM32,$A$9:$E$102,5)*0.5*(VLOOKUP($FM32-GH$103,Männer!$G$9:$J$102,4)+VLOOKUP($FM32-GH$103+1,Männer!$G$9:$J$102,4))*0.5*(VLOOKUP($FM32-GH$103,Männer!$AZ$9:$BD$102,5)+VLOOKUP($FM32-GH$103+1,Männer!$AZ$9:$BD$102,5)),RundDx)</f>
        <v>178084938</v>
      </c>
      <c r="GI32" s="25">
        <f>ROUND(v^($FM32+FaktorAlter)*VLOOKUP($FM32,$G$9:$J$102,4)*VLOOKUP($FM32,$A$9:$E$102,5)*0.5*(VLOOKUP($FM32-GI$103,Männer!$G$9:$J$102,4)+VLOOKUP($FM32-GI$103+1,Männer!$G$9:$J$102,4))*0.5*(VLOOKUP($FM32-GI$103,Männer!$AZ$9:$BD$102,5)+VLOOKUP($FM32-GI$103+1,Männer!$AZ$9:$BD$102,5)),RundDx)</f>
        <v>203658247</v>
      </c>
      <c r="GJ32" s="25">
        <f>ROUND(v^($FM32+FaktorAlter)*VLOOKUP($FM32,$G$9:$J$102,4)*VLOOKUP($FM32,$A$9:$E$102,5)*0.5*(VLOOKUP($FM32-GJ$103,Männer!$G$9:$J$102,4)+VLOOKUP($FM32-GJ$103+1,Männer!$G$9:$J$102,4))*0.5*(VLOOKUP($FM32-GJ$103,Männer!$AZ$9:$BD$102,5)+VLOOKUP($FM32-GJ$103+1,Männer!$AZ$9:$BD$102,5)),RundDx)</f>
        <v>230589919</v>
      </c>
      <c r="GK32" s="25">
        <f>ROUND(v^($FM32+FaktorAlter)*VLOOKUP($FM32,$G$9:$J$102,4)*VLOOKUP($FM32,$A$9:$E$102,5)*0.5*(VLOOKUP($FM32-GK$103,Männer!$G$9:$J$102,4)+VLOOKUP($FM32-GK$103+1,Männer!$G$9:$J$102,4))*0.5*(VLOOKUP($FM32-GK$103,Männer!$AZ$9:$BD$102,5)+VLOOKUP($FM32-GK$103+1,Männer!$AZ$9:$BD$102,5)),RundDx)</f>
        <v>258750602</v>
      </c>
      <c r="GL32" s="25">
        <f>ROUND(v^($FM32+FaktorAlter)*VLOOKUP($FM32,$G$9:$J$102,4)*VLOOKUP($FM32,$A$9:$E$102,5)*0.5*(VLOOKUP($FM32-GL$103,Männer!$G$9:$J$102,4)+VLOOKUP($FM32-GL$103+1,Männer!$G$9:$J$102,4))*0.5*(VLOOKUP($FM32-GL$103,Männer!$AZ$9:$BD$102,5)+VLOOKUP($FM32-GL$103+1,Männer!$AZ$9:$BD$102,5)),RundDx)</f>
        <v>288004492</v>
      </c>
      <c r="GM32" s="25">
        <f>ROUND(v^($FM32+FaktorAlter)*VLOOKUP($FM32,$G$9:$J$102,4)*VLOOKUP($FM32,$A$9:$E$102,5)*0.5*(VLOOKUP($FM32-GM$103,Männer!$G$9:$J$102,4)+VLOOKUP($FM32-GM$103+1,Männer!$G$9:$J$102,4))*0.5*(VLOOKUP($FM32-GM$103,Männer!$AZ$9:$BD$102,5)+VLOOKUP($FM32-GM$103+1,Männer!$AZ$9:$BD$102,5)),RundDx)</f>
        <v>318205490</v>
      </c>
      <c r="GN32" s="25">
        <f>ROUND(v^($FM32+FaktorAlter)*VLOOKUP($FM32,$G$9:$J$102,4)*VLOOKUP($FM32,$A$9:$E$102,5)*0.5*(VLOOKUP($FM32-GN$103,Männer!$G$9:$J$102,4)+VLOOKUP($FM32-GN$103+1,Männer!$G$9:$J$102,4))*0.5*(VLOOKUP($FM32-GN$103,Männer!$AZ$9:$BD$102,5)+VLOOKUP($FM32-GN$103+1,Männer!$AZ$9:$BD$102,5)),RundDx)</f>
        <v>349191195</v>
      </c>
      <c r="GO32" s="25">
        <f>ROUND(v^($FM32+FaktorAlter)*VLOOKUP($FM32,$G$9:$J$102,4)*VLOOKUP($FM32,$A$9:$E$102,5)*0.5*(VLOOKUP($FM32-GO$103,Männer!$G$9:$J$102,4)+VLOOKUP($FM32-GO$103+1,Männer!$G$9:$J$102,4))*0.5*(VLOOKUP($FM32-GO$103,Männer!$AZ$9:$BD$102,5)+VLOOKUP($FM32-GO$103+1,Männer!$AZ$9:$BD$102,5)),RundDx)</f>
        <v>380763739</v>
      </c>
      <c r="GP32" s="25">
        <f>ROUND(v^($FM32+FaktorAlter)*VLOOKUP($FM32,$G$9:$J$102,4)*VLOOKUP($FM32,$A$9:$E$102,5)*0.5*(VLOOKUP($FM32-GP$103,Männer!$G$9:$J$102,4)+VLOOKUP($FM32-GP$103+1,Männer!$G$9:$J$102,4))*0.5*(VLOOKUP($FM32-GP$103,Männer!$AZ$9:$BD$102,5)+VLOOKUP($FM32-GP$103+1,Männer!$AZ$9:$BD$102,5)),RundDx)</f>
        <v>412775807</v>
      </c>
      <c r="GQ32" s="25">
        <f>ROUND(v^($FM32+FaktorAlter)*VLOOKUP($FM32,$G$9:$J$102,4)*VLOOKUP($FM32,$A$9:$E$102,5)*0.5*(VLOOKUP($FM32-GQ$103,Männer!$G$9:$J$102,4)+VLOOKUP($FM32-GQ$103+1,Männer!$G$9:$J$102,4))*0.5*(VLOOKUP($FM32-GQ$103,Männer!$AZ$9:$BD$102,5)+VLOOKUP($FM32-GQ$103+1,Männer!$AZ$9:$BD$102,5)),RundDx)</f>
        <v>445044793</v>
      </c>
      <c r="GR32" s="25">
        <f>ROUND(v^($FM32+FaktorAlter)*VLOOKUP($FM32,$G$9:$J$102,4)*VLOOKUP($FM32,$A$9:$E$102,5)*0.5*(VLOOKUP($FM32-GR$103,Männer!$G$9:$J$102,4)+VLOOKUP($FM32-GR$103+1,Männer!$G$9:$J$102,4))*0.5*(VLOOKUP($FM32-GR$103,Männer!$AZ$9:$BD$102,5)+VLOOKUP($FM32-GR$103+1,Männer!$AZ$9:$BD$102,5)),RundDx)</f>
        <v>477554072</v>
      </c>
      <c r="GS32" s="24"/>
      <c r="GT32" s="24">
        <f>ROUND(SUM(FO32:FO$56)/VLOOKUP($FM32,$AQ$9:$AR$102,2)/VLOOKUP($FM32-GT$103,Männer!$G$9:$J$102,4),Rundäx)</f>
        <v>0</v>
      </c>
      <c r="GU32" s="24">
        <f>ROUND(SUM(FP32:FP$56)/VLOOKUP($FM32,$AQ$9:$AR$102,2)/VLOOKUP($FM32-GU$103,Männer!$G$9:$J$102,4),Rundäx)</f>
        <v>7.3999999999999996E-2</v>
      </c>
      <c r="GV32" s="24">
        <f>ROUND(SUM(FQ32:FQ$56)/VLOOKUP($FM32,$AQ$9:$AR$102,2)/VLOOKUP($FM32-GV$103,Männer!$G$9:$J$102,4),Rundäx)</f>
        <v>0.125</v>
      </c>
      <c r="GW32" s="24">
        <f>ROUND(SUM(FR32:FR$56)/VLOOKUP($FM32,$AQ$9:$AR$102,2)/VLOOKUP($FM32-GW$103,Männer!$G$9:$J$102,4),Rundäx)</f>
        <v>0.17199999999999999</v>
      </c>
      <c r="GX32" s="24">
        <f>ROUND(SUM(FS32:FS$56)/VLOOKUP($FM32,$AQ$9:$AR$102,2)/VLOOKUP($FM32-GX$103,Männer!$G$9:$J$102,4),Rundäx)</f>
        <v>0.223</v>
      </c>
      <c r="GY32" s="24">
        <f>ROUND(SUM(FT32:FT$56)/VLOOKUP($FM32,$AQ$9:$AR$102,2)/VLOOKUP($FM32-GY$103,Männer!$G$9:$J$102,4),Rundäx)</f>
        <v>0.28199999999999997</v>
      </c>
      <c r="GZ32" s="24">
        <f>ROUND(SUM(FU32:FU$56)/VLOOKUP($FM32,$AQ$9:$AR$102,2)/VLOOKUP($FM32-GZ$103,Männer!$G$9:$J$102,4),Rundäx)</f>
        <v>0.35099999999999998</v>
      </c>
      <c r="HA32" s="89"/>
      <c r="HB32" s="35">
        <f t="shared" si="65"/>
        <v>87</v>
      </c>
      <c r="HC32" s="24">
        <f>ROUND(SUM(FV32:FV$56)/VLOOKUP($FM32,$AQ$9:$AR$102,2)/VLOOKUP($FM32-HC$103,Männer!$G$9:$J$102,4),Rundäx)</f>
        <v>0.43099999999999999</v>
      </c>
      <c r="HD32" s="24">
        <f>ROUND(SUM(FW32:FW$56)/VLOOKUP($FM32,$AQ$9:$AR$102,2)/VLOOKUP($FM32-HD$103,Männer!$G$9:$J$102,4),Rundäx)</f>
        <v>0.52500000000000002</v>
      </c>
      <c r="HE32" s="24">
        <f>ROUND(SUM(FX32:FX$56)/VLOOKUP($FM32,$AQ$9:$AR$102,2)/VLOOKUP($FM32-HE$103,Männer!$G$9:$J$102,4),Rundäx)</f>
        <v>0.63200000000000001</v>
      </c>
      <c r="HF32" s="24">
        <f>ROUND(SUM(FY32:FY$56)/VLOOKUP($FM32,$AQ$9:$AR$102,2)/VLOOKUP($FM32-HF$103,Männer!$G$9:$J$102,4),Rundäx)</f>
        <v>0.75600000000000001</v>
      </c>
      <c r="HG32" s="24">
        <f>ROUND(SUM(FZ32:FZ$56)/VLOOKUP($FM32,$AQ$9:$AR$102,2)/VLOOKUP($FM32-HG$103,Männer!$G$9:$J$102,4),Rundäx)</f>
        <v>0.89700000000000002</v>
      </c>
      <c r="HH32" s="24">
        <f>ROUND(SUM(GA32:GA$56)/VLOOKUP($FM32,$AQ$9:$AR$102,2)/VLOOKUP($FM32-HH$103,Männer!$G$9:$J$102,4),Rundäx)</f>
        <v>1.056</v>
      </c>
      <c r="HI32" s="24">
        <f>ROUND(SUM(GB32:GB$56)/VLOOKUP($FM32,$AQ$9:$AR$102,2)/VLOOKUP($FM32-HI$103,Männer!$G$9:$J$102,4),Rundäx)</f>
        <v>1.234</v>
      </c>
      <c r="HJ32" s="24">
        <f>ROUND(SUM(GC32:GC$56)/VLOOKUP($FM32,$AQ$9:$AR$102,2)/VLOOKUP($FM32-HJ$103,Männer!$G$9:$J$102,4),Rundäx)</f>
        <v>1.43</v>
      </c>
      <c r="HK32" s="89"/>
      <c r="HL32" s="35">
        <f t="shared" si="66"/>
        <v>87</v>
      </c>
      <c r="HM32" s="24">
        <f>ROUND(SUM(GD32:GD$56)/VLOOKUP($FM32,$AQ$9:$AR$102,2)/VLOOKUP($FM32-HM$103,Männer!$G$9:$J$102,4),Rundäx)</f>
        <v>1.6439999999999999</v>
      </c>
      <c r="HN32" s="24">
        <f>ROUND(SUM(GE32:GE$56)/VLOOKUP($FM32,$AQ$9:$AR$102,2)/VLOOKUP($FM32-HN$103,Männer!$G$9:$J$102,4),Rundäx)</f>
        <v>1.8759999999999999</v>
      </c>
      <c r="HO32" s="24">
        <f>ROUND(SUM(GF32:GF$56)/VLOOKUP($FM32,$AQ$9:$AR$102,2)/VLOOKUP($FM32-HO$103,Männer!$G$9:$J$102,4),Rundäx)</f>
        <v>2.125</v>
      </c>
      <c r="HP32" s="24">
        <f>ROUND(SUM(GG32:GG$56)/VLOOKUP($FM32,$AQ$9:$AR$102,2)/VLOOKUP($FM32-HP$103,Männer!$G$9:$J$102,4),Rundäx)</f>
        <v>2.3889999999999998</v>
      </c>
      <c r="HQ32" s="24">
        <f>ROUND(SUM(GH32:GH$56)/VLOOKUP($FM32,$AQ$9:$AR$102,2)/VLOOKUP($FM32-HQ$103,Männer!$G$9:$J$102,4),Rundäx)</f>
        <v>2.669</v>
      </c>
      <c r="HR32" s="24">
        <f>ROUND(SUM(GI32:GI$56)/VLOOKUP($FM32,$AQ$9:$AR$102,2)/VLOOKUP($FM32-HR$103,Männer!$G$9:$J$102,4),Rundäx)</f>
        <v>2.9620000000000002</v>
      </c>
      <c r="HS32" s="24">
        <f>ROUND(SUM(GJ32:GJ$56)/VLOOKUP($FM32,$AQ$9:$AR$102,2)/VLOOKUP($FM32-HS$103,Männer!$G$9:$J$102,4),Rundäx)</f>
        <v>3.2669999999999999</v>
      </c>
      <c r="HT32" s="24">
        <f>ROUND(SUM(GK32:GK$56)/VLOOKUP($FM32,$AQ$9:$AR$102,2)/VLOOKUP($FM32-HT$103,Männer!$G$9:$J$102,4),Rundäx)</f>
        <v>3.585</v>
      </c>
      <c r="HU32" s="89"/>
      <c r="HV32" s="35">
        <f t="shared" si="67"/>
        <v>87</v>
      </c>
      <c r="HW32" s="24">
        <f>ROUND(SUM(GL32:GL$56)/VLOOKUP($FM32,$AQ$9:$AR$102,2)/VLOOKUP($FM32-HW$103,Männer!$G$9:$J$102,4),Rundäx)</f>
        <v>3.9119999999999999</v>
      </c>
      <c r="HX32" s="24">
        <f>ROUND(SUM(GM32:GM$56)/VLOOKUP($FM32,$AQ$9:$AR$102,2)/VLOOKUP($FM32-HX$103,Männer!$G$9:$J$102,4),Rundäx)</f>
        <v>4.2489999999999997</v>
      </c>
      <c r="HY32" s="24">
        <f>ROUND(SUM(GN32:GN$56)/VLOOKUP($FM32,$AQ$9:$AR$102,2)/VLOOKUP($FM32-HY$103,Männer!$G$9:$J$102,4),Rundäx)</f>
        <v>4.5940000000000003</v>
      </c>
      <c r="HZ32" s="24">
        <f>ROUND(SUM(GO32:GO$56)/VLOOKUP($FM32,$AQ$9:$AR$102,2)/VLOOKUP($FM32-HZ$103,Männer!$G$9:$J$102,4),Rundäx)</f>
        <v>4.9459999999999997</v>
      </c>
      <c r="IA32" s="24">
        <f>ROUND(SUM(GP32:GP$56)/VLOOKUP($FM32,$AQ$9:$AR$102,2)/VLOOKUP($FM32-IA$103,Männer!$G$9:$J$102,4),Rundäx)</f>
        <v>5.3049999999999997</v>
      </c>
      <c r="IB32" s="24">
        <f>ROUND(SUM(GQ32:GQ$56)/VLOOKUP($FM32,$AQ$9:$AR$102,2)/VLOOKUP($FM32-IB$103,Männer!$G$9:$J$102,4),Rundäx)</f>
        <v>5.67</v>
      </c>
      <c r="IC32" s="24">
        <f>ROUND(SUM(GR32:GR$56)/VLOOKUP($FM32,$AQ$9:$AR$102,2)/VLOOKUP($FM32-IC$103,Männer!$G$9:$J$102,4),Rundäx)</f>
        <v>6.0380000000000003</v>
      </c>
      <c r="ID32" s="89"/>
      <c r="IE32" s="9">
        <f t="shared" si="68"/>
        <v>40</v>
      </c>
      <c r="IF32" s="11">
        <f t="shared" si="25"/>
        <v>313</v>
      </c>
      <c r="IG32" s="11">
        <f>IF($IE32&lt;RAF,IF(S33&lt;=RAK,ROUND(SUM(IF32:INDEX(Daky,RAF-BeginnAlter))+INDEX(Day,RAF-BeginnAlter+1)*INDEX(äky,1),RundDx),0),"")</f>
        <v>2313</v>
      </c>
      <c r="IH32" s="11">
        <f>IF($IE32&lt;RAF,IF(S33&lt;=RAK,ROUND(SUM(IG32:INDEX(Naky,RAF-BeginnAlter))+INDEX(Day,RAF-BeginnAlter+1)*INDEX(äky,1),RundDx),0),"")</f>
        <v>12380</v>
      </c>
      <c r="II32" s="10">
        <f t="shared" si="26"/>
        <v>5.8000000000000003E-2</v>
      </c>
      <c r="IJ32" s="11">
        <f t="shared" si="27"/>
        <v>12672</v>
      </c>
      <c r="IK32" s="11">
        <f>IF($IE32&lt;RAF,IF(S33&lt;=RAK,SUM(IJ32:INDEX(Diky,RAF-BeginnAlter))+INDEX(Diy,RAF-BeginnAlter+1)*INDEX(äky,1),0),"")</f>
        <v>64031</v>
      </c>
      <c r="IL32" s="10">
        <f t="shared" si="28"/>
        <v>1.05</v>
      </c>
      <c r="IM32" s="89"/>
      <c r="IN32" s="9">
        <f t="shared" si="29"/>
        <v>87</v>
      </c>
      <c r="IO32" s="11"/>
      <c r="IP32" s="11"/>
      <c r="IQ32" s="10"/>
      <c r="IR32" s="86"/>
    </row>
    <row r="33" spans="1:252" ht="15.75" customHeight="1" x14ac:dyDescent="0.25">
      <c r="A33" s="9">
        <f t="shared" si="4"/>
        <v>41</v>
      </c>
      <c r="B33" s="93">
        <v>5.4121438002994538E-4</v>
      </c>
      <c r="C33" s="93">
        <v>3.6263898299912704E-3</v>
      </c>
      <c r="D33" s="93">
        <v>2.1038503574723678E-2</v>
      </c>
      <c r="E33" s="93">
        <v>1.1537177034945945E-3</v>
      </c>
      <c r="F33" s="89"/>
      <c r="G33" s="9">
        <f t="shared" si="5"/>
        <v>41</v>
      </c>
      <c r="H33" s="11">
        <f t="shared" si="30"/>
        <v>96038</v>
      </c>
      <c r="I33" s="25">
        <f t="shared" si="31"/>
        <v>2773</v>
      </c>
      <c r="J33" s="25">
        <f t="shared" si="32"/>
        <v>98811</v>
      </c>
      <c r="K33" s="30">
        <f>IF(J33&gt;0,ROUND(SUM(J33:J$102)/J33-0.5,Rundex),"")</f>
        <v>41.68</v>
      </c>
      <c r="L33" s="25">
        <f t="shared" si="6"/>
        <v>145315</v>
      </c>
      <c r="M33" s="30">
        <f>IF(L33&gt;0,ROUND(SUM(L33:L$102)/L33-0.5,Rundex),"")</f>
        <v>31.59</v>
      </c>
      <c r="N33" s="89"/>
      <c r="O33" s="9">
        <f t="shared" si="49"/>
        <v>41</v>
      </c>
      <c r="P33" s="94">
        <v>0.29437897223999454</v>
      </c>
      <c r="Q33" s="95">
        <v>44.142371283191103</v>
      </c>
      <c r="R33" s="94">
        <v>0.58011995065299338</v>
      </c>
      <c r="S33" s="95">
        <v>4.6006477242729407</v>
      </c>
      <c r="T33" s="28">
        <v>1.0399999999999999E-3</v>
      </c>
      <c r="U33" s="11">
        <f t="shared" si="33"/>
        <v>98825</v>
      </c>
      <c r="V33" s="30">
        <f>IF(U33&gt;0,ROUND(SUM(U33:U$102)/U33-0.5,Rundex),"")</f>
        <v>42.97</v>
      </c>
      <c r="W33" s="89"/>
      <c r="X33" s="9">
        <f t="shared" si="50"/>
        <v>41</v>
      </c>
      <c r="Y33" s="11">
        <f t="shared" si="34"/>
        <v>38570</v>
      </c>
      <c r="Z33" s="11">
        <f>IF($X33&lt;RAF,SUM(Y33:INDEX(Day,RAF-BeginnAlter))," ")</f>
        <v>644506</v>
      </c>
      <c r="AA33" s="11">
        <f t="shared" si="0"/>
        <v>21</v>
      </c>
      <c r="AB33" s="11">
        <f>IF($X33&lt;RAF,SUM(AA33:INDEX(Cay,RAF-BeginnAlter))," ")</f>
        <v>1106</v>
      </c>
      <c r="AC33" s="11">
        <f t="shared" si="1"/>
        <v>138</v>
      </c>
      <c r="AD33" s="11">
        <f>IF($X33&lt;RAF,SUM(AC33:INDEX(Caiy,RAF-BeginnAlter))," ")</f>
        <v>6998</v>
      </c>
      <c r="AE33" s="10">
        <f t="shared" si="35"/>
        <v>16.71</v>
      </c>
      <c r="AF33" s="10">
        <f t="shared" si="36"/>
        <v>16.446000000000002</v>
      </c>
      <c r="AG33" s="89"/>
      <c r="AH33" s="9">
        <f t="shared" si="51"/>
        <v>41</v>
      </c>
      <c r="AI33" s="11">
        <f t="shared" si="37"/>
        <v>58360</v>
      </c>
      <c r="AJ33" s="11">
        <f>IF($AH33&gt;RAF," ",IF($AH33&lt;RAF,SUM(AI33:INDEX(Diy,RAF-BeginnAlter))+INDEX(Ny,RAF-BeginnAlter+1),INDEX(Ny,RAF-BeginnAlter+1)))</f>
        <v>1243063</v>
      </c>
      <c r="AK33" s="11">
        <f>IF($AH33&lt;RAF,SUM(AI33:INDEX(Diy,RAF-BeginnAlter))," ")</f>
        <v>876969</v>
      </c>
      <c r="AL33" s="10">
        <f t="shared" si="38"/>
        <v>21.3</v>
      </c>
      <c r="AM33" s="10">
        <f t="shared" si="39"/>
        <v>20.841999999999999</v>
      </c>
      <c r="AN33" s="10">
        <f t="shared" si="40"/>
        <v>15.026999999999999</v>
      </c>
      <c r="AO33" s="10">
        <f t="shared" si="41"/>
        <v>14.739000000000001</v>
      </c>
      <c r="AP33" s="89"/>
      <c r="AQ33" s="9">
        <f t="shared" si="52"/>
        <v>41</v>
      </c>
      <c r="AR33" s="11">
        <f t="shared" si="42"/>
        <v>39683</v>
      </c>
      <c r="AS33" s="11">
        <f>SUM(AR33:AR$96)</f>
        <v>1071354</v>
      </c>
      <c r="AT33" s="25">
        <f>IF($AQ33&lt;RAF,SUM(AR33:INDEX(Dy,RAF-BeginnAlter))," ")</f>
        <v>705260</v>
      </c>
      <c r="AU33" s="24">
        <f t="shared" si="43"/>
        <v>26.998000000000001</v>
      </c>
      <c r="AV33" s="24">
        <f t="shared" si="44"/>
        <v>26.539000000000001</v>
      </c>
      <c r="AW33" s="24">
        <f t="shared" si="45"/>
        <v>17.771999999999998</v>
      </c>
      <c r="AX33" s="24">
        <f t="shared" si="46"/>
        <v>17.565000000000001</v>
      </c>
      <c r="AY33" s="89"/>
      <c r="AZ33" s="9">
        <f t="shared" si="53"/>
        <v>41</v>
      </c>
      <c r="BA33" s="11">
        <f t="shared" si="47"/>
        <v>39689</v>
      </c>
      <c r="BB33" s="11">
        <f>SUM(BA33:BA$96)</f>
        <v>1094140</v>
      </c>
      <c r="BC33" s="10">
        <f t="shared" si="48"/>
        <v>27.568000000000001</v>
      </c>
      <c r="BD33" s="10">
        <f t="shared" si="7"/>
        <v>27.11</v>
      </c>
      <c r="BE33" s="89"/>
      <c r="BF33" s="9">
        <f t="shared" si="54"/>
        <v>24</v>
      </c>
      <c r="BG33" s="10">
        <f t="shared" si="8"/>
        <v>1</v>
      </c>
      <c r="BH33" s="10">
        <f t="shared" si="9"/>
        <v>0.99</v>
      </c>
      <c r="BI33" s="89"/>
      <c r="BJ33" s="9">
        <f t="shared" si="55"/>
        <v>41</v>
      </c>
      <c r="BK33" s="11">
        <f t="shared" si="10"/>
        <v>2876</v>
      </c>
      <c r="BL33" s="11">
        <f>IF(BJ33&lt;RAF,SUM(BK33:INDEX(Daiy,RAF-BeginnAlter))," ")</f>
        <v>127769</v>
      </c>
      <c r="BM33" s="11">
        <f>IF(BJ33&lt;RAF,SUM(BL33:INDEX(Naiy,RAF-BeginnAlter))," ")</f>
        <v>1845267</v>
      </c>
      <c r="BN33" s="10">
        <f t="shared" si="11"/>
        <v>6.9530000000000003</v>
      </c>
      <c r="BO33" s="10">
        <f t="shared" si="12"/>
        <v>3.3130000000000002</v>
      </c>
      <c r="BP33" s="89"/>
      <c r="BQ33" s="9">
        <f t="shared" si="56"/>
        <v>41</v>
      </c>
      <c r="BR33" s="11">
        <f t="shared" si="13"/>
        <v>2014</v>
      </c>
      <c r="BS33" s="11">
        <f>IF(BQ33&lt;RAF,SUM(BR33:INDEX(Daiys,RAF-BeginnAlter))," ")</f>
        <v>46622</v>
      </c>
      <c r="BT33" s="11">
        <f>IF(BQ33&lt;RAF,SUM(BS33:INDEX(Naiys,RAF-BeginnAlter))," ")</f>
        <v>511597</v>
      </c>
      <c r="BU33" s="10">
        <f t="shared" si="14"/>
        <v>9.0570000000000004</v>
      </c>
      <c r="BV33" s="10">
        <f t="shared" si="15"/>
        <v>1.2090000000000001</v>
      </c>
      <c r="BW33" s="89"/>
      <c r="BX33" s="9">
        <f t="shared" si="57"/>
        <v>41</v>
      </c>
      <c r="BY33" s="10">
        <f t="shared" si="16"/>
        <v>13.326655059723816</v>
      </c>
      <c r="BZ33" s="11">
        <f t="shared" si="17"/>
        <v>1046</v>
      </c>
      <c r="CA33" s="11">
        <f>IF(S34&lt;=RAK,IF($BX33&lt;RAF,SUM(BZ33:INDEX(Dazy,RAF-BeginnAlter)),""),"")</f>
        <v>7672</v>
      </c>
      <c r="CB33" s="10">
        <f t="shared" si="18"/>
        <v>0.19900000000000001</v>
      </c>
      <c r="CC33" s="11">
        <f t="shared" si="19"/>
        <v>23579</v>
      </c>
      <c r="CD33" s="10">
        <f t="shared" si="20"/>
        <v>17.606000000000002</v>
      </c>
      <c r="CE33" s="10">
        <f t="shared" si="21"/>
        <v>3.0000000000000001E-3</v>
      </c>
      <c r="CF33" s="89"/>
      <c r="CG33" s="9">
        <f t="shared" si="58"/>
        <v>41</v>
      </c>
      <c r="CH33" s="11">
        <f>IF(CG33&lt;RAF,ROUND(v^($CG33+FaktorAlter)*$H33*($B33*0.5*($P33+$P34)*(VLOOKUP(TRUNC(0.5*($Q33+$Q34),0),Männer!$AZ$9:$BD$95,5)+(0.5*($Q33+$Q34)-TRUNC(0.5*($Q33+$Q34),0))*(VLOOKUP(TRUNC(0.5*($Q33+$Q34)+1,0),Männer!$AZ$9:$BD$95,5)-VLOOKUP(TRUNC(0.5*($Q33+$Q34),0),Männer!$AZ$9:$BD$95,5)))+$C33*0.5*($CN33+$CN34)),RundDx),"")</f>
        <v>347</v>
      </c>
      <c r="CI33" s="11">
        <f>IF(CG33&lt;RAF,ROUND(SUM(CH33:INDEX(Dawy,RAF-BeginnAlter))+INDEX(Day,RAF-BeginnAlter+1)*INDEX(äwy,1),RundDx),"")</f>
        <v>10159</v>
      </c>
      <c r="CJ33" s="11">
        <f>IF(CG33&lt;RAF,ROUND(SUM(CI33:INDEX(Nawy,RAF-BeginnAlter))+INDEX(Day,RAF-BeginnAlter+1)*INDEX(äwy,1),RundDx),"")</f>
        <v>138924</v>
      </c>
      <c r="CK33" s="10">
        <f t="shared" si="22"/>
        <v>0.26300000000000001</v>
      </c>
      <c r="CL33" s="11">
        <f>IF(CG33&lt;RAF,ROUND(v^($CG33+FaktorAlter)*$L33*$D33*0.5*($P33+$P34)*(VLOOKUP(TRUNC(0.5*($Q33+$Q34),0),Männer!$AZ$9:$BD$95,5)+(0.5*($Q33+$Q34)-TRUNC(0.5*($Q33+$Q34),0))*(VLOOKUP(TRUNC(0.5*($Q33+$Q34)+1,0),Männer!$AZ$9:$BD$95,5)-VLOOKUP(TRUNC(0.5*($Q33+$Q34),0),Männer!$AZ$9:$BD$95,5))),RundDx),"")</f>
        <v>8198</v>
      </c>
      <c r="CM33" s="11">
        <f>IF(CG33&lt;RAF,SUM(CL33:INDEX(Diwy,RAF-BeginnAlter))+INDEX(Diy,RAF-BeginnAlter+1)*INDEX(äwy,1),"")</f>
        <v>89749.304000000004</v>
      </c>
      <c r="CN33" s="10">
        <f t="shared" si="23"/>
        <v>1.538</v>
      </c>
      <c r="CO33" s="89"/>
      <c r="CP33" s="9">
        <f t="shared" si="59"/>
        <v>88</v>
      </c>
      <c r="CQ33" s="11">
        <f>ROUND(v^($CP33+FaktorAlter)*VLOOKUP(CP33,G$9:J$102,4)*VLOOKUP(CP33,A$9:E$102,5)*0.5*(VLOOKUP(CP33,O$9:P$102,2)+VLOOKUP(CP33+1,O$9:P$102,2))*(VLOOKUP(TRUNC(0.5*(VLOOKUP(CP33,O$9:Q$102,3)+VLOOKUP(CP33+1,O$9:Q$102,3)),0),Männer!$AZ$9:$BD$95,5)+(0.5*(VLOOKUP(CP33,O$9:Q$102,3)+VLOOKUP(CP33+1,O$9:Q$102,3))-TRUNC(0.5*(VLOOKUP(CP33,O$9:Q$102,3)+VLOOKUP(CP33+1,O$9:Q$102,3)),0))*(VLOOKUP(TRUNC(0.5*(VLOOKUP(CP33,O$9:Q$102,3)+VLOOKUP(CP33+1,O$9:Q$102,3))+1,0),Männer!$AZ$9:$BD$95,5)-VLOOKUP(TRUNC(0.5*(VLOOKUP(CP33,O$9:Q$102,3)+VLOOKUP(CP33+1,O$9:Q$102,3)),0),Männer!$AZ$9:$BD$95,5))),RundDx)</f>
        <v>13</v>
      </c>
      <c r="CR33" s="11">
        <f>SUM(CQ33:CQ$56)</f>
        <v>57</v>
      </c>
      <c r="CS33" s="24">
        <f t="shared" si="24"/>
        <v>1.0999999999999999E-2</v>
      </c>
      <c r="CT33" s="89"/>
      <c r="CU33" s="35">
        <f t="shared" si="60"/>
        <v>41</v>
      </c>
      <c r="CV33" s="25">
        <f>IF($CU33&gt;=RAF,"",IF($CU33-CV$103&lt;BeginnAlter,"",ROUND(v^($CU33+FaktorAlter)*$L33*$D33*0.5*(VLOOKUP($CU33-CV$103,Männer!$G$9:$J$102,4)+VLOOKUP($CU33-CV$103+1,Männer!$G$9:$J$102,4))*0.5*(VLOOKUP($CU33-CV$103,Männer!$AZ$9:$BD$102,5)+VLOOKUP($CU33-CV$103+1,Männer!$AZ$9:$BD$102,5)),RundDx)))</f>
        <v>1907972034</v>
      </c>
      <c r="CW33" s="25">
        <f>IF($CU33&gt;=RAF,"",IF($CU33-CW$103&lt;BeginnAlter,"",ROUND(v^($CU33+FaktorAlter)*$L33*$D33*0.5*(VLOOKUP($CU33-CW$103,Männer!$G$9:$J$102,4)+VLOOKUP($CU33-CW$103+1,Männer!$G$9:$J$102,4))*0.5*(VLOOKUP($CU33-CW$103,Männer!$AZ$9:$BD$102,5)+VLOOKUP($CU33-CW$103+1,Männer!$AZ$9:$BD$102,5)),RundDx)))</f>
        <v>1979474021</v>
      </c>
      <c r="CX33" s="25">
        <f>IF($CU33&gt;=RAF,"",IF($CU33-CX$103&lt;BeginnAlter,"",ROUND(v^($CU33+FaktorAlter)*$L33*$D33*0.5*(VLOOKUP($CU33-CX$103,Männer!$G$9:$J$102,4)+VLOOKUP($CU33-CX$103+1,Männer!$G$9:$J$102,4))*0.5*(VLOOKUP($CU33-CX$103,Männer!$AZ$9:$BD$102,5)+VLOOKUP($CU33-CX$103+1,Männer!$AZ$9:$BD$102,5)),RundDx)))</f>
        <v>2049900264</v>
      </c>
      <c r="CY33" s="25">
        <f>IF($CU33&gt;=RAF,"",IF($CU33-CY$103&lt;BeginnAlter,"",ROUND(v^($CU33+FaktorAlter)*$L33*$D33*0.5*(VLOOKUP($CU33-CY$103,Männer!$G$9:$J$102,4)+VLOOKUP($CU33-CY$103+1,Männer!$G$9:$J$102,4))*0.5*(VLOOKUP($CU33-CY$103,Männer!$AZ$9:$BD$102,5)+VLOOKUP($CU33-CY$103+1,Männer!$AZ$9:$BD$102,5)),RundDx)))</f>
        <v>2119262622</v>
      </c>
      <c r="CZ33" s="25">
        <f>IF($CU33&gt;=RAF,"",IF($CU33-CZ$103&lt;BeginnAlter,"",ROUND(v^($CU33+FaktorAlter)*$L33*$D33*0.5*(VLOOKUP($CU33-CZ$103,Männer!$G$9:$J$102,4)+VLOOKUP($CU33-CZ$103+1,Männer!$G$9:$J$102,4))*0.5*(VLOOKUP($CU33-CZ$103,Männer!$AZ$9:$BD$102,5)+VLOOKUP($CU33-CZ$103+1,Männer!$AZ$9:$BD$102,5)),RundDx)))</f>
        <v>2187571564</v>
      </c>
      <c r="DA33" s="25">
        <f>IF($CU33&gt;=RAF,"",IF($CU33-DA$103&lt;BeginnAlter,"",ROUND(v^($CU33+FaktorAlter)*$L33*$D33*0.5*(VLOOKUP($CU33-DA$103,Männer!$G$9:$J$102,4)+VLOOKUP($CU33-DA$103+1,Männer!$G$9:$J$102,4))*0.5*(VLOOKUP($CU33-DA$103,Männer!$AZ$9:$BD$102,5)+VLOOKUP($CU33-DA$103+1,Männer!$AZ$9:$BD$102,5)),RundDx)))</f>
        <v>2254704354</v>
      </c>
      <c r="DB33" s="25">
        <f>IF($CU33&gt;=RAF,"",IF($CU33-DB$103&lt;BeginnAlter,"",ROUND(v^($CU33+FaktorAlter)*$L33*$D33*0.5*(VLOOKUP($CU33-DB$103,Männer!$G$9:$J$102,4)+VLOOKUP($CU33-DB$103+1,Männer!$G$9:$J$102,4))*0.5*(VLOOKUP($CU33-DB$103,Männer!$AZ$9:$BD$102,5)+VLOOKUP($CU33-DB$103+1,Männer!$AZ$9:$BD$102,5)),RundDx)))</f>
        <v>2320668438</v>
      </c>
      <c r="DC33" s="25">
        <f>IF($CU33&gt;=RAF,"",IF($CU33-DC$103&lt;BeginnAlter,"",ROUND(v^($CU33+FaktorAlter)*$L33*$D33*0.5*(VLOOKUP($CU33-DC$103,Männer!$G$9:$J$102,4)+VLOOKUP($CU33-DC$103+1,Männer!$G$9:$J$102,4))*0.5*(VLOOKUP($CU33-DC$103,Männer!$AZ$9:$BD$102,5)+VLOOKUP($CU33-DC$103+1,Männer!$AZ$9:$BD$102,5)),RundDx)))</f>
        <v>2385565933</v>
      </c>
      <c r="DD33" s="25">
        <f>IF($CU33&gt;=RAF,"",IF($CU33-DD$103&lt;BeginnAlter,"",ROUND(v^($CU33+FaktorAlter)*$L33*$D33*0.5*(VLOOKUP($CU33-DD$103,Männer!$G$9:$J$102,4)+VLOOKUP($CU33-DD$103+1,Männer!$G$9:$J$102,4))*0.5*(VLOOKUP($CU33-DD$103,Männer!$AZ$9:$BD$102,5)+VLOOKUP($CU33-DD$103+1,Männer!$AZ$9:$BD$102,5)),RundDx)))</f>
        <v>2449355073</v>
      </c>
      <c r="DE33" s="25">
        <f>IF($CU33&gt;=RAF,"",IF($CU33-DE$103&lt;BeginnAlter,"",ROUND(v^($CU33+FaktorAlter)*$L33*$D33*0.5*(VLOOKUP($CU33-DE$103,Männer!$G$9:$J$102,4)+VLOOKUP($CU33-DE$103+1,Männer!$G$9:$J$102,4))*0.5*(VLOOKUP($CU33-DE$103,Männer!$AZ$9:$BD$102,5)+VLOOKUP($CU33-DE$103+1,Männer!$AZ$9:$BD$102,5)),RundDx)))</f>
        <v>2511967595</v>
      </c>
      <c r="DF33" s="25">
        <f>IF($CU33&gt;=RAF,"",IF($CU33-DF$103&lt;BeginnAlter,"",ROUND(v^($CU33+FaktorAlter)*$L33*$D33*0.5*(VLOOKUP($CU33-DF$103,Männer!$G$9:$J$102,4)+VLOOKUP($CU33-DF$103+1,Männer!$G$9:$J$102,4))*0.5*(VLOOKUP($CU33-DF$103,Männer!$AZ$9:$BD$102,5)+VLOOKUP($CU33-DF$103+1,Männer!$AZ$9:$BD$102,5)),RundDx)))</f>
        <v>2573480854</v>
      </c>
      <c r="DG33" s="25">
        <f>IF($CU33&gt;=RAF,"",IF($CU33-DG$103&lt;BeginnAlter,"",ROUND(v^($CU33+FaktorAlter)*$L33*$D33*0.5*(VLOOKUP($CU33-DG$103,Männer!$G$9:$J$102,4)+VLOOKUP($CU33-DG$103+1,Männer!$G$9:$J$102,4))*0.5*(VLOOKUP($CU33-DG$103,Männer!$AZ$9:$BD$102,5)+VLOOKUP($CU33-DG$103+1,Männer!$AZ$9:$BD$102,5)),RundDx)))</f>
        <v>2633892033</v>
      </c>
      <c r="DH33" s="25">
        <f>IF($CU33&gt;=RAF,"",IF($CU33-DH$103&lt;BeginnAlter,"",ROUND(v^($CU33+FaktorAlter)*$L33*$D33*0.5*(VLOOKUP($CU33-DH$103,Männer!$G$9:$J$102,4)+VLOOKUP($CU33-DH$103+1,Männer!$G$9:$J$102,4))*0.5*(VLOOKUP($CU33-DH$103,Männer!$AZ$9:$BD$102,5)+VLOOKUP($CU33-DH$103+1,Männer!$AZ$9:$BD$102,5)),RundDx)))</f>
        <v>2693201377</v>
      </c>
      <c r="DI33" s="25">
        <f>IF($CU33&gt;=RAF,"",IF($CU33-DI$103&lt;BeginnAlter,"",ROUND(v^($CU33+FaktorAlter)*$L33*$D33*0.5*(VLOOKUP($CU33-DI$103,Männer!$G$9:$J$102,4)+VLOOKUP($CU33-DI$103+1,Männer!$G$9:$J$102,4))*0.5*(VLOOKUP($CU33-DI$103,Männer!$AZ$9:$BD$102,5)+VLOOKUP($CU33-DI$103+1,Männer!$AZ$9:$BD$102,5)),RundDx)))</f>
        <v>2751383955</v>
      </c>
      <c r="DJ33" s="25">
        <f>IF($CU33&gt;=RAF,"",IF($CU33-DJ$103&lt;BeginnAlter,"",ROUND(v^($CU33+FaktorAlter)*$L33*$D33*0.5*(VLOOKUP($CU33-DJ$103,Männer!$G$9:$J$102,4)+VLOOKUP($CU33-DJ$103+1,Männer!$G$9:$J$102,4))*0.5*(VLOOKUP($CU33-DJ$103,Männer!$AZ$9:$BD$102,5)+VLOOKUP($CU33-DJ$103+1,Männer!$AZ$9:$BD$102,5)),RundDx)))</f>
        <v>2808503696</v>
      </c>
      <c r="DK33" s="25">
        <f>IF($CU33&gt;=RAF,"",IF($CU33-DK$103&lt;BeginnAlter,"",ROUND(v^($CU33+FaktorAlter)*$L33*$D33*0.5*(VLOOKUP($CU33-DK$103,Männer!$G$9:$J$102,4)+VLOOKUP($CU33-DK$103+1,Männer!$G$9:$J$102,4))*0.5*(VLOOKUP($CU33-DK$103,Männer!$AZ$9:$BD$102,5)+VLOOKUP($CU33-DK$103+1,Männer!$AZ$9:$BD$102,5)),RundDx)))</f>
        <v>2864613118</v>
      </c>
      <c r="DL33" s="25">
        <f>IF($CU33&gt;=RAF,"",IF($CU33-DL$103&lt;BeginnAlter,"",ROUND(v^($CU33+FaktorAlter)*$L33*$D33*0.5*(VLOOKUP($CU33-DL$103,Männer!$G$9:$J$102,4)+VLOOKUP($CU33-DL$103+1,Männer!$G$9:$J$102,4))*0.5*(VLOOKUP($CU33-DL$103,Männer!$AZ$9:$BD$102,5)+VLOOKUP($CU33-DL$103+1,Männer!$AZ$9:$BD$102,5)),RundDx)))</f>
        <v>2919617703</v>
      </c>
      <c r="DM33" s="25">
        <f>IF($CU33&gt;=RAF,"",IF($CU33-DM$103&lt;BeginnAlter,"",ROUND(v^($CU33+FaktorAlter)*$L33*$D33*0.5*(VLOOKUP($CU33-DM$103,Männer!$G$9:$J$102,4)+VLOOKUP($CU33-DM$103+1,Männer!$G$9:$J$102,4))*0.5*(VLOOKUP($CU33-DM$103,Männer!$AZ$9:$BD$102,5)+VLOOKUP($CU33-DM$103+1,Männer!$AZ$9:$BD$102,5)),RundDx)))</f>
        <v>2973512099</v>
      </c>
      <c r="DN33" s="25">
        <f>IF($CU33&gt;=RAF,"",IF($CU33-DN$103&lt;BeginnAlter,"",ROUND(v^($CU33+FaktorAlter)*$L33*$D33*0.5*(VLOOKUP($CU33-DN$103,Männer!$G$9:$J$102,4)+VLOOKUP($CU33-DN$103+1,Männer!$G$9:$J$102,4))*0.5*(VLOOKUP($CU33-DN$103,Männer!$AZ$9:$BD$102,5)+VLOOKUP($CU33-DN$103+1,Männer!$AZ$9:$BD$102,5)),RundDx)))</f>
        <v>3026456649</v>
      </c>
      <c r="DO33" s="25">
        <f>IF($CU33&gt;=RAF,"",IF($CU33-DO$103&lt;BeginnAlter,"",ROUND(v^($CU33+FaktorAlter)*$L33*$D33*0.5*(VLOOKUP($CU33-DO$103,Männer!$G$9:$J$102,4)+VLOOKUP($CU33-DO$103+1,Männer!$G$9:$J$102,4))*0.5*(VLOOKUP($CU33-DO$103,Männer!$AZ$9:$BD$102,5)+VLOOKUP($CU33-DO$103+1,Männer!$AZ$9:$BD$102,5)),RundDx)))</f>
        <v>3078389172</v>
      </c>
      <c r="DP33" s="25">
        <f>IF($CU33&gt;=RAF,"",IF($CU33-DP$103&lt;BeginnAlter,"",ROUND(v^($CU33+FaktorAlter)*$L33*$D33*0.5*(VLOOKUP($CU33-DP$103,Männer!$G$9:$J$102,4)+VLOOKUP($CU33-DP$103+1,Männer!$G$9:$J$102,4))*0.5*(VLOOKUP($CU33-DP$103,Männer!$AZ$9:$BD$102,5)+VLOOKUP($CU33-DP$103+1,Männer!$AZ$9:$BD$102,5)),RundDx)))</f>
        <v>3129264521</v>
      </c>
      <c r="DQ33" s="25">
        <f>IF($CU33&gt;=RAF,"",IF($CU33-DQ$103&lt;BeginnAlter,"",ROUND(v^($CU33+FaktorAlter)*$L33*$D33*0.5*(VLOOKUP($CU33-DQ$103,Männer!$G$9:$J$102,4)+VLOOKUP($CU33-DQ$103+1,Männer!$G$9:$J$102,4))*0.5*(VLOOKUP($CU33-DQ$103,Männer!$AZ$9:$BD$102,5)+VLOOKUP($CU33-DQ$103+1,Männer!$AZ$9:$BD$102,5)),RundDx)))</f>
        <v>3179187546</v>
      </c>
      <c r="DR33" s="25">
        <f>IF($CU33&gt;=RAF,"",IF($CU33-DR$103&lt;BeginnAlter,"",ROUND(v^($CU33+FaktorAlter)*$L33*$D33*0.5*(VLOOKUP($CU33-DR$103,Männer!$G$9:$J$102,4)+VLOOKUP($CU33-DR$103+1,Männer!$G$9:$J$102,4))*0.5*(VLOOKUP($CU33-DR$103,Männer!$AZ$9:$BD$102,5)+VLOOKUP($CU33-DR$103+1,Männer!$AZ$9:$BD$102,5)),RundDx)))</f>
        <v>3228083813</v>
      </c>
      <c r="DS33" s="25">
        <f>IF($CU33&gt;=RAF,"",IF($CU33-DS$103&lt;BeginnAlter,"",ROUND(v^($CU33+FaktorAlter)*$L33*$D33*0.5*(VLOOKUP($CU33-DS$103,Männer!$G$9:$J$102,4)+VLOOKUP($CU33-DS$103+1,Männer!$G$9:$J$102,4))*0.5*(VLOOKUP($CU33-DS$103,Männer!$AZ$9:$BD$102,5)+VLOOKUP($CU33-DS$103+1,Männer!$AZ$9:$BD$102,5)),RundDx)))</f>
        <v>3275988836</v>
      </c>
      <c r="DT33" s="25">
        <f>IF($CU33&gt;=RAF,"",IF($CU33-DT$103&lt;BeginnAlter,"",ROUND(v^($CU33+FaktorAlter)*$L33*$D33*0.5*(VLOOKUP($CU33-DT$103,Männer!$G$9:$J$102,4)+VLOOKUP($CU33-DT$103+1,Männer!$G$9:$J$102,4))*0.5*(VLOOKUP($CU33-DT$103,Männer!$AZ$9:$BD$102,5)+VLOOKUP($CU33-DT$103+1,Männer!$AZ$9:$BD$102,5)),RundDx)))</f>
        <v>3322941254</v>
      </c>
      <c r="DU33" s="25">
        <f>IF($CU33&gt;=RAF,"",IF($CU33-DU$103&lt;BeginnAlter,"",ROUND(v^($CU33+FaktorAlter)*$L33*$D33*0.5*(VLOOKUP($CU33-DU$103,Männer!$G$9:$J$102,4)+VLOOKUP($CU33-DU$103+1,Männer!$G$9:$J$102,4))*0.5*(VLOOKUP($CU33-DU$103,Männer!$AZ$9:$BD$102,5)+VLOOKUP($CU33-DU$103+1,Männer!$AZ$9:$BD$102,5)),RundDx)))</f>
        <v>3368965716</v>
      </c>
      <c r="DV33" s="25">
        <f>IF($CU33&gt;=RAF,"",IF($CU33-DV$103&lt;BeginnAlter,"",ROUND(v^($CU33+FaktorAlter)*$L33*$D33*0.5*(VLOOKUP($CU33-DV$103,Männer!$G$9:$J$102,4)+VLOOKUP($CU33-DV$103+1,Männer!$G$9:$J$102,4))*0.5*(VLOOKUP($CU33-DV$103,Männer!$AZ$9:$BD$102,5)+VLOOKUP($CU33-DV$103+1,Männer!$AZ$9:$BD$102,5)),RundDx)))</f>
        <v>3414071675</v>
      </c>
      <c r="DW33" s="25">
        <f>IF($CU33&gt;=RAF,"",IF($CU33-DW$103&lt;BeginnAlter,"",ROUND(v^($CU33+FaktorAlter)*$L33*$D33*0.5*(VLOOKUP($CU33-DW$103,Männer!$G$9:$J$102,4)+VLOOKUP($CU33-DW$103+1,Männer!$G$9:$J$102,4))*0.5*(VLOOKUP($CU33-DW$103,Männer!$AZ$9:$BD$102,5)+VLOOKUP($CU33-DW$103+1,Männer!$AZ$9:$BD$102,5)),RundDx)))</f>
        <v>3458244211</v>
      </c>
      <c r="DX33" s="25">
        <f>IF($CU33&gt;=RAF,"",IF($CU33-DX$103&lt;BeginnAlter,"",ROUND(v^($CU33+FaktorAlter)*$L33*$D33*0.5*(VLOOKUP($CU33-DX$103,Männer!$G$9:$J$102,4)+VLOOKUP($CU33-DX$103+1,Männer!$G$9:$J$102,4))*0.5*(VLOOKUP($CU33-DX$103,Männer!$AZ$9:$BD$102,5)+VLOOKUP($CU33-DX$103+1,Männer!$AZ$9:$BD$102,5)),RundDx)))</f>
        <v>3501531260</v>
      </c>
      <c r="DY33" s="25">
        <f>IF($CU33&gt;=RAF,"",IF($CU33-DY$103&lt;BeginnAlter,"",ROUND(v^($CU33+FaktorAlter)*$L33*$D33*0.5*(VLOOKUP($CU33-DY$103,Männer!$G$9:$J$102,4)+VLOOKUP($CU33-DY$103+1,Männer!$G$9:$J$102,4))*0.5*(VLOOKUP($CU33-DY$103,Männer!$AZ$9:$BD$102,5)+VLOOKUP($CU33-DY$103+1,Männer!$AZ$9:$BD$102,5)),RundDx)))</f>
        <v>3543905142</v>
      </c>
      <c r="DZ33" s="25">
        <f>IF($CU33&gt;=RAF,"",IF($CU33-DZ$103&lt;BeginnAlter,"",ROUND(v^($CU33+FaktorAlter)*$L33*$D33*0.5*(VLOOKUP($CU33-DZ$103,Männer!$G$9:$J$102,4)+VLOOKUP($CU33-DZ$103+1,Männer!$G$9:$J$102,4))*0.5*(VLOOKUP($CU33-DZ$103,Männer!$AZ$9:$BD$102,5)+VLOOKUP($CU33-DZ$103+1,Männer!$AZ$9:$BD$102,5)),RundDx)))</f>
        <v>3585478464</v>
      </c>
      <c r="EA33" s="43">
        <f>IF($CU33&gt;=RAF,"",IF($CU33-EA$103&lt;BeginnAlter,"",ROUND((SUM(CV33:CV$56)+SUM(FN$9:FN$56))/VLOOKUP($CU33,$AH$9:$AI$102,2)/VLOOKUP($CU33-EA$103,Männer!$G$9:$J$102,4),Rundäx)))</f>
        <v>3.5049999999999999</v>
      </c>
      <c r="EB33" s="43">
        <f>IF($CU33&gt;=RAF,"",IF($CU33-EB$103&lt;BeginnAlter,"",ROUND((SUM(CW33:CW$56)+SUM(FO$9:FO$56))/VLOOKUP($CU33,$AH$9:$AI$102,2)/VLOOKUP($CU33-EB$103,Männer!$G$9:$J$102,4),Rundäx)))</f>
        <v>3.677</v>
      </c>
      <c r="EC33" s="43">
        <f>IF($CU33&gt;=RAF,"",IF($CU33-EC$103&lt;BeginnAlter,"",ROUND((SUM(CX33:CX$56)+SUM(FP$9:FP$56))/VLOOKUP($CU33,$AH$9:$AI$102,2)/VLOOKUP($CU33-EC$103,Männer!$G$9:$J$102,4),Rundäx)))</f>
        <v>3.8540000000000001</v>
      </c>
      <c r="ED33" s="43">
        <f>IF($CU33&gt;=RAF,"",IF($CU33-ED$103&lt;BeginnAlter,"",ROUND((SUM(CY33:CY$56)+SUM(FQ$9:FQ$56))/VLOOKUP($CU33,$AH$9:$AI$102,2)/VLOOKUP($CU33-ED$103,Männer!$G$9:$J$102,4),Rundäx)))</f>
        <v>4.0350000000000001</v>
      </c>
      <c r="EE33" s="43">
        <f>IF($CU33&gt;=RAF,"",IF($CU33-EE$103&lt;BeginnAlter,"",ROUND((SUM(CZ33:CZ$56)+SUM(FR$9:FR$56))/VLOOKUP($CU33,$AH$9:$AI$102,2)/VLOOKUP($CU33-EE$103,Männer!$G$9:$J$102,4),Rundäx)))</f>
        <v>4.22</v>
      </c>
      <c r="EF33" s="43">
        <f>IF($CU33&gt;=RAF,"",IF($CU33-EF$103&lt;BeginnAlter,"",ROUND((SUM(DA33:DA$56)+SUM(FS$9:FS$56))/VLOOKUP($CU33,$AH$9:$AI$102,2)/VLOOKUP($CU33-EF$103,Männer!$G$9:$J$102,4),Rundäx)))</f>
        <v>4.4089999999999998</v>
      </c>
      <c r="EG33" s="43">
        <f>IF($CU33&gt;=RAF,"",IF($CU33-EG$103&lt;BeginnAlter,"",ROUND((SUM(DB33:DB$56)+SUM(FT$9:FT$56))/VLOOKUP($CU33,$AH$9:$AI$102,2)/VLOOKUP($CU33-EG$103,Männer!$G$9:$J$102,4),Rundäx)))</f>
        <v>4.601</v>
      </c>
      <c r="EH33" s="43">
        <f>IF($CU33&gt;=RAF,"",IF($CU33-EH$103&lt;BeginnAlter,"",ROUND((SUM(DC33:DC$56)+SUM(FU$9:FU$56))/VLOOKUP($CU33,$AH$9:$AI$102,2)/VLOOKUP($CU33-EH$103,Männer!$G$9:$J$102,4),Rundäx)))</f>
        <v>4.7969999999999997</v>
      </c>
      <c r="EI33" s="89"/>
      <c r="EJ33" s="35">
        <f t="shared" si="61"/>
        <v>41</v>
      </c>
      <c r="EK33" s="43">
        <f>IF($CU33&gt;=RAF,"",IF($CU33-EK$103&lt;BeginnAlter,"",ROUND((SUM(DD33:DD$56)+SUM(FV$9:FV$56))/VLOOKUP($CU33,$AH$9:$AI$102,2)/VLOOKUP($CU33-EK$103,Männer!$G$9:$J$102,4),Rundäx)))</f>
        <v>4.9969999999999999</v>
      </c>
      <c r="EL33" s="43">
        <f>IF($CU33&gt;=RAF,"",IF($CU33-EL$103&lt;BeginnAlter,"",ROUND((SUM(DE33:DE$56)+SUM(FW$9:FW$56))/VLOOKUP($CU33,$AH$9:$AI$102,2)/VLOOKUP($CU33-EL$103,Männer!$G$9:$J$102,4),Rundäx)))</f>
        <v>5.2</v>
      </c>
      <c r="EM33" s="43">
        <f>IF($CU33&gt;=RAF,"",IF($CU33-EM$103&lt;BeginnAlter,"",ROUND((SUM(DF33:DF$56)+SUM(FX$9:FX$56))/VLOOKUP($CU33,$AH$9:$AI$102,2)/VLOOKUP($CU33-EM$103,Männer!$G$9:$J$102,4),Rundäx)))</f>
        <v>5.4059999999999997</v>
      </c>
      <c r="EN33" s="43">
        <f>IF($CU33&gt;=RAF,"",IF($CU33-EN$103&lt;BeginnAlter,"",ROUND((SUM(DG33:DG$56)+SUM(FY$9:FY$56))/VLOOKUP($CU33,$AH$9:$AI$102,2)/VLOOKUP($CU33-EN$103,Männer!$G$9:$J$102,4),Rundäx)))</f>
        <v>5.6159999999999997</v>
      </c>
      <c r="EO33" s="43">
        <f>IF($CU33&gt;=RAF,"",IF($CU33-EO$103&lt;BeginnAlter,"",ROUND((SUM(DH33:DH$56)+SUM(FZ$9:FZ$56))/VLOOKUP($CU33,$AH$9:$AI$102,2)/VLOOKUP($CU33-EO$103,Männer!$G$9:$J$102,4),Rundäx)))</f>
        <v>5.8289999999999997</v>
      </c>
      <c r="EP33" s="43">
        <f>IF($CU33&gt;=RAF,"",IF($CU33-EP$103&lt;BeginnAlter,"",ROUND((SUM(DI33:DI$56)+SUM(GA$9:GA$56))/VLOOKUP($CU33,$AH$9:$AI$102,2)/VLOOKUP($CU33-EP$103,Männer!$G$9:$J$102,4),Rundäx)))</f>
        <v>6.0449999999999999</v>
      </c>
      <c r="EQ33" s="43">
        <f>IF($CU33&gt;=RAF,"",IF($CU33-EQ$103&lt;BeginnAlter,"",ROUND((SUM(DJ33:DJ$56)+SUM(GB$9:GB$56))/VLOOKUP($CU33,$AH$9:$AI$102,2)/VLOOKUP($CU33-EQ$103,Männer!$G$9:$J$102,4),Rundäx)))</f>
        <v>6.2649999999999997</v>
      </c>
      <c r="ER33" s="43">
        <f>IF($CU33&gt;=RAF,"",IF($CU33-ER$103&lt;BeginnAlter,"",ROUND((SUM(DK33:DK$56)+SUM(GC$9:GC$56))/VLOOKUP($CU33,$AH$9:$AI$102,2)/VLOOKUP($CU33-ER$103,Männer!$G$9:$J$102,4),Rundäx)))</f>
        <v>6.4880000000000004</v>
      </c>
      <c r="ES33" s="89"/>
      <c r="ET33" s="35">
        <f t="shared" si="62"/>
        <v>41</v>
      </c>
      <c r="EU33" s="43">
        <f>IF($CU33&gt;=RAF,"",IF($CU33-EU$103&lt;BeginnAlter,"",ROUND((SUM(DL33:DL$56)+SUM(GD$9:GD$56))/VLOOKUP($CU33,$AH$9:$AI$102,2)/VLOOKUP($CU33-EU$103,Männer!$G$9:$J$102,4),Rundäx)))</f>
        <v>6.7140000000000004</v>
      </c>
      <c r="EV33" s="43">
        <f>IF($CU33&gt;=RAF,"",IF($CU33-EV$103&lt;BeginnAlter,"",ROUND((SUM(DM33:DM$56)+SUM(GE$9:GE$56))/VLOOKUP($CU33,$AH$9:$AI$102,2)/VLOOKUP($CU33-EV$103,Männer!$G$9:$J$102,4),Rundäx)))</f>
        <v>6.9429999999999996</v>
      </c>
      <c r="EW33" s="43">
        <f>IF($CU33&gt;=RAF,"",IF($CU33-EW$103&lt;BeginnAlter,"",ROUND((SUM(DN33:DN$56)+SUM(GF$9:GF$56))/VLOOKUP($CU33,$AH$9:$AI$102,2)/VLOOKUP($CU33-EW$103,Männer!$G$9:$J$102,4),Rundäx)))</f>
        <v>7.1749999999999998</v>
      </c>
      <c r="EX33" s="43">
        <f>IF($CU33&gt;=RAF,"",IF($CU33-EX$103&lt;BeginnAlter,"",ROUND((SUM(DO33:DO$56)+SUM(GG$9:GG$56))/VLOOKUP($CU33,$AH$9:$AI$102,2)/VLOOKUP($CU33-EX$103,Männer!$G$9:$J$102,4),Rundäx)))</f>
        <v>7.4089999999999998</v>
      </c>
      <c r="EY33" s="43">
        <f>IF($CU33&gt;=RAF,"",IF($CU33-EY$103&lt;BeginnAlter,"",ROUND((SUM(DP33:DP$56)+SUM(GH$9:GH$56))/VLOOKUP($CU33,$AH$9:$AI$102,2)/VLOOKUP($CU33-EY$103,Männer!$G$9:$J$102,4),Rundäx)))</f>
        <v>7.6449999999999996</v>
      </c>
      <c r="EZ33" s="43">
        <f>IF($CU33&gt;=RAF,"",IF($CU33-EZ$103&lt;BeginnAlter,"",ROUND((SUM(DQ33:DQ$56)+SUM(GI$9:GI$56))/VLOOKUP($CU33,$AH$9:$AI$102,2)/VLOOKUP($CU33-EZ$103,Männer!$G$9:$J$102,4),Rundäx)))</f>
        <v>7.883</v>
      </c>
      <c r="FA33" s="43">
        <f>IF($CU33&gt;=RAF,"",IF($CU33-FA$103&lt;BeginnAlter,"",ROUND((SUM(DR33:DR$56)+SUM(GJ$9:GJ$56))/VLOOKUP($CU33,$AH$9:$AI$102,2)/VLOOKUP($CU33-FA$103,Männer!$G$9:$J$102,4),Rundäx)))</f>
        <v>8.1229999999999993</v>
      </c>
      <c r="FB33" s="43">
        <f>IF($CU33&gt;=RAF,"",IF($CU33-FB$103&lt;BeginnAlter,"",ROUND((SUM(DS33:DS$56)+SUM(GK$9:GK$56))/VLOOKUP($CU33,$AH$9:$AI$102,2)/VLOOKUP($CU33-FB$103,Männer!$G$9:$J$102,4),Rundäx)))</f>
        <v>8.3629999999999995</v>
      </c>
      <c r="FC33" s="89"/>
      <c r="FD33" s="35">
        <f t="shared" si="63"/>
        <v>41</v>
      </c>
      <c r="FE33" s="43">
        <f>IF($CU33&gt;=RAF,"",IF($CU33-FE$103&lt;BeginnAlter,"",ROUND((SUM(DT33:DT$56)+SUM(GL$9:GL$56))/VLOOKUP($CU33,$AH$9:$AI$102,2)/VLOOKUP($CU33-FE$103,Männer!$G$9:$J$102,4),Rundäx)))</f>
        <v>8.6039999999999992</v>
      </c>
      <c r="FF33" s="43">
        <f>IF($CU33&gt;=RAF,"",IF($CU33-FF$103&lt;BeginnAlter,"",ROUND((SUM(DU33:DU$56)+SUM(GM$9:GM$56))/VLOOKUP($CU33,$AH$9:$AI$102,2)/VLOOKUP($CU33-FF$103,Männer!$G$9:$J$102,4),Rundäx)))</f>
        <v>8.8460000000000001</v>
      </c>
      <c r="FG33" s="43">
        <f>IF($CU33&gt;=RAF,"",IF($CU33-FG$103&lt;BeginnAlter,"",ROUND((SUM(DV33:DV$56)+SUM(GN$9:GN$56))/VLOOKUP($CU33,$AH$9:$AI$102,2)/VLOOKUP($CU33-FG$103,Männer!$G$9:$J$102,4),Rundäx)))</f>
        <v>9.0869999999999997</v>
      </c>
      <c r="FH33" s="43">
        <f>IF($CU33&gt;=RAF,"",IF($CU33-FH$103&lt;BeginnAlter,"",ROUND((SUM(DW33:DW$56)+SUM(GO$9:GO$56))/VLOOKUP($CU33,$AH$9:$AI$102,2)/VLOOKUP($CU33-FH$103,Männer!$G$9:$J$102,4),Rundäx)))</f>
        <v>9.3279999999999994</v>
      </c>
      <c r="FI33" s="43">
        <f>IF($CU33&gt;=RAF,"",IF($CU33-FI$103&lt;BeginnAlter,"",ROUND((SUM(DX33:DX$56)+SUM(GP$9:GP$56))/VLOOKUP($CU33,$AH$9:$AI$102,2)/VLOOKUP($CU33-FI$103,Männer!$G$9:$J$102,4),Rundäx)))</f>
        <v>9.5690000000000008</v>
      </c>
      <c r="FJ33" s="43">
        <f>IF($CU33&gt;=RAF,"",IF($CU33-FJ$103&lt;BeginnAlter,"",ROUND((SUM(DY33:DY$56)+SUM(GQ$9:GQ$56))/VLOOKUP($CU33,$AH$9:$AI$102,2)/VLOOKUP($CU33-FJ$103,Männer!$G$9:$J$102,4),Rundäx)))</f>
        <v>9.8079999999999998</v>
      </c>
      <c r="FK33" s="43">
        <f>IF($CU33&gt;=RAF,"",IF($CU33-FK$103&lt;BeginnAlter,"",ROUND((SUM(DZ33:DZ$56)+SUM(GR$9:GR$56))/VLOOKUP($CU33,$AH$9:$AI$102,2)/VLOOKUP($CU33-FK$103,Männer!$G$9:$J$102,4),Rundäx)))</f>
        <v>10.045999999999999</v>
      </c>
      <c r="FL33" s="89"/>
      <c r="FM33" s="35">
        <f t="shared" si="64"/>
        <v>88</v>
      </c>
      <c r="FN33" s="25"/>
      <c r="FO33" s="25"/>
      <c r="FP33" s="25"/>
      <c r="FQ33" s="25">
        <f>ROUND(v^($FM33+FaktorAlter)*VLOOKUP($FM33,$G$9:$J$102,4)*VLOOKUP($FM33,$A$9:$E$102,5)*0.5*(VLOOKUP($FM33-FQ$103,Männer!$G$9:$J$102,4)+VLOOKUP($FM33-FQ$103+1,Männer!$G$9:$J$102,4))*0.5*(VLOOKUP($FM33-FQ$103,Männer!$AZ$9:$BD$102,5)+VLOOKUP($FM33-FQ$103+1,Männer!$AZ$9:$BD$102,5)),RundDx)</f>
        <v>123394</v>
      </c>
      <c r="FR33" s="25">
        <f>ROUND(v^($FM33+FaktorAlter)*VLOOKUP($FM33,$G$9:$J$102,4)*VLOOKUP($FM33,$A$9:$E$102,5)*0.5*(VLOOKUP($FM33-FR$103,Männer!$G$9:$J$102,4)+VLOOKUP($FM33-FR$103+1,Männer!$G$9:$J$102,4))*0.5*(VLOOKUP($FM33-FR$103,Männer!$AZ$9:$BD$102,5)+VLOOKUP($FM33-FR$103+1,Männer!$AZ$9:$BD$102,5)),RundDx)</f>
        <v>325416</v>
      </c>
      <c r="FS33" s="25">
        <f>ROUND(v^($FM33+FaktorAlter)*VLOOKUP($FM33,$G$9:$J$102,4)*VLOOKUP($FM33,$A$9:$E$102,5)*0.5*(VLOOKUP($FM33-FS$103,Männer!$G$9:$J$102,4)+VLOOKUP($FM33-FS$103+1,Männer!$G$9:$J$102,4))*0.5*(VLOOKUP($FM33-FS$103,Männer!$AZ$9:$BD$102,5)+VLOOKUP($FM33-FS$103+1,Männer!$AZ$9:$BD$102,5)),RundDx)</f>
        <v>732048</v>
      </c>
      <c r="FT33" s="25">
        <f>ROUND(v^($FM33+FaktorAlter)*VLOOKUP($FM33,$G$9:$J$102,4)*VLOOKUP($FM33,$A$9:$E$102,5)*0.5*(VLOOKUP($FM33-FT$103,Männer!$G$9:$J$102,4)+VLOOKUP($FM33-FT$103+1,Männer!$G$9:$J$102,4))*0.5*(VLOOKUP($FM33-FT$103,Männer!$AZ$9:$BD$102,5)+VLOOKUP($FM33-FT$103+1,Männer!$AZ$9:$BD$102,5)),RundDx)</f>
        <v>1490885</v>
      </c>
      <c r="FU33" s="25">
        <f>ROUND(v^($FM33+FaktorAlter)*VLOOKUP($FM33,$G$9:$J$102,4)*VLOOKUP($FM33,$A$9:$E$102,5)*0.5*(VLOOKUP($FM33-FU$103,Männer!$G$9:$J$102,4)+VLOOKUP($FM33-FU$103+1,Männer!$G$9:$J$102,4))*0.5*(VLOOKUP($FM33-FU$103,Männer!$AZ$9:$BD$102,5)+VLOOKUP($FM33-FU$103+1,Männer!$AZ$9:$BD$102,5)),RundDx)</f>
        <v>2780465</v>
      </c>
      <c r="FV33" s="25">
        <f>ROUND(v^($FM33+FaktorAlter)*VLOOKUP($FM33,$G$9:$J$102,4)*VLOOKUP($FM33,$A$9:$E$102,5)*0.5*(VLOOKUP($FM33-FV$103,Männer!$G$9:$J$102,4)+VLOOKUP($FM33-FV$103+1,Männer!$G$9:$J$102,4))*0.5*(VLOOKUP($FM33-FV$103,Männer!$AZ$9:$BD$102,5)+VLOOKUP($FM33-FV$103+1,Männer!$AZ$9:$BD$102,5)),RundDx)</f>
        <v>4812563</v>
      </c>
      <c r="FW33" s="25">
        <f>ROUND(v^($FM33+FaktorAlter)*VLOOKUP($FM33,$G$9:$J$102,4)*VLOOKUP($FM33,$A$9:$E$102,5)*0.5*(VLOOKUP($FM33-FW$103,Männer!$G$9:$J$102,4)+VLOOKUP($FM33-FW$103+1,Männer!$G$9:$J$102,4))*0.5*(VLOOKUP($FM33-FW$103,Männer!$AZ$9:$BD$102,5)+VLOOKUP($FM33-FW$103+1,Männer!$AZ$9:$BD$102,5)),RundDx)</f>
        <v>7822084</v>
      </c>
      <c r="FX33" s="25">
        <f>ROUND(v^($FM33+FaktorAlter)*VLOOKUP($FM33,$G$9:$J$102,4)*VLOOKUP($FM33,$A$9:$E$102,5)*0.5*(VLOOKUP($FM33-FX$103,Männer!$G$9:$J$102,4)+VLOOKUP($FM33-FX$103+1,Männer!$G$9:$J$102,4))*0.5*(VLOOKUP($FM33-FX$103,Männer!$AZ$9:$BD$102,5)+VLOOKUP($FM33-FX$103+1,Männer!$AZ$9:$BD$102,5)),RundDx)</f>
        <v>12037357</v>
      </c>
      <c r="FY33" s="25">
        <f>ROUND(v^($FM33+FaktorAlter)*VLOOKUP($FM33,$G$9:$J$102,4)*VLOOKUP($FM33,$A$9:$E$102,5)*0.5*(VLOOKUP($FM33-FY$103,Männer!$G$9:$J$102,4)+VLOOKUP($FM33-FY$103+1,Männer!$G$9:$J$102,4))*0.5*(VLOOKUP($FM33-FY$103,Männer!$AZ$9:$BD$102,5)+VLOOKUP($FM33-FY$103+1,Männer!$AZ$9:$BD$102,5)),RundDx)</f>
        <v>17699067</v>
      </c>
      <c r="FZ33" s="25">
        <f>ROUND(v^($FM33+FaktorAlter)*VLOOKUP($FM33,$G$9:$J$102,4)*VLOOKUP($FM33,$A$9:$E$102,5)*0.5*(VLOOKUP($FM33-FZ$103,Männer!$G$9:$J$102,4)+VLOOKUP($FM33-FZ$103+1,Männer!$G$9:$J$102,4))*0.5*(VLOOKUP($FM33-FZ$103,Männer!$AZ$9:$BD$102,5)+VLOOKUP($FM33-FZ$103+1,Männer!$AZ$9:$BD$102,5)),RundDx)</f>
        <v>25026069</v>
      </c>
      <c r="GA33" s="25">
        <f>ROUND(v^($FM33+FaktorAlter)*VLOOKUP($FM33,$G$9:$J$102,4)*VLOOKUP($FM33,$A$9:$E$102,5)*0.5*(VLOOKUP($FM33-GA$103,Männer!$G$9:$J$102,4)+VLOOKUP($FM33-GA$103+1,Männer!$G$9:$J$102,4))*0.5*(VLOOKUP($FM33-GA$103,Männer!$AZ$9:$BD$102,5)+VLOOKUP($FM33-GA$103+1,Männer!$AZ$9:$BD$102,5)),RundDx)</f>
        <v>34178932</v>
      </c>
      <c r="GB33" s="25">
        <f>ROUND(v^($FM33+FaktorAlter)*VLOOKUP($FM33,$G$9:$J$102,4)*VLOOKUP($FM33,$A$9:$E$102,5)*0.5*(VLOOKUP($FM33-GB$103,Männer!$G$9:$J$102,4)+VLOOKUP($FM33-GB$103+1,Männer!$G$9:$J$102,4))*0.5*(VLOOKUP($FM33-GB$103,Männer!$AZ$9:$BD$102,5)+VLOOKUP($FM33-GB$103+1,Männer!$AZ$9:$BD$102,5)),RundDx)</f>
        <v>45281481</v>
      </c>
      <c r="GC33" s="25">
        <f>ROUND(v^($FM33+FaktorAlter)*VLOOKUP($FM33,$G$9:$J$102,4)*VLOOKUP($FM33,$A$9:$E$102,5)*0.5*(VLOOKUP($FM33-GC$103,Männer!$G$9:$J$102,4)+VLOOKUP($FM33-GC$103+1,Männer!$G$9:$J$102,4))*0.5*(VLOOKUP($FM33-GC$103,Männer!$AZ$9:$BD$102,5)+VLOOKUP($FM33-GC$103+1,Männer!$AZ$9:$BD$102,5)),RundDx)</f>
        <v>58397611</v>
      </c>
      <c r="GD33" s="25">
        <f>ROUND(v^($FM33+FaktorAlter)*VLOOKUP($FM33,$G$9:$J$102,4)*VLOOKUP($FM33,$A$9:$E$102,5)*0.5*(VLOOKUP($FM33-GD$103,Männer!$G$9:$J$102,4)+VLOOKUP($FM33-GD$103+1,Männer!$G$9:$J$102,4))*0.5*(VLOOKUP($FM33-GD$103,Männer!$AZ$9:$BD$102,5)+VLOOKUP($FM33-GD$103+1,Männer!$AZ$9:$BD$102,5)),RundDx)</f>
        <v>73479371</v>
      </c>
      <c r="GE33" s="25">
        <f>ROUND(v^($FM33+FaktorAlter)*VLOOKUP($FM33,$G$9:$J$102,4)*VLOOKUP($FM33,$A$9:$E$102,5)*0.5*(VLOOKUP($FM33-GE$103,Männer!$G$9:$J$102,4)+VLOOKUP($FM33-GE$103+1,Männer!$G$9:$J$102,4))*0.5*(VLOOKUP($FM33-GE$103,Männer!$AZ$9:$BD$102,5)+VLOOKUP($FM33-GE$103+1,Männer!$AZ$9:$BD$102,5)),RundDx)</f>
        <v>90431428</v>
      </c>
      <c r="GF33" s="25">
        <f>ROUND(v^($FM33+FaktorAlter)*VLOOKUP($FM33,$G$9:$J$102,4)*VLOOKUP($FM33,$A$9:$E$102,5)*0.5*(VLOOKUP($FM33-GF$103,Männer!$G$9:$J$102,4)+VLOOKUP($FM33-GF$103+1,Männer!$G$9:$J$102,4))*0.5*(VLOOKUP($FM33-GF$103,Männer!$AZ$9:$BD$102,5)+VLOOKUP($FM33-GF$103+1,Männer!$AZ$9:$BD$102,5)),RundDx)</f>
        <v>109205468</v>
      </c>
      <c r="GG33" s="25">
        <f>ROUND(v^($FM33+FaktorAlter)*VLOOKUP($FM33,$G$9:$J$102,4)*VLOOKUP($FM33,$A$9:$E$102,5)*0.5*(VLOOKUP($FM33-GG$103,Männer!$G$9:$J$102,4)+VLOOKUP($FM33-GG$103+1,Männer!$G$9:$J$102,4))*0.5*(VLOOKUP($FM33-GG$103,Männer!$AZ$9:$BD$102,5)+VLOOKUP($FM33-GG$103+1,Männer!$AZ$9:$BD$102,5)),RundDx)</f>
        <v>129738023</v>
      </c>
      <c r="GH33" s="25">
        <f>ROUND(v^($FM33+FaktorAlter)*VLOOKUP($FM33,$G$9:$J$102,4)*VLOOKUP($FM33,$A$9:$E$102,5)*0.5*(VLOOKUP($FM33-GH$103,Männer!$G$9:$J$102,4)+VLOOKUP($FM33-GH$103+1,Männer!$G$9:$J$102,4))*0.5*(VLOOKUP($FM33-GH$103,Männer!$AZ$9:$BD$102,5)+VLOOKUP($FM33-GH$103+1,Männer!$AZ$9:$BD$102,5)),RundDx)</f>
        <v>151923167</v>
      </c>
      <c r="GI33" s="25">
        <f>ROUND(v^($FM33+FaktorAlter)*VLOOKUP($FM33,$G$9:$J$102,4)*VLOOKUP($FM33,$A$9:$E$102,5)*0.5*(VLOOKUP($FM33-GI$103,Männer!$G$9:$J$102,4)+VLOOKUP($FM33-GI$103+1,Männer!$G$9:$J$102,4))*0.5*(VLOOKUP($FM33-GI$103,Männer!$AZ$9:$BD$102,5)+VLOOKUP($FM33-GI$103+1,Männer!$AZ$9:$BD$102,5)),RundDx)</f>
        <v>175677616</v>
      </c>
      <c r="GJ33" s="25">
        <f>ROUND(v^($FM33+FaktorAlter)*VLOOKUP($FM33,$G$9:$J$102,4)*VLOOKUP($FM33,$A$9:$E$102,5)*0.5*(VLOOKUP($FM33-GJ$103,Männer!$G$9:$J$102,4)+VLOOKUP($FM33-GJ$103+1,Männer!$G$9:$J$102,4))*0.5*(VLOOKUP($FM33-GJ$103,Männer!$AZ$9:$BD$102,5)+VLOOKUP($FM33-GJ$103+1,Männer!$AZ$9:$BD$102,5)),RundDx)</f>
        <v>200905229</v>
      </c>
      <c r="GK33" s="25">
        <f>ROUND(v^($FM33+FaktorAlter)*VLOOKUP($FM33,$G$9:$J$102,4)*VLOOKUP($FM33,$A$9:$E$102,5)*0.5*(VLOOKUP($FM33-GK$103,Männer!$G$9:$J$102,4)+VLOOKUP($FM33-GK$103+1,Männer!$G$9:$J$102,4))*0.5*(VLOOKUP($FM33-GK$103,Männer!$AZ$9:$BD$102,5)+VLOOKUP($FM33-GK$103+1,Männer!$AZ$9:$BD$102,5)),RundDx)</f>
        <v>227472844</v>
      </c>
      <c r="GL33" s="25">
        <f>ROUND(v^($FM33+FaktorAlter)*VLOOKUP($FM33,$G$9:$J$102,4)*VLOOKUP($FM33,$A$9:$E$102,5)*0.5*(VLOOKUP($FM33-GL$103,Männer!$G$9:$J$102,4)+VLOOKUP($FM33-GL$103+1,Männer!$G$9:$J$102,4))*0.5*(VLOOKUP($FM33-GL$103,Männer!$AZ$9:$BD$102,5)+VLOOKUP($FM33-GL$103+1,Männer!$AZ$9:$BD$102,5)),RundDx)</f>
        <v>255252855</v>
      </c>
      <c r="GM33" s="25">
        <f>ROUND(v^($FM33+FaktorAlter)*VLOOKUP($FM33,$G$9:$J$102,4)*VLOOKUP($FM33,$A$9:$E$102,5)*0.5*(VLOOKUP($FM33-GM$103,Männer!$G$9:$J$102,4)+VLOOKUP($FM33-GM$103+1,Männer!$G$9:$J$102,4))*0.5*(VLOOKUP($FM33-GM$103,Männer!$AZ$9:$BD$102,5)+VLOOKUP($FM33-GM$103+1,Männer!$AZ$9:$BD$102,5)),RundDx)</f>
        <v>284111296</v>
      </c>
      <c r="GN33" s="25">
        <f>ROUND(v^($FM33+FaktorAlter)*VLOOKUP($FM33,$G$9:$J$102,4)*VLOOKUP($FM33,$A$9:$E$102,5)*0.5*(VLOOKUP($FM33-GN$103,Männer!$G$9:$J$102,4)+VLOOKUP($FM33-GN$103+1,Männer!$G$9:$J$102,4))*0.5*(VLOOKUP($FM33-GN$103,Männer!$AZ$9:$BD$102,5)+VLOOKUP($FM33-GN$103+1,Männer!$AZ$9:$BD$102,5)),RundDx)</f>
        <v>313904042</v>
      </c>
      <c r="GO33" s="25">
        <f>ROUND(v^($FM33+FaktorAlter)*VLOOKUP($FM33,$G$9:$J$102,4)*VLOOKUP($FM33,$A$9:$E$102,5)*0.5*(VLOOKUP($FM33-GO$103,Männer!$G$9:$J$102,4)+VLOOKUP($FM33-GO$103+1,Männer!$G$9:$J$102,4))*0.5*(VLOOKUP($FM33-GO$103,Männer!$AZ$9:$BD$102,5)+VLOOKUP($FM33-GO$103+1,Männer!$AZ$9:$BD$102,5)),RundDx)</f>
        <v>344470888</v>
      </c>
      <c r="GP33" s="25">
        <f>ROUND(v^($FM33+FaktorAlter)*VLOOKUP($FM33,$G$9:$J$102,4)*VLOOKUP($FM33,$A$9:$E$102,5)*0.5*(VLOOKUP($FM33-GP$103,Männer!$G$9:$J$102,4)+VLOOKUP($FM33-GP$103+1,Männer!$G$9:$J$102,4))*0.5*(VLOOKUP($FM33-GP$103,Männer!$AZ$9:$BD$102,5)+VLOOKUP($FM33-GP$103+1,Männer!$AZ$9:$BD$102,5)),RundDx)</f>
        <v>375616640</v>
      </c>
      <c r="GQ33" s="25">
        <f>ROUND(v^($FM33+FaktorAlter)*VLOOKUP($FM33,$G$9:$J$102,4)*VLOOKUP($FM33,$A$9:$E$102,5)*0.5*(VLOOKUP($FM33-GQ$103,Männer!$G$9:$J$102,4)+VLOOKUP($FM33-GQ$103+1,Männer!$G$9:$J$102,4))*0.5*(VLOOKUP($FM33-GQ$103,Männer!$AZ$9:$BD$102,5)+VLOOKUP($FM33-GQ$103+1,Männer!$AZ$9:$BD$102,5)),RundDx)</f>
        <v>407195973</v>
      </c>
      <c r="GR33" s="25">
        <f>ROUND(v^($FM33+FaktorAlter)*VLOOKUP($FM33,$G$9:$J$102,4)*VLOOKUP($FM33,$A$9:$E$102,5)*0.5*(VLOOKUP($FM33-GR$103,Männer!$G$9:$J$102,4)+VLOOKUP($FM33-GR$103+1,Männer!$G$9:$J$102,4))*0.5*(VLOOKUP($FM33-GR$103,Männer!$AZ$9:$BD$102,5)+VLOOKUP($FM33-GR$103+1,Männer!$AZ$9:$BD$102,5)),RundDx)</f>
        <v>439028753</v>
      </c>
      <c r="GS33" s="24"/>
      <c r="GT33" s="24"/>
      <c r="GU33" s="24">
        <f>ROUND(SUM(FP33:FP$56)/VLOOKUP($FM33,$AQ$9:$AR$102,2)/VLOOKUP($FM33-GU$103,Männer!$G$9:$J$102,4),Rundäx)</f>
        <v>0</v>
      </c>
      <c r="GV33" s="24">
        <f>ROUND(SUM(FQ33:FQ$56)/VLOOKUP($FM33,$AQ$9:$AR$102,2)/VLOOKUP($FM33-GV$103,Männer!$G$9:$J$102,4),Rundäx)</f>
        <v>8.3000000000000004E-2</v>
      </c>
      <c r="GW33" s="24">
        <f>ROUND(SUM(FR33:FR$56)/VLOOKUP($FM33,$AQ$9:$AR$102,2)/VLOOKUP($FM33-GW$103,Männer!$G$9:$J$102,4),Rundäx)</f>
        <v>0.14099999999999999</v>
      </c>
      <c r="GX33" s="24">
        <f>ROUND(SUM(FS33:FS$56)/VLOOKUP($FM33,$AQ$9:$AR$102,2)/VLOOKUP($FM33-GX$103,Männer!$G$9:$J$102,4),Rundäx)</f>
        <v>0.192</v>
      </c>
      <c r="GY33" s="24">
        <f>ROUND(SUM(FT33:FT$56)/VLOOKUP($FM33,$AQ$9:$AR$102,2)/VLOOKUP($FM33-GY$103,Männer!$G$9:$J$102,4),Rundäx)</f>
        <v>0.249</v>
      </c>
      <c r="GZ33" s="24">
        <f>ROUND(SUM(FU33:FU$56)/VLOOKUP($FM33,$AQ$9:$AR$102,2)/VLOOKUP($FM33-GZ$103,Männer!$G$9:$J$102,4),Rundäx)</f>
        <v>0.313</v>
      </c>
      <c r="HA33" s="89"/>
      <c r="HB33" s="35">
        <f t="shared" si="65"/>
        <v>88</v>
      </c>
      <c r="HC33" s="24">
        <f>ROUND(SUM(FV33:FV$56)/VLOOKUP($FM33,$AQ$9:$AR$102,2)/VLOOKUP($FM33-HC$103,Männer!$G$9:$J$102,4),Rundäx)</f>
        <v>0.38900000000000001</v>
      </c>
      <c r="HD33" s="24">
        <f>ROUND(SUM(FW33:FW$56)/VLOOKUP($FM33,$AQ$9:$AR$102,2)/VLOOKUP($FM33-HD$103,Männer!$G$9:$J$102,4),Rundäx)</f>
        <v>0.47599999999999998</v>
      </c>
      <c r="HE33" s="24">
        <f>ROUND(SUM(FX33:FX$56)/VLOOKUP($FM33,$AQ$9:$AR$102,2)/VLOOKUP($FM33-HE$103,Männer!$G$9:$J$102,4),Rundäx)</f>
        <v>0.57799999999999996</v>
      </c>
      <c r="HF33" s="24">
        <f>ROUND(SUM(FY33:FY$56)/VLOOKUP($FM33,$AQ$9:$AR$102,2)/VLOOKUP($FM33-HF$103,Männer!$G$9:$J$102,4),Rundäx)</f>
        <v>0.69399999999999995</v>
      </c>
      <c r="HG33" s="24">
        <f>ROUND(SUM(FZ33:FZ$56)/VLOOKUP($FM33,$AQ$9:$AR$102,2)/VLOOKUP($FM33-HG$103,Männer!$G$9:$J$102,4),Rundäx)</f>
        <v>0.82799999999999996</v>
      </c>
      <c r="HH33" s="24">
        <f>ROUND(SUM(GA33:GA$56)/VLOOKUP($FM33,$AQ$9:$AR$102,2)/VLOOKUP($FM33-HH$103,Männer!$G$9:$J$102,4),Rundäx)</f>
        <v>0.97899999999999998</v>
      </c>
      <c r="HI33" s="24">
        <f>ROUND(SUM(GB33:GB$56)/VLOOKUP($FM33,$AQ$9:$AR$102,2)/VLOOKUP($FM33-HI$103,Männer!$G$9:$J$102,4),Rundäx)</f>
        <v>1.149</v>
      </c>
      <c r="HJ33" s="24">
        <f>ROUND(SUM(GC33:GC$56)/VLOOKUP($FM33,$AQ$9:$AR$102,2)/VLOOKUP($FM33-HJ$103,Männer!$G$9:$J$102,4),Rundäx)</f>
        <v>1.3380000000000001</v>
      </c>
      <c r="HK33" s="89"/>
      <c r="HL33" s="35">
        <f t="shared" si="66"/>
        <v>88</v>
      </c>
      <c r="HM33" s="24">
        <f>ROUND(SUM(GD33:GD$56)/VLOOKUP($FM33,$AQ$9:$AR$102,2)/VLOOKUP($FM33-HM$103,Männer!$G$9:$J$102,4),Rundäx)</f>
        <v>1.546</v>
      </c>
      <c r="HN33" s="24">
        <f>ROUND(SUM(GE33:GE$56)/VLOOKUP($FM33,$AQ$9:$AR$102,2)/VLOOKUP($FM33-HN$103,Männer!$G$9:$J$102,4),Rundäx)</f>
        <v>1.7729999999999999</v>
      </c>
      <c r="HO33" s="24">
        <f>ROUND(SUM(GF33:GF$56)/VLOOKUP($FM33,$AQ$9:$AR$102,2)/VLOOKUP($FM33-HO$103,Männer!$G$9:$J$102,4),Rundäx)</f>
        <v>2.0169999999999999</v>
      </c>
      <c r="HP33" s="24">
        <f>ROUND(SUM(GG33:GG$56)/VLOOKUP($FM33,$AQ$9:$AR$102,2)/VLOOKUP($FM33-HP$103,Männer!$G$9:$J$102,4),Rundäx)</f>
        <v>2.2770000000000001</v>
      </c>
      <c r="HQ33" s="24">
        <f>ROUND(SUM(GH33:GH$56)/VLOOKUP($FM33,$AQ$9:$AR$102,2)/VLOOKUP($FM33-HQ$103,Männer!$G$9:$J$102,4),Rundäx)</f>
        <v>2.5529999999999999</v>
      </c>
      <c r="HR33" s="24">
        <f>ROUND(SUM(GI33:GI$56)/VLOOKUP($FM33,$AQ$9:$AR$102,2)/VLOOKUP($FM33-HR$103,Männer!$G$9:$J$102,4),Rundäx)</f>
        <v>2.843</v>
      </c>
      <c r="HS33" s="24">
        <f>ROUND(SUM(GJ33:GJ$56)/VLOOKUP($FM33,$AQ$9:$AR$102,2)/VLOOKUP($FM33-HS$103,Männer!$G$9:$J$102,4),Rundäx)</f>
        <v>3.1469999999999998</v>
      </c>
      <c r="HT33" s="24">
        <f>ROUND(SUM(GK33:GK$56)/VLOOKUP($FM33,$AQ$9:$AR$102,2)/VLOOKUP($FM33-HT$103,Männer!$G$9:$J$102,4),Rundäx)</f>
        <v>3.4620000000000002</v>
      </c>
      <c r="HU33" s="89"/>
      <c r="HV33" s="35">
        <f t="shared" si="67"/>
        <v>88</v>
      </c>
      <c r="HW33" s="24">
        <f>ROUND(SUM(GL33:GL$56)/VLOOKUP($FM33,$AQ$9:$AR$102,2)/VLOOKUP($FM33-HW$103,Männer!$G$9:$J$102,4),Rundäx)</f>
        <v>3.7890000000000001</v>
      </c>
      <c r="HX33" s="24">
        <f>ROUND(SUM(GM33:GM$56)/VLOOKUP($FM33,$AQ$9:$AR$102,2)/VLOOKUP($FM33-HX$103,Männer!$G$9:$J$102,4),Rundäx)</f>
        <v>4.125</v>
      </c>
      <c r="HY33" s="24">
        <f>ROUND(SUM(GN33:GN$56)/VLOOKUP($FM33,$AQ$9:$AR$102,2)/VLOOKUP($FM33-HY$103,Männer!$G$9:$J$102,4),Rundäx)</f>
        <v>4.4690000000000003</v>
      </c>
      <c r="HZ33" s="24">
        <f>ROUND(SUM(GO33:GO$56)/VLOOKUP($FM33,$AQ$9:$AR$102,2)/VLOOKUP($FM33-HZ$103,Männer!$G$9:$J$102,4),Rundäx)</f>
        <v>4.8209999999999997</v>
      </c>
      <c r="IA33" s="24">
        <f>ROUND(SUM(GP33:GP$56)/VLOOKUP($FM33,$AQ$9:$AR$102,2)/VLOOKUP($FM33-IA$103,Männer!$G$9:$J$102,4),Rundäx)</f>
        <v>5.18</v>
      </c>
      <c r="IB33" s="24">
        <f>ROUND(SUM(GQ33:GQ$56)/VLOOKUP($FM33,$AQ$9:$AR$102,2)/VLOOKUP($FM33-IB$103,Männer!$G$9:$J$102,4),Rundäx)</f>
        <v>5.5449999999999999</v>
      </c>
      <c r="IC33" s="24">
        <f>ROUND(SUM(GR33:GR$56)/VLOOKUP($FM33,$AQ$9:$AR$102,2)/VLOOKUP($FM33-IC$103,Männer!$G$9:$J$102,4),Rundäx)</f>
        <v>5.915</v>
      </c>
      <c r="ID33" s="89"/>
      <c r="IE33" s="9">
        <f t="shared" si="68"/>
        <v>41</v>
      </c>
      <c r="IF33" s="11">
        <f t="shared" si="25"/>
        <v>299</v>
      </c>
      <c r="IG33" s="11">
        <f>IF($IE33&lt;RAF,IF(S34&lt;=RAK,ROUND(SUM(IF33:INDEX(Daky,RAF-BeginnAlter))+INDEX(Day,RAF-BeginnAlter+1)*INDEX(äky,1),RundDx),0),"")</f>
        <v>2000</v>
      </c>
      <c r="IH33" s="11">
        <f>IF($IE33&lt;RAF,IF(S34&lt;=RAK,ROUND(SUM(IG33:INDEX(Naky,RAF-BeginnAlter))+INDEX(Day,RAF-BeginnAlter+1)*INDEX(äky,1),RundDx),0),"")</f>
        <v>10067</v>
      </c>
      <c r="II33" s="10">
        <f t="shared" si="26"/>
        <v>5.1999999999999998E-2</v>
      </c>
      <c r="IJ33" s="11">
        <f t="shared" si="27"/>
        <v>11052</v>
      </c>
      <c r="IK33" s="11">
        <f>IF($IE33&lt;RAF,IF(S34&lt;=RAK,SUM(IJ33:INDEX(Diky,RAF-BeginnAlter))+INDEX(Diy,RAF-BeginnAlter+1)*INDEX(äky,1),0),"")</f>
        <v>51359</v>
      </c>
      <c r="IL33" s="10">
        <f t="shared" si="28"/>
        <v>0.88</v>
      </c>
      <c r="IM33" s="89"/>
      <c r="IN33" s="9">
        <f t="shared" si="29"/>
        <v>88</v>
      </c>
      <c r="IO33" s="11"/>
      <c r="IP33" s="11"/>
      <c r="IQ33" s="10"/>
      <c r="IR33" s="86"/>
    </row>
    <row r="34" spans="1:252" ht="15.75" customHeight="1" x14ac:dyDescent="0.25">
      <c r="A34" s="9">
        <f t="shared" si="4"/>
        <v>42</v>
      </c>
      <c r="B34" s="93">
        <v>6.0710410545611153E-4</v>
      </c>
      <c r="C34" s="93">
        <v>3.9283979809427568E-3</v>
      </c>
      <c r="D34" s="93">
        <v>2.0699111712002657E-2</v>
      </c>
      <c r="E34" s="93">
        <v>1.2766345481625141E-3</v>
      </c>
      <c r="F34" s="89"/>
      <c r="G34" s="9">
        <f t="shared" si="5"/>
        <v>42</v>
      </c>
      <c r="H34" s="11">
        <f t="shared" si="30"/>
        <v>95638</v>
      </c>
      <c r="I34" s="25">
        <f t="shared" si="31"/>
        <v>3059</v>
      </c>
      <c r="J34" s="25">
        <f t="shared" si="32"/>
        <v>98697</v>
      </c>
      <c r="K34" s="30">
        <f>IF(J34&gt;0,ROUND(SUM(J34:J$102)/J34-0.5,Rundex),"")</f>
        <v>40.72</v>
      </c>
      <c r="L34" s="25">
        <f t="shared" si="6"/>
        <v>142258</v>
      </c>
      <c r="M34" s="30">
        <f>IF(L34&gt;0,ROUND(SUM(L34:L$102)/L34-0.5,Rundex),"")</f>
        <v>31.25</v>
      </c>
      <c r="N34" s="89"/>
      <c r="O34" s="9">
        <f t="shared" si="49"/>
        <v>42</v>
      </c>
      <c r="P34" s="94">
        <v>0.30134194266242598</v>
      </c>
      <c r="Q34" s="95">
        <v>45.079902363930977</v>
      </c>
      <c r="R34" s="94">
        <v>0.55434450975314142</v>
      </c>
      <c r="S34" s="95">
        <v>5.7412252671662021</v>
      </c>
      <c r="T34" s="28">
        <v>1.1199999999999999E-3</v>
      </c>
      <c r="U34" s="11">
        <f t="shared" si="33"/>
        <v>98722</v>
      </c>
      <c r="V34" s="30">
        <f>IF(U34&gt;0,ROUND(SUM(U34:U$102)/U34-0.5,Rundex),"")</f>
        <v>42.01</v>
      </c>
      <c r="W34" s="89"/>
      <c r="X34" s="9">
        <f t="shared" si="50"/>
        <v>42</v>
      </c>
      <c r="Y34" s="11">
        <f t="shared" si="34"/>
        <v>37564</v>
      </c>
      <c r="Z34" s="11">
        <f>IF($X34&lt;RAF,SUM(Y34:INDEX(Day,RAF-BeginnAlter))," ")</f>
        <v>605936</v>
      </c>
      <c r="AA34" s="11">
        <f t="shared" si="0"/>
        <v>23</v>
      </c>
      <c r="AB34" s="11">
        <f>IF($X34&lt;RAF,SUM(AA34:INDEX(Cay,RAF-BeginnAlter))," ")</f>
        <v>1085</v>
      </c>
      <c r="AC34" s="11">
        <f t="shared" si="1"/>
        <v>146</v>
      </c>
      <c r="AD34" s="11">
        <f>IF($X34&lt;RAF,SUM(AC34:INDEX(Caiy,RAF-BeginnAlter))," ")</f>
        <v>6860</v>
      </c>
      <c r="AE34" s="10">
        <f t="shared" si="35"/>
        <v>16.131</v>
      </c>
      <c r="AF34" s="10">
        <f t="shared" si="36"/>
        <v>15.872</v>
      </c>
      <c r="AG34" s="89"/>
      <c r="AH34" s="9">
        <f t="shared" si="51"/>
        <v>42</v>
      </c>
      <c r="AI34" s="11">
        <f t="shared" si="37"/>
        <v>55875</v>
      </c>
      <c r="AJ34" s="11">
        <f>IF($AH34&gt;RAF," ",IF($AH34&lt;RAF,SUM(AI34:INDEX(Diy,RAF-BeginnAlter))+INDEX(Ny,RAF-BeginnAlter+1),INDEX(Ny,RAF-BeginnAlter+1)))</f>
        <v>1184703</v>
      </c>
      <c r="AK34" s="11">
        <f>IF($AH34&lt;RAF,SUM(AI34:INDEX(Diy,RAF-BeginnAlter))," ")</f>
        <v>818609</v>
      </c>
      <c r="AL34" s="10">
        <f t="shared" si="38"/>
        <v>21.202999999999999</v>
      </c>
      <c r="AM34" s="10">
        <f t="shared" si="39"/>
        <v>20.744</v>
      </c>
      <c r="AN34" s="10">
        <f t="shared" si="40"/>
        <v>14.651</v>
      </c>
      <c r="AO34" s="10">
        <f t="shared" si="41"/>
        <v>14.371</v>
      </c>
      <c r="AP34" s="89"/>
      <c r="AQ34" s="9">
        <f t="shared" si="52"/>
        <v>42</v>
      </c>
      <c r="AR34" s="11">
        <f t="shared" si="42"/>
        <v>38765</v>
      </c>
      <c r="AS34" s="11">
        <f>SUM(AR34:AR$96)</f>
        <v>1031671</v>
      </c>
      <c r="AT34" s="25">
        <f>IF($AQ34&lt;RAF,SUM(AR34:INDEX(Dy,RAF-BeginnAlter))," ")</f>
        <v>665577</v>
      </c>
      <c r="AU34" s="24">
        <f t="shared" si="43"/>
        <v>26.613</v>
      </c>
      <c r="AV34" s="24">
        <f t="shared" si="44"/>
        <v>26.155000000000001</v>
      </c>
      <c r="AW34" s="24">
        <f t="shared" si="45"/>
        <v>17.170000000000002</v>
      </c>
      <c r="AX34" s="24">
        <f t="shared" si="46"/>
        <v>16.968</v>
      </c>
      <c r="AY34" s="89"/>
      <c r="AZ34" s="9">
        <f t="shared" si="53"/>
        <v>42</v>
      </c>
      <c r="BA34" s="11">
        <f t="shared" si="47"/>
        <v>38775</v>
      </c>
      <c r="BB34" s="11">
        <f>SUM(BA34:BA$96)</f>
        <v>1054451</v>
      </c>
      <c r="BC34" s="10">
        <f t="shared" si="48"/>
        <v>27.193999999999999</v>
      </c>
      <c r="BD34" s="10">
        <f t="shared" si="7"/>
        <v>26.736000000000001</v>
      </c>
      <c r="BE34" s="89"/>
      <c r="BF34" s="9">
        <f t="shared" si="54"/>
        <v>25</v>
      </c>
      <c r="BG34" s="10">
        <f t="shared" si="8"/>
        <v>0</v>
      </c>
      <c r="BH34" s="10">
        <f t="shared" si="9"/>
        <v>0</v>
      </c>
      <c r="BI34" s="89"/>
      <c r="BJ34" s="9">
        <f t="shared" si="55"/>
        <v>42</v>
      </c>
      <c r="BK34" s="11">
        <f t="shared" si="10"/>
        <v>3019</v>
      </c>
      <c r="BL34" s="11">
        <f>IF(BJ34&lt;RAF,SUM(BK34:INDEX(Daiy,RAF-BeginnAlter))," ")</f>
        <v>124893</v>
      </c>
      <c r="BM34" s="11">
        <f>IF(BJ34&lt;RAF,SUM(BL34:INDEX(Naiy,RAF-BeginnAlter))," ")</f>
        <v>1717498</v>
      </c>
      <c r="BN34" s="10">
        <f t="shared" si="11"/>
        <v>7.1390000000000002</v>
      </c>
      <c r="BO34" s="10">
        <f t="shared" si="12"/>
        <v>3.3250000000000002</v>
      </c>
      <c r="BP34" s="89"/>
      <c r="BQ34" s="9">
        <f t="shared" si="56"/>
        <v>42</v>
      </c>
      <c r="BR34" s="11">
        <f t="shared" si="13"/>
        <v>2069</v>
      </c>
      <c r="BS34" s="11">
        <f>IF(BQ34&lt;RAF,SUM(BR34:INDEX(Daiys,RAF-BeginnAlter))," ")</f>
        <v>44608</v>
      </c>
      <c r="BT34" s="11">
        <f>IF(BQ34&lt;RAF,SUM(BS34:INDEX(Naiys,RAF-BeginnAlter))," ")</f>
        <v>464975</v>
      </c>
      <c r="BU34" s="10">
        <f t="shared" si="14"/>
        <v>9.2769999999999992</v>
      </c>
      <c r="BV34" s="10">
        <f t="shared" si="15"/>
        <v>1.1879999999999999</v>
      </c>
      <c r="BW34" s="89"/>
      <c r="BX34" s="9">
        <f t="shared" si="57"/>
        <v>42</v>
      </c>
      <c r="BY34" s="10">
        <f t="shared" si="16"/>
        <v>12.892879708110122</v>
      </c>
      <c r="BZ34" s="11">
        <f t="shared" si="17"/>
        <v>1012</v>
      </c>
      <c r="CA34" s="11">
        <f>IF(S35&lt;=RAK,IF($BX34&lt;RAF,SUM(BZ34:INDEX(Dazy,RAF-BeginnAlter)),""),"")</f>
        <v>6626</v>
      </c>
      <c r="CB34" s="10">
        <f t="shared" si="18"/>
        <v>0.17599999999999999</v>
      </c>
      <c r="CC34" s="11">
        <f t="shared" si="19"/>
        <v>23679</v>
      </c>
      <c r="CD34" s="10">
        <f t="shared" si="20"/>
        <v>17.672999999999998</v>
      </c>
      <c r="CE34" s="10">
        <f t="shared" si="21"/>
        <v>3.0000000000000001E-3</v>
      </c>
      <c r="CF34" s="89"/>
      <c r="CG34" s="9">
        <f t="shared" si="58"/>
        <v>42</v>
      </c>
      <c r="CH34" s="11">
        <f>IF(CG34&lt;RAF,ROUND(v^($CG34+FaktorAlter)*$H34*($B34*0.5*($P34+$P35)*(VLOOKUP(TRUNC(0.5*($Q34+$Q35),0),Männer!$AZ$9:$BD$95,5)+(0.5*($Q34+$Q35)-TRUNC(0.5*($Q34+$Q35),0))*(VLOOKUP(TRUNC(0.5*($Q34+$Q35)+1,0),Männer!$AZ$9:$BD$95,5)-VLOOKUP(TRUNC(0.5*($Q34+$Q35),0),Männer!$AZ$9:$BD$95,5)))+$C34*0.5*($CN34+$CN35)),RundDx),"")</f>
        <v>360</v>
      </c>
      <c r="CI34" s="11">
        <f>IF(CG34&lt;RAF,ROUND(SUM(CH34:INDEX(Dawy,RAF-BeginnAlter))+INDEX(Day,RAF-BeginnAlter+1)*INDEX(äwy,1),RundDx),"")</f>
        <v>9812</v>
      </c>
      <c r="CJ34" s="11">
        <f>IF(CG34&lt;RAF,ROUND(SUM(CI34:INDEX(Nawy,RAF-BeginnAlter))+INDEX(Day,RAF-BeginnAlter+1)*INDEX(äwy,1),RundDx),"")</f>
        <v>128765</v>
      </c>
      <c r="CK34" s="10">
        <f t="shared" si="22"/>
        <v>0.26100000000000001</v>
      </c>
      <c r="CL34" s="11">
        <f>IF(CG34&lt;RAF,ROUND(v^($CG34+FaktorAlter)*$L34*$D34*0.5*($P34+$P35)*(VLOOKUP(TRUNC(0.5*($Q34+$Q35),0),Männer!$AZ$9:$BD$95,5)+(0.5*($Q34+$Q35)-TRUNC(0.5*($Q34+$Q35),0))*(VLOOKUP(TRUNC(0.5*($Q34+$Q35)+1,0),Männer!$AZ$9:$BD$95,5)-VLOOKUP(TRUNC(0.5*($Q34+$Q35),0),Männer!$AZ$9:$BD$95,5))),RundDx),"")</f>
        <v>7729</v>
      </c>
      <c r="CM34" s="11">
        <f>IF(CG34&lt;RAF,SUM(CL34:INDEX(Diwy,RAF-BeginnAlter))+INDEX(Diy,RAF-BeginnAlter+1)*INDEX(äwy,1),"")</f>
        <v>81551.304000000004</v>
      </c>
      <c r="CN34" s="10">
        <f t="shared" si="23"/>
        <v>1.46</v>
      </c>
      <c r="CO34" s="89"/>
      <c r="CP34" s="9">
        <f t="shared" si="59"/>
        <v>89</v>
      </c>
      <c r="CQ34" s="11">
        <f>ROUND(v^($CP34+FaktorAlter)*VLOOKUP(CP34,G$9:J$102,4)*VLOOKUP(CP34,A$9:E$102,5)*0.5*(VLOOKUP(CP34,O$9:P$102,2)+VLOOKUP(CP34+1,O$9:P$102,2))*(VLOOKUP(TRUNC(0.5*(VLOOKUP(CP34,O$9:Q$102,3)+VLOOKUP(CP34+1,O$9:Q$102,3)),0),Männer!$AZ$9:$BD$95,5)+(0.5*(VLOOKUP(CP34,O$9:Q$102,3)+VLOOKUP(CP34+1,O$9:Q$102,3))-TRUNC(0.5*(VLOOKUP(CP34,O$9:Q$102,3)+VLOOKUP(CP34+1,O$9:Q$102,3)),0))*(VLOOKUP(TRUNC(0.5*(VLOOKUP(CP34,O$9:Q$102,3)+VLOOKUP(CP34+1,O$9:Q$102,3))+1,0),Männer!$AZ$9:$BD$95,5)-VLOOKUP(TRUNC(0.5*(VLOOKUP(CP34,O$9:Q$102,3)+VLOOKUP(CP34+1,O$9:Q$102,3)),0),Männer!$AZ$9:$BD$95,5))),RundDx)</f>
        <v>11</v>
      </c>
      <c r="CR34" s="11">
        <f>SUM(CQ34:CQ$56)</f>
        <v>44</v>
      </c>
      <c r="CS34" s="24">
        <f t="shared" si="24"/>
        <v>0.01</v>
      </c>
      <c r="CT34" s="89"/>
      <c r="CU34" s="35">
        <f t="shared" si="60"/>
        <v>42</v>
      </c>
      <c r="CV34" s="25">
        <f>IF($CU34&gt;=RAF,"",IF($CU34-CV$103&lt;BeginnAlter,"",ROUND(v^($CU34+FaktorAlter)*$L34*$D34*0.5*(VLOOKUP($CU34-CV$103,Männer!$G$9:$J$102,4)+VLOOKUP($CU34-CV$103+1,Männer!$G$9:$J$102,4))*0.5*(VLOOKUP($CU34-CV$103,Männer!$AZ$9:$BD$102,5)+VLOOKUP($CU34-CV$103+1,Männer!$AZ$9:$BD$102,5)),RundDx)))</f>
        <v>1729949585</v>
      </c>
      <c r="CW34" s="25">
        <f>IF($CU34&gt;=RAF,"",IF($CU34-CW$103&lt;BeginnAlter,"",ROUND(v^($CU34+FaktorAlter)*$L34*$D34*0.5*(VLOOKUP($CU34-CW$103,Männer!$G$9:$J$102,4)+VLOOKUP($CU34-CW$103+1,Männer!$G$9:$J$102,4))*0.5*(VLOOKUP($CU34-CW$103,Männer!$AZ$9:$BD$102,5)+VLOOKUP($CU34-CW$103+1,Männer!$AZ$9:$BD$102,5)),RundDx)))</f>
        <v>1797263700</v>
      </c>
      <c r="CX34" s="25">
        <f>IF($CU34&gt;=RAF,"",IF($CU34-CX$103&lt;BeginnAlter,"",ROUND(v^($CU34+FaktorAlter)*$L34*$D34*0.5*(VLOOKUP($CU34-CX$103,Männer!$G$9:$J$102,4)+VLOOKUP($CU34-CX$103+1,Männer!$G$9:$J$102,4))*0.5*(VLOOKUP($CU34-CX$103,Männer!$AZ$9:$BD$102,5)+VLOOKUP($CU34-CX$103+1,Männer!$AZ$9:$BD$102,5)),RundDx)))</f>
        <v>1864616850</v>
      </c>
      <c r="CY34" s="25">
        <f>IF($CU34&gt;=RAF,"",IF($CU34-CY$103&lt;BeginnAlter,"",ROUND(v^($CU34+FaktorAlter)*$L34*$D34*0.5*(VLOOKUP($CU34-CY$103,Männer!$G$9:$J$102,4)+VLOOKUP($CU34-CY$103+1,Männer!$G$9:$J$102,4))*0.5*(VLOOKUP($CU34-CY$103,Männer!$AZ$9:$BD$102,5)+VLOOKUP($CU34-CY$103+1,Männer!$AZ$9:$BD$102,5)),RundDx)))</f>
        <v>1930956674</v>
      </c>
      <c r="CZ34" s="25">
        <f>IF($CU34&gt;=RAF,"",IF($CU34-CZ$103&lt;BeginnAlter,"",ROUND(v^($CU34+FaktorAlter)*$L34*$D34*0.5*(VLOOKUP($CU34-CZ$103,Männer!$G$9:$J$102,4)+VLOOKUP($CU34-CZ$103+1,Männer!$G$9:$J$102,4))*0.5*(VLOOKUP($CU34-CZ$103,Männer!$AZ$9:$BD$102,5)+VLOOKUP($CU34-CZ$103+1,Männer!$AZ$9:$BD$102,5)),RundDx)))</f>
        <v>1996294344</v>
      </c>
      <c r="DA34" s="25">
        <f>IF($CU34&gt;=RAF,"",IF($CU34-DA$103&lt;BeginnAlter,"",ROUND(v^($CU34+FaktorAlter)*$L34*$D34*0.5*(VLOOKUP($CU34-DA$103,Männer!$G$9:$J$102,4)+VLOOKUP($CU34-DA$103+1,Männer!$G$9:$J$102,4))*0.5*(VLOOKUP($CU34-DA$103,Männer!$AZ$9:$BD$102,5)+VLOOKUP($CU34-DA$103+1,Männer!$AZ$9:$BD$102,5)),RundDx)))</f>
        <v>2060639723</v>
      </c>
      <c r="DB34" s="25">
        <f>IF($CU34&gt;=RAF,"",IF($CU34-DB$103&lt;BeginnAlter,"",ROUND(v^($CU34+FaktorAlter)*$L34*$D34*0.5*(VLOOKUP($CU34-DB$103,Männer!$G$9:$J$102,4)+VLOOKUP($CU34-DB$103+1,Männer!$G$9:$J$102,4))*0.5*(VLOOKUP($CU34-DB$103,Männer!$AZ$9:$BD$102,5)+VLOOKUP($CU34-DB$103+1,Männer!$AZ$9:$BD$102,5)),RundDx)))</f>
        <v>2123877194</v>
      </c>
      <c r="DC34" s="25">
        <f>IF($CU34&gt;=RAF,"",IF($CU34-DC$103&lt;BeginnAlter,"",ROUND(v^($CU34+FaktorAlter)*$L34*$D34*0.5*(VLOOKUP($CU34-DC$103,Männer!$G$9:$J$102,4)+VLOOKUP($CU34-DC$103+1,Männer!$G$9:$J$102,4))*0.5*(VLOOKUP($CU34-DC$103,Männer!$AZ$9:$BD$102,5)+VLOOKUP($CU34-DC$103+1,Männer!$AZ$9:$BD$102,5)),RundDx)))</f>
        <v>2186013773</v>
      </c>
      <c r="DD34" s="25">
        <f>IF($CU34&gt;=RAF,"",IF($CU34-DD$103&lt;BeginnAlter,"",ROUND(v^($CU34+FaktorAlter)*$L34*$D34*0.5*(VLOOKUP($CU34-DD$103,Männer!$G$9:$J$102,4)+VLOOKUP($CU34-DD$103+1,Männer!$G$9:$J$102,4))*0.5*(VLOOKUP($CU34-DD$103,Männer!$AZ$9:$BD$102,5)+VLOOKUP($CU34-DD$103+1,Männer!$AZ$9:$BD$102,5)),RundDx)))</f>
        <v>2247145650</v>
      </c>
      <c r="DE34" s="25">
        <f>IF($CU34&gt;=RAF,"",IF($CU34-DE$103&lt;BeginnAlter,"",ROUND(v^($CU34+FaktorAlter)*$L34*$D34*0.5*(VLOOKUP($CU34-DE$103,Männer!$G$9:$J$102,4)+VLOOKUP($CU34-DE$103+1,Männer!$G$9:$J$102,4))*0.5*(VLOOKUP($CU34-DE$103,Männer!$AZ$9:$BD$102,5)+VLOOKUP($CU34-DE$103+1,Männer!$AZ$9:$BD$102,5)),RundDx)))</f>
        <v>2307233483</v>
      </c>
      <c r="DF34" s="25">
        <f>IF($CU34&gt;=RAF,"",IF($CU34-DF$103&lt;BeginnAlter,"",ROUND(v^($CU34+FaktorAlter)*$L34*$D34*0.5*(VLOOKUP($CU34-DF$103,Männer!$G$9:$J$102,4)+VLOOKUP($CU34-DF$103+1,Männer!$G$9:$J$102,4))*0.5*(VLOOKUP($CU34-DF$103,Männer!$AZ$9:$BD$102,5)+VLOOKUP($CU34-DF$103+1,Männer!$AZ$9:$BD$102,5)),RundDx)))</f>
        <v>2366212971</v>
      </c>
      <c r="DG34" s="25">
        <f>IF($CU34&gt;=RAF,"",IF($CU34-DG$103&lt;BeginnAlter,"",ROUND(v^($CU34+FaktorAlter)*$L34*$D34*0.5*(VLOOKUP($CU34-DG$103,Männer!$G$9:$J$102,4)+VLOOKUP($CU34-DG$103+1,Männer!$G$9:$J$102,4))*0.5*(VLOOKUP($CU34-DG$103,Männer!$AZ$9:$BD$102,5)+VLOOKUP($CU34-DG$103+1,Männer!$AZ$9:$BD$102,5)),RundDx)))</f>
        <v>2424156979</v>
      </c>
      <c r="DH34" s="25">
        <f>IF($CU34&gt;=RAF,"",IF($CU34-DH$103&lt;BeginnAlter,"",ROUND(v^($CU34+FaktorAlter)*$L34*$D34*0.5*(VLOOKUP($CU34-DH$103,Männer!$G$9:$J$102,4)+VLOOKUP($CU34-DH$103+1,Männer!$G$9:$J$102,4))*0.5*(VLOOKUP($CU34-DH$103,Männer!$AZ$9:$BD$102,5)+VLOOKUP($CU34-DH$103+1,Männer!$AZ$9:$BD$102,5)),RundDx)))</f>
        <v>2481062855</v>
      </c>
      <c r="DI34" s="25">
        <f>IF($CU34&gt;=RAF,"",IF($CU34-DI$103&lt;BeginnAlter,"",ROUND(v^($CU34+FaktorAlter)*$L34*$D34*0.5*(VLOOKUP($CU34-DI$103,Männer!$G$9:$J$102,4)+VLOOKUP($CU34-DI$103+1,Männer!$G$9:$J$102,4))*0.5*(VLOOKUP($CU34-DI$103,Männer!$AZ$9:$BD$102,5)+VLOOKUP($CU34-DI$103+1,Männer!$AZ$9:$BD$102,5)),RundDx)))</f>
        <v>2536930828</v>
      </c>
      <c r="DJ34" s="25">
        <f>IF($CU34&gt;=RAF,"",IF($CU34-DJ$103&lt;BeginnAlter,"",ROUND(v^($CU34+FaktorAlter)*$L34*$D34*0.5*(VLOOKUP($CU34-DJ$103,Männer!$G$9:$J$102,4)+VLOOKUP($CU34-DJ$103+1,Männer!$G$9:$J$102,4))*0.5*(VLOOKUP($CU34-DJ$103,Männer!$AZ$9:$BD$102,5)+VLOOKUP($CU34-DJ$103+1,Männer!$AZ$9:$BD$102,5)),RundDx)))</f>
        <v>2591737415</v>
      </c>
      <c r="DK34" s="25">
        <f>IF($CU34&gt;=RAF,"",IF($CU34-DK$103&lt;BeginnAlter,"",ROUND(v^($CU34+FaktorAlter)*$L34*$D34*0.5*(VLOOKUP($CU34-DK$103,Männer!$G$9:$J$102,4)+VLOOKUP($CU34-DK$103+1,Männer!$G$9:$J$102,4))*0.5*(VLOOKUP($CU34-DK$103,Männer!$AZ$9:$BD$102,5)+VLOOKUP($CU34-DK$103+1,Männer!$AZ$9:$BD$102,5)),RundDx)))</f>
        <v>2645542835</v>
      </c>
      <c r="DL34" s="25">
        <f>IF($CU34&gt;=RAF,"",IF($CU34-DL$103&lt;BeginnAlter,"",ROUND(v^($CU34+FaktorAlter)*$L34*$D34*0.5*(VLOOKUP($CU34-DL$103,Männer!$G$9:$J$102,4)+VLOOKUP($CU34-DL$103+1,Männer!$G$9:$J$102,4))*0.5*(VLOOKUP($CU34-DL$103,Männer!$AZ$9:$BD$102,5)+VLOOKUP($CU34-DL$103+1,Männer!$AZ$9:$BD$102,5)),RundDx)))</f>
        <v>2698396559</v>
      </c>
      <c r="DM34" s="25">
        <f>IF($CU34&gt;=RAF,"",IF($CU34-DM$103&lt;BeginnAlter,"",ROUND(v^($CU34+FaktorAlter)*$L34*$D34*0.5*(VLOOKUP($CU34-DM$103,Männer!$G$9:$J$102,4)+VLOOKUP($CU34-DM$103+1,Männer!$G$9:$J$102,4))*0.5*(VLOOKUP($CU34-DM$103,Männer!$AZ$9:$BD$102,5)+VLOOKUP($CU34-DM$103+1,Männer!$AZ$9:$BD$102,5)),RundDx)))</f>
        <v>2750209553</v>
      </c>
      <c r="DN34" s="25">
        <f>IF($CU34&gt;=RAF,"",IF($CU34-DN$103&lt;BeginnAlter,"",ROUND(v^($CU34+FaktorAlter)*$L34*$D34*0.5*(VLOOKUP($CU34-DN$103,Männer!$G$9:$J$102,4)+VLOOKUP($CU34-DN$103+1,Männer!$G$9:$J$102,4))*0.5*(VLOOKUP($CU34-DN$103,Männer!$AZ$9:$BD$102,5)+VLOOKUP($CU34-DN$103+1,Männer!$AZ$9:$BD$102,5)),RundDx)))</f>
        <v>2800976776</v>
      </c>
      <c r="DO34" s="25">
        <f>IF($CU34&gt;=RAF,"",IF($CU34-DO$103&lt;BeginnAlter,"",ROUND(v^($CU34+FaktorAlter)*$L34*$D34*0.5*(VLOOKUP($CU34-DO$103,Männer!$G$9:$J$102,4)+VLOOKUP($CU34-DO$103+1,Männer!$G$9:$J$102,4))*0.5*(VLOOKUP($CU34-DO$103,Männer!$AZ$9:$BD$102,5)+VLOOKUP($CU34-DO$103+1,Männer!$AZ$9:$BD$102,5)),RundDx)))</f>
        <v>2850849267</v>
      </c>
      <c r="DP34" s="25">
        <f>IF($CU34&gt;=RAF,"",IF($CU34-DP$103&lt;BeginnAlter,"",ROUND(v^($CU34+FaktorAlter)*$L34*$D34*0.5*(VLOOKUP($CU34-DP$103,Männer!$G$9:$J$102,4)+VLOOKUP($CU34-DP$103+1,Männer!$G$9:$J$102,4))*0.5*(VLOOKUP($CU34-DP$103,Männer!$AZ$9:$BD$102,5)+VLOOKUP($CU34-DP$103+1,Männer!$AZ$9:$BD$102,5)),RundDx)))</f>
        <v>2899768453</v>
      </c>
      <c r="DQ34" s="25">
        <f>IF($CU34&gt;=RAF,"",IF($CU34-DQ$103&lt;BeginnAlter,"",ROUND(v^($CU34+FaktorAlter)*$L34*$D34*0.5*(VLOOKUP($CU34-DQ$103,Männer!$G$9:$J$102,4)+VLOOKUP($CU34-DQ$103+1,Männer!$G$9:$J$102,4))*0.5*(VLOOKUP($CU34-DQ$103,Männer!$AZ$9:$BD$102,5)+VLOOKUP($CU34-DQ$103+1,Männer!$AZ$9:$BD$102,5)),RundDx)))</f>
        <v>2947691806</v>
      </c>
      <c r="DR34" s="25">
        <f>IF($CU34&gt;=RAF,"",IF($CU34-DR$103&lt;BeginnAlter,"",ROUND(v^($CU34+FaktorAlter)*$L34*$D34*0.5*(VLOOKUP($CU34-DR$103,Männer!$G$9:$J$102,4)+VLOOKUP($CU34-DR$103+1,Männer!$G$9:$J$102,4))*0.5*(VLOOKUP($CU34-DR$103,Männer!$AZ$9:$BD$102,5)+VLOOKUP($CU34-DR$103+1,Männer!$AZ$9:$BD$102,5)),RundDx)))</f>
        <v>2994718094</v>
      </c>
      <c r="DS34" s="25">
        <f>IF($CU34&gt;=RAF,"",IF($CU34-DS$103&lt;BeginnAlter,"",ROUND(v^($CU34+FaktorAlter)*$L34*$D34*0.5*(VLOOKUP($CU34-DS$103,Männer!$G$9:$J$102,4)+VLOOKUP($CU34-DS$103+1,Männer!$G$9:$J$102,4))*0.5*(VLOOKUP($CU34-DS$103,Männer!$AZ$9:$BD$102,5)+VLOOKUP($CU34-DS$103+1,Männer!$AZ$9:$BD$102,5)),RundDx)))</f>
        <v>3040777200</v>
      </c>
      <c r="DT34" s="25">
        <f>IF($CU34&gt;=RAF,"",IF($CU34-DT$103&lt;BeginnAlter,"",ROUND(v^($CU34+FaktorAlter)*$L34*$D34*0.5*(VLOOKUP($CU34-DT$103,Männer!$G$9:$J$102,4)+VLOOKUP($CU34-DT$103+1,Männer!$G$9:$J$102,4))*0.5*(VLOOKUP($CU34-DT$103,Männer!$AZ$9:$BD$102,5)+VLOOKUP($CU34-DT$103+1,Männer!$AZ$9:$BD$102,5)),RundDx)))</f>
        <v>3085902577</v>
      </c>
      <c r="DU34" s="25">
        <f>IF($CU34&gt;=RAF,"",IF($CU34-DU$103&lt;BeginnAlter,"",ROUND(v^($CU34+FaktorAlter)*$L34*$D34*0.5*(VLOOKUP($CU34-DU$103,Männer!$G$9:$J$102,4)+VLOOKUP($CU34-DU$103+1,Männer!$G$9:$J$102,4))*0.5*(VLOOKUP($CU34-DU$103,Männer!$AZ$9:$BD$102,5)+VLOOKUP($CU34-DU$103+1,Männer!$AZ$9:$BD$102,5)),RundDx)))</f>
        <v>3130130624</v>
      </c>
      <c r="DV34" s="25">
        <f>IF($CU34&gt;=RAF,"",IF($CU34-DV$103&lt;BeginnAlter,"",ROUND(v^($CU34+FaktorAlter)*$L34*$D34*0.5*(VLOOKUP($CU34-DV$103,Männer!$G$9:$J$102,4)+VLOOKUP($CU34-DV$103+1,Männer!$G$9:$J$102,4))*0.5*(VLOOKUP($CU34-DV$103,Männer!$AZ$9:$BD$102,5)+VLOOKUP($CU34-DV$103+1,Männer!$AZ$9:$BD$102,5)),RundDx)))</f>
        <v>3173484559</v>
      </c>
      <c r="DW34" s="25">
        <f>IF($CU34&gt;=RAF,"",IF($CU34-DW$103&lt;BeginnAlter,"",ROUND(v^($CU34+FaktorAlter)*$L34*$D34*0.5*(VLOOKUP($CU34-DW$103,Männer!$G$9:$J$102,4)+VLOOKUP($CU34-DW$103+1,Männer!$G$9:$J$102,4))*0.5*(VLOOKUP($CU34-DW$103,Männer!$AZ$9:$BD$102,5)+VLOOKUP($CU34-DW$103+1,Männer!$AZ$9:$BD$102,5)),RundDx)))</f>
        <v>3215973285</v>
      </c>
      <c r="DX34" s="25">
        <f>IF($CU34&gt;=RAF,"",IF($CU34-DX$103&lt;BeginnAlter,"",ROUND(v^($CU34+FaktorAlter)*$L34*$D34*0.5*(VLOOKUP($CU34-DX$103,Männer!$G$9:$J$102,4)+VLOOKUP($CU34-DX$103+1,Männer!$G$9:$J$102,4))*0.5*(VLOOKUP($CU34-DX$103,Männer!$AZ$9:$BD$102,5)+VLOOKUP($CU34-DX$103+1,Männer!$AZ$9:$BD$102,5)),RundDx)))</f>
        <v>3257582750</v>
      </c>
      <c r="DY34" s="25">
        <f>IF($CU34&gt;=RAF,"",IF($CU34-DY$103&lt;BeginnAlter,"",ROUND(v^($CU34+FaktorAlter)*$L34*$D34*0.5*(VLOOKUP($CU34-DY$103,Männer!$G$9:$J$102,4)+VLOOKUP($CU34-DY$103+1,Männer!$G$9:$J$102,4))*0.5*(VLOOKUP($CU34-DY$103,Männer!$AZ$9:$BD$102,5)+VLOOKUP($CU34-DY$103+1,Männer!$AZ$9:$BD$102,5)),RundDx)))</f>
        <v>3298358108</v>
      </c>
      <c r="DZ34" s="25">
        <f>IF($CU34&gt;=RAF,"",IF($CU34-DZ$103&lt;BeginnAlter,"",ROUND(v^($CU34+FaktorAlter)*$L34*$D34*0.5*(VLOOKUP($CU34-DZ$103,Männer!$G$9:$J$102,4)+VLOOKUP($CU34-DZ$103+1,Männer!$G$9:$J$102,4))*0.5*(VLOOKUP($CU34-DZ$103,Männer!$AZ$9:$BD$102,5)+VLOOKUP($CU34-DZ$103+1,Männer!$AZ$9:$BD$102,5)),RundDx)))</f>
        <v>3338273285</v>
      </c>
      <c r="EA34" s="43">
        <f>IF($CU34&gt;=RAF,"",IF($CU34-EA$103&lt;BeginnAlter,"",ROUND((SUM(CV34:CV$56)+SUM(FN$9:FN$56))/VLOOKUP($CU34,$AH$9:$AI$102,2)/VLOOKUP($CU34-EA$103,Männer!$G$9:$J$102,4),Rundäx)))</f>
        <v>3.3159999999999998</v>
      </c>
      <c r="EB34" s="43">
        <f>IF($CU34&gt;=RAF,"",IF($CU34-EB$103&lt;BeginnAlter,"",ROUND((SUM(CW34:CW$56)+SUM(FO$9:FO$56))/VLOOKUP($CU34,$AH$9:$AI$102,2)/VLOOKUP($CU34-EB$103,Männer!$G$9:$J$102,4),Rundäx)))</f>
        <v>3.4830000000000001</v>
      </c>
      <c r="EC34" s="43">
        <f>IF($CU34&gt;=RAF,"",IF($CU34-EC$103&lt;BeginnAlter,"",ROUND((SUM(CX34:CX$56)+SUM(FP$9:FP$56))/VLOOKUP($CU34,$AH$9:$AI$102,2)/VLOOKUP($CU34-EC$103,Männer!$G$9:$J$102,4),Rundäx)))</f>
        <v>3.6549999999999998</v>
      </c>
      <c r="ED34" s="43">
        <f>IF($CU34&gt;=RAF,"",IF($CU34-ED$103&lt;BeginnAlter,"",ROUND((SUM(CY34:CY$56)+SUM(FQ$9:FQ$56))/VLOOKUP($CU34,$AH$9:$AI$102,2)/VLOOKUP($CU34-ED$103,Männer!$G$9:$J$102,4),Rundäx)))</f>
        <v>3.831</v>
      </c>
      <c r="EE34" s="43">
        <f>IF($CU34&gt;=RAF,"",IF($CU34-EE$103&lt;BeginnAlter,"",ROUND((SUM(CZ34:CZ$56)+SUM(FR$9:FR$56))/VLOOKUP($CU34,$AH$9:$AI$102,2)/VLOOKUP($CU34-EE$103,Männer!$G$9:$J$102,4),Rundäx)))</f>
        <v>4.0129999999999999</v>
      </c>
      <c r="EF34" s="43">
        <f>IF($CU34&gt;=RAF,"",IF($CU34-EF$103&lt;BeginnAlter,"",ROUND((SUM(DA34:DA$56)+SUM(FS$9:FS$56))/VLOOKUP($CU34,$AH$9:$AI$102,2)/VLOOKUP($CU34-EF$103,Männer!$G$9:$J$102,4),Rundäx)))</f>
        <v>4.1980000000000004</v>
      </c>
      <c r="EG34" s="43">
        <f>IF($CU34&gt;=RAF,"",IF($CU34-EG$103&lt;BeginnAlter,"",ROUND((SUM(DB34:DB$56)+SUM(FT$9:FT$56))/VLOOKUP($CU34,$AH$9:$AI$102,2)/VLOOKUP($CU34-EG$103,Männer!$G$9:$J$102,4),Rundäx)))</f>
        <v>4.3869999999999996</v>
      </c>
      <c r="EH34" s="43">
        <f>IF($CU34&gt;=RAF,"",IF($CU34-EH$103&lt;BeginnAlter,"",ROUND((SUM(DC34:DC$56)+SUM(FU$9:FU$56))/VLOOKUP($CU34,$AH$9:$AI$102,2)/VLOOKUP($CU34-EH$103,Männer!$G$9:$J$102,4),Rundäx)))</f>
        <v>4.5810000000000004</v>
      </c>
      <c r="EI34" s="89"/>
      <c r="EJ34" s="35">
        <f t="shared" si="61"/>
        <v>42</v>
      </c>
      <c r="EK34" s="43">
        <f>IF($CU34&gt;=RAF,"",IF($CU34-EK$103&lt;BeginnAlter,"",ROUND((SUM(DD34:DD$56)+SUM(FV$9:FV$56))/VLOOKUP($CU34,$AH$9:$AI$102,2)/VLOOKUP($CU34-EK$103,Männer!$G$9:$J$102,4),Rundäx)))</f>
        <v>4.7779999999999996</v>
      </c>
      <c r="EL34" s="43">
        <f>IF($CU34&gt;=RAF,"",IF($CU34-EL$103&lt;BeginnAlter,"",ROUND((SUM(DE34:DE$56)+SUM(FW$9:FW$56))/VLOOKUP($CU34,$AH$9:$AI$102,2)/VLOOKUP($CU34-EL$103,Männer!$G$9:$J$102,4),Rundäx)))</f>
        <v>4.9790000000000001</v>
      </c>
      <c r="EM34" s="43">
        <f>IF($CU34&gt;=RAF,"",IF($CU34-EM$103&lt;BeginnAlter,"",ROUND((SUM(DF34:DF$56)+SUM(FX$9:FX$56))/VLOOKUP($CU34,$AH$9:$AI$102,2)/VLOOKUP($CU34-EM$103,Männer!$G$9:$J$102,4),Rundäx)))</f>
        <v>5.1840000000000002</v>
      </c>
      <c r="EN34" s="43">
        <f>IF($CU34&gt;=RAF,"",IF($CU34-EN$103&lt;BeginnAlter,"",ROUND((SUM(DG34:DG$56)+SUM(FY$9:FY$56))/VLOOKUP($CU34,$AH$9:$AI$102,2)/VLOOKUP($CU34-EN$103,Männer!$G$9:$J$102,4),Rundäx)))</f>
        <v>5.3929999999999998</v>
      </c>
      <c r="EO34" s="43">
        <f>IF($CU34&gt;=RAF,"",IF($CU34-EO$103&lt;BeginnAlter,"",ROUND((SUM(DH34:DH$56)+SUM(FZ$9:FZ$56))/VLOOKUP($CU34,$AH$9:$AI$102,2)/VLOOKUP($CU34-EO$103,Männer!$G$9:$J$102,4),Rundäx)))</f>
        <v>5.6050000000000004</v>
      </c>
      <c r="EP34" s="43">
        <f>IF($CU34&gt;=RAF,"",IF($CU34-EP$103&lt;BeginnAlter,"",ROUND((SUM(DI34:DI$56)+SUM(GA$9:GA$56))/VLOOKUP($CU34,$AH$9:$AI$102,2)/VLOOKUP($CU34-EP$103,Männer!$G$9:$J$102,4),Rundäx)))</f>
        <v>5.8209999999999997</v>
      </c>
      <c r="EQ34" s="43">
        <f>IF($CU34&gt;=RAF,"",IF($CU34-EQ$103&lt;BeginnAlter,"",ROUND((SUM(DJ34:DJ$56)+SUM(GB$9:GB$56))/VLOOKUP($CU34,$AH$9:$AI$102,2)/VLOOKUP($CU34-EQ$103,Männer!$G$9:$J$102,4),Rundäx)))</f>
        <v>6.0410000000000004</v>
      </c>
      <c r="ER34" s="43">
        <f>IF($CU34&gt;=RAF,"",IF($CU34-ER$103&lt;BeginnAlter,"",ROUND((SUM(DK34:DK$56)+SUM(GC$9:GC$56))/VLOOKUP($CU34,$AH$9:$AI$102,2)/VLOOKUP($CU34-ER$103,Männer!$G$9:$J$102,4),Rundäx)))</f>
        <v>6.2640000000000002</v>
      </c>
      <c r="ES34" s="89"/>
      <c r="ET34" s="35">
        <f t="shared" si="62"/>
        <v>42</v>
      </c>
      <c r="EU34" s="43">
        <f>IF($CU34&gt;=RAF,"",IF($CU34-EU$103&lt;BeginnAlter,"",ROUND((SUM(DL34:DL$56)+SUM(GD$9:GD$56))/VLOOKUP($CU34,$AH$9:$AI$102,2)/VLOOKUP($CU34-EU$103,Männer!$G$9:$J$102,4),Rundäx)))</f>
        <v>6.49</v>
      </c>
      <c r="EV34" s="43">
        <f>IF($CU34&gt;=RAF,"",IF($CU34-EV$103&lt;BeginnAlter,"",ROUND((SUM(DM34:DM$56)+SUM(GE$9:GE$56))/VLOOKUP($CU34,$AH$9:$AI$102,2)/VLOOKUP($CU34-EV$103,Männer!$G$9:$J$102,4),Rundäx)))</f>
        <v>6.72</v>
      </c>
      <c r="EW34" s="43">
        <f>IF($CU34&gt;=RAF,"",IF($CU34-EW$103&lt;BeginnAlter,"",ROUND((SUM(DN34:DN$56)+SUM(GF$9:GF$56))/VLOOKUP($CU34,$AH$9:$AI$102,2)/VLOOKUP($CU34-EW$103,Männer!$G$9:$J$102,4),Rundäx)))</f>
        <v>6.9530000000000003</v>
      </c>
      <c r="EX34" s="43">
        <f>IF($CU34&gt;=RAF,"",IF($CU34-EX$103&lt;BeginnAlter,"",ROUND((SUM(DO34:DO$56)+SUM(GG$9:GG$56))/VLOOKUP($CU34,$AH$9:$AI$102,2)/VLOOKUP($CU34-EX$103,Männer!$G$9:$J$102,4),Rundäx)))</f>
        <v>7.1879999999999997</v>
      </c>
      <c r="EY34" s="43">
        <f>IF($CU34&gt;=RAF,"",IF($CU34-EY$103&lt;BeginnAlter,"",ROUND((SUM(DP34:DP$56)+SUM(GH$9:GH$56))/VLOOKUP($CU34,$AH$9:$AI$102,2)/VLOOKUP($CU34-EY$103,Männer!$G$9:$J$102,4),Rundäx)))</f>
        <v>7.4260000000000002</v>
      </c>
      <c r="EZ34" s="43">
        <f>IF($CU34&gt;=RAF,"",IF($CU34-EZ$103&lt;BeginnAlter,"",ROUND((SUM(DQ34:DQ$56)+SUM(GI$9:GI$56))/VLOOKUP($CU34,$AH$9:$AI$102,2)/VLOOKUP($CU34-EZ$103,Männer!$G$9:$J$102,4),Rundäx)))</f>
        <v>7.665</v>
      </c>
      <c r="FA34" s="43">
        <f>IF($CU34&gt;=RAF,"",IF($CU34-FA$103&lt;BeginnAlter,"",ROUND((SUM(DR34:DR$56)+SUM(GJ$9:GJ$56))/VLOOKUP($CU34,$AH$9:$AI$102,2)/VLOOKUP($CU34-FA$103,Männer!$G$9:$J$102,4),Rundäx)))</f>
        <v>7.907</v>
      </c>
      <c r="FB34" s="43">
        <f>IF($CU34&gt;=RAF,"",IF($CU34-FB$103&lt;BeginnAlter,"",ROUND((SUM(DS34:DS$56)+SUM(GK$9:GK$56))/VLOOKUP($CU34,$AH$9:$AI$102,2)/VLOOKUP($CU34-FB$103,Männer!$G$9:$J$102,4),Rundäx)))</f>
        <v>8.15</v>
      </c>
      <c r="FC34" s="89"/>
      <c r="FD34" s="35">
        <f t="shared" si="63"/>
        <v>42</v>
      </c>
      <c r="FE34" s="43">
        <f>IF($CU34&gt;=RAF,"",IF($CU34-FE$103&lt;BeginnAlter,"",ROUND((SUM(DT34:DT$56)+SUM(GL$9:GL$56))/VLOOKUP($CU34,$AH$9:$AI$102,2)/VLOOKUP($CU34-FE$103,Männer!$G$9:$J$102,4),Rundäx)))</f>
        <v>8.3930000000000007</v>
      </c>
      <c r="FF34" s="43">
        <f>IF($CU34&gt;=RAF,"",IF($CU34-FF$103&lt;BeginnAlter,"",ROUND((SUM(DU34:DU$56)+SUM(GM$9:GM$56))/VLOOKUP($CU34,$AH$9:$AI$102,2)/VLOOKUP($CU34-FF$103,Männer!$G$9:$J$102,4),Rundäx)))</f>
        <v>8.6370000000000005</v>
      </c>
      <c r="FG34" s="43">
        <f>IF($CU34&gt;=RAF,"",IF($CU34-FG$103&lt;BeginnAlter,"",ROUND((SUM(DV34:DV$56)+SUM(GN$9:GN$56))/VLOOKUP($CU34,$AH$9:$AI$102,2)/VLOOKUP($CU34-FG$103,Männer!$G$9:$J$102,4),Rundäx)))</f>
        <v>8.8819999999999997</v>
      </c>
      <c r="FH34" s="43">
        <f>IF($CU34&gt;=RAF,"",IF($CU34-FH$103&lt;BeginnAlter,"",ROUND((SUM(DW34:DW$56)+SUM(GO$9:GO$56))/VLOOKUP($CU34,$AH$9:$AI$102,2)/VLOOKUP($CU34-FH$103,Männer!$G$9:$J$102,4),Rundäx)))</f>
        <v>9.1259999999999994</v>
      </c>
      <c r="FI34" s="43">
        <f>IF($CU34&gt;=RAF,"",IF($CU34-FI$103&lt;BeginnAlter,"",ROUND((SUM(DX34:DX$56)+SUM(GP$9:GP$56))/VLOOKUP($CU34,$AH$9:$AI$102,2)/VLOOKUP($CU34-FI$103,Männer!$G$9:$J$102,4),Rundäx)))</f>
        <v>9.3699999999999992</v>
      </c>
      <c r="FJ34" s="43">
        <f>IF($CU34&gt;=RAF,"",IF($CU34-FJ$103&lt;BeginnAlter,"",ROUND((SUM(DY34:DY$56)+SUM(GQ$9:GQ$56))/VLOOKUP($CU34,$AH$9:$AI$102,2)/VLOOKUP($CU34-FJ$103,Männer!$G$9:$J$102,4),Rundäx)))</f>
        <v>9.6120000000000001</v>
      </c>
      <c r="FK34" s="43">
        <f>IF($CU34&gt;=RAF,"",IF($CU34-FK$103&lt;BeginnAlter,"",ROUND((SUM(DZ34:DZ$56)+SUM(GR$9:GR$56))/VLOOKUP($CU34,$AH$9:$AI$102,2)/VLOOKUP($CU34-FK$103,Männer!$G$9:$J$102,4),Rundäx)))</f>
        <v>9.8539999999999992</v>
      </c>
      <c r="FL34" s="89"/>
      <c r="FM34" s="35">
        <f t="shared" si="64"/>
        <v>89</v>
      </c>
      <c r="FN34" s="25"/>
      <c r="FO34" s="25"/>
      <c r="FP34" s="25"/>
      <c r="FQ34" s="25"/>
      <c r="FR34" s="25">
        <f>ROUND(v^($FM34+FaktorAlter)*VLOOKUP($FM34,$G$9:$J$102,4)*VLOOKUP($FM34,$A$9:$E$102,5)*0.5*(VLOOKUP($FM34-FR$103,Männer!$G$9:$J$102,4)+VLOOKUP($FM34-FR$103+1,Männer!$G$9:$J$102,4))*0.5*(VLOOKUP($FM34-FR$103,Männer!$AZ$9:$BD$102,5)+VLOOKUP($FM34-FR$103+1,Männer!$AZ$9:$BD$102,5)),RundDx)</f>
        <v>118956</v>
      </c>
      <c r="FS34" s="25">
        <f>ROUND(v^($FM34+FaktorAlter)*VLOOKUP($FM34,$G$9:$J$102,4)*VLOOKUP($FM34,$A$9:$E$102,5)*0.5*(VLOOKUP($FM34-FS$103,Männer!$G$9:$J$102,4)+VLOOKUP($FM34-FS$103+1,Männer!$G$9:$J$102,4))*0.5*(VLOOKUP($FM34-FS$103,Männer!$AZ$9:$BD$102,5)+VLOOKUP($FM34-FS$103+1,Männer!$AZ$9:$BD$102,5)),RundDx)</f>
        <v>313712</v>
      </c>
      <c r="FT34" s="25">
        <f>ROUND(v^($FM34+FaktorAlter)*VLOOKUP($FM34,$G$9:$J$102,4)*VLOOKUP($FM34,$A$9:$E$102,5)*0.5*(VLOOKUP($FM34-FT$103,Männer!$G$9:$J$102,4)+VLOOKUP($FM34-FT$103+1,Männer!$G$9:$J$102,4))*0.5*(VLOOKUP($FM34-FT$103,Männer!$AZ$9:$BD$102,5)+VLOOKUP($FM34-FT$103+1,Männer!$AZ$9:$BD$102,5)),RundDx)</f>
        <v>705720</v>
      </c>
      <c r="FU34" s="25">
        <f>ROUND(v^($FM34+FaktorAlter)*VLOOKUP($FM34,$G$9:$J$102,4)*VLOOKUP($FM34,$A$9:$E$102,5)*0.5*(VLOOKUP($FM34-FU$103,Männer!$G$9:$J$102,4)+VLOOKUP($FM34-FU$103+1,Männer!$G$9:$J$102,4))*0.5*(VLOOKUP($FM34-FU$103,Männer!$AZ$9:$BD$102,5)+VLOOKUP($FM34-FU$103+1,Männer!$AZ$9:$BD$102,5)),RundDx)</f>
        <v>1437264</v>
      </c>
      <c r="FV34" s="25">
        <f>ROUND(v^($FM34+FaktorAlter)*VLOOKUP($FM34,$G$9:$J$102,4)*VLOOKUP($FM34,$A$9:$E$102,5)*0.5*(VLOOKUP($FM34-FV$103,Männer!$G$9:$J$102,4)+VLOOKUP($FM34-FV$103+1,Männer!$G$9:$J$102,4))*0.5*(VLOOKUP($FM34-FV$103,Männer!$AZ$9:$BD$102,5)+VLOOKUP($FM34-FV$103+1,Männer!$AZ$9:$BD$102,5)),RundDx)</f>
        <v>2680463</v>
      </c>
      <c r="FW34" s="25">
        <f>ROUND(v^($FM34+FaktorAlter)*VLOOKUP($FM34,$G$9:$J$102,4)*VLOOKUP($FM34,$A$9:$E$102,5)*0.5*(VLOOKUP($FM34-FW$103,Männer!$G$9:$J$102,4)+VLOOKUP($FM34-FW$103+1,Männer!$G$9:$J$102,4))*0.5*(VLOOKUP($FM34-FW$103,Männer!$AZ$9:$BD$102,5)+VLOOKUP($FM34-FW$103+1,Männer!$AZ$9:$BD$102,5)),RundDx)</f>
        <v>4639476</v>
      </c>
      <c r="FX34" s="25">
        <f>ROUND(v^($FM34+FaktorAlter)*VLOOKUP($FM34,$G$9:$J$102,4)*VLOOKUP($FM34,$A$9:$E$102,5)*0.5*(VLOOKUP($FM34-FX$103,Männer!$G$9:$J$102,4)+VLOOKUP($FM34-FX$103+1,Männer!$G$9:$J$102,4))*0.5*(VLOOKUP($FM34-FX$103,Männer!$AZ$9:$BD$102,5)+VLOOKUP($FM34-FX$103+1,Männer!$AZ$9:$BD$102,5)),RundDx)</f>
        <v>7540756</v>
      </c>
      <c r="FY34" s="25">
        <f>ROUND(v^($FM34+FaktorAlter)*VLOOKUP($FM34,$G$9:$J$102,4)*VLOOKUP($FM34,$A$9:$E$102,5)*0.5*(VLOOKUP($FM34-FY$103,Männer!$G$9:$J$102,4)+VLOOKUP($FM34-FY$103+1,Männer!$G$9:$J$102,4))*0.5*(VLOOKUP($FM34-FY$103,Männer!$AZ$9:$BD$102,5)+VLOOKUP($FM34-FY$103+1,Männer!$AZ$9:$BD$102,5)),RundDx)</f>
        <v>11604424</v>
      </c>
      <c r="FZ34" s="25">
        <f>ROUND(v^($FM34+FaktorAlter)*VLOOKUP($FM34,$G$9:$J$102,4)*VLOOKUP($FM34,$A$9:$E$102,5)*0.5*(VLOOKUP($FM34-FZ$103,Männer!$G$9:$J$102,4)+VLOOKUP($FM34-FZ$103+1,Männer!$G$9:$J$102,4))*0.5*(VLOOKUP($FM34-FZ$103,Männer!$AZ$9:$BD$102,5)+VLOOKUP($FM34-FZ$103+1,Männer!$AZ$9:$BD$102,5)),RundDx)</f>
        <v>17062506</v>
      </c>
      <c r="GA34" s="25">
        <f>ROUND(v^($FM34+FaktorAlter)*VLOOKUP($FM34,$G$9:$J$102,4)*VLOOKUP($FM34,$A$9:$E$102,5)*0.5*(VLOOKUP($FM34-GA$103,Männer!$G$9:$J$102,4)+VLOOKUP($FM34-GA$103+1,Männer!$G$9:$J$102,4))*0.5*(VLOOKUP($FM34-GA$103,Männer!$AZ$9:$BD$102,5)+VLOOKUP($FM34-GA$103+1,Männer!$AZ$9:$BD$102,5)),RundDx)</f>
        <v>24125986</v>
      </c>
      <c r="GB34" s="25">
        <f>ROUND(v^($FM34+FaktorAlter)*VLOOKUP($FM34,$G$9:$J$102,4)*VLOOKUP($FM34,$A$9:$E$102,5)*0.5*(VLOOKUP($FM34-GB$103,Männer!$G$9:$J$102,4)+VLOOKUP($FM34-GB$103+1,Männer!$G$9:$J$102,4))*0.5*(VLOOKUP($FM34-GB$103,Männer!$AZ$9:$BD$102,5)+VLOOKUP($FM34-GB$103+1,Männer!$AZ$9:$BD$102,5)),RundDx)</f>
        <v>32949659</v>
      </c>
      <c r="GC34" s="25">
        <f>ROUND(v^($FM34+FaktorAlter)*VLOOKUP($FM34,$G$9:$J$102,4)*VLOOKUP($FM34,$A$9:$E$102,5)*0.5*(VLOOKUP($FM34-GC$103,Männer!$G$9:$J$102,4)+VLOOKUP($FM34-GC$103+1,Männer!$G$9:$J$102,4))*0.5*(VLOOKUP($FM34-GC$103,Männer!$AZ$9:$BD$102,5)+VLOOKUP($FM34-GC$103+1,Männer!$AZ$9:$BD$102,5)),RundDx)</f>
        <v>43652897</v>
      </c>
      <c r="GD34" s="25">
        <f>ROUND(v^($FM34+FaktorAlter)*VLOOKUP($FM34,$G$9:$J$102,4)*VLOOKUP($FM34,$A$9:$E$102,5)*0.5*(VLOOKUP($FM34-GD$103,Männer!$G$9:$J$102,4)+VLOOKUP($FM34-GD$103+1,Männer!$G$9:$J$102,4))*0.5*(VLOOKUP($FM34-GD$103,Männer!$AZ$9:$BD$102,5)+VLOOKUP($FM34-GD$103+1,Männer!$AZ$9:$BD$102,5)),RundDx)</f>
        <v>56297294</v>
      </c>
      <c r="GE34" s="25">
        <f>ROUND(v^($FM34+FaktorAlter)*VLOOKUP($FM34,$G$9:$J$102,4)*VLOOKUP($FM34,$A$9:$E$102,5)*0.5*(VLOOKUP($FM34-GE$103,Männer!$G$9:$J$102,4)+VLOOKUP($FM34-GE$103+1,Männer!$G$9:$J$102,4))*0.5*(VLOOKUP($FM34-GE$103,Männer!$AZ$9:$BD$102,5)+VLOOKUP($FM34-GE$103+1,Männer!$AZ$9:$BD$102,5)),RundDx)</f>
        <v>70836627</v>
      </c>
      <c r="GF34" s="25">
        <f>ROUND(v^($FM34+FaktorAlter)*VLOOKUP($FM34,$G$9:$J$102,4)*VLOOKUP($FM34,$A$9:$E$102,5)*0.5*(VLOOKUP($FM34-GF$103,Männer!$G$9:$J$102,4)+VLOOKUP($FM34-GF$103+1,Männer!$G$9:$J$102,4))*0.5*(VLOOKUP($FM34-GF$103,Männer!$AZ$9:$BD$102,5)+VLOOKUP($FM34-GF$103+1,Männer!$AZ$9:$BD$102,5)),RundDx)</f>
        <v>87178990</v>
      </c>
      <c r="GG34" s="25">
        <f>ROUND(v^($FM34+FaktorAlter)*VLOOKUP($FM34,$G$9:$J$102,4)*VLOOKUP($FM34,$A$9:$E$102,5)*0.5*(VLOOKUP($FM34-GG$103,Männer!$G$9:$J$102,4)+VLOOKUP($FM34-GG$103+1,Männer!$G$9:$J$102,4))*0.5*(VLOOKUP($FM34-GG$103,Männer!$AZ$9:$BD$102,5)+VLOOKUP($FM34-GG$103+1,Männer!$AZ$9:$BD$102,5)),RundDx)</f>
        <v>105277806</v>
      </c>
      <c r="GH34" s="25">
        <f>ROUND(v^($FM34+FaktorAlter)*VLOOKUP($FM34,$G$9:$J$102,4)*VLOOKUP($FM34,$A$9:$E$102,5)*0.5*(VLOOKUP($FM34-GH$103,Männer!$G$9:$J$102,4)+VLOOKUP($FM34-GH$103+1,Männer!$G$9:$J$102,4))*0.5*(VLOOKUP($FM34-GH$103,Männer!$AZ$9:$BD$102,5)+VLOOKUP($FM34-GH$103+1,Männer!$AZ$9:$BD$102,5)),RundDx)</f>
        <v>125071892</v>
      </c>
      <c r="GI34" s="25">
        <f>ROUND(v^($FM34+FaktorAlter)*VLOOKUP($FM34,$G$9:$J$102,4)*VLOOKUP($FM34,$A$9:$E$102,5)*0.5*(VLOOKUP($FM34-GI$103,Männer!$G$9:$J$102,4)+VLOOKUP($FM34-GI$103+1,Männer!$G$9:$J$102,4))*0.5*(VLOOKUP($FM34-GI$103,Männer!$AZ$9:$BD$102,5)+VLOOKUP($FM34-GI$103+1,Männer!$AZ$9:$BD$102,5)),RundDx)</f>
        <v>146459129</v>
      </c>
      <c r="GJ34" s="25">
        <f>ROUND(v^($FM34+FaktorAlter)*VLOOKUP($FM34,$G$9:$J$102,4)*VLOOKUP($FM34,$A$9:$E$102,5)*0.5*(VLOOKUP($FM34-GJ$103,Männer!$G$9:$J$102,4)+VLOOKUP($FM34-GJ$103+1,Männer!$G$9:$J$102,4))*0.5*(VLOOKUP($FM34-GJ$103,Männer!$AZ$9:$BD$102,5)+VLOOKUP($FM34-GJ$103+1,Männer!$AZ$9:$BD$102,5)),RundDx)</f>
        <v>169359230</v>
      </c>
      <c r="GK34" s="25">
        <f>ROUND(v^($FM34+FaktorAlter)*VLOOKUP($FM34,$G$9:$J$102,4)*VLOOKUP($FM34,$A$9:$E$102,5)*0.5*(VLOOKUP($FM34-GK$103,Männer!$G$9:$J$102,4)+VLOOKUP($FM34-GK$103+1,Männer!$G$9:$J$102,4))*0.5*(VLOOKUP($FM34-GK$103,Männer!$AZ$9:$BD$102,5)+VLOOKUP($FM34-GK$103+1,Männer!$AZ$9:$BD$102,5)),RundDx)</f>
        <v>193679512</v>
      </c>
      <c r="GL34" s="25">
        <f>ROUND(v^($FM34+FaktorAlter)*VLOOKUP($FM34,$G$9:$J$102,4)*VLOOKUP($FM34,$A$9:$E$102,5)*0.5*(VLOOKUP($FM34-GL$103,Männer!$G$9:$J$102,4)+VLOOKUP($FM34-GL$103+1,Männer!$G$9:$J$102,4))*0.5*(VLOOKUP($FM34-GL$103,Männer!$AZ$9:$BD$102,5)+VLOOKUP($FM34-GL$103+1,Männer!$AZ$9:$BD$102,5)),RundDx)</f>
        <v>219291601</v>
      </c>
      <c r="GM34" s="25">
        <f>ROUND(v^($FM34+FaktorAlter)*VLOOKUP($FM34,$G$9:$J$102,4)*VLOOKUP($FM34,$A$9:$E$102,5)*0.5*(VLOOKUP($FM34-GM$103,Männer!$G$9:$J$102,4)+VLOOKUP($FM34-GM$103+1,Männer!$G$9:$J$102,4))*0.5*(VLOOKUP($FM34-GM$103,Männer!$AZ$9:$BD$102,5)+VLOOKUP($FM34-GM$103+1,Männer!$AZ$9:$BD$102,5)),RundDx)</f>
        <v>246072483</v>
      </c>
      <c r="GN34" s="25">
        <f>ROUND(v^($FM34+FaktorAlter)*VLOOKUP($FM34,$G$9:$J$102,4)*VLOOKUP($FM34,$A$9:$E$102,5)*0.5*(VLOOKUP($FM34-GN$103,Männer!$G$9:$J$102,4)+VLOOKUP($FM34-GN$103+1,Männer!$G$9:$J$102,4))*0.5*(VLOOKUP($FM34-GN$103,Männer!$AZ$9:$BD$102,5)+VLOOKUP($FM34-GN$103+1,Männer!$AZ$9:$BD$102,5)),RundDx)</f>
        <v>273893007</v>
      </c>
      <c r="GO34" s="25">
        <f>ROUND(v^($FM34+FaktorAlter)*VLOOKUP($FM34,$G$9:$J$102,4)*VLOOKUP($FM34,$A$9:$E$102,5)*0.5*(VLOOKUP($FM34-GO$103,Männer!$G$9:$J$102,4)+VLOOKUP($FM34-GO$103+1,Männer!$G$9:$J$102,4))*0.5*(VLOOKUP($FM34-GO$103,Männer!$AZ$9:$BD$102,5)+VLOOKUP($FM34-GO$103+1,Männer!$AZ$9:$BD$102,5)),RundDx)</f>
        <v>302614233</v>
      </c>
      <c r="GP34" s="25">
        <f>ROUND(v^($FM34+FaktorAlter)*VLOOKUP($FM34,$G$9:$J$102,4)*VLOOKUP($FM34,$A$9:$E$102,5)*0.5*(VLOOKUP($FM34-GP$103,Männer!$G$9:$J$102,4)+VLOOKUP($FM34-GP$103+1,Männer!$G$9:$J$102,4))*0.5*(VLOOKUP($FM34-GP$103,Männer!$AZ$9:$BD$102,5)+VLOOKUP($FM34-GP$103+1,Männer!$AZ$9:$BD$102,5)),RundDx)</f>
        <v>332081718</v>
      </c>
      <c r="GQ34" s="25">
        <f>ROUND(v^($FM34+FaktorAlter)*VLOOKUP($FM34,$G$9:$J$102,4)*VLOOKUP($FM34,$A$9:$E$102,5)*0.5*(VLOOKUP($FM34-GQ$103,Männer!$G$9:$J$102,4)+VLOOKUP($FM34-GQ$103+1,Männer!$G$9:$J$102,4))*0.5*(VLOOKUP($FM34-GQ$103,Männer!$AZ$9:$BD$102,5)+VLOOKUP($FM34-GQ$103+1,Männer!$AZ$9:$BD$102,5)),RundDx)</f>
        <v>362107288</v>
      </c>
      <c r="GR34" s="25">
        <f>ROUND(v^($FM34+FaktorAlter)*VLOOKUP($FM34,$G$9:$J$102,4)*VLOOKUP($FM34,$A$9:$E$102,5)*0.5*(VLOOKUP($FM34-GR$103,Männer!$G$9:$J$102,4)+VLOOKUP($FM34-GR$103+1,Männer!$G$9:$J$102,4))*0.5*(VLOOKUP($FM34-GR$103,Männer!$AZ$9:$BD$102,5)+VLOOKUP($FM34-GR$103+1,Männer!$AZ$9:$BD$102,5)),RundDx)</f>
        <v>392550846</v>
      </c>
      <c r="GS34" s="24"/>
      <c r="GT34" s="24"/>
      <c r="GU34" s="24"/>
      <c r="GV34" s="24">
        <f>ROUND(SUM(FQ34:FQ$56)/VLOOKUP($FM34,$AQ$9:$AR$102,2)/VLOOKUP($FM34-GV$103,Männer!$G$9:$J$102,4),Rundäx)</f>
        <v>0</v>
      </c>
      <c r="GW34" s="24">
        <f>ROUND(SUM(FR34:FR$56)/VLOOKUP($FM34,$AQ$9:$AR$102,2)/VLOOKUP($FM34-GW$103,Männer!$G$9:$J$102,4),Rundäx)</f>
        <v>9.4E-2</v>
      </c>
      <c r="GX34" s="24">
        <f>ROUND(SUM(FS34:FS$56)/VLOOKUP($FM34,$AQ$9:$AR$102,2)/VLOOKUP($FM34-GX$103,Männer!$G$9:$J$102,4),Rundäx)</f>
        <v>0.157</v>
      </c>
      <c r="GY34" s="24">
        <f>ROUND(SUM(FT34:FT$56)/VLOOKUP($FM34,$AQ$9:$AR$102,2)/VLOOKUP($FM34-GY$103,Männer!$G$9:$J$102,4),Rundäx)</f>
        <v>0.214</v>
      </c>
      <c r="GZ34" s="24">
        <f>ROUND(SUM(FU34:FU$56)/VLOOKUP($FM34,$AQ$9:$AR$102,2)/VLOOKUP($FM34-GZ$103,Männer!$G$9:$J$102,4),Rundäx)</f>
        <v>0.27500000000000002</v>
      </c>
      <c r="HA34" s="89"/>
      <c r="HB34" s="35">
        <f t="shared" si="65"/>
        <v>89</v>
      </c>
      <c r="HC34" s="24">
        <f>ROUND(SUM(FV34:FV$56)/VLOOKUP($FM34,$AQ$9:$AR$102,2)/VLOOKUP($FM34-HC$103,Männer!$G$9:$J$102,4),Rundäx)</f>
        <v>0.34599999999999997</v>
      </c>
      <c r="HD34" s="24">
        <f>ROUND(SUM(FW34:FW$56)/VLOOKUP($FM34,$AQ$9:$AR$102,2)/VLOOKUP($FM34-HD$103,Männer!$G$9:$J$102,4),Rundäx)</f>
        <v>0.42799999999999999</v>
      </c>
      <c r="HE34" s="24">
        <f>ROUND(SUM(FX34:FX$56)/VLOOKUP($FM34,$AQ$9:$AR$102,2)/VLOOKUP($FM34-HE$103,Männer!$G$9:$J$102,4),Rundäx)</f>
        <v>0.52300000000000002</v>
      </c>
      <c r="HF34" s="24">
        <f>ROUND(SUM(FY34:FY$56)/VLOOKUP($FM34,$AQ$9:$AR$102,2)/VLOOKUP($FM34-HF$103,Männer!$G$9:$J$102,4),Rundäx)</f>
        <v>0.63200000000000001</v>
      </c>
      <c r="HG34" s="24">
        <f>ROUND(SUM(FZ34:FZ$56)/VLOOKUP($FM34,$AQ$9:$AR$102,2)/VLOOKUP($FM34-HG$103,Männer!$G$9:$J$102,4),Rundäx)</f>
        <v>0.75700000000000001</v>
      </c>
      <c r="HH34" s="24">
        <f>ROUND(SUM(GA34:GA$56)/VLOOKUP($FM34,$AQ$9:$AR$102,2)/VLOOKUP($FM34-HH$103,Männer!$G$9:$J$102,4),Rundäx)</f>
        <v>0.9</v>
      </c>
      <c r="HI34" s="24">
        <f>ROUND(SUM(GB34:GB$56)/VLOOKUP($FM34,$AQ$9:$AR$102,2)/VLOOKUP($FM34-HI$103,Männer!$G$9:$J$102,4),Rundäx)</f>
        <v>1.0620000000000001</v>
      </c>
      <c r="HJ34" s="24">
        <f>ROUND(SUM(GC34:GC$56)/VLOOKUP($FM34,$AQ$9:$AR$102,2)/VLOOKUP($FM34-HJ$103,Männer!$G$9:$J$102,4),Rundäx)</f>
        <v>1.2430000000000001</v>
      </c>
      <c r="HK34" s="89"/>
      <c r="HL34" s="35">
        <f t="shared" si="66"/>
        <v>89</v>
      </c>
      <c r="HM34" s="24">
        <f>ROUND(SUM(GD34:GD$56)/VLOOKUP($FM34,$AQ$9:$AR$102,2)/VLOOKUP($FM34-HM$103,Männer!$G$9:$J$102,4),Rundäx)</f>
        <v>1.444</v>
      </c>
      <c r="HN34" s="24">
        <f>ROUND(SUM(GE34:GE$56)/VLOOKUP($FM34,$AQ$9:$AR$102,2)/VLOOKUP($FM34-HN$103,Männer!$G$9:$J$102,4),Rundäx)</f>
        <v>1.663</v>
      </c>
      <c r="HO34" s="24">
        <f>ROUND(SUM(GF34:GF$56)/VLOOKUP($FM34,$AQ$9:$AR$102,2)/VLOOKUP($FM34-HO$103,Männer!$G$9:$J$102,4),Rundäx)</f>
        <v>1.901</v>
      </c>
      <c r="HP34" s="24">
        <f>ROUND(SUM(GG34:GG$56)/VLOOKUP($FM34,$AQ$9:$AR$102,2)/VLOOKUP($FM34-HP$103,Männer!$G$9:$J$102,4),Rundäx)</f>
        <v>2.157</v>
      </c>
      <c r="HQ34" s="24">
        <f>ROUND(SUM(GH34:GH$56)/VLOOKUP($FM34,$AQ$9:$AR$102,2)/VLOOKUP($FM34-HQ$103,Männer!$G$9:$J$102,4),Rundäx)</f>
        <v>2.4279999999999999</v>
      </c>
      <c r="HR34" s="24">
        <f>ROUND(SUM(GI34:GI$56)/VLOOKUP($FM34,$AQ$9:$AR$102,2)/VLOOKUP($FM34-HR$103,Männer!$G$9:$J$102,4),Rundäx)</f>
        <v>2.7149999999999999</v>
      </c>
      <c r="HS34" s="24">
        <f>ROUND(SUM(GJ34:GJ$56)/VLOOKUP($FM34,$AQ$9:$AR$102,2)/VLOOKUP($FM34-HS$103,Männer!$G$9:$J$102,4),Rundäx)</f>
        <v>3.0150000000000001</v>
      </c>
      <c r="HT34" s="24">
        <f>ROUND(SUM(GK34:GK$56)/VLOOKUP($FM34,$AQ$9:$AR$102,2)/VLOOKUP($FM34-HT$103,Männer!$G$9:$J$102,4),Rundäx)</f>
        <v>3.3290000000000002</v>
      </c>
      <c r="HU34" s="89"/>
      <c r="HV34" s="35">
        <f t="shared" si="67"/>
        <v>89</v>
      </c>
      <c r="HW34" s="24">
        <f>ROUND(SUM(GL34:GL$56)/VLOOKUP($FM34,$AQ$9:$AR$102,2)/VLOOKUP($FM34-HW$103,Männer!$G$9:$J$102,4),Rundäx)</f>
        <v>3.653</v>
      </c>
      <c r="HX34" s="24">
        <f>ROUND(SUM(GM34:GM$56)/VLOOKUP($FM34,$AQ$9:$AR$102,2)/VLOOKUP($FM34-HX$103,Männer!$G$9:$J$102,4),Rundäx)</f>
        <v>3.988</v>
      </c>
      <c r="HY34" s="24">
        <f>ROUND(SUM(GN34:GN$56)/VLOOKUP($FM34,$AQ$9:$AR$102,2)/VLOOKUP($FM34-HY$103,Männer!$G$9:$J$102,4),Rundäx)</f>
        <v>4.3310000000000004</v>
      </c>
      <c r="HZ34" s="24">
        <f>ROUND(SUM(GO34:GO$56)/VLOOKUP($FM34,$AQ$9:$AR$102,2)/VLOOKUP($FM34-HZ$103,Männer!$G$9:$J$102,4),Rundäx)</f>
        <v>4.6829999999999998</v>
      </c>
      <c r="IA34" s="24">
        <f>ROUND(SUM(GP34:GP$56)/VLOOKUP($FM34,$AQ$9:$AR$102,2)/VLOOKUP($FM34-IA$103,Männer!$G$9:$J$102,4),Rundäx)</f>
        <v>5.0410000000000004</v>
      </c>
      <c r="IB34" s="24">
        <f>ROUND(SUM(GQ34:GQ$56)/VLOOKUP($FM34,$AQ$9:$AR$102,2)/VLOOKUP($FM34-IB$103,Männer!$G$9:$J$102,4),Rundäx)</f>
        <v>5.4050000000000002</v>
      </c>
      <c r="IC34" s="24">
        <f>ROUND(SUM(GR34:GR$56)/VLOOKUP($FM34,$AQ$9:$AR$102,2)/VLOOKUP($FM34-IC$103,Männer!$G$9:$J$102,4),Rundäx)</f>
        <v>5.7750000000000004</v>
      </c>
      <c r="ID34" s="89"/>
      <c r="IE34" s="9">
        <f t="shared" si="68"/>
        <v>42</v>
      </c>
      <c r="IF34" s="11">
        <f t="shared" si="25"/>
        <v>280</v>
      </c>
      <c r="IG34" s="11">
        <f>IF($IE34&lt;RAF,IF(S35&lt;=RAK,ROUND(SUM(IF34:INDEX(Daky,RAF-BeginnAlter))+INDEX(Day,RAF-BeginnAlter+1)*INDEX(äky,1),RundDx),0),"")</f>
        <v>1701</v>
      </c>
      <c r="IH34" s="11">
        <f>IF($IE34&lt;RAF,IF(S35&lt;=RAK,ROUND(SUM(IG34:INDEX(Naky,RAF-BeginnAlter))+INDEX(Day,RAF-BeginnAlter+1)*INDEX(äky,1),RundDx),0),"")</f>
        <v>8067</v>
      </c>
      <c r="II34" s="10">
        <f t="shared" si="26"/>
        <v>4.4999999999999998E-2</v>
      </c>
      <c r="IJ34" s="11">
        <f t="shared" si="27"/>
        <v>9375</v>
      </c>
      <c r="IK34" s="11">
        <f>IF($IE34&lt;RAF,IF(S35&lt;=RAK,SUM(IJ34:INDEX(Diky,RAF-BeginnAlter))+INDEX(Diy,RAF-BeginnAlter+1)*INDEX(äky,1),0),"")</f>
        <v>40307</v>
      </c>
      <c r="IL34" s="10">
        <f t="shared" si="28"/>
        <v>0.72099999999999997</v>
      </c>
      <c r="IM34" s="89"/>
      <c r="IN34" s="9">
        <f t="shared" si="29"/>
        <v>89</v>
      </c>
      <c r="IO34" s="11"/>
      <c r="IP34" s="11"/>
      <c r="IQ34" s="10"/>
      <c r="IR34" s="86"/>
    </row>
    <row r="35" spans="1:252" ht="15.75" customHeight="1" x14ac:dyDescent="0.25">
      <c r="A35" s="9">
        <f t="shared" si="4"/>
        <v>43</v>
      </c>
      <c r="B35" s="93">
        <v>6.823333285995031E-4</v>
      </c>
      <c r="C35" s="93">
        <v>4.2580065804103291E-3</v>
      </c>
      <c r="D35" s="93">
        <v>2.0356995521467358E-2</v>
      </c>
      <c r="E35" s="93">
        <v>1.3898611153382312E-3</v>
      </c>
      <c r="F35" s="89"/>
      <c r="G35" s="9">
        <f t="shared" si="5"/>
        <v>43</v>
      </c>
      <c r="H35" s="11">
        <f t="shared" si="30"/>
        <v>95204</v>
      </c>
      <c r="I35" s="25">
        <f t="shared" si="31"/>
        <v>3367</v>
      </c>
      <c r="J35" s="25">
        <f t="shared" si="32"/>
        <v>98571</v>
      </c>
      <c r="K35" s="30">
        <f>IF(J35&gt;0,ROUND(SUM(J35:J$102)/J35-0.5,Rundex),"")</f>
        <v>39.770000000000003</v>
      </c>
      <c r="L35" s="25">
        <f t="shared" si="6"/>
        <v>139313</v>
      </c>
      <c r="M35" s="30">
        <f>IF(L35&gt;0,ROUND(SUM(L35:L$102)/L35-0.5,Rundex),"")</f>
        <v>30.9</v>
      </c>
      <c r="N35" s="89"/>
      <c r="O35" s="9">
        <f t="shared" si="49"/>
        <v>43</v>
      </c>
      <c r="P35" s="94">
        <v>0.30643299138119073</v>
      </c>
      <c r="Q35" s="95">
        <v>46.01743344467085</v>
      </c>
      <c r="R35" s="94">
        <v>0.52100874696841171</v>
      </c>
      <c r="S35" s="95">
        <v>7.0569658275222391</v>
      </c>
      <c r="T35" s="28">
        <v>1.1999999999999999E-3</v>
      </c>
      <c r="U35" s="11">
        <f t="shared" si="33"/>
        <v>98611</v>
      </c>
      <c r="V35" s="30">
        <f>IF(U35&gt;0,ROUND(SUM(U35:U$102)/U35-0.5,Rundex),"")</f>
        <v>41.06</v>
      </c>
      <c r="W35" s="89"/>
      <c r="X35" s="9">
        <f t="shared" si="50"/>
        <v>43</v>
      </c>
      <c r="Y35" s="11">
        <f t="shared" si="34"/>
        <v>36571</v>
      </c>
      <c r="Z35" s="11">
        <f>IF($X35&lt;RAF,SUM(Y35:INDEX(Day,RAF-BeginnAlter))," ")</f>
        <v>568372</v>
      </c>
      <c r="AA35" s="11">
        <f t="shared" si="0"/>
        <v>25</v>
      </c>
      <c r="AB35" s="11">
        <f>IF($X35&lt;RAF,SUM(AA35:INDEX(Cay,RAF-BeginnAlter))," ")</f>
        <v>1062</v>
      </c>
      <c r="AC35" s="11">
        <f t="shared" si="1"/>
        <v>154</v>
      </c>
      <c r="AD35" s="11">
        <f>IF($X35&lt;RAF,SUM(AC35:INDEX(Caiy,RAF-BeginnAlter))," ")</f>
        <v>6714</v>
      </c>
      <c r="AE35" s="10">
        <f t="shared" si="35"/>
        <v>15.542</v>
      </c>
      <c r="AF35" s="10">
        <f t="shared" si="36"/>
        <v>15.289</v>
      </c>
      <c r="AG35" s="89"/>
      <c r="AH35" s="9">
        <f t="shared" si="51"/>
        <v>43</v>
      </c>
      <c r="AI35" s="11">
        <f t="shared" si="37"/>
        <v>53514</v>
      </c>
      <c r="AJ35" s="11">
        <f>IF($AH35&gt;RAF," ",IF($AH35&lt;RAF,SUM(AI35:INDEX(Diy,RAF-BeginnAlter))+INDEX(Ny,RAF-BeginnAlter+1),INDEX(Ny,RAF-BeginnAlter+1)))</f>
        <v>1128828</v>
      </c>
      <c r="AK35" s="11">
        <f>IF($AH35&lt;RAF,SUM(AI35:INDEX(Diy,RAF-BeginnAlter))," ")</f>
        <v>762734</v>
      </c>
      <c r="AL35" s="10">
        <f t="shared" si="38"/>
        <v>21.094000000000001</v>
      </c>
      <c r="AM35" s="10">
        <f t="shared" si="39"/>
        <v>20.635999999999999</v>
      </c>
      <c r="AN35" s="10">
        <f t="shared" si="40"/>
        <v>14.253</v>
      </c>
      <c r="AO35" s="10">
        <f t="shared" si="41"/>
        <v>13.981</v>
      </c>
      <c r="AP35" s="89"/>
      <c r="AQ35" s="9">
        <f t="shared" si="52"/>
        <v>43</v>
      </c>
      <c r="AR35" s="11">
        <f t="shared" si="42"/>
        <v>37864</v>
      </c>
      <c r="AS35" s="11">
        <f>SUM(AR35:AR$96)</f>
        <v>992906</v>
      </c>
      <c r="AT35" s="25">
        <f>IF($AQ35&lt;RAF,SUM(AR35:INDEX(Dy,RAF-BeginnAlter))," ")</f>
        <v>626812</v>
      </c>
      <c r="AU35" s="24">
        <f t="shared" si="43"/>
        <v>26.222999999999999</v>
      </c>
      <c r="AV35" s="24">
        <f t="shared" si="44"/>
        <v>25.765000000000001</v>
      </c>
      <c r="AW35" s="24">
        <f t="shared" si="45"/>
        <v>16.553999999999998</v>
      </c>
      <c r="AX35" s="24">
        <f t="shared" si="46"/>
        <v>16.359000000000002</v>
      </c>
      <c r="AY35" s="89"/>
      <c r="AZ35" s="9">
        <f t="shared" si="53"/>
        <v>43</v>
      </c>
      <c r="BA35" s="11">
        <f t="shared" si="47"/>
        <v>37879</v>
      </c>
      <c r="BB35" s="11">
        <f>SUM(BA35:BA$96)</f>
        <v>1015676</v>
      </c>
      <c r="BC35" s="10">
        <f t="shared" si="48"/>
        <v>26.814</v>
      </c>
      <c r="BD35" s="10">
        <f t="shared" si="7"/>
        <v>26.355</v>
      </c>
      <c r="BE35" s="89"/>
      <c r="BF35" s="9">
        <f t="shared" si="54"/>
        <v>26</v>
      </c>
      <c r="BG35" s="10" t="str">
        <f t="shared" si="8"/>
        <v/>
      </c>
      <c r="BH35" s="10" t="str">
        <f t="shared" si="9"/>
        <v/>
      </c>
      <c r="BI35" s="89"/>
      <c r="BJ35" s="9">
        <f t="shared" si="55"/>
        <v>43</v>
      </c>
      <c r="BK35" s="11">
        <f t="shared" si="10"/>
        <v>3169</v>
      </c>
      <c r="BL35" s="11">
        <f>IF(BJ35&lt;RAF,SUM(BK35:INDEX(Daiy,RAF-BeginnAlter))," ")</f>
        <v>121874</v>
      </c>
      <c r="BM35" s="11">
        <f>IF(BJ35&lt;RAF,SUM(BL35:INDEX(Naiy,RAF-BeginnAlter))," ")</f>
        <v>1592605</v>
      </c>
      <c r="BN35" s="10">
        <f t="shared" si="11"/>
        <v>7.3330000000000002</v>
      </c>
      <c r="BO35" s="10">
        <f t="shared" si="12"/>
        <v>3.3330000000000002</v>
      </c>
      <c r="BP35" s="89"/>
      <c r="BQ35" s="9">
        <f t="shared" si="56"/>
        <v>43</v>
      </c>
      <c r="BR35" s="11">
        <f t="shared" si="13"/>
        <v>2122</v>
      </c>
      <c r="BS35" s="11">
        <f>IF(BQ35&lt;RAF,SUM(BR35:INDEX(Daiys,RAF-BeginnAlter))," ")</f>
        <v>42539</v>
      </c>
      <c r="BT35" s="11">
        <f>IF(BQ35&lt;RAF,SUM(BS35:INDEX(Naiys,RAF-BeginnAlter))," ")</f>
        <v>420367</v>
      </c>
      <c r="BU35" s="10">
        <f t="shared" si="14"/>
        <v>9.5030000000000001</v>
      </c>
      <c r="BV35" s="10">
        <f t="shared" si="15"/>
        <v>1.163</v>
      </c>
      <c r="BW35" s="89"/>
      <c r="BX35" s="9">
        <f t="shared" si="57"/>
        <v>43</v>
      </c>
      <c r="BY35" s="10">
        <f t="shared" si="16"/>
        <v>12.435835701305995</v>
      </c>
      <c r="BZ35" s="11">
        <f t="shared" si="17"/>
        <v>960</v>
      </c>
      <c r="CA35" s="11">
        <f>IF(S36&lt;=RAK,IF($BX35&lt;RAF,SUM(BZ35:INDEX(Dazy,RAF-BeginnAlter)),""),"")</f>
        <v>5614</v>
      </c>
      <c r="CB35" s="10">
        <f t="shared" si="18"/>
        <v>0.154</v>
      </c>
      <c r="CC35" s="11">
        <f t="shared" si="19"/>
        <v>23902</v>
      </c>
      <c r="CD35" s="10">
        <f t="shared" si="20"/>
        <v>17.821999999999999</v>
      </c>
      <c r="CE35" s="10">
        <f t="shared" si="21"/>
        <v>3.0000000000000001E-3</v>
      </c>
      <c r="CF35" s="89"/>
      <c r="CG35" s="9">
        <f t="shared" si="58"/>
        <v>43</v>
      </c>
      <c r="CH35" s="11">
        <f>IF(CG35&lt;RAF,ROUND(v^($CG35+FaktorAlter)*$H35*($B35*0.5*($P35+$P36)*(VLOOKUP(TRUNC(0.5*($Q35+$Q36),0),Männer!$AZ$9:$BD$95,5)+(0.5*($Q35+$Q36)-TRUNC(0.5*($Q35+$Q36),0))*(VLOOKUP(TRUNC(0.5*($Q35+$Q36)+1,0),Männer!$AZ$9:$BD$95,5)-VLOOKUP(TRUNC(0.5*($Q35+$Q36),0),Männer!$AZ$9:$BD$95,5)))+$C35*0.5*($CN35+$CN36)),RundDx),"")</f>
        <v>372</v>
      </c>
      <c r="CI35" s="11">
        <f>IF(CG35&lt;RAF,ROUND(SUM(CH35:INDEX(Dawy,RAF-BeginnAlter))+INDEX(Day,RAF-BeginnAlter+1)*INDEX(äwy,1),RundDx),"")</f>
        <v>9452</v>
      </c>
      <c r="CJ35" s="11">
        <f>IF(CG35&lt;RAF,ROUND(SUM(CI35:INDEX(Nawy,RAF-BeginnAlter))+INDEX(Day,RAF-BeginnAlter+1)*INDEX(äwy,1),RundDx),"")</f>
        <v>118953</v>
      </c>
      <c r="CK35" s="10">
        <f t="shared" si="22"/>
        <v>0.25800000000000001</v>
      </c>
      <c r="CL35" s="11">
        <f>IF(CG35&lt;RAF,ROUND(v^($CG35+FaktorAlter)*$L35*$D35*0.5*($P35+$P36)*(VLOOKUP(TRUNC(0.5*($Q35+$Q36),0),Männer!$AZ$9:$BD$95,5)+(0.5*($Q35+$Q36)-TRUNC(0.5*($Q35+$Q36),0))*(VLOOKUP(TRUNC(0.5*($Q35+$Q36)+1,0),Männer!$AZ$9:$BD$95,5)-VLOOKUP(TRUNC(0.5*($Q35+$Q36),0),Männer!$AZ$9:$BD$95,5))),RundDx),"")</f>
        <v>7235</v>
      </c>
      <c r="CM35" s="11">
        <f>IF(CG35&lt;RAF,SUM(CL35:INDEX(Diwy,RAF-BeginnAlter))+INDEX(Diy,RAF-BeginnAlter+1)*INDEX(äwy,1),"")</f>
        <v>73822.304000000004</v>
      </c>
      <c r="CN35" s="10">
        <f t="shared" si="23"/>
        <v>1.379</v>
      </c>
      <c r="CO35" s="89"/>
      <c r="CP35" s="9">
        <f t="shared" si="59"/>
        <v>90</v>
      </c>
      <c r="CQ35" s="11">
        <f>ROUND(v^($CP35+FaktorAlter)*VLOOKUP(CP35,G$9:J$102,4)*VLOOKUP(CP35,A$9:E$102,5)*0.5*(VLOOKUP(CP35,O$9:P$102,2)+VLOOKUP(CP35+1,O$9:P$102,2))*(VLOOKUP(TRUNC(0.5*(VLOOKUP(CP35,O$9:Q$102,3)+VLOOKUP(CP35+1,O$9:Q$102,3)),0),Männer!$AZ$9:$BD$95,5)+(0.5*(VLOOKUP(CP35,O$9:Q$102,3)+VLOOKUP(CP35+1,O$9:Q$102,3))-TRUNC(0.5*(VLOOKUP(CP35,O$9:Q$102,3)+VLOOKUP(CP35+1,O$9:Q$102,3)),0))*(VLOOKUP(TRUNC(0.5*(VLOOKUP(CP35,O$9:Q$102,3)+VLOOKUP(CP35+1,O$9:Q$102,3))+1,0),Männer!$AZ$9:$BD$95,5)-VLOOKUP(TRUNC(0.5*(VLOOKUP(CP35,O$9:Q$102,3)+VLOOKUP(CP35+1,O$9:Q$102,3)),0),Männer!$AZ$9:$BD$95,5))),RundDx)</f>
        <v>9</v>
      </c>
      <c r="CR35" s="11">
        <f>SUM(CQ35:CQ$56)</f>
        <v>33</v>
      </c>
      <c r="CS35" s="24">
        <f t="shared" si="24"/>
        <v>8.0000000000000002E-3</v>
      </c>
      <c r="CT35" s="89"/>
      <c r="CU35" s="35">
        <f t="shared" si="60"/>
        <v>43</v>
      </c>
      <c r="CV35" s="25">
        <f>IF($CU35&gt;=RAF,"",IF($CU35-CV$103&lt;BeginnAlter,"",ROUND(v^($CU35+FaktorAlter)*$L35*$D35*0.5*(VLOOKUP($CU35-CV$103,Männer!$G$9:$J$102,4)+VLOOKUP($CU35-CV$103+1,Männer!$G$9:$J$102,4))*0.5*(VLOOKUP($CU35-CV$103,Männer!$AZ$9:$BD$102,5)+VLOOKUP($CU35-CV$103+1,Männer!$AZ$9:$BD$102,5)),RundDx)))</f>
        <v>1567034674</v>
      </c>
      <c r="CW35" s="25">
        <f>IF($CU35&gt;=RAF,"",IF($CU35-CW$103&lt;BeginnAlter,"",ROUND(v^($CU35+FaktorAlter)*$L35*$D35*0.5*(VLOOKUP($CU35-CW$103,Männer!$G$9:$J$102,4)+VLOOKUP($CU35-CW$103+1,Männer!$G$9:$J$102,4))*0.5*(VLOOKUP($CU35-CW$103,Männer!$AZ$9:$BD$102,5)+VLOOKUP($CU35-CW$103+1,Männer!$AZ$9:$BD$102,5)),RundDx)))</f>
        <v>1629472550</v>
      </c>
      <c r="CX35" s="25">
        <f>IF($CU35&gt;=RAF,"",IF($CU35-CX$103&lt;BeginnAlter,"",ROUND(v^($CU35+FaktorAlter)*$L35*$D35*0.5*(VLOOKUP($CU35-CX$103,Männer!$G$9:$J$102,4)+VLOOKUP($CU35-CX$103+1,Männer!$G$9:$J$102,4))*0.5*(VLOOKUP($CU35-CX$103,Männer!$AZ$9:$BD$102,5)+VLOOKUP($CU35-CX$103+1,Männer!$AZ$9:$BD$102,5)),RundDx)))</f>
        <v>1692877001</v>
      </c>
      <c r="CY35" s="25">
        <f>IF($CU35&gt;=RAF,"",IF($CU35-CY$103&lt;BeginnAlter,"",ROUND(v^($CU35+FaktorAlter)*$L35*$D35*0.5*(VLOOKUP($CU35-CY$103,Männer!$G$9:$J$102,4)+VLOOKUP($CU35-CY$103+1,Männer!$G$9:$J$102,4))*0.5*(VLOOKUP($CU35-CY$103,Männer!$AZ$9:$BD$102,5)+VLOOKUP($CU35-CY$103+1,Männer!$AZ$9:$BD$102,5)),RundDx)))</f>
        <v>1756318219</v>
      </c>
      <c r="CZ35" s="25">
        <f>IF($CU35&gt;=RAF,"",IF($CU35-CZ$103&lt;BeginnAlter,"",ROUND(v^($CU35+FaktorAlter)*$L35*$D35*0.5*(VLOOKUP($CU35-CZ$103,Männer!$G$9:$J$102,4)+VLOOKUP($CU35-CZ$103+1,Männer!$G$9:$J$102,4))*0.5*(VLOOKUP($CU35-CZ$103,Männer!$AZ$9:$BD$102,5)+VLOOKUP($CU35-CZ$103+1,Männer!$AZ$9:$BD$102,5)),RundDx)))</f>
        <v>1818804966</v>
      </c>
      <c r="DA35" s="25">
        <f>IF($CU35&gt;=RAF,"",IF($CU35-DA$103&lt;BeginnAlter,"",ROUND(v^($CU35+FaktorAlter)*$L35*$D35*0.5*(VLOOKUP($CU35-DA$103,Männer!$G$9:$J$102,4)+VLOOKUP($CU35-DA$103+1,Männer!$G$9:$J$102,4))*0.5*(VLOOKUP($CU35-DA$103,Männer!$AZ$9:$BD$102,5)+VLOOKUP($CU35-DA$103+1,Männer!$AZ$9:$BD$102,5)),RundDx)))</f>
        <v>1880347765</v>
      </c>
      <c r="DB35" s="25">
        <f>IF($CU35&gt;=RAF,"",IF($CU35-DB$103&lt;BeginnAlter,"",ROUND(v^($CU35+FaktorAlter)*$L35*$D35*0.5*(VLOOKUP($CU35-DB$103,Männer!$G$9:$J$102,4)+VLOOKUP($CU35-DB$103+1,Männer!$G$9:$J$102,4))*0.5*(VLOOKUP($CU35-DB$103,Männer!$AZ$9:$BD$102,5)+VLOOKUP($CU35-DB$103+1,Männer!$AZ$9:$BD$102,5)),RundDx)))</f>
        <v>1940955906</v>
      </c>
      <c r="DC35" s="25">
        <f>IF($CU35&gt;=RAF,"",IF($CU35-DC$103&lt;BeginnAlter,"",ROUND(v^($CU35+FaktorAlter)*$L35*$D35*0.5*(VLOOKUP($CU35-DC$103,Männer!$G$9:$J$102,4)+VLOOKUP($CU35-DC$103+1,Männer!$G$9:$J$102,4))*0.5*(VLOOKUP($CU35-DC$103,Männer!$AZ$9:$BD$102,5)+VLOOKUP($CU35-DC$103+1,Männer!$AZ$9:$BD$102,5)),RundDx)))</f>
        <v>2000520488</v>
      </c>
      <c r="DD35" s="25">
        <f>IF($CU35&gt;=RAF,"",IF($CU35-DD$103&lt;BeginnAlter,"",ROUND(v^($CU35+FaktorAlter)*$L35*$D35*0.5*(VLOOKUP($CU35-DD$103,Männer!$G$9:$J$102,4)+VLOOKUP($CU35-DD$103+1,Männer!$G$9:$J$102,4))*0.5*(VLOOKUP($CU35-DD$103,Männer!$AZ$9:$BD$102,5)+VLOOKUP($CU35-DD$103+1,Männer!$AZ$9:$BD$102,5)),RundDx)))</f>
        <v>2059048118</v>
      </c>
      <c r="DE35" s="25">
        <f>IF($CU35&gt;=RAF,"",IF($CU35-DE$103&lt;BeginnAlter,"",ROUND(v^($CU35+FaktorAlter)*$L35*$D35*0.5*(VLOOKUP($CU35-DE$103,Männer!$G$9:$J$102,4)+VLOOKUP($CU35-DE$103+1,Männer!$G$9:$J$102,4))*0.5*(VLOOKUP($CU35-DE$103,Männer!$AZ$9:$BD$102,5)+VLOOKUP($CU35-DE$103+1,Männer!$AZ$9:$BD$102,5)),RundDx)))</f>
        <v>2116629400</v>
      </c>
      <c r="DF35" s="25">
        <f>IF($CU35&gt;=RAF,"",IF($CU35-DF$103&lt;BeginnAlter,"",ROUND(v^($CU35+FaktorAlter)*$L35*$D35*0.5*(VLOOKUP($CU35-DF$103,Männer!$G$9:$J$102,4)+VLOOKUP($CU35-DF$103+1,Männer!$G$9:$J$102,4))*0.5*(VLOOKUP($CU35-DF$103,Männer!$AZ$9:$BD$102,5)+VLOOKUP($CU35-DF$103+1,Männer!$AZ$9:$BD$102,5)),RundDx)))</f>
        <v>2173227278</v>
      </c>
      <c r="DG35" s="25">
        <f>IF($CU35&gt;=RAF,"",IF($CU35-DG$103&lt;BeginnAlter,"",ROUND(v^($CU35+FaktorAlter)*$L35*$D35*0.5*(VLOOKUP($CU35-DG$103,Männer!$G$9:$J$102,4)+VLOOKUP($CU35-DG$103+1,Männer!$G$9:$J$102,4))*0.5*(VLOOKUP($CU35-DG$103,Männer!$AZ$9:$BD$102,5)+VLOOKUP($CU35-DG$103+1,Männer!$AZ$9:$BD$102,5)),RundDx)))</f>
        <v>2228781183</v>
      </c>
      <c r="DH35" s="25">
        <f>IF($CU35&gt;=RAF,"",IF($CU35-DH$103&lt;BeginnAlter,"",ROUND(v^($CU35+FaktorAlter)*$L35*$D35*0.5*(VLOOKUP($CU35-DH$103,Männer!$G$9:$J$102,4)+VLOOKUP($CU35-DH$103+1,Männer!$G$9:$J$102,4))*0.5*(VLOOKUP($CU35-DH$103,Männer!$AZ$9:$BD$102,5)+VLOOKUP($CU35-DH$103+1,Männer!$AZ$9:$BD$102,5)),RundDx)))</f>
        <v>2283359751</v>
      </c>
      <c r="DI35" s="25">
        <f>IF($CU35&gt;=RAF,"",IF($CU35-DI$103&lt;BeginnAlter,"",ROUND(v^($CU35+FaktorAlter)*$L35*$D35*0.5*(VLOOKUP($CU35-DI$103,Männer!$G$9:$J$102,4)+VLOOKUP($CU35-DI$103+1,Männer!$G$9:$J$102,4))*0.5*(VLOOKUP($CU35-DI$103,Männer!$AZ$9:$BD$102,5)+VLOOKUP($CU35-DI$103+1,Männer!$AZ$9:$BD$102,5)),RundDx)))</f>
        <v>2336960482</v>
      </c>
      <c r="DJ35" s="25">
        <f>IF($CU35&gt;=RAF,"",IF($CU35-DJ$103&lt;BeginnAlter,"",ROUND(v^($CU35+FaktorAlter)*$L35*$D35*0.5*(VLOOKUP($CU35-DJ$103,Männer!$G$9:$J$102,4)+VLOOKUP($CU35-DJ$103+1,Männer!$G$9:$J$102,4))*0.5*(VLOOKUP($CU35-DJ$103,Männer!$AZ$9:$BD$102,5)+VLOOKUP($CU35-DJ$103+1,Männer!$AZ$9:$BD$102,5)),RundDx)))</f>
        <v>2389583593</v>
      </c>
      <c r="DK35" s="25">
        <f>IF($CU35&gt;=RAF,"",IF($CU35-DK$103&lt;BeginnAlter,"",ROUND(v^($CU35+FaktorAlter)*$L35*$D35*0.5*(VLOOKUP($CU35-DK$103,Männer!$G$9:$J$102,4)+VLOOKUP($CU35-DK$103+1,Männer!$G$9:$J$102,4))*0.5*(VLOOKUP($CU35-DK$103,Männer!$AZ$9:$BD$102,5)+VLOOKUP($CU35-DK$103+1,Männer!$AZ$9:$BD$102,5)),RundDx)))</f>
        <v>2441206964</v>
      </c>
      <c r="DL35" s="25">
        <f>IF($CU35&gt;=RAF,"",IF($CU35-DL$103&lt;BeginnAlter,"",ROUND(v^($CU35+FaktorAlter)*$L35*$D35*0.5*(VLOOKUP($CU35-DL$103,Männer!$G$9:$J$102,4)+VLOOKUP($CU35-DL$103+1,Männer!$G$9:$J$102,4))*0.5*(VLOOKUP($CU35-DL$103,Männer!$AZ$9:$BD$102,5)+VLOOKUP($CU35-DL$103+1,Männer!$AZ$9:$BD$102,5)),RundDx)))</f>
        <v>2491887317</v>
      </c>
      <c r="DM35" s="25">
        <f>IF($CU35&gt;=RAF,"",IF($CU35-DM$103&lt;BeginnAlter,"",ROUND(v^($CU35+FaktorAlter)*$L35*$D35*0.5*(VLOOKUP($CU35-DM$103,Männer!$G$9:$J$102,4)+VLOOKUP($CU35-DM$103+1,Männer!$G$9:$J$102,4))*0.5*(VLOOKUP($CU35-DM$103,Männer!$AZ$9:$BD$102,5)+VLOOKUP($CU35-DM$103+1,Männer!$AZ$9:$BD$102,5)),RundDx)))</f>
        <v>2541671249</v>
      </c>
      <c r="DN35" s="25">
        <f>IF($CU35&gt;=RAF,"",IF($CU35-DN$103&lt;BeginnAlter,"",ROUND(v^($CU35+FaktorAlter)*$L35*$D35*0.5*(VLOOKUP($CU35-DN$103,Männer!$G$9:$J$102,4)+VLOOKUP($CU35-DN$103+1,Männer!$G$9:$J$102,4))*0.5*(VLOOKUP($CU35-DN$103,Männer!$AZ$9:$BD$102,5)+VLOOKUP($CU35-DN$103+1,Männer!$AZ$9:$BD$102,5)),RundDx)))</f>
        <v>2590474897</v>
      </c>
      <c r="DO35" s="25">
        <f>IF($CU35&gt;=RAF,"",IF($CU35-DO$103&lt;BeginnAlter,"",ROUND(v^($CU35+FaktorAlter)*$L35*$D35*0.5*(VLOOKUP($CU35-DO$103,Männer!$G$9:$J$102,4)+VLOOKUP($CU35-DO$103+1,Männer!$G$9:$J$102,4))*0.5*(VLOOKUP($CU35-DO$103,Männer!$AZ$9:$BD$102,5)+VLOOKUP($CU35-DO$103+1,Männer!$AZ$9:$BD$102,5)),RundDx)))</f>
        <v>2638293514</v>
      </c>
      <c r="DP35" s="25">
        <f>IF($CU35&gt;=RAF,"",IF($CU35-DP$103&lt;BeginnAlter,"",ROUND(v^($CU35+FaktorAlter)*$L35*$D35*0.5*(VLOOKUP($CU35-DP$103,Männer!$G$9:$J$102,4)+VLOOKUP($CU35-DP$103+1,Männer!$G$9:$J$102,4))*0.5*(VLOOKUP($CU35-DP$103,Männer!$AZ$9:$BD$102,5)+VLOOKUP($CU35-DP$103+1,Männer!$AZ$9:$BD$102,5)),RundDx)))</f>
        <v>2685269366</v>
      </c>
      <c r="DQ35" s="25">
        <f>IF($CU35&gt;=RAF,"",IF($CU35-DQ$103&lt;BeginnAlter,"",ROUND(v^($CU35+FaktorAlter)*$L35*$D35*0.5*(VLOOKUP($CU35-DQ$103,Männer!$G$9:$J$102,4)+VLOOKUP($CU35-DQ$103+1,Männer!$G$9:$J$102,4))*0.5*(VLOOKUP($CU35-DQ$103,Männer!$AZ$9:$BD$102,5)+VLOOKUP($CU35-DQ$103+1,Männer!$AZ$9:$BD$102,5)),RundDx)))</f>
        <v>2731347281</v>
      </c>
      <c r="DR35" s="25">
        <f>IF($CU35&gt;=RAF,"",IF($CU35-DR$103&lt;BeginnAlter,"",ROUND(v^($CU35+FaktorAlter)*$L35*$D35*0.5*(VLOOKUP($CU35-DR$103,Männer!$G$9:$J$102,4)+VLOOKUP($CU35-DR$103+1,Männer!$G$9:$J$102,4))*0.5*(VLOOKUP($CU35-DR$103,Männer!$AZ$9:$BD$102,5)+VLOOKUP($CU35-DR$103+1,Männer!$AZ$9:$BD$102,5)),RundDx)))</f>
        <v>2776487203</v>
      </c>
      <c r="DS35" s="25">
        <f>IF($CU35&gt;=RAF,"",IF($CU35-DS$103&lt;BeginnAlter,"",ROUND(v^($CU35+FaktorAlter)*$L35*$D35*0.5*(VLOOKUP($CU35-DS$103,Männer!$G$9:$J$102,4)+VLOOKUP($CU35-DS$103+1,Männer!$G$9:$J$102,4))*0.5*(VLOOKUP($CU35-DS$103,Männer!$AZ$9:$BD$102,5)+VLOOKUP($CU35-DS$103+1,Männer!$AZ$9:$BD$102,5)),RundDx)))</f>
        <v>2820782161</v>
      </c>
      <c r="DT35" s="25">
        <f>IF($CU35&gt;=RAF,"",IF($CU35-DT$103&lt;BeginnAlter,"",ROUND(v^($CU35+FaktorAlter)*$L35*$D35*0.5*(VLOOKUP($CU35-DT$103,Männer!$G$9:$J$102,4)+VLOOKUP($CU35-DT$103+1,Männer!$G$9:$J$102,4))*0.5*(VLOOKUP($CU35-DT$103,Männer!$AZ$9:$BD$102,5)+VLOOKUP($CU35-DT$103+1,Männer!$AZ$9:$BD$102,5)),RundDx)))</f>
        <v>2864166112</v>
      </c>
      <c r="DU35" s="25">
        <f>IF($CU35&gt;=RAF,"",IF($CU35-DU$103&lt;BeginnAlter,"",ROUND(v^($CU35+FaktorAlter)*$L35*$D35*0.5*(VLOOKUP($CU35-DU$103,Männer!$G$9:$J$102,4)+VLOOKUP($CU35-DU$103+1,Männer!$G$9:$J$102,4))*0.5*(VLOOKUP($CU35-DU$103,Männer!$AZ$9:$BD$102,5)+VLOOKUP($CU35-DU$103+1,Männer!$AZ$9:$BD$102,5)),RundDx)))</f>
        <v>2906670567</v>
      </c>
      <c r="DV35" s="25">
        <f>IF($CU35&gt;=RAF,"",IF($CU35-DV$103&lt;BeginnAlter,"",ROUND(v^($CU35+FaktorAlter)*$L35*$D35*0.5*(VLOOKUP($CU35-DV$103,Männer!$G$9:$J$102,4)+VLOOKUP($CU35-DV$103+1,Männer!$G$9:$J$102,4))*0.5*(VLOOKUP($CU35-DV$103,Männer!$AZ$9:$BD$102,5)+VLOOKUP($CU35-DV$103+1,Männer!$AZ$9:$BD$102,5)),RundDx)))</f>
        <v>2948329809</v>
      </c>
      <c r="DW35" s="25">
        <f>IF($CU35&gt;=RAF,"",IF($CU35-DW$103&lt;BeginnAlter,"",ROUND(v^($CU35+FaktorAlter)*$L35*$D35*0.5*(VLOOKUP($CU35-DW$103,Männer!$G$9:$J$102,4)+VLOOKUP($CU35-DW$103+1,Männer!$G$9:$J$102,4))*0.5*(VLOOKUP($CU35-DW$103,Männer!$AZ$9:$BD$102,5)+VLOOKUP($CU35-DW$103+1,Männer!$AZ$9:$BD$102,5)),RundDx)))</f>
        <v>2989165708</v>
      </c>
      <c r="DX35" s="25">
        <f>IF($CU35&gt;=RAF,"",IF($CU35-DX$103&lt;BeginnAlter,"",ROUND(v^($CU35+FaktorAlter)*$L35*$D35*0.5*(VLOOKUP($CU35-DX$103,Männer!$G$9:$J$102,4)+VLOOKUP($CU35-DX$103+1,Männer!$G$9:$J$102,4))*0.5*(VLOOKUP($CU35-DX$103,Männer!$AZ$9:$BD$102,5)+VLOOKUP($CU35-DX$103+1,Männer!$AZ$9:$BD$102,5)),RundDx)))</f>
        <v>3029186651</v>
      </c>
      <c r="DY35" s="25">
        <f>IF($CU35&gt;=RAF,"",IF($CU35-DY$103&lt;BeginnAlter,"",ROUND(v^($CU35+FaktorAlter)*$L35*$D35*0.5*(VLOOKUP($CU35-DY$103,Männer!$G$9:$J$102,4)+VLOOKUP($CU35-DY$103+1,Männer!$G$9:$J$102,4))*0.5*(VLOOKUP($CU35-DY$103,Männer!$AZ$9:$BD$102,5)+VLOOKUP($CU35-DY$103+1,Männer!$AZ$9:$BD$102,5)),RundDx)))</f>
        <v>3068379401</v>
      </c>
      <c r="DZ35" s="25">
        <f>IF($CU35&gt;=RAF,"",IF($CU35-DZ$103&lt;BeginnAlter,"",ROUND(v^($CU35+FaktorAlter)*$L35*$D35*0.5*(VLOOKUP($CU35-DZ$103,Männer!$G$9:$J$102,4)+VLOOKUP($CU35-DZ$103+1,Männer!$G$9:$J$102,4))*0.5*(VLOOKUP($CU35-DZ$103,Männer!$AZ$9:$BD$102,5)+VLOOKUP($CU35-DZ$103+1,Männer!$AZ$9:$BD$102,5)),RundDx)))</f>
        <v>3106786489</v>
      </c>
      <c r="EA35" s="43">
        <f>IF($CU35&gt;=RAF,"",IF($CU35-EA$103&lt;BeginnAlter,"",ROUND((SUM(CV35:CV$56)+SUM(FN$9:FN$56))/VLOOKUP($CU35,$AH$9:$AI$102,2)/VLOOKUP($CU35-EA$103,Männer!$G$9:$J$102,4),Rundäx)))</f>
        <v>3.137</v>
      </c>
      <c r="EB35" s="43">
        <f>IF($CU35&gt;=RAF,"",IF($CU35-EB$103&lt;BeginnAlter,"",ROUND((SUM(CW35:CW$56)+SUM(FO$9:FO$56))/VLOOKUP($CU35,$AH$9:$AI$102,2)/VLOOKUP($CU35-EB$103,Männer!$G$9:$J$102,4),Rundäx)))</f>
        <v>3.298</v>
      </c>
      <c r="EC35" s="43">
        <f>IF($CU35&gt;=RAF,"",IF($CU35-EC$103&lt;BeginnAlter,"",ROUND((SUM(CX35:CX$56)+SUM(FP$9:FP$56))/VLOOKUP($CU35,$AH$9:$AI$102,2)/VLOOKUP($CU35-EC$103,Männer!$G$9:$J$102,4),Rundäx)))</f>
        <v>3.4649999999999999</v>
      </c>
      <c r="ED35" s="43">
        <f>IF($CU35&gt;=RAF,"",IF($CU35-ED$103&lt;BeginnAlter,"",ROUND((SUM(CY35:CY$56)+SUM(FQ$9:FQ$56))/VLOOKUP($CU35,$AH$9:$AI$102,2)/VLOOKUP($CU35-ED$103,Männer!$G$9:$J$102,4),Rundäx)))</f>
        <v>3.637</v>
      </c>
      <c r="EE35" s="43">
        <f>IF($CU35&gt;=RAF,"",IF($CU35-EE$103&lt;BeginnAlter,"",ROUND((SUM(CZ35:CZ$56)+SUM(FR$9:FR$56))/VLOOKUP($CU35,$AH$9:$AI$102,2)/VLOOKUP($CU35-EE$103,Männer!$G$9:$J$102,4),Rundäx)))</f>
        <v>3.8130000000000002</v>
      </c>
      <c r="EF35" s="43">
        <f>IF($CU35&gt;=RAF,"",IF($CU35-EF$103&lt;BeginnAlter,"",ROUND((SUM(DA35:DA$56)+SUM(FS$9:FS$56))/VLOOKUP($CU35,$AH$9:$AI$102,2)/VLOOKUP($CU35-EF$103,Männer!$G$9:$J$102,4),Rundäx)))</f>
        <v>3.9950000000000001</v>
      </c>
      <c r="EG35" s="43">
        <f>IF($CU35&gt;=RAF,"",IF($CU35-EG$103&lt;BeginnAlter,"",ROUND((SUM(DB35:DB$56)+SUM(FT$9:FT$56))/VLOOKUP($CU35,$AH$9:$AI$102,2)/VLOOKUP($CU35-EG$103,Männer!$G$9:$J$102,4),Rundäx)))</f>
        <v>4.181</v>
      </c>
      <c r="EH35" s="43">
        <f>IF($CU35&gt;=RAF,"",IF($CU35-EH$103&lt;BeginnAlter,"",ROUND((SUM(DC35:DC$56)+SUM(FU$9:FU$56))/VLOOKUP($CU35,$AH$9:$AI$102,2)/VLOOKUP($CU35-EH$103,Männer!$G$9:$J$102,4),Rundäx)))</f>
        <v>4.3710000000000004</v>
      </c>
      <c r="EI35" s="89"/>
      <c r="EJ35" s="35">
        <f t="shared" si="61"/>
        <v>43</v>
      </c>
      <c r="EK35" s="43">
        <f>IF($CU35&gt;=RAF,"",IF($CU35-EK$103&lt;BeginnAlter,"",ROUND((SUM(DD35:DD$56)+SUM(FV$9:FV$56))/VLOOKUP($CU35,$AH$9:$AI$102,2)/VLOOKUP($CU35-EK$103,Männer!$G$9:$J$102,4),Rundäx)))</f>
        <v>4.5659999999999998</v>
      </c>
      <c r="EL35" s="43">
        <f>IF($CU35&gt;=RAF,"",IF($CU35-EL$103&lt;BeginnAlter,"",ROUND((SUM(DE35:DE$56)+SUM(FW$9:FW$56))/VLOOKUP($CU35,$AH$9:$AI$102,2)/VLOOKUP($CU35-EL$103,Männer!$G$9:$J$102,4),Rundäx)))</f>
        <v>4.7649999999999997</v>
      </c>
      <c r="EM35" s="43">
        <f>IF($CU35&gt;=RAF,"",IF($CU35-EM$103&lt;BeginnAlter,"",ROUND((SUM(DF35:DF$56)+SUM(FX$9:FX$56))/VLOOKUP($CU35,$AH$9:$AI$102,2)/VLOOKUP($CU35-EM$103,Männer!$G$9:$J$102,4),Rundäx)))</f>
        <v>4.9690000000000003</v>
      </c>
      <c r="EN35" s="43">
        <f>IF($CU35&gt;=RAF,"",IF($CU35-EN$103&lt;BeginnAlter,"",ROUND((SUM(DG35:DG$56)+SUM(FY$9:FY$56))/VLOOKUP($CU35,$AH$9:$AI$102,2)/VLOOKUP($CU35-EN$103,Männer!$G$9:$J$102,4),Rundäx)))</f>
        <v>5.1760000000000002</v>
      </c>
      <c r="EO35" s="43">
        <f>IF($CU35&gt;=RAF,"",IF($CU35-EO$103&lt;BeginnAlter,"",ROUND((SUM(DH35:DH$56)+SUM(FZ$9:FZ$56))/VLOOKUP($CU35,$AH$9:$AI$102,2)/VLOOKUP($CU35-EO$103,Männer!$G$9:$J$102,4),Rundäx)))</f>
        <v>5.3879999999999999</v>
      </c>
      <c r="EP35" s="43">
        <f>IF($CU35&gt;=RAF,"",IF($CU35-EP$103&lt;BeginnAlter,"",ROUND((SUM(DI35:DI$56)+SUM(GA$9:GA$56))/VLOOKUP($CU35,$AH$9:$AI$102,2)/VLOOKUP($CU35-EP$103,Männer!$G$9:$J$102,4),Rundäx)))</f>
        <v>5.6029999999999998</v>
      </c>
      <c r="EQ35" s="43">
        <f>IF($CU35&gt;=RAF,"",IF($CU35-EQ$103&lt;BeginnAlter,"",ROUND((SUM(DJ35:DJ$56)+SUM(GB$9:GB$56))/VLOOKUP($CU35,$AH$9:$AI$102,2)/VLOOKUP($CU35-EQ$103,Männer!$G$9:$J$102,4),Rundäx)))</f>
        <v>5.8230000000000004</v>
      </c>
      <c r="ER35" s="43">
        <f>IF($CU35&gt;=RAF,"",IF($CU35-ER$103&lt;BeginnAlter,"",ROUND((SUM(DK35:DK$56)+SUM(GC$9:GC$56))/VLOOKUP($CU35,$AH$9:$AI$102,2)/VLOOKUP($CU35-ER$103,Männer!$G$9:$J$102,4),Rundäx)))</f>
        <v>6.0460000000000003</v>
      </c>
      <c r="ES35" s="89"/>
      <c r="ET35" s="35">
        <f t="shared" si="62"/>
        <v>43</v>
      </c>
      <c r="EU35" s="43">
        <f>IF($CU35&gt;=RAF,"",IF($CU35-EU$103&lt;BeginnAlter,"",ROUND((SUM(DL35:DL$56)+SUM(GD$9:GD$56))/VLOOKUP($CU35,$AH$9:$AI$102,2)/VLOOKUP($CU35-EU$103,Männer!$G$9:$J$102,4),Rundäx)))</f>
        <v>6.2729999999999997</v>
      </c>
      <c r="EV35" s="43">
        <f>IF($CU35&gt;=RAF,"",IF($CU35-EV$103&lt;BeginnAlter,"",ROUND((SUM(DM35:DM$56)+SUM(GE$9:GE$56))/VLOOKUP($CU35,$AH$9:$AI$102,2)/VLOOKUP($CU35-EV$103,Männer!$G$9:$J$102,4),Rundäx)))</f>
        <v>6.5030000000000001</v>
      </c>
      <c r="EW35" s="43">
        <f>IF($CU35&gt;=RAF,"",IF($CU35-EW$103&lt;BeginnAlter,"",ROUND((SUM(DN35:DN$56)+SUM(GF$9:GF$56))/VLOOKUP($CU35,$AH$9:$AI$102,2)/VLOOKUP($CU35-EW$103,Männer!$G$9:$J$102,4),Rundäx)))</f>
        <v>6.7370000000000001</v>
      </c>
      <c r="EX35" s="43">
        <f>IF($CU35&gt;=RAF,"",IF($CU35-EX$103&lt;BeginnAlter,"",ROUND((SUM(DO35:DO$56)+SUM(GG$9:GG$56))/VLOOKUP($CU35,$AH$9:$AI$102,2)/VLOOKUP($CU35-EX$103,Männer!$G$9:$J$102,4),Rundäx)))</f>
        <v>6.9729999999999999</v>
      </c>
      <c r="EY35" s="43">
        <f>IF($CU35&gt;=RAF,"",IF($CU35-EY$103&lt;BeginnAlter,"",ROUND((SUM(DP35:DP$56)+SUM(GH$9:GH$56))/VLOOKUP($CU35,$AH$9:$AI$102,2)/VLOOKUP($CU35-EY$103,Männer!$G$9:$J$102,4),Rundäx)))</f>
        <v>7.2119999999999997</v>
      </c>
      <c r="EZ35" s="43">
        <f>IF($CU35&gt;=RAF,"",IF($CU35-EZ$103&lt;BeginnAlter,"",ROUND((SUM(DQ35:DQ$56)+SUM(GI$9:GI$56))/VLOOKUP($CU35,$AH$9:$AI$102,2)/VLOOKUP($CU35-EZ$103,Männer!$G$9:$J$102,4),Rundäx)))</f>
        <v>7.4539999999999997</v>
      </c>
      <c r="FA35" s="43">
        <f>IF($CU35&gt;=RAF,"",IF($CU35-FA$103&lt;BeginnAlter,"",ROUND((SUM(DR35:DR$56)+SUM(GJ$9:GJ$56))/VLOOKUP($CU35,$AH$9:$AI$102,2)/VLOOKUP($CU35-FA$103,Männer!$G$9:$J$102,4),Rundäx)))</f>
        <v>7.6970000000000001</v>
      </c>
      <c r="FB35" s="43">
        <f>IF($CU35&gt;=RAF,"",IF($CU35-FB$103&lt;BeginnAlter,"",ROUND((SUM(DS35:DS$56)+SUM(GK$9:GK$56))/VLOOKUP($CU35,$AH$9:$AI$102,2)/VLOOKUP($CU35-FB$103,Männer!$G$9:$J$102,4),Rundäx)))</f>
        <v>7.9420000000000002</v>
      </c>
      <c r="FC35" s="89"/>
      <c r="FD35" s="35">
        <f t="shared" si="63"/>
        <v>43</v>
      </c>
      <c r="FE35" s="43">
        <f>IF($CU35&gt;=RAF,"",IF($CU35-FE$103&lt;BeginnAlter,"",ROUND((SUM(DT35:DT$56)+SUM(GL$9:GL$56))/VLOOKUP($CU35,$AH$9:$AI$102,2)/VLOOKUP($CU35-FE$103,Männer!$G$9:$J$102,4),Rundäx)))</f>
        <v>8.1880000000000006</v>
      </c>
      <c r="FF35" s="43">
        <f>IF($CU35&gt;=RAF,"",IF($CU35-FF$103&lt;BeginnAlter,"",ROUND((SUM(DU35:DU$56)+SUM(GM$9:GM$56))/VLOOKUP($CU35,$AH$9:$AI$102,2)/VLOOKUP($CU35-FF$103,Männer!$G$9:$J$102,4),Rundäx)))</f>
        <v>8.4350000000000005</v>
      </c>
      <c r="FG35" s="43">
        <f>IF($CU35&gt;=RAF,"",IF($CU35-FG$103&lt;BeginnAlter,"",ROUND((SUM(DV35:DV$56)+SUM(GN$9:GN$56))/VLOOKUP($CU35,$AH$9:$AI$102,2)/VLOOKUP($CU35-FG$103,Männer!$G$9:$J$102,4),Rundäx)))</f>
        <v>8.6820000000000004</v>
      </c>
      <c r="FH35" s="43">
        <f>IF($CU35&gt;=RAF,"",IF($CU35-FH$103&lt;BeginnAlter,"",ROUND((SUM(DW35:DW$56)+SUM(GO$9:GO$56))/VLOOKUP($CU35,$AH$9:$AI$102,2)/VLOOKUP($CU35-FH$103,Männer!$G$9:$J$102,4),Rundäx)))</f>
        <v>8.9290000000000003</v>
      </c>
      <c r="FI35" s="43">
        <f>IF($CU35&gt;=RAF,"",IF($CU35-FI$103&lt;BeginnAlter,"",ROUND((SUM(DX35:DX$56)+SUM(GP$9:GP$56))/VLOOKUP($CU35,$AH$9:$AI$102,2)/VLOOKUP($CU35-FI$103,Männer!$G$9:$J$102,4),Rundäx)))</f>
        <v>9.1760000000000002</v>
      </c>
      <c r="FJ35" s="43">
        <f>IF($CU35&gt;=RAF,"",IF($CU35-FJ$103&lt;BeginnAlter,"",ROUND((SUM(DY35:DY$56)+SUM(GQ$9:GQ$56))/VLOOKUP($CU35,$AH$9:$AI$102,2)/VLOOKUP($CU35-FJ$103,Männer!$G$9:$J$102,4),Rundäx)))</f>
        <v>9.4220000000000006</v>
      </c>
      <c r="FK35" s="43">
        <f>IF($CU35&gt;=RAF,"",IF($CU35-FK$103&lt;BeginnAlter,"",ROUND((SUM(DZ35:DZ$56)+SUM(GR$9:GR$56))/VLOOKUP($CU35,$AH$9:$AI$102,2)/VLOOKUP($CU35-FK$103,Männer!$G$9:$J$102,4),Rundäx)))</f>
        <v>9.6679999999999993</v>
      </c>
      <c r="FL35" s="89"/>
      <c r="FM35" s="35">
        <f t="shared" si="64"/>
        <v>90</v>
      </c>
      <c r="FN35" s="25"/>
      <c r="FO35" s="25"/>
      <c r="FP35" s="25"/>
      <c r="FQ35" s="25"/>
      <c r="FR35" s="25"/>
      <c r="FS35" s="25">
        <f>ROUND(v^($FM35+FaktorAlter)*VLOOKUP($FM35,$G$9:$J$102,4)*VLOOKUP($FM35,$A$9:$E$102,5)*0.5*(VLOOKUP($FM35-FS$103,Männer!$G$9:$J$102,4)+VLOOKUP($FM35-FS$103+1,Männer!$G$9:$J$102,4))*0.5*(VLOOKUP($FM35-FS$103,Männer!$AZ$9:$BD$102,5)+VLOOKUP($FM35-FS$103+1,Männer!$AZ$9:$BD$102,5)),RundDx)</f>
        <v>112034</v>
      </c>
      <c r="FT35" s="25">
        <f>ROUND(v^($FM35+FaktorAlter)*VLOOKUP($FM35,$G$9:$J$102,4)*VLOOKUP($FM35,$A$9:$E$102,5)*0.5*(VLOOKUP($FM35-FT$103,Männer!$G$9:$J$102,4)+VLOOKUP($FM35-FT$103+1,Männer!$G$9:$J$102,4))*0.5*(VLOOKUP($FM35-FT$103,Männer!$AZ$9:$BD$102,5)+VLOOKUP($FM35-FT$103+1,Männer!$AZ$9:$BD$102,5)),RundDx)</f>
        <v>295459</v>
      </c>
      <c r="FU35" s="25">
        <f>ROUND(v^($FM35+FaktorAlter)*VLOOKUP($FM35,$G$9:$J$102,4)*VLOOKUP($FM35,$A$9:$E$102,5)*0.5*(VLOOKUP($FM35-FU$103,Männer!$G$9:$J$102,4)+VLOOKUP($FM35-FU$103+1,Männer!$G$9:$J$102,4))*0.5*(VLOOKUP($FM35-FU$103,Männer!$AZ$9:$BD$102,5)+VLOOKUP($FM35-FU$103+1,Männer!$AZ$9:$BD$102,5)),RundDx)</f>
        <v>664657</v>
      </c>
      <c r="FV35" s="25">
        <f>ROUND(v^($FM35+FaktorAlter)*VLOOKUP($FM35,$G$9:$J$102,4)*VLOOKUP($FM35,$A$9:$E$102,5)*0.5*(VLOOKUP($FM35-FV$103,Männer!$G$9:$J$102,4)+VLOOKUP($FM35-FV$103+1,Männer!$G$9:$J$102,4))*0.5*(VLOOKUP($FM35-FV$103,Männer!$AZ$9:$BD$102,5)+VLOOKUP($FM35-FV$103+1,Männer!$AZ$9:$BD$102,5)),RundDx)</f>
        <v>1353636</v>
      </c>
      <c r="FW35" s="25">
        <f>ROUND(v^($FM35+FaktorAlter)*VLOOKUP($FM35,$G$9:$J$102,4)*VLOOKUP($FM35,$A$9:$E$102,5)*0.5*(VLOOKUP($FM35-FW$103,Männer!$G$9:$J$102,4)+VLOOKUP($FM35-FW$103+1,Männer!$G$9:$J$102,4))*0.5*(VLOOKUP($FM35-FW$103,Männer!$AZ$9:$BD$102,5)+VLOOKUP($FM35-FW$103+1,Männer!$AZ$9:$BD$102,5)),RundDx)</f>
        <v>2524499</v>
      </c>
      <c r="FX35" s="25">
        <f>ROUND(v^($FM35+FaktorAlter)*VLOOKUP($FM35,$G$9:$J$102,4)*VLOOKUP($FM35,$A$9:$E$102,5)*0.5*(VLOOKUP($FM35-FX$103,Männer!$G$9:$J$102,4)+VLOOKUP($FM35-FX$103+1,Männer!$G$9:$J$102,4))*0.5*(VLOOKUP($FM35-FX$103,Männer!$AZ$9:$BD$102,5)+VLOOKUP($FM35-FX$103+1,Männer!$AZ$9:$BD$102,5)),RundDx)</f>
        <v>4369525</v>
      </c>
      <c r="FY35" s="25">
        <f>ROUND(v^($FM35+FaktorAlter)*VLOOKUP($FM35,$G$9:$J$102,4)*VLOOKUP($FM35,$A$9:$E$102,5)*0.5*(VLOOKUP($FM35-FY$103,Männer!$G$9:$J$102,4)+VLOOKUP($FM35-FY$103+1,Männer!$G$9:$J$102,4))*0.5*(VLOOKUP($FM35-FY$103,Männer!$AZ$9:$BD$102,5)+VLOOKUP($FM35-FY$103+1,Männer!$AZ$9:$BD$102,5)),RundDx)</f>
        <v>7101993</v>
      </c>
      <c r="FZ35" s="25">
        <f>ROUND(v^($FM35+FaktorAlter)*VLOOKUP($FM35,$G$9:$J$102,4)*VLOOKUP($FM35,$A$9:$E$102,5)*0.5*(VLOOKUP($FM35-FZ$103,Männer!$G$9:$J$102,4)+VLOOKUP($FM35-FZ$103+1,Männer!$G$9:$J$102,4))*0.5*(VLOOKUP($FM35-FZ$103,Männer!$AZ$9:$BD$102,5)+VLOOKUP($FM35-FZ$103+1,Männer!$AZ$9:$BD$102,5)),RundDx)</f>
        <v>10929214</v>
      </c>
      <c r="GA35" s="25">
        <f>ROUND(v^($FM35+FaktorAlter)*VLOOKUP($FM35,$G$9:$J$102,4)*VLOOKUP($FM35,$A$9:$E$102,5)*0.5*(VLOOKUP($FM35-GA$103,Männer!$G$9:$J$102,4)+VLOOKUP($FM35-GA$103+1,Männer!$G$9:$J$102,4))*0.5*(VLOOKUP($FM35-GA$103,Männer!$AZ$9:$BD$102,5)+VLOOKUP($FM35-GA$103+1,Männer!$AZ$9:$BD$102,5)),RundDx)</f>
        <v>16069715</v>
      </c>
      <c r="GB35" s="25">
        <f>ROUND(v^($FM35+FaktorAlter)*VLOOKUP($FM35,$G$9:$J$102,4)*VLOOKUP($FM35,$A$9:$E$102,5)*0.5*(VLOOKUP($FM35-GB$103,Männer!$G$9:$J$102,4)+VLOOKUP($FM35-GB$103+1,Männer!$G$9:$J$102,4))*0.5*(VLOOKUP($FM35-GB$103,Männer!$AZ$9:$BD$102,5)+VLOOKUP($FM35-GB$103+1,Männer!$AZ$9:$BD$102,5)),RundDx)</f>
        <v>22722203</v>
      </c>
      <c r="GC35" s="25">
        <f>ROUND(v^($FM35+FaktorAlter)*VLOOKUP($FM35,$G$9:$J$102,4)*VLOOKUP($FM35,$A$9:$E$102,5)*0.5*(VLOOKUP($FM35-GC$103,Männer!$G$9:$J$102,4)+VLOOKUP($FM35-GC$103+1,Männer!$G$9:$J$102,4))*0.5*(VLOOKUP($FM35-GC$103,Männer!$AZ$9:$BD$102,5)+VLOOKUP($FM35-GC$103+1,Männer!$AZ$9:$BD$102,5)),RundDx)</f>
        <v>31032465</v>
      </c>
      <c r="GD35" s="25">
        <f>ROUND(v^($FM35+FaktorAlter)*VLOOKUP($FM35,$G$9:$J$102,4)*VLOOKUP($FM35,$A$9:$E$102,5)*0.5*(VLOOKUP($FM35-GD$103,Männer!$G$9:$J$102,4)+VLOOKUP($FM35-GD$103+1,Männer!$G$9:$J$102,4))*0.5*(VLOOKUP($FM35-GD$103,Männer!$AZ$9:$BD$102,5)+VLOOKUP($FM35-GD$103+1,Männer!$AZ$9:$BD$102,5)),RundDx)</f>
        <v>41112929</v>
      </c>
      <c r="GE35" s="25">
        <f>ROUND(v^($FM35+FaktorAlter)*VLOOKUP($FM35,$G$9:$J$102,4)*VLOOKUP($FM35,$A$9:$E$102,5)*0.5*(VLOOKUP($FM35-GE$103,Männer!$G$9:$J$102,4)+VLOOKUP($FM35-GE$103+1,Männer!$G$9:$J$102,4))*0.5*(VLOOKUP($FM35-GE$103,Männer!$AZ$9:$BD$102,5)+VLOOKUP($FM35-GE$103+1,Männer!$AZ$9:$BD$102,5)),RundDx)</f>
        <v>53021605</v>
      </c>
      <c r="GF35" s="25">
        <f>ROUND(v^($FM35+FaktorAlter)*VLOOKUP($FM35,$G$9:$J$102,4)*VLOOKUP($FM35,$A$9:$E$102,5)*0.5*(VLOOKUP($FM35-GF$103,Männer!$G$9:$J$102,4)+VLOOKUP($FM35-GF$103+1,Männer!$G$9:$J$102,4))*0.5*(VLOOKUP($FM35-GF$103,Männer!$AZ$9:$BD$102,5)+VLOOKUP($FM35-GF$103+1,Männer!$AZ$9:$BD$102,5)),RundDx)</f>
        <v>66714959</v>
      </c>
      <c r="GG35" s="25">
        <f>ROUND(v^($FM35+FaktorAlter)*VLOOKUP($FM35,$G$9:$J$102,4)*VLOOKUP($FM35,$A$9:$E$102,5)*0.5*(VLOOKUP($FM35-GG$103,Männer!$G$9:$J$102,4)+VLOOKUP($FM35-GG$103+1,Männer!$G$9:$J$102,4))*0.5*(VLOOKUP($FM35-GG$103,Männer!$AZ$9:$BD$102,5)+VLOOKUP($FM35-GG$103+1,Männer!$AZ$9:$BD$102,5)),RundDx)</f>
        <v>82106433</v>
      </c>
      <c r="GH35" s="25">
        <f>ROUND(v^($FM35+FaktorAlter)*VLOOKUP($FM35,$G$9:$J$102,4)*VLOOKUP($FM35,$A$9:$E$102,5)*0.5*(VLOOKUP($FM35-GH$103,Männer!$G$9:$J$102,4)+VLOOKUP($FM35-GH$103+1,Männer!$G$9:$J$102,4))*0.5*(VLOOKUP($FM35-GH$103,Männer!$AZ$9:$BD$102,5)+VLOOKUP($FM35-GH$103+1,Männer!$AZ$9:$BD$102,5)),RundDx)</f>
        <v>99152159</v>
      </c>
      <c r="GI35" s="25">
        <f>ROUND(v^($FM35+FaktorAlter)*VLOOKUP($FM35,$G$9:$J$102,4)*VLOOKUP($FM35,$A$9:$E$102,5)*0.5*(VLOOKUP($FM35-GI$103,Männer!$G$9:$J$102,4)+VLOOKUP($FM35-GI$103+1,Männer!$G$9:$J$102,4))*0.5*(VLOOKUP($FM35-GI$103,Männer!$AZ$9:$BD$102,5)+VLOOKUP($FM35-GI$103+1,Männer!$AZ$9:$BD$102,5)),RundDx)</f>
        <v>117794515</v>
      </c>
      <c r="GJ35" s="25">
        <f>ROUND(v^($FM35+FaktorAlter)*VLOOKUP($FM35,$G$9:$J$102,4)*VLOOKUP($FM35,$A$9:$E$102,5)*0.5*(VLOOKUP($FM35-GJ$103,Männer!$G$9:$J$102,4)+VLOOKUP($FM35-GJ$103+1,Männer!$G$9:$J$102,4))*0.5*(VLOOKUP($FM35-GJ$103,Männer!$AZ$9:$BD$102,5)+VLOOKUP($FM35-GJ$103+1,Männer!$AZ$9:$BD$102,5)),RundDx)</f>
        <v>137937324</v>
      </c>
      <c r="GK35" s="25">
        <f>ROUND(v^($FM35+FaktorAlter)*VLOOKUP($FM35,$G$9:$J$102,4)*VLOOKUP($FM35,$A$9:$E$102,5)*0.5*(VLOOKUP($FM35-GK$103,Männer!$G$9:$J$102,4)+VLOOKUP($FM35-GK$103+1,Männer!$G$9:$J$102,4))*0.5*(VLOOKUP($FM35-GK$103,Männer!$AZ$9:$BD$102,5)+VLOOKUP($FM35-GK$103+1,Männer!$AZ$9:$BD$102,5)),RundDx)</f>
        <v>159504971</v>
      </c>
      <c r="GL35" s="25">
        <f>ROUND(v^($FM35+FaktorAlter)*VLOOKUP($FM35,$G$9:$J$102,4)*VLOOKUP($FM35,$A$9:$E$102,5)*0.5*(VLOOKUP($FM35-GL$103,Männer!$G$9:$J$102,4)+VLOOKUP($FM35-GL$103+1,Männer!$G$9:$J$102,4))*0.5*(VLOOKUP($FM35-GL$103,Männer!$AZ$9:$BD$102,5)+VLOOKUP($FM35-GL$103+1,Männer!$AZ$9:$BD$102,5)),RundDx)</f>
        <v>182410164</v>
      </c>
      <c r="GM35" s="25">
        <f>ROUND(v^($FM35+FaktorAlter)*VLOOKUP($FM35,$G$9:$J$102,4)*VLOOKUP($FM35,$A$9:$E$102,5)*0.5*(VLOOKUP($FM35-GM$103,Männer!$G$9:$J$102,4)+VLOOKUP($FM35-GM$103+1,Männer!$G$9:$J$102,4))*0.5*(VLOOKUP($FM35-GM$103,Männer!$AZ$9:$BD$102,5)+VLOOKUP($FM35-GM$103+1,Männer!$AZ$9:$BD$102,5)),RundDx)</f>
        <v>206531999</v>
      </c>
      <c r="GN35" s="25">
        <f>ROUND(v^($FM35+FaktorAlter)*VLOOKUP($FM35,$G$9:$J$102,4)*VLOOKUP($FM35,$A$9:$E$102,5)*0.5*(VLOOKUP($FM35-GN$103,Männer!$G$9:$J$102,4)+VLOOKUP($FM35-GN$103+1,Männer!$G$9:$J$102,4))*0.5*(VLOOKUP($FM35-GN$103,Männer!$AZ$9:$BD$102,5)+VLOOKUP($FM35-GN$103+1,Männer!$AZ$9:$BD$102,5)),RundDx)</f>
        <v>231754621</v>
      </c>
      <c r="GO35" s="25">
        <f>ROUND(v^($FM35+FaktorAlter)*VLOOKUP($FM35,$G$9:$J$102,4)*VLOOKUP($FM35,$A$9:$E$102,5)*0.5*(VLOOKUP($FM35-GO$103,Männer!$G$9:$J$102,4)+VLOOKUP($FM35-GO$103+1,Männer!$G$9:$J$102,4))*0.5*(VLOOKUP($FM35-GO$103,Männer!$AZ$9:$BD$102,5)+VLOOKUP($FM35-GO$103+1,Männer!$AZ$9:$BD$102,5)),RundDx)</f>
        <v>257956392</v>
      </c>
      <c r="GP35" s="25">
        <f>ROUND(v^($FM35+FaktorAlter)*VLOOKUP($FM35,$G$9:$J$102,4)*VLOOKUP($FM35,$A$9:$E$102,5)*0.5*(VLOOKUP($FM35-GP$103,Männer!$G$9:$J$102,4)+VLOOKUP($FM35-GP$103+1,Männer!$G$9:$J$102,4))*0.5*(VLOOKUP($FM35-GP$103,Männer!$AZ$9:$BD$102,5)+VLOOKUP($FM35-GP$103+1,Männer!$AZ$9:$BD$102,5)),RundDx)</f>
        <v>285006458</v>
      </c>
      <c r="GQ35" s="25">
        <f>ROUND(v^($FM35+FaktorAlter)*VLOOKUP($FM35,$G$9:$J$102,4)*VLOOKUP($FM35,$A$9:$E$102,5)*0.5*(VLOOKUP($FM35-GQ$103,Männer!$G$9:$J$102,4)+VLOOKUP($FM35-GQ$103+1,Männer!$G$9:$J$102,4))*0.5*(VLOOKUP($FM35-GQ$103,Männer!$AZ$9:$BD$102,5)+VLOOKUP($FM35-GQ$103+1,Männer!$AZ$9:$BD$102,5)),RundDx)</f>
        <v>312759361</v>
      </c>
      <c r="GR35" s="25">
        <f>ROUND(v^($FM35+FaktorAlter)*VLOOKUP($FM35,$G$9:$J$102,4)*VLOOKUP($FM35,$A$9:$E$102,5)*0.5*(VLOOKUP($FM35-GR$103,Männer!$G$9:$J$102,4)+VLOOKUP($FM35-GR$103+1,Männer!$G$9:$J$102,4))*0.5*(VLOOKUP($FM35-GR$103,Männer!$AZ$9:$BD$102,5)+VLOOKUP($FM35-GR$103+1,Männer!$AZ$9:$BD$102,5)),RundDx)</f>
        <v>341037877</v>
      </c>
      <c r="GS35" s="24"/>
      <c r="GT35" s="24"/>
      <c r="GU35" s="24"/>
      <c r="GV35" s="24"/>
      <c r="GW35" s="24">
        <f>ROUND(SUM(FR35:FR$56)/VLOOKUP($FM35,$AQ$9:$AR$102,2)/VLOOKUP($FM35-GW$103,Männer!$G$9:$J$102,4),Rundäx)</f>
        <v>0</v>
      </c>
      <c r="GX35" s="24">
        <f>ROUND(SUM(FS35:FS$56)/VLOOKUP($FM35,$AQ$9:$AR$102,2)/VLOOKUP($FM35-GX$103,Männer!$G$9:$J$102,4),Rundäx)</f>
        <v>0.105</v>
      </c>
      <c r="GY35" s="24">
        <f>ROUND(SUM(FT35:FT$56)/VLOOKUP($FM35,$AQ$9:$AR$102,2)/VLOOKUP($FM35-GY$103,Männer!$G$9:$J$102,4),Rundäx)</f>
        <v>0.17399999999999999</v>
      </c>
      <c r="GZ35" s="24">
        <f>ROUND(SUM(FU35:FU$56)/VLOOKUP($FM35,$AQ$9:$AR$102,2)/VLOOKUP($FM35-GZ$103,Männer!$G$9:$J$102,4),Rundäx)</f>
        <v>0.23599999999999999</v>
      </c>
      <c r="HA35" s="89"/>
      <c r="HB35" s="35">
        <f t="shared" si="65"/>
        <v>90</v>
      </c>
      <c r="HC35" s="24">
        <f>ROUND(SUM(FV35:FV$56)/VLOOKUP($FM35,$AQ$9:$AR$102,2)/VLOOKUP($FM35-HC$103,Männer!$G$9:$J$102,4),Rundäx)</f>
        <v>0.30299999999999999</v>
      </c>
      <c r="HD35" s="24">
        <f>ROUND(SUM(FW35:FW$56)/VLOOKUP($FM35,$AQ$9:$AR$102,2)/VLOOKUP($FM35-HD$103,Männer!$G$9:$J$102,4),Rundäx)</f>
        <v>0.38</v>
      </c>
      <c r="HE35" s="24">
        <f>ROUND(SUM(FX35:FX$56)/VLOOKUP($FM35,$AQ$9:$AR$102,2)/VLOOKUP($FM35-HE$103,Männer!$G$9:$J$102,4),Rundäx)</f>
        <v>0.46800000000000003</v>
      </c>
      <c r="HF35" s="24">
        <f>ROUND(SUM(FY35:FY$56)/VLOOKUP($FM35,$AQ$9:$AR$102,2)/VLOOKUP($FM35-HF$103,Männer!$G$9:$J$102,4),Rundäx)</f>
        <v>0.56999999999999995</v>
      </c>
      <c r="HG35" s="24">
        <f>ROUND(SUM(FZ35:FZ$56)/VLOOKUP($FM35,$AQ$9:$AR$102,2)/VLOOKUP($FM35-HG$103,Männer!$G$9:$J$102,4),Rundäx)</f>
        <v>0.68799999999999994</v>
      </c>
      <c r="HH35" s="24">
        <f>ROUND(SUM(GA35:GA$56)/VLOOKUP($FM35,$AQ$9:$AR$102,2)/VLOOKUP($FM35-HH$103,Männer!$G$9:$J$102,4),Rundäx)</f>
        <v>0.82199999999999995</v>
      </c>
      <c r="HI35" s="24">
        <f>ROUND(SUM(GB35:GB$56)/VLOOKUP($FM35,$AQ$9:$AR$102,2)/VLOOKUP($FM35-HI$103,Männer!$G$9:$J$102,4),Rundäx)</f>
        <v>0.97399999999999998</v>
      </c>
      <c r="HJ35" s="24">
        <f>ROUND(SUM(GC35:GC$56)/VLOOKUP($FM35,$AQ$9:$AR$102,2)/VLOOKUP($FM35-HJ$103,Männer!$G$9:$J$102,4),Rundäx)</f>
        <v>1.1459999999999999</v>
      </c>
      <c r="HK35" s="89"/>
      <c r="HL35" s="35">
        <f t="shared" si="66"/>
        <v>90</v>
      </c>
      <c r="HM35" s="24">
        <f>ROUND(SUM(GD35:GD$56)/VLOOKUP($FM35,$AQ$9:$AR$102,2)/VLOOKUP($FM35-HM$103,Männer!$G$9:$J$102,4),Rundäx)</f>
        <v>1.3380000000000001</v>
      </c>
      <c r="HN35" s="24">
        <f>ROUND(SUM(GE35:GE$56)/VLOOKUP($FM35,$AQ$9:$AR$102,2)/VLOOKUP($FM35-HN$103,Männer!$G$9:$J$102,4),Rundäx)</f>
        <v>1.5489999999999999</v>
      </c>
      <c r="HO35" s="24">
        <f>ROUND(SUM(GF35:GF$56)/VLOOKUP($FM35,$AQ$9:$AR$102,2)/VLOOKUP($FM35-HO$103,Männer!$G$9:$J$102,4),Rundäx)</f>
        <v>1.78</v>
      </c>
      <c r="HP35" s="24">
        <f>ROUND(SUM(GG35:GG$56)/VLOOKUP($FM35,$AQ$9:$AR$102,2)/VLOOKUP($FM35-HP$103,Männer!$G$9:$J$102,4),Rundäx)</f>
        <v>2.0289999999999999</v>
      </c>
      <c r="HQ35" s="24">
        <f>ROUND(SUM(GH35:GH$56)/VLOOKUP($FM35,$AQ$9:$AR$102,2)/VLOOKUP($FM35-HQ$103,Männer!$G$9:$J$102,4),Rundäx)</f>
        <v>2.2949999999999999</v>
      </c>
      <c r="HR35" s="24">
        <f>ROUND(SUM(GI35:GI$56)/VLOOKUP($FM35,$AQ$9:$AR$102,2)/VLOOKUP($FM35-HR$103,Männer!$G$9:$J$102,4),Rundäx)</f>
        <v>2.577</v>
      </c>
      <c r="HS35" s="24">
        <f>ROUND(SUM(GJ35:GJ$56)/VLOOKUP($FM35,$AQ$9:$AR$102,2)/VLOOKUP($FM35-HS$103,Männer!$G$9:$J$102,4),Rundäx)</f>
        <v>2.8740000000000001</v>
      </c>
      <c r="HT35" s="24">
        <f>ROUND(SUM(GK35:GK$56)/VLOOKUP($FM35,$AQ$9:$AR$102,2)/VLOOKUP($FM35-HT$103,Männer!$G$9:$J$102,4),Rundäx)</f>
        <v>3.1840000000000002</v>
      </c>
      <c r="HU35" s="89"/>
      <c r="HV35" s="35">
        <f t="shared" si="67"/>
        <v>90</v>
      </c>
      <c r="HW35" s="24">
        <f>ROUND(SUM(GL35:GL$56)/VLOOKUP($FM35,$AQ$9:$AR$102,2)/VLOOKUP($FM35-HW$103,Männer!$G$9:$J$102,4),Rundäx)</f>
        <v>3.5049999999999999</v>
      </c>
      <c r="HX35" s="24">
        <f>ROUND(SUM(GM35:GM$56)/VLOOKUP($FM35,$AQ$9:$AR$102,2)/VLOOKUP($FM35-HX$103,Männer!$G$9:$J$102,4),Rundäx)</f>
        <v>3.8380000000000001</v>
      </c>
      <c r="HY35" s="24">
        <f>ROUND(SUM(GN35:GN$56)/VLOOKUP($FM35,$AQ$9:$AR$102,2)/VLOOKUP($FM35-HY$103,Männer!$G$9:$J$102,4),Rundäx)</f>
        <v>4.18</v>
      </c>
      <c r="HZ35" s="24">
        <f>ROUND(SUM(GO35:GO$56)/VLOOKUP($FM35,$AQ$9:$AR$102,2)/VLOOKUP($FM35-HZ$103,Männer!$G$9:$J$102,4),Rundäx)</f>
        <v>4.53</v>
      </c>
      <c r="IA35" s="24">
        <f>ROUND(SUM(GP35:GP$56)/VLOOKUP($FM35,$AQ$9:$AR$102,2)/VLOOKUP($FM35-IA$103,Männer!$G$9:$J$102,4),Rundäx)</f>
        <v>4.8869999999999996</v>
      </c>
      <c r="IB35" s="24">
        <f>ROUND(SUM(GQ35:GQ$56)/VLOOKUP($FM35,$AQ$9:$AR$102,2)/VLOOKUP($FM35-IB$103,Männer!$G$9:$J$102,4),Rundäx)</f>
        <v>5.2510000000000003</v>
      </c>
      <c r="IC35" s="24">
        <f>ROUND(SUM(GR35:GR$56)/VLOOKUP($FM35,$AQ$9:$AR$102,2)/VLOOKUP($FM35-IC$103,Männer!$G$9:$J$102,4),Rundäx)</f>
        <v>5.62</v>
      </c>
      <c r="ID35" s="89"/>
      <c r="IE35" s="9">
        <f t="shared" si="68"/>
        <v>43</v>
      </c>
      <c r="IF35" s="11">
        <f t="shared" si="25"/>
        <v>256</v>
      </c>
      <c r="IG35" s="11">
        <f>IF($IE35&lt;RAF,IF(S36&lt;=RAK,ROUND(SUM(IF35:INDEX(Daky,RAF-BeginnAlter))+INDEX(Day,RAF-BeginnAlter+1)*INDEX(äky,1),RundDx),0),"")</f>
        <v>1421</v>
      </c>
      <c r="IH35" s="11">
        <f>IF($IE35&lt;RAF,IF(S36&lt;=RAK,ROUND(SUM(IG35:INDEX(Naky,RAF-BeginnAlter))+INDEX(Day,RAF-BeginnAlter+1)*INDEX(äky,1),RundDx),0),"")</f>
        <v>6366</v>
      </c>
      <c r="II35" s="10">
        <f t="shared" si="26"/>
        <v>3.9E-2</v>
      </c>
      <c r="IJ35" s="11">
        <f t="shared" si="27"/>
        <v>7730</v>
      </c>
      <c r="IK35" s="11">
        <f>IF($IE35&lt;RAF,IF(S36&lt;=RAK,SUM(IJ35:INDEX(Diky,RAF-BeginnAlter))+INDEX(Diy,RAF-BeginnAlter+1)*INDEX(äky,1),0),"")</f>
        <v>30932</v>
      </c>
      <c r="IL35" s="10">
        <f t="shared" si="28"/>
        <v>0.57799999999999996</v>
      </c>
      <c r="IM35" s="89"/>
      <c r="IN35" s="9">
        <f t="shared" si="29"/>
        <v>90</v>
      </c>
      <c r="IO35" s="11"/>
      <c r="IP35" s="11"/>
      <c r="IQ35" s="10"/>
      <c r="IR35" s="86"/>
    </row>
    <row r="36" spans="1:252" ht="15.75" customHeight="1" x14ac:dyDescent="0.25">
      <c r="A36" s="9">
        <f t="shared" si="4"/>
        <v>44</v>
      </c>
      <c r="B36" s="93">
        <v>7.662987831740471E-4</v>
      </c>
      <c r="C36" s="93">
        <v>4.6188255008075456E-3</v>
      </c>
      <c r="D36" s="93">
        <v>2.0021210102696974E-2</v>
      </c>
      <c r="E36" s="93">
        <v>1.534022797000989E-3</v>
      </c>
      <c r="F36" s="89"/>
      <c r="G36" s="9">
        <f t="shared" si="5"/>
        <v>44</v>
      </c>
      <c r="H36" s="11">
        <f t="shared" si="30"/>
        <v>94734</v>
      </c>
      <c r="I36" s="25">
        <f t="shared" si="31"/>
        <v>3700</v>
      </c>
      <c r="J36" s="25">
        <f t="shared" si="32"/>
        <v>98434</v>
      </c>
      <c r="K36" s="30">
        <f>IF(J36&gt;0,ROUND(SUM(J36:J$102)/J36-0.5,Rundex),"")</f>
        <v>38.83</v>
      </c>
      <c r="L36" s="25">
        <f t="shared" si="6"/>
        <v>136477</v>
      </c>
      <c r="M36" s="30">
        <f>IF(L36&gt;0,ROUND(SUM(L36:L$102)/L36-0.5,Rundex),"")</f>
        <v>30.54</v>
      </c>
      <c r="N36" s="89"/>
      <c r="O36" s="9">
        <f t="shared" si="49"/>
        <v>44</v>
      </c>
      <c r="P36" s="94">
        <v>0.30968003766850871</v>
      </c>
      <c r="Q36" s="95">
        <v>46.954964525410723</v>
      </c>
      <c r="R36" s="94">
        <v>0.48167829828030856</v>
      </c>
      <c r="S36" s="95">
        <v>8.5200638791492569</v>
      </c>
      <c r="T36" s="28">
        <v>1.2600000000000001E-3</v>
      </c>
      <c r="U36" s="11">
        <f t="shared" si="33"/>
        <v>98493</v>
      </c>
      <c r="V36" s="30">
        <f>IF(U36&gt;0,ROUND(SUM(U36:U$102)/U36-0.5,Rundex),"")</f>
        <v>40.11</v>
      </c>
      <c r="W36" s="89"/>
      <c r="X36" s="9">
        <f t="shared" si="50"/>
        <v>44</v>
      </c>
      <c r="Y36" s="11">
        <f t="shared" si="34"/>
        <v>35589</v>
      </c>
      <c r="Z36" s="11">
        <f>IF($X36&lt;RAF,SUM(Y36:INDEX(Day,RAF-BeginnAlter))," ")</f>
        <v>531801</v>
      </c>
      <c r="AA36" s="11">
        <f t="shared" si="0"/>
        <v>27</v>
      </c>
      <c r="AB36" s="11">
        <f>IF($X36&lt;RAF,SUM(AA36:INDEX(Cay,RAF-BeginnAlter))," ")</f>
        <v>1037</v>
      </c>
      <c r="AC36" s="11">
        <f t="shared" si="1"/>
        <v>163</v>
      </c>
      <c r="AD36" s="11">
        <f>IF($X36&lt;RAF,SUM(AC36:INDEX(Caiy,RAF-BeginnAlter))," ")</f>
        <v>6560</v>
      </c>
      <c r="AE36" s="10">
        <f t="shared" si="35"/>
        <v>14.943</v>
      </c>
      <c r="AF36" s="10">
        <f t="shared" si="36"/>
        <v>14.696</v>
      </c>
      <c r="AG36" s="89"/>
      <c r="AH36" s="9">
        <f t="shared" si="51"/>
        <v>44</v>
      </c>
      <c r="AI36" s="11">
        <f t="shared" si="37"/>
        <v>51271</v>
      </c>
      <c r="AJ36" s="11">
        <f>IF($AH36&gt;RAF," ",IF($AH36&lt;RAF,SUM(AI36:INDEX(Diy,RAF-BeginnAlter))+INDEX(Ny,RAF-BeginnAlter+1),INDEX(Ny,RAF-BeginnAlter+1)))</f>
        <v>1075314</v>
      </c>
      <c r="AK36" s="11">
        <f>IF($AH36&lt;RAF,SUM(AI36:INDEX(Diy,RAF-BeginnAlter))," ")</f>
        <v>709220</v>
      </c>
      <c r="AL36" s="10">
        <f t="shared" si="38"/>
        <v>20.972999999999999</v>
      </c>
      <c r="AM36" s="10">
        <f t="shared" si="39"/>
        <v>20.515000000000001</v>
      </c>
      <c r="AN36" s="10">
        <f t="shared" si="40"/>
        <v>13.833</v>
      </c>
      <c r="AO36" s="10">
        <f t="shared" si="41"/>
        <v>13.569000000000001</v>
      </c>
      <c r="AP36" s="89"/>
      <c r="AQ36" s="9">
        <f t="shared" si="52"/>
        <v>44</v>
      </c>
      <c r="AR36" s="11">
        <f t="shared" si="42"/>
        <v>36979</v>
      </c>
      <c r="AS36" s="11">
        <f>SUM(AR36:AR$96)</f>
        <v>955042</v>
      </c>
      <c r="AT36" s="25">
        <f>IF($AQ36&lt;RAF,SUM(AR36:INDEX(Dy,RAF-BeginnAlter))," ")</f>
        <v>588948</v>
      </c>
      <c r="AU36" s="24">
        <f t="shared" si="43"/>
        <v>25.827000000000002</v>
      </c>
      <c r="AV36" s="24">
        <f t="shared" si="44"/>
        <v>25.367999999999999</v>
      </c>
      <c r="AW36" s="24">
        <f t="shared" si="45"/>
        <v>15.927</v>
      </c>
      <c r="AX36" s="24">
        <f t="shared" si="46"/>
        <v>15.738</v>
      </c>
      <c r="AY36" s="89"/>
      <c r="AZ36" s="9">
        <f t="shared" si="53"/>
        <v>44</v>
      </c>
      <c r="BA36" s="11">
        <f t="shared" si="47"/>
        <v>37002</v>
      </c>
      <c r="BB36" s="11">
        <f>SUM(BA36:BA$96)</f>
        <v>977797</v>
      </c>
      <c r="BC36" s="10">
        <f t="shared" si="48"/>
        <v>26.425999999999998</v>
      </c>
      <c r="BD36" s="10">
        <f t="shared" si="7"/>
        <v>25.966999999999999</v>
      </c>
      <c r="BE36" s="89"/>
      <c r="BF36" s="9">
        <f t="shared" si="54"/>
        <v>27</v>
      </c>
      <c r="BG36" s="10" t="str">
        <f t="shared" si="8"/>
        <v/>
      </c>
      <c r="BH36" s="10" t="str">
        <f t="shared" si="9"/>
        <v/>
      </c>
      <c r="BI36" s="89"/>
      <c r="BJ36" s="9">
        <f t="shared" si="55"/>
        <v>44</v>
      </c>
      <c r="BK36" s="11">
        <f t="shared" si="10"/>
        <v>3324</v>
      </c>
      <c r="BL36" s="11">
        <f>IF(BJ36&lt;RAF,SUM(BK36:INDEX(Daiy,RAF-BeginnAlter))," ")</f>
        <v>118705</v>
      </c>
      <c r="BM36" s="11">
        <f>IF(BJ36&lt;RAF,SUM(BL36:INDEX(Naiy,RAF-BeginnAlter))," ")</f>
        <v>1470731</v>
      </c>
      <c r="BN36" s="10">
        <f t="shared" si="11"/>
        <v>7.5350000000000001</v>
      </c>
      <c r="BO36" s="10">
        <f t="shared" si="12"/>
        <v>3.335</v>
      </c>
      <c r="BP36" s="89"/>
      <c r="BQ36" s="9">
        <f t="shared" si="56"/>
        <v>44</v>
      </c>
      <c r="BR36" s="11">
        <f t="shared" si="13"/>
        <v>2171</v>
      </c>
      <c r="BS36" s="11">
        <f>IF(BQ36&lt;RAF,SUM(BR36:INDEX(Daiys,RAF-BeginnAlter))," ")</f>
        <v>40417</v>
      </c>
      <c r="BT36" s="11">
        <f>IF(BQ36&lt;RAF,SUM(BS36:INDEX(Naiys,RAF-BeginnAlter))," ")</f>
        <v>377828</v>
      </c>
      <c r="BU36" s="10">
        <f t="shared" si="14"/>
        <v>9.7349999999999994</v>
      </c>
      <c r="BV36" s="10">
        <f t="shared" si="15"/>
        <v>1.1359999999999999</v>
      </c>
      <c r="BW36" s="89"/>
      <c r="BX36" s="9">
        <f t="shared" si="57"/>
        <v>44</v>
      </c>
      <c r="BY36" s="10">
        <f t="shared" si="16"/>
        <v>11.442289177858335</v>
      </c>
      <c r="BZ36" s="11">
        <f t="shared" si="17"/>
        <v>855</v>
      </c>
      <c r="CA36" s="11">
        <f>IF(S37&lt;=RAK,IF($BX36&lt;RAF,SUM(BZ36:INDEX(Dazy,RAF-BeginnAlter)),""),"")</f>
        <v>4654</v>
      </c>
      <c r="CB36" s="10">
        <f t="shared" si="18"/>
        <v>0.13100000000000001</v>
      </c>
      <c r="CC36" s="11">
        <f t="shared" si="19"/>
        <v>24231</v>
      </c>
      <c r="CD36" s="10">
        <f t="shared" si="20"/>
        <v>18.04</v>
      </c>
      <c r="CE36" s="10">
        <f t="shared" si="21"/>
        <v>3.0000000000000001E-3</v>
      </c>
      <c r="CF36" s="89"/>
      <c r="CG36" s="9">
        <f t="shared" si="58"/>
        <v>44</v>
      </c>
      <c r="CH36" s="11">
        <f>IF(CG36&lt;RAF,ROUND(v^($CG36+FaktorAlter)*$H36*($B36*0.5*($P36+$P37)*(VLOOKUP(TRUNC(0.5*($Q36+$Q37),0),Männer!$AZ$9:$BD$95,5)+(0.5*($Q36+$Q37)-TRUNC(0.5*($Q36+$Q37),0))*(VLOOKUP(TRUNC(0.5*($Q36+$Q37)+1,0),Männer!$AZ$9:$BD$95,5)-VLOOKUP(TRUNC(0.5*($Q36+$Q37),0),Männer!$AZ$9:$BD$95,5)))+$C36*0.5*($CN36+$CN37)),RundDx),"")</f>
        <v>383</v>
      </c>
      <c r="CI36" s="11">
        <f>IF(CG36&lt;RAF,ROUND(SUM(CH36:INDEX(Dawy,RAF-BeginnAlter))+INDEX(Day,RAF-BeginnAlter+1)*INDEX(äwy,1),RundDx),"")</f>
        <v>9080</v>
      </c>
      <c r="CJ36" s="11">
        <f>IF(CG36&lt;RAF,ROUND(SUM(CI36:INDEX(Nawy,RAF-BeginnAlter))+INDEX(Day,RAF-BeginnAlter+1)*INDEX(äwy,1),RundDx),"")</f>
        <v>109501</v>
      </c>
      <c r="CK36" s="10">
        <f t="shared" si="22"/>
        <v>0.255</v>
      </c>
      <c r="CL36" s="11">
        <f>IF(CG36&lt;RAF,ROUND(v^($CG36+FaktorAlter)*$L36*$D36*0.5*($P36+$P37)*(VLOOKUP(TRUNC(0.5*($Q36+$Q37),0),Männer!$AZ$9:$BD$95,5)+(0.5*($Q36+$Q37)-TRUNC(0.5*($Q36+$Q37),0))*(VLOOKUP(TRUNC(0.5*($Q36+$Q37)+1,0),Männer!$AZ$9:$BD$95,5)-VLOOKUP(TRUNC(0.5*($Q36+$Q37),0),Männer!$AZ$9:$BD$95,5))),RundDx),"")</f>
        <v>6729</v>
      </c>
      <c r="CM36" s="11">
        <f>IF(CG36&lt;RAF,SUM(CL36:INDEX(Diwy,RAF-BeginnAlter))+INDEX(Diy,RAF-BeginnAlter+1)*INDEX(äwy,1),"")</f>
        <v>66587.304000000004</v>
      </c>
      <c r="CN36" s="10">
        <f t="shared" si="23"/>
        <v>1.2989999999999999</v>
      </c>
      <c r="CO36" s="89"/>
      <c r="CP36" s="9">
        <f t="shared" si="59"/>
        <v>91</v>
      </c>
      <c r="CQ36" s="11">
        <f>ROUND(v^($CP36+FaktorAlter)*VLOOKUP(CP36,G$9:J$102,4)*VLOOKUP(CP36,A$9:E$102,5)*0.5*(VLOOKUP(CP36,O$9:P$102,2)+VLOOKUP(CP36+1,O$9:P$102,2))*(VLOOKUP(TRUNC(0.5*(VLOOKUP(CP36,O$9:Q$102,3)+VLOOKUP(CP36+1,O$9:Q$102,3)),0),Männer!$AZ$9:$BD$95,5)+(0.5*(VLOOKUP(CP36,O$9:Q$102,3)+VLOOKUP(CP36+1,O$9:Q$102,3))-TRUNC(0.5*(VLOOKUP(CP36,O$9:Q$102,3)+VLOOKUP(CP36+1,O$9:Q$102,3)),0))*(VLOOKUP(TRUNC(0.5*(VLOOKUP(CP36,O$9:Q$102,3)+VLOOKUP(CP36+1,O$9:Q$102,3))+1,0),Männer!$AZ$9:$BD$95,5)-VLOOKUP(TRUNC(0.5*(VLOOKUP(CP36,O$9:Q$102,3)+VLOOKUP(CP36+1,O$9:Q$102,3)),0),Männer!$AZ$9:$BD$95,5))),RundDx)</f>
        <v>7</v>
      </c>
      <c r="CR36" s="11">
        <f>SUM(CQ36:CQ$56)</f>
        <v>24</v>
      </c>
      <c r="CS36" s="24">
        <f t="shared" si="24"/>
        <v>7.0000000000000001E-3</v>
      </c>
      <c r="CT36" s="89"/>
      <c r="CU36" s="35">
        <f t="shared" si="60"/>
        <v>44</v>
      </c>
      <c r="CV36" s="25">
        <f>IF($CU36&gt;=RAF,"",IF($CU36-CV$103&lt;BeginnAlter,"",ROUND(v^($CU36+FaktorAlter)*$L36*$D36*0.5*(VLOOKUP($CU36-CV$103,Männer!$G$9:$J$102,4)+VLOOKUP($CU36-CV$103+1,Männer!$G$9:$J$102,4))*0.5*(VLOOKUP($CU36-CV$103,Männer!$AZ$9:$BD$102,5)+VLOOKUP($CU36-CV$103+1,Männer!$AZ$9:$BD$102,5)),RundDx)))</f>
        <v>1418682477</v>
      </c>
      <c r="CW36" s="25">
        <f>IF($CU36&gt;=RAF,"",IF($CU36-CW$103&lt;BeginnAlter,"",ROUND(v^($CU36+FaktorAlter)*$L36*$D36*0.5*(VLOOKUP($CU36-CW$103,Männer!$G$9:$J$102,4)+VLOOKUP($CU36-CW$103+1,Männer!$G$9:$J$102,4))*0.5*(VLOOKUP($CU36-CW$103,Männer!$AZ$9:$BD$102,5)+VLOOKUP($CU36-CW$103+1,Männer!$AZ$9:$BD$102,5)),RundDx)))</f>
        <v>1476589428</v>
      </c>
      <c r="CX36" s="25">
        <f>IF($CU36&gt;=RAF,"",IF($CU36-CX$103&lt;BeginnAlter,"",ROUND(v^($CU36+FaktorAlter)*$L36*$D36*0.5*(VLOOKUP($CU36-CX$103,Männer!$G$9:$J$102,4)+VLOOKUP($CU36-CX$103+1,Männer!$G$9:$J$102,4))*0.5*(VLOOKUP($CU36-CX$103,Männer!$AZ$9:$BD$102,5)+VLOOKUP($CU36-CX$103+1,Männer!$AZ$9:$BD$102,5)),RundDx)))</f>
        <v>1535423549</v>
      </c>
      <c r="CY36" s="25">
        <f>IF($CU36&gt;=RAF,"",IF($CU36-CY$103&lt;BeginnAlter,"",ROUND(v^($CU36+FaktorAlter)*$L36*$D36*0.5*(VLOOKUP($CU36-CY$103,Männer!$G$9:$J$102,4)+VLOOKUP($CU36-CY$103+1,Männer!$G$9:$J$102,4))*0.5*(VLOOKUP($CU36-CY$103,Männer!$AZ$9:$BD$102,5)+VLOOKUP($CU36-CY$103+1,Männer!$AZ$9:$BD$102,5)),RundDx)))</f>
        <v>1595168456</v>
      </c>
      <c r="CZ36" s="25">
        <f>IF($CU36&gt;=RAF,"",IF($CU36-CZ$103&lt;BeginnAlter,"",ROUND(v^($CU36+FaktorAlter)*$L36*$D36*0.5*(VLOOKUP($CU36-CZ$103,Männer!$G$9:$J$102,4)+VLOOKUP($CU36-CZ$103+1,Männer!$G$9:$J$102,4))*0.5*(VLOOKUP($CU36-CZ$103,Männer!$AZ$9:$BD$102,5)+VLOOKUP($CU36-CZ$103+1,Männer!$AZ$9:$BD$102,5)),RundDx)))</f>
        <v>1654948008</v>
      </c>
      <c r="DA36" s="25">
        <f>IF($CU36&gt;=RAF,"",IF($CU36-DA$103&lt;BeginnAlter,"",ROUND(v^($CU36+FaktorAlter)*$L36*$D36*0.5*(VLOOKUP($CU36-DA$103,Männer!$G$9:$J$102,4)+VLOOKUP($CU36-DA$103+1,Männer!$G$9:$J$102,4))*0.5*(VLOOKUP($CU36-DA$103,Männer!$AZ$9:$BD$102,5)+VLOOKUP($CU36-DA$103+1,Männer!$AZ$9:$BD$102,5)),RundDx)))</f>
        <v>1713828180</v>
      </c>
      <c r="DB36" s="25">
        <f>IF($CU36&gt;=RAF,"",IF($CU36-DB$103&lt;BeginnAlter,"",ROUND(v^($CU36+FaktorAlter)*$L36*$D36*0.5*(VLOOKUP($CU36-DB$103,Männer!$G$9:$J$102,4)+VLOOKUP($CU36-DB$103+1,Männer!$G$9:$J$102,4))*0.5*(VLOOKUP($CU36-DB$103,Männer!$AZ$9:$BD$102,5)+VLOOKUP($CU36-DB$103+1,Männer!$AZ$9:$BD$102,5)),RundDx)))</f>
        <v>1771818886</v>
      </c>
      <c r="DC36" s="25">
        <f>IF($CU36&gt;=RAF,"",IF($CU36-DC$103&lt;BeginnAlter,"",ROUND(v^($CU36+FaktorAlter)*$L36*$D36*0.5*(VLOOKUP($CU36-DC$103,Männer!$G$9:$J$102,4)+VLOOKUP($CU36-DC$103+1,Männer!$G$9:$J$102,4))*0.5*(VLOOKUP($CU36-DC$103,Männer!$AZ$9:$BD$102,5)+VLOOKUP($CU36-DC$103+1,Männer!$AZ$9:$BD$102,5)),RundDx)))</f>
        <v>1828928879</v>
      </c>
      <c r="DD36" s="25">
        <f>IF($CU36&gt;=RAF,"",IF($CU36-DD$103&lt;BeginnAlter,"",ROUND(v^($CU36+FaktorAlter)*$L36*$D36*0.5*(VLOOKUP($CU36-DD$103,Männer!$G$9:$J$102,4)+VLOOKUP($CU36-DD$103+1,Männer!$G$9:$J$102,4))*0.5*(VLOOKUP($CU36-DD$103,Männer!$AZ$9:$BD$102,5)+VLOOKUP($CU36-DD$103+1,Männer!$AZ$9:$BD$102,5)),RundDx)))</f>
        <v>1885055545</v>
      </c>
      <c r="DE36" s="25">
        <f>IF($CU36&gt;=RAF,"",IF($CU36-DE$103&lt;BeginnAlter,"",ROUND(v^($CU36+FaktorAlter)*$L36*$D36*0.5*(VLOOKUP($CU36-DE$103,Männer!$G$9:$J$102,4)+VLOOKUP($CU36-DE$103+1,Männer!$G$9:$J$102,4))*0.5*(VLOOKUP($CU36-DE$103,Männer!$AZ$9:$BD$102,5)+VLOOKUP($CU36-DE$103+1,Männer!$AZ$9:$BD$102,5)),RundDx)))</f>
        <v>1940205109</v>
      </c>
      <c r="DF36" s="25">
        <f>IF($CU36&gt;=RAF,"",IF($CU36-DF$103&lt;BeginnAlter,"",ROUND(v^($CU36+FaktorAlter)*$L36*$D36*0.5*(VLOOKUP($CU36-DF$103,Männer!$G$9:$J$102,4)+VLOOKUP($CU36-DF$103+1,Männer!$G$9:$J$102,4))*0.5*(VLOOKUP($CU36-DF$103,Männer!$AZ$9:$BD$102,5)+VLOOKUP($CU36-DF$103+1,Männer!$AZ$9:$BD$102,5)),RundDx)))</f>
        <v>1994462947</v>
      </c>
      <c r="DG36" s="25">
        <f>IF($CU36&gt;=RAF,"",IF($CU36-DG$103&lt;BeginnAlter,"",ROUND(v^($CU36+FaktorAlter)*$L36*$D36*0.5*(VLOOKUP($CU36-DG$103,Männer!$G$9:$J$102,4)+VLOOKUP($CU36-DG$103+1,Männer!$G$9:$J$102,4))*0.5*(VLOOKUP($CU36-DG$103,Männer!$AZ$9:$BD$102,5)+VLOOKUP($CU36-DG$103+1,Männer!$AZ$9:$BD$102,5)),RundDx)))</f>
        <v>2047794140</v>
      </c>
      <c r="DH36" s="25">
        <f>IF($CU36&gt;=RAF,"",IF($CU36-DH$103&lt;BeginnAlter,"",ROUND(v^($CU36+FaktorAlter)*$L36*$D36*0.5*(VLOOKUP($CU36-DH$103,Männer!$G$9:$J$102,4)+VLOOKUP($CU36-DH$103+1,Männer!$G$9:$J$102,4))*0.5*(VLOOKUP($CU36-DH$103,Männer!$AZ$9:$BD$102,5)+VLOOKUP($CU36-DH$103+1,Männer!$AZ$9:$BD$102,5)),RundDx)))</f>
        <v>2100141615</v>
      </c>
      <c r="DI36" s="25">
        <f>IF($CU36&gt;=RAF,"",IF($CU36-DI$103&lt;BeginnAlter,"",ROUND(v^($CU36+FaktorAlter)*$L36*$D36*0.5*(VLOOKUP($CU36-DI$103,Männer!$G$9:$J$102,4)+VLOOKUP($CU36-DI$103+1,Männer!$G$9:$J$102,4))*0.5*(VLOOKUP($CU36-DI$103,Männer!$AZ$9:$BD$102,5)+VLOOKUP($CU36-DI$103+1,Männer!$AZ$9:$BD$102,5)),RundDx)))</f>
        <v>2151570047</v>
      </c>
      <c r="DJ36" s="25">
        <f>IF($CU36&gt;=RAF,"",IF($CU36-DJ$103&lt;BeginnAlter,"",ROUND(v^($CU36+FaktorAlter)*$L36*$D36*0.5*(VLOOKUP($CU36-DJ$103,Männer!$G$9:$J$102,4)+VLOOKUP($CU36-DJ$103+1,Männer!$G$9:$J$102,4))*0.5*(VLOOKUP($CU36-DJ$103,Männer!$AZ$9:$BD$102,5)+VLOOKUP($CU36-DJ$103+1,Männer!$AZ$9:$BD$102,5)),RundDx)))</f>
        <v>2202077081</v>
      </c>
      <c r="DK36" s="25">
        <f>IF($CU36&gt;=RAF,"",IF($CU36-DK$103&lt;BeginnAlter,"",ROUND(v^($CU36+FaktorAlter)*$L36*$D36*0.5*(VLOOKUP($CU36-DK$103,Männer!$G$9:$J$102,4)+VLOOKUP($CU36-DK$103+1,Männer!$G$9:$J$102,4))*0.5*(VLOOKUP($CU36-DK$103,Männer!$AZ$9:$BD$102,5)+VLOOKUP($CU36-DK$103+1,Männer!$AZ$9:$BD$102,5)),RundDx)))</f>
        <v>2251662920</v>
      </c>
      <c r="DL36" s="25">
        <f>IF($CU36&gt;=RAF,"",IF($CU36-DL$103&lt;BeginnAlter,"",ROUND(v^($CU36+FaktorAlter)*$L36*$D36*0.5*(VLOOKUP($CU36-DL$103,Männer!$G$9:$J$102,4)+VLOOKUP($CU36-DL$103+1,Männer!$G$9:$J$102,4))*0.5*(VLOOKUP($CU36-DL$103,Männer!$AZ$9:$BD$102,5)+VLOOKUP($CU36-DL$103+1,Männer!$AZ$9:$BD$102,5)),RundDx)))</f>
        <v>2300306721</v>
      </c>
      <c r="DM36" s="25">
        <f>IF($CU36&gt;=RAF,"",IF($CU36-DM$103&lt;BeginnAlter,"",ROUND(v^($CU36+FaktorAlter)*$L36*$D36*0.5*(VLOOKUP($CU36-DM$103,Männer!$G$9:$J$102,4)+VLOOKUP($CU36-DM$103+1,Männer!$G$9:$J$102,4))*0.5*(VLOOKUP($CU36-DM$103,Männer!$AZ$9:$BD$102,5)+VLOOKUP($CU36-DM$103+1,Männer!$AZ$9:$BD$102,5)),RundDx)))</f>
        <v>2348061934</v>
      </c>
      <c r="DN36" s="25">
        <f>IF($CU36&gt;=RAF,"",IF($CU36-DN$103&lt;BeginnAlter,"",ROUND(v^($CU36+FaktorAlter)*$L36*$D36*0.5*(VLOOKUP($CU36-DN$103,Männer!$G$9:$J$102,4)+VLOOKUP($CU36-DN$103+1,Männer!$G$9:$J$102,4))*0.5*(VLOOKUP($CU36-DN$103,Männer!$AZ$9:$BD$102,5)+VLOOKUP($CU36-DN$103+1,Männer!$AZ$9:$BD$102,5)),RundDx)))</f>
        <v>2394972464</v>
      </c>
      <c r="DO36" s="25">
        <f>IF($CU36&gt;=RAF,"",IF($CU36-DO$103&lt;BeginnAlter,"",ROUND(v^($CU36+FaktorAlter)*$L36*$D36*0.5*(VLOOKUP($CU36-DO$103,Männer!$G$9:$J$102,4)+VLOOKUP($CU36-DO$103+1,Männer!$G$9:$J$102,4))*0.5*(VLOOKUP($CU36-DO$103,Männer!$AZ$9:$BD$102,5)+VLOOKUP($CU36-DO$103+1,Männer!$AZ$9:$BD$102,5)),RundDx)))</f>
        <v>2440959290</v>
      </c>
      <c r="DP36" s="25">
        <f>IF($CU36&gt;=RAF,"",IF($CU36-DP$103&lt;BeginnAlter,"",ROUND(v^($CU36+FaktorAlter)*$L36*$D36*0.5*(VLOOKUP($CU36-DP$103,Männer!$G$9:$J$102,4)+VLOOKUP($CU36-DP$103+1,Männer!$G$9:$J$102,4))*0.5*(VLOOKUP($CU36-DP$103,Männer!$AZ$9:$BD$102,5)+VLOOKUP($CU36-DP$103+1,Männer!$AZ$9:$BD$102,5)),RundDx)))</f>
        <v>2486017938</v>
      </c>
      <c r="DQ36" s="25">
        <f>IF($CU36&gt;=RAF,"",IF($CU36-DQ$103&lt;BeginnAlter,"",ROUND(v^($CU36+FaktorAlter)*$L36*$D36*0.5*(VLOOKUP($CU36-DQ$103,Männer!$G$9:$J$102,4)+VLOOKUP($CU36-DQ$103+1,Männer!$G$9:$J$102,4))*0.5*(VLOOKUP($CU36-DQ$103,Männer!$AZ$9:$BD$102,5)+VLOOKUP($CU36-DQ$103+1,Männer!$AZ$9:$BD$102,5)),RundDx)))</f>
        <v>2530282464</v>
      </c>
      <c r="DR36" s="25">
        <f>IF($CU36&gt;=RAF,"",IF($CU36-DR$103&lt;BeginnAlter,"",ROUND(v^($CU36+FaktorAlter)*$L36*$D36*0.5*(VLOOKUP($CU36-DR$103,Männer!$G$9:$J$102,4)+VLOOKUP($CU36-DR$103+1,Männer!$G$9:$J$102,4))*0.5*(VLOOKUP($CU36-DR$103,Männer!$AZ$9:$BD$102,5)+VLOOKUP($CU36-DR$103+1,Männer!$AZ$9:$BD$102,5)),RundDx)))</f>
        <v>2573700879</v>
      </c>
      <c r="DS36" s="25">
        <f>IF($CU36&gt;=RAF,"",IF($CU36-DS$103&lt;BeginnAlter,"",ROUND(v^($CU36+FaktorAlter)*$L36*$D36*0.5*(VLOOKUP($CU36-DS$103,Männer!$G$9:$J$102,4)+VLOOKUP($CU36-DS$103+1,Männer!$G$9:$J$102,4))*0.5*(VLOOKUP($CU36-DS$103,Männer!$AZ$9:$BD$102,5)+VLOOKUP($CU36-DS$103+1,Männer!$AZ$9:$BD$102,5)),RundDx)))</f>
        <v>2616235439</v>
      </c>
      <c r="DT36" s="25">
        <f>IF($CU36&gt;=RAF,"",IF($CU36-DT$103&lt;BeginnAlter,"",ROUND(v^($CU36+FaktorAlter)*$L36*$D36*0.5*(VLOOKUP($CU36-DT$103,Männer!$G$9:$J$102,4)+VLOOKUP($CU36-DT$103+1,Männer!$G$9:$J$102,4))*0.5*(VLOOKUP($CU36-DT$103,Männer!$AZ$9:$BD$102,5)+VLOOKUP($CU36-DT$103+1,Männer!$AZ$9:$BD$102,5)),RundDx)))</f>
        <v>2657973806</v>
      </c>
      <c r="DU36" s="25">
        <f>IF($CU36&gt;=RAF,"",IF($CU36-DU$103&lt;BeginnAlter,"",ROUND(v^($CU36+FaktorAlter)*$L36*$D36*0.5*(VLOOKUP($CU36-DU$103,Männer!$G$9:$J$102,4)+VLOOKUP($CU36-DU$103+1,Männer!$G$9:$J$102,4))*0.5*(VLOOKUP($CU36-DU$103,Männer!$AZ$9:$BD$102,5)+VLOOKUP($CU36-DU$103+1,Männer!$AZ$9:$BD$102,5)),RundDx)))</f>
        <v>2698853746</v>
      </c>
      <c r="DV36" s="25">
        <f>IF($CU36&gt;=RAF,"",IF($CU36-DV$103&lt;BeginnAlter,"",ROUND(v^($CU36+FaktorAlter)*$L36*$D36*0.5*(VLOOKUP($CU36-DV$103,Männer!$G$9:$J$102,4)+VLOOKUP($CU36-DV$103+1,Männer!$G$9:$J$102,4))*0.5*(VLOOKUP($CU36-DV$103,Männer!$AZ$9:$BD$102,5)+VLOOKUP($CU36-DV$103+1,Männer!$AZ$9:$BD$102,5)),RundDx)))</f>
        <v>2738904952</v>
      </c>
      <c r="DW36" s="25">
        <f>IF($CU36&gt;=RAF,"",IF($CU36-DW$103&lt;BeginnAlter,"",ROUND(v^($CU36+FaktorAlter)*$L36*$D36*0.5*(VLOOKUP($CU36-DW$103,Männer!$G$9:$J$102,4)+VLOOKUP($CU36-DW$103+1,Männer!$G$9:$J$102,4))*0.5*(VLOOKUP($CU36-DW$103,Männer!$AZ$9:$BD$102,5)+VLOOKUP($CU36-DW$103+1,Männer!$AZ$9:$BD$102,5)),RundDx)))</f>
        <v>2778159729</v>
      </c>
      <c r="DX36" s="25">
        <f>IF($CU36&gt;=RAF,"",IF($CU36-DX$103&lt;BeginnAlter,"",ROUND(v^($CU36+FaktorAlter)*$L36*$D36*0.5*(VLOOKUP($CU36-DX$103,Männer!$G$9:$J$102,4)+VLOOKUP($CU36-DX$103+1,Männer!$G$9:$J$102,4))*0.5*(VLOOKUP($CU36-DX$103,Männer!$AZ$9:$BD$102,5)+VLOOKUP($CU36-DX$103+1,Männer!$AZ$9:$BD$102,5)),RundDx)))</f>
        <v>2816638684</v>
      </c>
      <c r="DY36" s="25">
        <f>IF($CU36&gt;=RAF,"",IF($CU36-DY$103&lt;BeginnAlter,"",ROUND(v^($CU36+FaktorAlter)*$L36*$D36*0.5*(VLOOKUP($CU36-DY$103,Männer!$G$9:$J$102,4)+VLOOKUP($CU36-DY$103+1,Männer!$G$9:$J$102,4))*0.5*(VLOOKUP($CU36-DY$103,Männer!$AZ$9:$BD$102,5)+VLOOKUP($CU36-DY$103+1,Männer!$AZ$9:$BD$102,5)),RundDx)))</f>
        <v>2854349720</v>
      </c>
      <c r="DZ36" s="25">
        <f>IF($CU36&gt;=RAF,"",IF($CU36-DZ$103&lt;BeginnAlter,"",ROUND(v^($CU36+FaktorAlter)*$L36*$D36*0.5*(VLOOKUP($CU36-DZ$103,Männer!$G$9:$J$102,4)+VLOOKUP($CU36-DZ$103+1,Männer!$G$9:$J$102,4))*0.5*(VLOOKUP($CU36-DZ$103,Männer!$AZ$9:$BD$102,5)+VLOOKUP($CU36-DZ$103+1,Männer!$AZ$9:$BD$102,5)),RundDx)))</f>
        <v>2891280364</v>
      </c>
      <c r="EA36" s="43">
        <f>IF($CU36&gt;=RAF,"",IF($CU36-EA$103&lt;BeginnAlter,"",ROUND((SUM(CV36:CV$56)+SUM(FN$9:FN$56))/VLOOKUP($CU36,$AH$9:$AI$102,2)/VLOOKUP($CU36-EA$103,Männer!$G$9:$J$102,4),Rundäx)))</f>
        <v>2.9670000000000001</v>
      </c>
      <c r="EB36" s="43">
        <f>IF($CU36&gt;=RAF,"",IF($CU36-EB$103&lt;BeginnAlter,"",ROUND((SUM(CW36:CW$56)+SUM(FO$9:FO$56))/VLOOKUP($CU36,$AH$9:$AI$102,2)/VLOOKUP($CU36-EB$103,Männer!$G$9:$J$102,4),Rundäx)))</f>
        <v>3.1230000000000002</v>
      </c>
      <c r="EC36" s="43">
        <f>IF($CU36&gt;=RAF,"",IF($CU36-EC$103&lt;BeginnAlter,"",ROUND((SUM(CX36:CX$56)+SUM(FP$9:FP$56))/VLOOKUP($CU36,$AH$9:$AI$102,2)/VLOOKUP($CU36-EC$103,Männer!$G$9:$J$102,4),Rundäx)))</f>
        <v>3.2839999999999998</v>
      </c>
      <c r="ED36" s="43">
        <f>IF($CU36&gt;=RAF,"",IF($CU36-ED$103&lt;BeginnAlter,"",ROUND((SUM(CY36:CY$56)+SUM(FQ$9:FQ$56))/VLOOKUP($CU36,$AH$9:$AI$102,2)/VLOOKUP($CU36-ED$103,Männer!$G$9:$J$102,4),Rundäx)))</f>
        <v>3.45</v>
      </c>
      <c r="EE36" s="43">
        <f>IF($CU36&gt;=RAF,"",IF($CU36-EE$103&lt;BeginnAlter,"",ROUND((SUM(CZ36:CZ$56)+SUM(FR$9:FR$56))/VLOOKUP($CU36,$AH$9:$AI$102,2)/VLOOKUP($CU36-EE$103,Männer!$G$9:$J$102,4),Rundäx)))</f>
        <v>3.6230000000000002</v>
      </c>
      <c r="EF36" s="43">
        <f>IF($CU36&gt;=RAF,"",IF($CU36-EF$103&lt;BeginnAlter,"",ROUND((SUM(DA36:DA$56)+SUM(FS$9:FS$56))/VLOOKUP($CU36,$AH$9:$AI$102,2)/VLOOKUP($CU36-EF$103,Männer!$G$9:$J$102,4),Rundäx)))</f>
        <v>3.8</v>
      </c>
      <c r="EG36" s="43">
        <f>IF($CU36&gt;=RAF,"",IF($CU36-EG$103&lt;BeginnAlter,"",ROUND((SUM(DB36:DB$56)+SUM(FT$9:FT$56))/VLOOKUP($CU36,$AH$9:$AI$102,2)/VLOOKUP($CU36-EG$103,Männer!$G$9:$J$102,4),Rundäx)))</f>
        <v>3.9820000000000002</v>
      </c>
      <c r="EH36" s="43">
        <f>IF($CU36&gt;=RAF,"",IF($CU36-EH$103&lt;BeginnAlter,"",ROUND((SUM(DC36:DC$56)+SUM(FU$9:FU$56))/VLOOKUP($CU36,$AH$9:$AI$102,2)/VLOOKUP($CU36-EH$103,Männer!$G$9:$J$102,4),Rundäx)))</f>
        <v>4.17</v>
      </c>
      <c r="EI36" s="89"/>
      <c r="EJ36" s="35">
        <f t="shared" si="61"/>
        <v>44</v>
      </c>
      <c r="EK36" s="43">
        <f>IF($CU36&gt;=RAF,"",IF($CU36-EK$103&lt;BeginnAlter,"",ROUND((SUM(DD36:DD$56)+SUM(FV$9:FV$56))/VLOOKUP($CU36,$AH$9:$AI$102,2)/VLOOKUP($CU36-EK$103,Männer!$G$9:$J$102,4),Rundäx)))</f>
        <v>4.3620000000000001</v>
      </c>
      <c r="EL36" s="43">
        <f>IF($CU36&gt;=RAF,"",IF($CU36-EL$103&lt;BeginnAlter,"",ROUND((SUM(DE36:DE$56)+SUM(FW$9:FW$56))/VLOOKUP($CU36,$AH$9:$AI$102,2)/VLOOKUP($CU36-EL$103,Männer!$G$9:$J$102,4),Rundäx)))</f>
        <v>4.5590000000000002</v>
      </c>
      <c r="EM36" s="43">
        <f>IF($CU36&gt;=RAF,"",IF($CU36-EM$103&lt;BeginnAlter,"",ROUND((SUM(DF36:DF$56)+SUM(FX$9:FX$56))/VLOOKUP($CU36,$AH$9:$AI$102,2)/VLOOKUP($CU36-EM$103,Männer!$G$9:$J$102,4),Rundäx)))</f>
        <v>4.76</v>
      </c>
      <c r="EN36" s="43">
        <f>IF($CU36&gt;=RAF,"",IF($CU36-EN$103&lt;BeginnAlter,"",ROUND((SUM(DG36:DG$56)+SUM(FY$9:FY$56))/VLOOKUP($CU36,$AH$9:$AI$102,2)/VLOOKUP($CU36-EN$103,Männer!$G$9:$J$102,4),Rundäx)))</f>
        <v>4.9660000000000002</v>
      </c>
      <c r="EO36" s="43">
        <f>IF($CU36&gt;=RAF,"",IF($CU36-EO$103&lt;BeginnAlter,"",ROUND((SUM(DH36:DH$56)+SUM(FZ$9:FZ$56))/VLOOKUP($CU36,$AH$9:$AI$102,2)/VLOOKUP($CU36-EO$103,Männer!$G$9:$J$102,4),Rundäx)))</f>
        <v>5.1769999999999996</v>
      </c>
      <c r="EP36" s="43">
        <f>IF($CU36&gt;=RAF,"",IF($CU36-EP$103&lt;BeginnAlter,"",ROUND((SUM(DI36:DI$56)+SUM(GA$9:GA$56))/VLOOKUP($CU36,$AH$9:$AI$102,2)/VLOOKUP($CU36-EP$103,Männer!$G$9:$J$102,4),Rundäx)))</f>
        <v>5.391</v>
      </c>
      <c r="EQ36" s="43">
        <f>IF($CU36&gt;=RAF,"",IF($CU36-EQ$103&lt;BeginnAlter,"",ROUND((SUM(DJ36:DJ$56)+SUM(GB$9:GB$56))/VLOOKUP($CU36,$AH$9:$AI$102,2)/VLOOKUP($CU36-EQ$103,Männer!$G$9:$J$102,4),Rundäx)))</f>
        <v>5.6109999999999998</v>
      </c>
      <c r="ER36" s="43">
        <f>IF($CU36&gt;=RAF,"",IF($CU36-ER$103&lt;BeginnAlter,"",ROUND((SUM(DK36:DK$56)+SUM(GC$9:GC$56))/VLOOKUP($CU36,$AH$9:$AI$102,2)/VLOOKUP($CU36-ER$103,Männer!$G$9:$J$102,4),Rundäx)))</f>
        <v>5.8339999999999996</v>
      </c>
      <c r="ES36" s="89"/>
      <c r="ET36" s="35">
        <f t="shared" si="62"/>
        <v>44</v>
      </c>
      <c r="EU36" s="43">
        <f>IF($CU36&gt;=RAF,"",IF($CU36-EU$103&lt;BeginnAlter,"",ROUND((SUM(DL36:DL$56)+SUM(GD$9:GD$56))/VLOOKUP($CU36,$AH$9:$AI$102,2)/VLOOKUP($CU36-EU$103,Männer!$G$9:$J$102,4),Rundäx)))</f>
        <v>6.0609999999999999</v>
      </c>
      <c r="EV36" s="43">
        <f>IF($CU36&gt;=RAF,"",IF($CU36-EV$103&lt;BeginnAlter,"",ROUND((SUM(DM36:DM$56)+SUM(GE$9:GE$56))/VLOOKUP($CU36,$AH$9:$AI$102,2)/VLOOKUP($CU36-EV$103,Männer!$G$9:$J$102,4),Rundäx)))</f>
        <v>6.2919999999999998</v>
      </c>
      <c r="EW36" s="43">
        <f>IF($CU36&gt;=RAF,"",IF($CU36-EW$103&lt;BeginnAlter,"",ROUND((SUM(DN36:DN$56)+SUM(GF$9:GF$56))/VLOOKUP($CU36,$AH$9:$AI$102,2)/VLOOKUP($CU36-EW$103,Männer!$G$9:$J$102,4),Rundäx)))</f>
        <v>6.5270000000000001</v>
      </c>
      <c r="EX36" s="43">
        <f>IF($CU36&gt;=RAF,"",IF($CU36-EX$103&lt;BeginnAlter,"",ROUND((SUM(DO36:DO$56)+SUM(GG$9:GG$56))/VLOOKUP($CU36,$AH$9:$AI$102,2)/VLOOKUP($CU36-EX$103,Männer!$G$9:$J$102,4),Rundäx)))</f>
        <v>6.7640000000000002</v>
      </c>
      <c r="EY36" s="43">
        <f>IF($CU36&gt;=RAF,"",IF($CU36-EY$103&lt;BeginnAlter,"",ROUND((SUM(DP36:DP$56)+SUM(GH$9:GH$56))/VLOOKUP($CU36,$AH$9:$AI$102,2)/VLOOKUP($CU36-EY$103,Männer!$G$9:$J$102,4),Rundäx)))</f>
        <v>7.0049999999999999</v>
      </c>
      <c r="EZ36" s="43">
        <f>IF($CU36&gt;=RAF,"",IF($CU36-EZ$103&lt;BeginnAlter,"",ROUND((SUM(DQ36:DQ$56)+SUM(GI$9:GI$56))/VLOOKUP($CU36,$AH$9:$AI$102,2)/VLOOKUP($CU36-EZ$103,Männer!$G$9:$J$102,4),Rundäx)))</f>
        <v>7.2480000000000002</v>
      </c>
      <c r="FA36" s="43">
        <f>IF($CU36&gt;=RAF,"",IF($CU36-FA$103&lt;BeginnAlter,"",ROUND((SUM(DR36:DR$56)+SUM(GJ$9:GJ$56))/VLOOKUP($CU36,$AH$9:$AI$102,2)/VLOOKUP($CU36-FA$103,Männer!$G$9:$J$102,4),Rundäx)))</f>
        <v>7.4930000000000003</v>
      </c>
      <c r="FB36" s="43">
        <f>IF($CU36&gt;=RAF,"",IF($CU36-FB$103&lt;BeginnAlter,"",ROUND((SUM(DS36:DS$56)+SUM(GK$9:GK$56))/VLOOKUP($CU36,$AH$9:$AI$102,2)/VLOOKUP($CU36-FB$103,Männer!$G$9:$J$102,4),Rundäx)))</f>
        <v>7.74</v>
      </c>
      <c r="FC36" s="89"/>
      <c r="FD36" s="35">
        <f t="shared" si="63"/>
        <v>44</v>
      </c>
      <c r="FE36" s="43">
        <f>IF($CU36&gt;=RAF,"",IF($CU36-FE$103&lt;BeginnAlter,"",ROUND((SUM(DT36:DT$56)+SUM(GL$9:GL$56))/VLOOKUP($CU36,$AH$9:$AI$102,2)/VLOOKUP($CU36-FE$103,Männer!$G$9:$J$102,4),Rundäx)))</f>
        <v>7.9880000000000004</v>
      </c>
      <c r="FF36" s="43">
        <f>IF($CU36&gt;=RAF,"",IF($CU36-FF$103&lt;BeginnAlter,"",ROUND((SUM(DU36:DU$56)+SUM(GM$9:GM$56))/VLOOKUP($CU36,$AH$9:$AI$102,2)/VLOOKUP($CU36-FF$103,Männer!$G$9:$J$102,4),Rundäx)))</f>
        <v>8.2379999999999995</v>
      </c>
      <c r="FG36" s="43">
        <f>IF($CU36&gt;=RAF,"",IF($CU36-FG$103&lt;BeginnAlter,"",ROUND((SUM(DV36:DV$56)+SUM(GN$9:GN$56))/VLOOKUP($CU36,$AH$9:$AI$102,2)/VLOOKUP($CU36-FG$103,Männer!$G$9:$J$102,4),Rundäx)))</f>
        <v>8.4879999999999995</v>
      </c>
      <c r="FH36" s="43">
        <f>IF($CU36&gt;=RAF,"",IF($CU36-FH$103&lt;BeginnAlter,"",ROUND((SUM(DW36:DW$56)+SUM(GO$9:GO$56))/VLOOKUP($CU36,$AH$9:$AI$102,2)/VLOOKUP($CU36-FH$103,Männer!$G$9:$J$102,4),Rundäx)))</f>
        <v>8.7379999999999995</v>
      </c>
      <c r="FI36" s="43">
        <f>IF($CU36&gt;=RAF,"",IF($CU36-FI$103&lt;BeginnAlter,"",ROUND((SUM(DX36:DX$56)+SUM(GP$9:GP$56))/VLOOKUP($CU36,$AH$9:$AI$102,2)/VLOOKUP($CU36-FI$103,Männer!$G$9:$J$102,4),Rundäx)))</f>
        <v>8.9879999999999995</v>
      </c>
      <c r="FJ36" s="43">
        <f>IF($CU36&gt;=RAF,"",IF($CU36-FJ$103&lt;BeginnAlter,"",ROUND((SUM(DY36:DY$56)+SUM(GQ$9:GQ$56))/VLOOKUP($CU36,$AH$9:$AI$102,2)/VLOOKUP($CU36-FJ$103,Männer!$G$9:$J$102,4),Rundäx)))</f>
        <v>9.2379999999999995</v>
      </c>
      <c r="FK36" s="43">
        <f>IF($CU36&gt;=RAF,"",IF($CU36-FK$103&lt;BeginnAlter,"",ROUND((SUM(DZ36:DZ$56)+SUM(GR$9:GR$56))/VLOOKUP($CU36,$AH$9:$AI$102,2)/VLOOKUP($CU36-FK$103,Männer!$G$9:$J$102,4),Rundäx)))</f>
        <v>9.4870000000000001</v>
      </c>
      <c r="FL36" s="89"/>
      <c r="FM36" s="35">
        <f t="shared" si="64"/>
        <v>91</v>
      </c>
      <c r="FN36" s="25"/>
      <c r="FO36" s="25"/>
      <c r="FP36" s="25"/>
      <c r="FQ36" s="25"/>
      <c r="FR36" s="25"/>
      <c r="FS36" s="25"/>
      <c r="FT36" s="25">
        <f>ROUND(v^($FM36+FaktorAlter)*VLOOKUP($FM36,$G$9:$J$102,4)*VLOOKUP($FM36,$A$9:$E$102,5)*0.5*(VLOOKUP($FM36-FT$103,Männer!$G$9:$J$102,4)+VLOOKUP($FM36-FT$103+1,Männer!$G$9:$J$102,4))*0.5*(VLOOKUP($FM36-FT$103,Männer!$AZ$9:$BD$102,5)+VLOOKUP($FM36-FT$103+1,Männer!$AZ$9:$BD$102,5)),RundDx)</f>
        <v>103067</v>
      </c>
      <c r="FU36" s="25">
        <f>ROUND(v^($FM36+FaktorAlter)*VLOOKUP($FM36,$G$9:$J$102,4)*VLOOKUP($FM36,$A$9:$E$102,5)*0.5*(VLOOKUP($FM36-FU$103,Männer!$G$9:$J$102,4)+VLOOKUP($FM36-FU$103+1,Männer!$G$9:$J$102,4))*0.5*(VLOOKUP($FM36-FU$103,Männer!$AZ$9:$BD$102,5)+VLOOKUP($FM36-FU$103+1,Männer!$AZ$9:$BD$102,5)),RundDx)</f>
        <v>271812</v>
      </c>
      <c r="FV36" s="25">
        <f>ROUND(v^($FM36+FaktorAlter)*VLOOKUP($FM36,$G$9:$J$102,4)*VLOOKUP($FM36,$A$9:$E$102,5)*0.5*(VLOOKUP($FM36-FV$103,Männer!$G$9:$J$102,4)+VLOOKUP($FM36-FV$103+1,Männer!$G$9:$J$102,4))*0.5*(VLOOKUP($FM36-FV$103,Männer!$AZ$9:$BD$102,5)+VLOOKUP($FM36-FV$103+1,Männer!$AZ$9:$BD$102,5)),RundDx)</f>
        <v>611461</v>
      </c>
      <c r="FW36" s="25">
        <f>ROUND(v^($FM36+FaktorAlter)*VLOOKUP($FM36,$G$9:$J$102,4)*VLOOKUP($FM36,$A$9:$E$102,5)*0.5*(VLOOKUP($FM36-FW$103,Männer!$G$9:$J$102,4)+VLOOKUP($FM36-FW$103+1,Männer!$G$9:$J$102,4))*0.5*(VLOOKUP($FM36-FW$103,Männer!$AZ$9:$BD$102,5)+VLOOKUP($FM36-FW$103+1,Männer!$AZ$9:$BD$102,5)),RundDx)</f>
        <v>1245298</v>
      </c>
      <c r="FX36" s="25">
        <f>ROUND(v^($FM36+FaktorAlter)*VLOOKUP($FM36,$G$9:$J$102,4)*VLOOKUP($FM36,$A$9:$E$102,5)*0.5*(VLOOKUP($FM36-FX$103,Männer!$G$9:$J$102,4)+VLOOKUP($FM36-FX$103+1,Männer!$G$9:$J$102,4))*0.5*(VLOOKUP($FM36-FX$103,Männer!$AZ$9:$BD$102,5)+VLOOKUP($FM36-FX$103+1,Männer!$AZ$9:$BD$102,5)),RundDx)</f>
        <v>2322451</v>
      </c>
      <c r="FY36" s="25">
        <f>ROUND(v^($FM36+FaktorAlter)*VLOOKUP($FM36,$G$9:$J$102,4)*VLOOKUP($FM36,$A$9:$E$102,5)*0.5*(VLOOKUP($FM36-FY$103,Männer!$G$9:$J$102,4)+VLOOKUP($FM36-FY$103+1,Männer!$G$9:$J$102,4))*0.5*(VLOOKUP($FM36-FY$103,Männer!$AZ$9:$BD$102,5)+VLOOKUP($FM36-FY$103+1,Männer!$AZ$9:$BD$102,5)),RundDx)</f>
        <v>4019810</v>
      </c>
      <c r="FZ36" s="25">
        <f>ROUND(v^($FM36+FaktorAlter)*VLOOKUP($FM36,$G$9:$J$102,4)*VLOOKUP($FM36,$A$9:$E$102,5)*0.5*(VLOOKUP($FM36-FZ$103,Männer!$G$9:$J$102,4)+VLOOKUP($FM36-FZ$103+1,Männer!$G$9:$J$102,4))*0.5*(VLOOKUP($FM36-FZ$103,Männer!$AZ$9:$BD$102,5)+VLOOKUP($FM36-FZ$103+1,Männer!$AZ$9:$BD$102,5)),RundDx)</f>
        <v>6533585</v>
      </c>
      <c r="GA36" s="25">
        <f>ROUND(v^($FM36+FaktorAlter)*VLOOKUP($FM36,$G$9:$J$102,4)*VLOOKUP($FM36,$A$9:$E$102,5)*0.5*(VLOOKUP($FM36-GA$103,Männer!$G$9:$J$102,4)+VLOOKUP($FM36-GA$103+1,Männer!$G$9:$J$102,4))*0.5*(VLOOKUP($FM36-GA$103,Männer!$AZ$9:$BD$102,5)+VLOOKUP($FM36-GA$103+1,Männer!$AZ$9:$BD$102,5)),RundDx)</f>
        <v>10054494</v>
      </c>
      <c r="GB36" s="25">
        <f>ROUND(v^($FM36+FaktorAlter)*VLOOKUP($FM36,$G$9:$J$102,4)*VLOOKUP($FM36,$A$9:$E$102,5)*0.5*(VLOOKUP($FM36-GB$103,Männer!$G$9:$J$102,4)+VLOOKUP($FM36-GB$103+1,Männer!$G$9:$J$102,4))*0.5*(VLOOKUP($FM36-GB$103,Männer!$AZ$9:$BD$102,5)+VLOOKUP($FM36-GB$103+1,Männer!$AZ$9:$BD$102,5)),RundDx)</f>
        <v>14783574</v>
      </c>
      <c r="GC36" s="25">
        <f>ROUND(v^($FM36+FaktorAlter)*VLOOKUP($FM36,$G$9:$J$102,4)*VLOOKUP($FM36,$A$9:$E$102,5)*0.5*(VLOOKUP($FM36-GC$103,Männer!$G$9:$J$102,4)+VLOOKUP($FM36-GC$103+1,Männer!$G$9:$J$102,4))*0.5*(VLOOKUP($FM36-GC$103,Männer!$AZ$9:$BD$102,5)+VLOOKUP($FM36-GC$103+1,Männer!$AZ$9:$BD$102,5)),RundDx)</f>
        <v>20903629</v>
      </c>
      <c r="GD36" s="25">
        <f>ROUND(v^($FM36+FaktorAlter)*VLOOKUP($FM36,$G$9:$J$102,4)*VLOOKUP($FM36,$A$9:$E$102,5)*0.5*(VLOOKUP($FM36-GD$103,Männer!$G$9:$J$102,4)+VLOOKUP($FM36-GD$103+1,Männer!$G$9:$J$102,4))*0.5*(VLOOKUP($FM36-GD$103,Männer!$AZ$9:$BD$102,5)+VLOOKUP($FM36-GD$103+1,Männer!$AZ$9:$BD$102,5)),RundDx)</f>
        <v>28548780</v>
      </c>
      <c r="GE36" s="25">
        <f>ROUND(v^($FM36+FaktorAlter)*VLOOKUP($FM36,$G$9:$J$102,4)*VLOOKUP($FM36,$A$9:$E$102,5)*0.5*(VLOOKUP($FM36-GE$103,Männer!$G$9:$J$102,4)+VLOOKUP($FM36-GE$103+1,Männer!$G$9:$J$102,4))*0.5*(VLOOKUP($FM36-GE$103,Männer!$AZ$9:$BD$102,5)+VLOOKUP($FM36-GE$103+1,Männer!$AZ$9:$BD$102,5)),RundDx)</f>
        <v>37822452</v>
      </c>
      <c r="GF36" s="25">
        <f>ROUND(v^($FM36+FaktorAlter)*VLOOKUP($FM36,$G$9:$J$102,4)*VLOOKUP($FM36,$A$9:$E$102,5)*0.5*(VLOOKUP($FM36-GF$103,Männer!$G$9:$J$102,4)+VLOOKUP($FM36-GF$103+1,Männer!$G$9:$J$102,4))*0.5*(VLOOKUP($FM36-GF$103,Männer!$AZ$9:$BD$102,5)+VLOOKUP($FM36-GF$103+1,Männer!$AZ$9:$BD$102,5)),RundDx)</f>
        <v>48778017</v>
      </c>
      <c r="GG36" s="25">
        <f>ROUND(v^($FM36+FaktorAlter)*VLOOKUP($FM36,$G$9:$J$102,4)*VLOOKUP($FM36,$A$9:$E$102,5)*0.5*(VLOOKUP($FM36-GG$103,Männer!$G$9:$J$102,4)+VLOOKUP($FM36-GG$103+1,Männer!$G$9:$J$102,4))*0.5*(VLOOKUP($FM36-GG$103,Männer!$AZ$9:$BD$102,5)+VLOOKUP($FM36-GG$103+1,Männer!$AZ$9:$BD$102,5)),RundDx)</f>
        <v>61375422</v>
      </c>
      <c r="GH36" s="25">
        <f>ROUND(v^($FM36+FaktorAlter)*VLOOKUP($FM36,$G$9:$J$102,4)*VLOOKUP($FM36,$A$9:$E$102,5)*0.5*(VLOOKUP($FM36-GH$103,Männer!$G$9:$J$102,4)+VLOOKUP($FM36-GH$103+1,Männer!$G$9:$J$102,4))*0.5*(VLOOKUP($FM36-GH$103,Männer!$AZ$9:$BD$102,5)+VLOOKUP($FM36-GH$103+1,Männer!$AZ$9:$BD$102,5)),RundDx)</f>
        <v>75535038</v>
      </c>
      <c r="GI36" s="25">
        <f>ROUND(v^($FM36+FaktorAlter)*VLOOKUP($FM36,$G$9:$J$102,4)*VLOOKUP($FM36,$A$9:$E$102,5)*0.5*(VLOOKUP($FM36-GI$103,Männer!$G$9:$J$102,4)+VLOOKUP($FM36-GI$103+1,Männer!$G$9:$J$102,4))*0.5*(VLOOKUP($FM36-GI$103,Männer!$AZ$9:$BD$102,5)+VLOOKUP($FM36-GI$103+1,Männer!$AZ$9:$BD$102,5)),RundDx)</f>
        <v>91216509</v>
      </c>
      <c r="GJ36" s="25">
        <f>ROUND(v^($FM36+FaktorAlter)*VLOOKUP($FM36,$G$9:$J$102,4)*VLOOKUP($FM36,$A$9:$E$102,5)*0.5*(VLOOKUP($FM36-GJ$103,Männer!$G$9:$J$102,4)+VLOOKUP($FM36-GJ$103+1,Männer!$G$9:$J$102,4))*0.5*(VLOOKUP($FM36-GJ$103,Männer!$AZ$9:$BD$102,5)+VLOOKUP($FM36-GJ$103+1,Männer!$AZ$9:$BD$102,5)),RundDx)</f>
        <v>108366822</v>
      </c>
      <c r="GK36" s="25">
        <f>ROUND(v^($FM36+FaktorAlter)*VLOOKUP($FM36,$G$9:$J$102,4)*VLOOKUP($FM36,$A$9:$E$102,5)*0.5*(VLOOKUP($FM36-GK$103,Männer!$G$9:$J$102,4)+VLOOKUP($FM36-GK$103+1,Männer!$G$9:$J$102,4))*0.5*(VLOOKUP($FM36-GK$103,Männer!$AZ$9:$BD$102,5)+VLOOKUP($FM36-GK$103+1,Männer!$AZ$9:$BD$102,5)),RundDx)</f>
        <v>126897500</v>
      </c>
      <c r="GL36" s="25">
        <f>ROUND(v^($FM36+FaktorAlter)*VLOOKUP($FM36,$G$9:$J$102,4)*VLOOKUP($FM36,$A$9:$E$102,5)*0.5*(VLOOKUP($FM36-GL$103,Männer!$G$9:$J$102,4)+VLOOKUP($FM36-GL$103+1,Männer!$G$9:$J$102,4))*0.5*(VLOOKUP($FM36-GL$103,Männer!$AZ$9:$BD$102,5)+VLOOKUP($FM36-GL$103+1,Männer!$AZ$9:$BD$102,5)),RundDx)</f>
        <v>146738978</v>
      </c>
      <c r="GM36" s="25">
        <f>ROUND(v^($FM36+FaktorAlter)*VLOOKUP($FM36,$G$9:$J$102,4)*VLOOKUP($FM36,$A$9:$E$102,5)*0.5*(VLOOKUP($FM36-GM$103,Männer!$G$9:$J$102,4)+VLOOKUP($FM36-GM$103+1,Männer!$G$9:$J$102,4))*0.5*(VLOOKUP($FM36-GM$103,Männer!$AZ$9:$BD$102,5)+VLOOKUP($FM36-GM$103+1,Männer!$AZ$9:$BD$102,5)),RundDx)</f>
        <v>167810953</v>
      </c>
      <c r="GN36" s="25">
        <f>ROUND(v^($FM36+FaktorAlter)*VLOOKUP($FM36,$G$9:$J$102,4)*VLOOKUP($FM36,$A$9:$E$102,5)*0.5*(VLOOKUP($FM36-GN$103,Männer!$G$9:$J$102,4)+VLOOKUP($FM36-GN$103+1,Männer!$G$9:$J$102,4))*0.5*(VLOOKUP($FM36-GN$103,Männer!$AZ$9:$BD$102,5)+VLOOKUP($FM36-GN$103+1,Männer!$AZ$9:$BD$102,5)),RundDx)</f>
        <v>190002195</v>
      </c>
      <c r="GO36" s="25">
        <f>ROUND(v^($FM36+FaktorAlter)*VLOOKUP($FM36,$G$9:$J$102,4)*VLOOKUP($FM36,$A$9:$E$102,5)*0.5*(VLOOKUP($FM36-GO$103,Männer!$G$9:$J$102,4)+VLOOKUP($FM36-GO$103+1,Männer!$G$9:$J$102,4))*0.5*(VLOOKUP($FM36-GO$103,Männer!$AZ$9:$BD$102,5)+VLOOKUP($FM36-GO$103+1,Männer!$AZ$9:$BD$102,5)),RundDx)</f>
        <v>213206122</v>
      </c>
      <c r="GP36" s="25">
        <f>ROUND(v^($FM36+FaktorAlter)*VLOOKUP($FM36,$G$9:$J$102,4)*VLOOKUP($FM36,$A$9:$E$102,5)*0.5*(VLOOKUP($FM36-GP$103,Männer!$G$9:$J$102,4)+VLOOKUP($FM36-GP$103+1,Männer!$G$9:$J$102,4))*0.5*(VLOOKUP($FM36-GP$103,Männer!$AZ$9:$BD$102,5)+VLOOKUP($FM36-GP$103+1,Männer!$AZ$9:$BD$102,5)),RundDx)</f>
        <v>237310833</v>
      </c>
      <c r="GQ36" s="25">
        <f>ROUND(v^($FM36+FaktorAlter)*VLOOKUP($FM36,$G$9:$J$102,4)*VLOOKUP($FM36,$A$9:$E$102,5)*0.5*(VLOOKUP($FM36-GQ$103,Männer!$G$9:$J$102,4)+VLOOKUP($FM36-GQ$103+1,Männer!$G$9:$J$102,4))*0.5*(VLOOKUP($FM36-GQ$103,Männer!$AZ$9:$BD$102,5)+VLOOKUP($FM36-GQ$103+1,Männer!$AZ$9:$BD$102,5)),RundDx)</f>
        <v>262195945</v>
      </c>
      <c r="GR36" s="25">
        <f>ROUND(v^($FM36+FaktorAlter)*VLOOKUP($FM36,$G$9:$J$102,4)*VLOOKUP($FM36,$A$9:$E$102,5)*0.5*(VLOOKUP($FM36-GR$103,Männer!$G$9:$J$102,4)+VLOOKUP($FM36-GR$103+1,Männer!$G$9:$J$102,4))*0.5*(VLOOKUP($FM36-GR$103,Männer!$AZ$9:$BD$102,5)+VLOOKUP($FM36-GR$103+1,Männer!$AZ$9:$BD$102,5)),RundDx)</f>
        <v>287727642</v>
      </c>
      <c r="GS36" s="24"/>
      <c r="GT36" s="24"/>
      <c r="GU36" s="24"/>
      <c r="GV36" s="24"/>
      <c r="GW36" s="24"/>
      <c r="GX36" s="24">
        <f>ROUND(SUM(FS36:FS$56)/VLOOKUP($FM36,$AQ$9:$AR$102,2)/VLOOKUP($FM36-GX$103,Männer!$G$9:$J$102,4),Rundäx)</f>
        <v>0</v>
      </c>
      <c r="GY36" s="24">
        <f>ROUND(SUM(FT36:FT$56)/VLOOKUP($FM36,$AQ$9:$AR$102,2)/VLOOKUP($FM36-GY$103,Männer!$G$9:$J$102,4),Rundäx)</f>
        <v>0.11600000000000001</v>
      </c>
      <c r="GZ36" s="24">
        <f>ROUND(SUM(FU36:FU$56)/VLOOKUP($FM36,$AQ$9:$AR$102,2)/VLOOKUP($FM36-GZ$103,Männer!$G$9:$J$102,4),Rundäx)</f>
        <v>0.192</v>
      </c>
      <c r="HA36" s="89"/>
      <c r="HB36" s="35">
        <f t="shared" si="65"/>
        <v>91</v>
      </c>
      <c r="HC36" s="24">
        <f>ROUND(SUM(FV36:FV$56)/VLOOKUP($FM36,$AQ$9:$AR$102,2)/VLOOKUP($FM36-HC$103,Männer!$G$9:$J$102,4),Rundäx)</f>
        <v>0.26</v>
      </c>
      <c r="HD36" s="24">
        <f>ROUND(SUM(FW36:FW$56)/VLOOKUP($FM36,$AQ$9:$AR$102,2)/VLOOKUP($FM36-HD$103,Männer!$G$9:$J$102,4),Rundäx)</f>
        <v>0.33200000000000002</v>
      </c>
      <c r="HE36" s="24">
        <f>ROUND(SUM(FX36:FX$56)/VLOOKUP($FM36,$AQ$9:$AR$102,2)/VLOOKUP($FM36-HE$103,Männer!$G$9:$J$102,4),Rundäx)</f>
        <v>0.41499999999999998</v>
      </c>
      <c r="HF36" s="24">
        <f>ROUND(SUM(FY36:FY$56)/VLOOKUP($FM36,$AQ$9:$AR$102,2)/VLOOKUP($FM36-HF$103,Männer!$G$9:$J$102,4),Rundäx)</f>
        <v>0.51</v>
      </c>
      <c r="HG36" s="24">
        <f>ROUND(SUM(FZ36:FZ$56)/VLOOKUP($FM36,$AQ$9:$AR$102,2)/VLOOKUP($FM36-HG$103,Männer!$G$9:$J$102,4),Rundäx)</f>
        <v>0.62</v>
      </c>
      <c r="HH36" s="24">
        <f>ROUND(SUM(GA36:GA$56)/VLOOKUP($FM36,$AQ$9:$AR$102,2)/VLOOKUP($FM36-HH$103,Männer!$G$9:$J$102,4),Rundäx)</f>
        <v>0.745</v>
      </c>
      <c r="HI36" s="24">
        <f>ROUND(SUM(GB36:GB$56)/VLOOKUP($FM36,$AQ$9:$AR$102,2)/VLOOKUP($FM36-HI$103,Männer!$G$9:$J$102,4),Rundäx)</f>
        <v>0.88800000000000001</v>
      </c>
      <c r="HJ36" s="24">
        <f>ROUND(SUM(GC36:GC$56)/VLOOKUP($FM36,$AQ$9:$AR$102,2)/VLOOKUP($FM36-HJ$103,Männer!$G$9:$J$102,4),Rundäx)</f>
        <v>1.05</v>
      </c>
      <c r="HK36" s="89"/>
      <c r="HL36" s="35">
        <f t="shared" si="66"/>
        <v>91</v>
      </c>
      <c r="HM36" s="24">
        <f>ROUND(SUM(GD36:GD$56)/VLOOKUP($FM36,$AQ$9:$AR$102,2)/VLOOKUP($FM36-HM$103,Männer!$G$9:$J$102,4),Rundäx)</f>
        <v>1.232</v>
      </c>
      <c r="HN36" s="24">
        <f>ROUND(SUM(GE36:GE$56)/VLOOKUP($FM36,$AQ$9:$AR$102,2)/VLOOKUP($FM36-HN$103,Männer!$G$9:$J$102,4),Rundäx)</f>
        <v>1.4330000000000001</v>
      </c>
      <c r="HO36" s="24">
        <f>ROUND(SUM(GF36:GF$56)/VLOOKUP($FM36,$AQ$9:$AR$102,2)/VLOOKUP($FM36-HO$103,Männer!$G$9:$J$102,4),Rundäx)</f>
        <v>1.6559999999999999</v>
      </c>
      <c r="HP36" s="24">
        <f>ROUND(SUM(GG36:GG$56)/VLOOKUP($FM36,$AQ$9:$AR$102,2)/VLOOKUP($FM36-HP$103,Männer!$G$9:$J$102,4),Rundäx)</f>
        <v>1.897</v>
      </c>
      <c r="HQ36" s="24">
        <f>ROUND(SUM(GH36:GH$56)/VLOOKUP($FM36,$AQ$9:$AR$102,2)/VLOOKUP($FM36-HQ$103,Männer!$G$9:$J$102,4),Rundäx)</f>
        <v>2.157</v>
      </c>
      <c r="HR36" s="24">
        <f>ROUND(SUM(GI36:GI$56)/VLOOKUP($FM36,$AQ$9:$AR$102,2)/VLOOKUP($FM36-HR$103,Männer!$G$9:$J$102,4),Rundäx)</f>
        <v>2.4329999999999998</v>
      </c>
      <c r="HS36" s="24">
        <f>ROUND(SUM(GJ36:GJ$56)/VLOOKUP($FM36,$AQ$9:$AR$102,2)/VLOOKUP($FM36-HS$103,Männer!$G$9:$J$102,4),Rundäx)</f>
        <v>2.7250000000000001</v>
      </c>
      <c r="HT36" s="24">
        <f>ROUND(SUM(GK36:GK$56)/VLOOKUP($FM36,$AQ$9:$AR$102,2)/VLOOKUP($FM36-HT$103,Männer!$G$9:$J$102,4),Rundäx)</f>
        <v>3.03</v>
      </c>
      <c r="HU36" s="89"/>
      <c r="HV36" s="35">
        <f t="shared" si="67"/>
        <v>91</v>
      </c>
      <c r="HW36" s="24">
        <f>ROUND(SUM(GL36:GL$56)/VLOOKUP($FM36,$AQ$9:$AR$102,2)/VLOOKUP($FM36-HW$103,Männer!$G$9:$J$102,4),Rundäx)</f>
        <v>3.3490000000000002</v>
      </c>
      <c r="HX36" s="24">
        <f>ROUND(SUM(GM36:GM$56)/VLOOKUP($FM36,$AQ$9:$AR$102,2)/VLOOKUP($FM36-HX$103,Männer!$G$9:$J$102,4),Rundäx)</f>
        <v>3.6779999999999999</v>
      </c>
      <c r="HY36" s="24">
        <f>ROUND(SUM(GN36:GN$56)/VLOOKUP($FM36,$AQ$9:$AR$102,2)/VLOOKUP($FM36-HY$103,Männer!$G$9:$J$102,4),Rundäx)</f>
        <v>4.0179999999999998</v>
      </c>
      <c r="HZ36" s="24">
        <f>ROUND(SUM(GO36:GO$56)/VLOOKUP($FM36,$AQ$9:$AR$102,2)/VLOOKUP($FM36-HZ$103,Männer!$G$9:$J$102,4),Rundäx)</f>
        <v>4.3659999999999997</v>
      </c>
      <c r="IA36" s="24">
        <f>ROUND(SUM(GP36:GP$56)/VLOOKUP($FM36,$AQ$9:$AR$102,2)/VLOOKUP($FM36-IA$103,Männer!$G$9:$J$102,4),Rundäx)</f>
        <v>4.7220000000000004</v>
      </c>
      <c r="IB36" s="24">
        <f>ROUND(SUM(GQ36:GQ$56)/VLOOKUP($FM36,$AQ$9:$AR$102,2)/VLOOKUP($FM36-IB$103,Männer!$G$9:$J$102,4),Rundäx)</f>
        <v>5.085</v>
      </c>
      <c r="IC36" s="24">
        <f>ROUND(SUM(GR36:GR$56)/VLOOKUP($FM36,$AQ$9:$AR$102,2)/VLOOKUP($FM36-IC$103,Männer!$G$9:$J$102,4),Rundäx)</f>
        <v>5.4530000000000003</v>
      </c>
      <c r="ID36" s="89"/>
      <c r="IE36" s="9">
        <f t="shared" si="68"/>
        <v>44</v>
      </c>
      <c r="IF36" s="11">
        <f t="shared" si="25"/>
        <v>229</v>
      </c>
      <c r="IG36" s="11">
        <f>IF($IE36&lt;RAF,IF(S37&lt;=RAK,ROUND(SUM(IF36:INDEX(Daky,RAF-BeginnAlter))+INDEX(Day,RAF-BeginnAlter+1)*INDEX(äky,1),RundDx),0),"")</f>
        <v>1165</v>
      </c>
      <c r="IH36" s="11">
        <f>IF($IE36&lt;RAF,IF(S37&lt;=RAK,ROUND(SUM(IG36:INDEX(Naky,RAF-BeginnAlter))+INDEX(Day,RAF-BeginnAlter+1)*INDEX(äky,1),RundDx),0),"")</f>
        <v>4945</v>
      </c>
      <c r="II36" s="10">
        <f t="shared" si="26"/>
        <v>3.3000000000000002E-2</v>
      </c>
      <c r="IJ36" s="11">
        <f t="shared" si="27"/>
        <v>6189</v>
      </c>
      <c r="IK36" s="11">
        <f>IF($IE36&lt;RAF,IF(S37&lt;=RAK,SUM(IJ36:INDEX(Diky,RAF-BeginnAlter))+INDEX(Diy,RAF-BeginnAlter+1)*INDEX(äky,1),0),"")</f>
        <v>23202</v>
      </c>
      <c r="IL36" s="10">
        <f t="shared" si="28"/>
        <v>0.45300000000000001</v>
      </c>
      <c r="IM36" s="89"/>
      <c r="IN36" s="9">
        <f t="shared" si="29"/>
        <v>91</v>
      </c>
      <c r="IO36" s="11"/>
      <c r="IP36" s="11"/>
      <c r="IQ36" s="10"/>
      <c r="IR36" s="86"/>
    </row>
    <row r="37" spans="1:252" ht="15.75" customHeight="1" x14ac:dyDescent="0.25">
      <c r="A37" s="9">
        <f t="shared" si="4"/>
        <v>45</v>
      </c>
      <c r="B37" s="93">
        <v>8.5828742281979253E-4</v>
      </c>
      <c r="C37" s="93">
        <v>5.0154241241986445E-3</v>
      </c>
      <c r="D37" s="93">
        <v>1.9700810555270676E-2</v>
      </c>
      <c r="E37" s="93">
        <v>1.6788254326790542E-3</v>
      </c>
      <c r="F37" s="89"/>
      <c r="G37" s="9">
        <f t="shared" si="5"/>
        <v>45</v>
      </c>
      <c r="H37" s="11">
        <f t="shared" si="30"/>
        <v>94224</v>
      </c>
      <c r="I37" s="25">
        <f t="shared" si="31"/>
        <v>4059</v>
      </c>
      <c r="J37" s="25">
        <f t="shared" si="32"/>
        <v>98283</v>
      </c>
      <c r="K37" s="30">
        <f>IF(J37&gt;0,ROUND(SUM(J37:J$102)/J37-0.5,Rundex),"")</f>
        <v>37.89</v>
      </c>
      <c r="L37" s="25">
        <f t="shared" si="6"/>
        <v>133745</v>
      </c>
      <c r="M37" s="30">
        <f>IF(L37&gt;0,ROUND(SUM(L37:L$102)/L37-0.5,Rundex),"")</f>
        <v>30.15</v>
      </c>
      <c r="N37" s="89"/>
      <c r="O37" s="9">
        <f t="shared" si="49"/>
        <v>45</v>
      </c>
      <c r="P37" s="94">
        <v>0.31112886048766542</v>
      </c>
      <c r="Q37" s="95">
        <v>47.892495606150597</v>
      </c>
      <c r="R37" s="94">
        <v>0.43795648425150718</v>
      </c>
      <c r="S37" s="95">
        <v>10.092355953421515</v>
      </c>
      <c r="T37" s="28">
        <v>1.33E-3</v>
      </c>
      <c r="U37" s="11">
        <f t="shared" si="33"/>
        <v>98369</v>
      </c>
      <c r="V37" s="30">
        <f>IF(U37&gt;0,ROUND(SUM(U37:U$102)/U37-0.5,Rundex),"")</f>
        <v>39.159999999999997</v>
      </c>
      <c r="W37" s="89"/>
      <c r="X37" s="9">
        <f t="shared" si="50"/>
        <v>45</v>
      </c>
      <c r="Y37" s="11">
        <f t="shared" si="34"/>
        <v>34619</v>
      </c>
      <c r="Z37" s="11">
        <f>IF($X37&lt;RAF,SUM(Y37:INDEX(Day,RAF-BeginnAlter))," ")</f>
        <v>496212</v>
      </c>
      <c r="AA37" s="11">
        <f t="shared" si="0"/>
        <v>29</v>
      </c>
      <c r="AB37" s="11">
        <f>IF($X37&lt;RAF,SUM(AA37:INDEX(Cay,RAF-BeginnAlter))," ")</f>
        <v>1010</v>
      </c>
      <c r="AC37" s="11">
        <f t="shared" si="1"/>
        <v>172</v>
      </c>
      <c r="AD37" s="11">
        <f>IF($X37&lt;RAF,SUM(AC37:INDEX(Caiy,RAF-BeginnAlter))," ")</f>
        <v>6397</v>
      </c>
      <c r="AE37" s="10">
        <f t="shared" si="35"/>
        <v>14.334</v>
      </c>
      <c r="AF37" s="10">
        <f t="shared" si="36"/>
        <v>14.092000000000001</v>
      </c>
      <c r="AG37" s="89"/>
      <c r="AH37" s="9">
        <f t="shared" si="51"/>
        <v>45</v>
      </c>
      <c r="AI37" s="11">
        <f t="shared" si="37"/>
        <v>49139</v>
      </c>
      <c r="AJ37" s="11">
        <f>IF($AH37&gt;RAF," ",IF($AH37&lt;RAF,SUM(AI37:INDEX(Diy,RAF-BeginnAlter))+INDEX(Ny,RAF-BeginnAlter+1),INDEX(Ny,RAF-BeginnAlter+1)))</f>
        <v>1024043</v>
      </c>
      <c r="AK37" s="11">
        <f>IF($AH37&lt;RAF,SUM(AI37:INDEX(Diy,RAF-BeginnAlter))," ")</f>
        <v>657949</v>
      </c>
      <c r="AL37" s="10">
        <f t="shared" si="38"/>
        <v>20.84</v>
      </c>
      <c r="AM37" s="10">
        <f t="shared" si="39"/>
        <v>20.381</v>
      </c>
      <c r="AN37" s="10">
        <f t="shared" si="40"/>
        <v>13.39</v>
      </c>
      <c r="AO37" s="10">
        <f t="shared" si="41"/>
        <v>13.134</v>
      </c>
      <c r="AP37" s="89"/>
      <c r="AQ37" s="9">
        <f t="shared" si="52"/>
        <v>45</v>
      </c>
      <c r="AR37" s="11">
        <f t="shared" si="42"/>
        <v>36110</v>
      </c>
      <c r="AS37" s="11">
        <f>SUM(AR37:AR$96)</f>
        <v>918063</v>
      </c>
      <c r="AT37" s="25">
        <f>IF($AQ37&lt;RAF,SUM(AR37:INDEX(Dy,RAF-BeginnAlter))," ")</f>
        <v>551969</v>
      </c>
      <c r="AU37" s="24">
        <f t="shared" si="43"/>
        <v>25.423999999999999</v>
      </c>
      <c r="AV37" s="24">
        <f t="shared" si="44"/>
        <v>24.966000000000001</v>
      </c>
      <c r="AW37" s="24">
        <f t="shared" si="45"/>
        <v>15.286</v>
      </c>
      <c r="AX37" s="24">
        <f t="shared" si="46"/>
        <v>15.103</v>
      </c>
      <c r="AY37" s="89"/>
      <c r="AZ37" s="9">
        <f t="shared" si="53"/>
        <v>45</v>
      </c>
      <c r="BA37" s="11">
        <f t="shared" si="47"/>
        <v>36142</v>
      </c>
      <c r="BB37" s="11">
        <f>SUM(BA37:BA$96)</f>
        <v>940795</v>
      </c>
      <c r="BC37" s="10">
        <f t="shared" si="48"/>
        <v>26.030999999999999</v>
      </c>
      <c r="BD37" s="10">
        <f t="shared" si="7"/>
        <v>25.571999999999999</v>
      </c>
      <c r="BE37" s="89"/>
      <c r="BF37" s="9">
        <f t="shared" si="54"/>
        <v>28</v>
      </c>
      <c r="BG37" s="10" t="str">
        <f t="shared" si="8"/>
        <v/>
      </c>
      <c r="BH37" s="10" t="str">
        <f t="shared" si="9"/>
        <v/>
      </c>
      <c r="BI37" s="89"/>
      <c r="BJ37" s="9">
        <f t="shared" si="55"/>
        <v>45</v>
      </c>
      <c r="BK37" s="11">
        <f t="shared" si="10"/>
        <v>3487</v>
      </c>
      <c r="BL37" s="11">
        <f>IF(BJ37&lt;RAF,SUM(BK37:INDEX(Daiy,RAF-BeginnAlter))," ")</f>
        <v>115381</v>
      </c>
      <c r="BM37" s="11">
        <f>IF(BJ37&lt;RAF,SUM(BL37:INDEX(Naiy,RAF-BeginnAlter))," ")</f>
        <v>1352026</v>
      </c>
      <c r="BN37" s="10">
        <f t="shared" si="11"/>
        <v>7.7460000000000004</v>
      </c>
      <c r="BO37" s="10">
        <f t="shared" si="12"/>
        <v>3.3330000000000002</v>
      </c>
      <c r="BP37" s="89"/>
      <c r="BQ37" s="9">
        <f t="shared" si="56"/>
        <v>45</v>
      </c>
      <c r="BR37" s="11">
        <f t="shared" si="13"/>
        <v>2216</v>
      </c>
      <c r="BS37" s="11">
        <f>IF(BQ37&lt;RAF,SUM(BR37:INDEX(Daiys,RAF-BeginnAlter))," ")</f>
        <v>38246</v>
      </c>
      <c r="BT37" s="11">
        <f>IF(BQ37&lt;RAF,SUM(BS37:INDEX(Naiys,RAF-BeginnAlter))," ")</f>
        <v>337411</v>
      </c>
      <c r="BU37" s="10">
        <f t="shared" si="14"/>
        <v>9.9749999999999996</v>
      </c>
      <c r="BV37" s="10">
        <f t="shared" si="15"/>
        <v>1.105</v>
      </c>
      <c r="BW37" s="89"/>
      <c r="BX37" s="9">
        <f t="shared" si="57"/>
        <v>45</v>
      </c>
      <c r="BY37" s="10">
        <f t="shared" si="16"/>
        <v>10.913067062639515</v>
      </c>
      <c r="BZ37" s="11">
        <f t="shared" si="17"/>
        <v>777</v>
      </c>
      <c r="CA37" s="11">
        <f>IF(S38&lt;=RAK,IF($BX37&lt;RAF,SUM(BZ37:INDEX(Dazy,RAF-BeginnAlter)),""),"")</f>
        <v>3799</v>
      </c>
      <c r="CB37" s="10">
        <f t="shared" si="18"/>
        <v>0.11</v>
      </c>
      <c r="CC37" s="11">
        <f t="shared" si="19"/>
        <v>24638</v>
      </c>
      <c r="CD37" s="10">
        <f t="shared" si="20"/>
        <v>18.311</v>
      </c>
      <c r="CE37" s="10">
        <f t="shared" si="21"/>
        <v>4.0000000000000001E-3</v>
      </c>
      <c r="CF37" s="89"/>
      <c r="CG37" s="9">
        <f t="shared" si="58"/>
        <v>45</v>
      </c>
      <c r="CH37" s="11">
        <f>IF(CG37&lt;RAF,ROUND(v^($CG37+FaktorAlter)*$H37*($B37*0.5*($P37+$P38)*(VLOOKUP(TRUNC(0.5*($Q37+$Q38),0),Männer!$AZ$9:$BD$95,5)+(0.5*($Q37+$Q38)-TRUNC(0.5*($Q37+$Q38),0))*(VLOOKUP(TRUNC(0.5*($Q37+$Q38)+1,0),Männer!$AZ$9:$BD$95,5)-VLOOKUP(TRUNC(0.5*($Q37+$Q38),0),Männer!$AZ$9:$BD$95,5)))+$C37*0.5*($CN37+$CN38)),RundDx),"")</f>
        <v>393</v>
      </c>
      <c r="CI37" s="11">
        <f>IF(CG37&lt;RAF,ROUND(SUM(CH37:INDEX(Dawy,RAF-BeginnAlter))+INDEX(Day,RAF-BeginnAlter+1)*INDEX(äwy,1),RundDx),"")</f>
        <v>8697</v>
      </c>
      <c r="CJ37" s="11">
        <f>IF(CG37&lt;RAF,ROUND(SUM(CI37:INDEX(Nawy,RAF-BeginnAlter))+INDEX(Day,RAF-BeginnAlter+1)*INDEX(äwy,1),RundDx),"")</f>
        <v>100421</v>
      </c>
      <c r="CK37" s="10">
        <f t="shared" si="22"/>
        <v>0.251</v>
      </c>
      <c r="CL37" s="11">
        <f>IF(CG37&lt;RAF,ROUND(v^($CG37+FaktorAlter)*$L37*$D37*0.5*($P37+$P38)*(VLOOKUP(TRUNC(0.5*($Q37+$Q38),0),Männer!$AZ$9:$BD$95,5)+(0.5*($Q37+$Q38)-TRUNC(0.5*($Q37+$Q38),0))*(VLOOKUP(TRUNC(0.5*($Q37+$Q38)+1,0),Männer!$AZ$9:$BD$95,5)-VLOOKUP(TRUNC(0.5*($Q37+$Q38),0),Männer!$AZ$9:$BD$95,5))),RundDx),"")</f>
        <v>6223</v>
      </c>
      <c r="CM37" s="11">
        <f>IF(CG37&lt;RAF,SUM(CL37:INDEX(Diwy,RAF-BeginnAlter))+INDEX(Diy,RAF-BeginnAlter+1)*INDEX(äwy,1),"")</f>
        <v>59858.304000000004</v>
      </c>
      <c r="CN37" s="10">
        <f t="shared" si="23"/>
        <v>1.218</v>
      </c>
      <c r="CO37" s="89"/>
      <c r="CP37" s="9">
        <f t="shared" si="59"/>
        <v>92</v>
      </c>
      <c r="CQ37" s="11">
        <f>ROUND(v^($CP37+FaktorAlter)*VLOOKUP(CP37,G$9:J$102,4)*VLOOKUP(CP37,A$9:E$102,5)*0.5*(VLOOKUP(CP37,O$9:P$102,2)+VLOOKUP(CP37+1,O$9:P$102,2))*(VLOOKUP(TRUNC(0.5*(VLOOKUP(CP37,O$9:Q$102,3)+VLOOKUP(CP37+1,O$9:Q$102,3)),0),Männer!$AZ$9:$BD$95,5)+(0.5*(VLOOKUP(CP37,O$9:Q$102,3)+VLOOKUP(CP37+1,O$9:Q$102,3))-TRUNC(0.5*(VLOOKUP(CP37,O$9:Q$102,3)+VLOOKUP(CP37+1,O$9:Q$102,3)),0))*(VLOOKUP(TRUNC(0.5*(VLOOKUP(CP37,O$9:Q$102,3)+VLOOKUP(CP37+1,O$9:Q$102,3))+1,0),Männer!$AZ$9:$BD$95,5)-VLOOKUP(TRUNC(0.5*(VLOOKUP(CP37,O$9:Q$102,3)+VLOOKUP(CP37+1,O$9:Q$102,3)),0),Männer!$AZ$9:$BD$95,5))),RundDx)</f>
        <v>5</v>
      </c>
      <c r="CR37" s="11">
        <f>SUM(CQ37:CQ$56)</f>
        <v>17</v>
      </c>
      <c r="CS37" s="24">
        <f t="shared" si="24"/>
        <v>6.0000000000000001E-3</v>
      </c>
      <c r="CT37" s="89"/>
      <c r="CU37" s="35">
        <f t="shared" si="60"/>
        <v>45</v>
      </c>
      <c r="CV37" s="25">
        <f>IF($CU37&gt;=RAF,"",IF($CU37-CV$103&lt;BeginnAlter,"",ROUND(v^($CU37+FaktorAlter)*$L37*$D37*0.5*(VLOOKUP($CU37-CV$103,Männer!$G$9:$J$102,4)+VLOOKUP($CU37-CV$103+1,Männer!$G$9:$J$102,4))*0.5*(VLOOKUP($CU37-CV$103,Männer!$AZ$9:$BD$102,5)+VLOOKUP($CU37-CV$103+1,Männer!$AZ$9:$BD$102,5)),RundDx)))</f>
        <v>1284274730</v>
      </c>
      <c r="CW37" s="25">
        <f>IF($CU37&gt;=RAF,"",IF($CU37-CW$103&lt;BeginnAlter,"",ROUND(v^($CU37+FaktorAlter)*$L37*$D37*0.5*(VLOOKUP($CU37-CW$103,Männer!$G$9:$J$102,4)+VLOOKUP($CU37-CW$103+1,Männer!$G$9:$J$102,4))*0.5*(VLOOKUP($CU37-CW$103,Männer!$AZ$9:$BD$102,5)+VLOOKUP($CU37-CW$103+1,Männer!$AZ$9:$BD$102,5)),RundDx)))</f>
        <v>1337931094</v>
      </c>
      <c r="CX37" s="25">
        <f>IF($CU37&gt;=RAF,"",IF($CU37-CX$103&lt;BeginnAlter,"",ROUND(v^($CU37+FaktorAlter)*$L37*$D37*0.5*(VLOOKUP($CU37-CX$103,Männer!$G$9:$J$102,4)+VLOOKUP($CU37-CX$103+1,Männer!$G$9:$J$102,4))*0.5*(VLOOKUP($CU37-CX$103,Männer!$AZ$9:$BD$102,5)+VLOOKUP($CU37-CX$103+1,Männer!$AZ$9:$BD$102,5)),RundDx)))</f>
        <v>1392541983</v>
      </c>
      <c r="CY37" s="25">
        <f>IF($CU37&gt;=RAF,"",IF($CU37-CY$103&lt;BeginnAlter,"",ROUND(v^($CU37+FaktorAlter)*$L37*$D37*0.5*(VLOOKUP($CU37-CY$103,Männer!$G$9:$J$102,4)+VLOOKUP($CU37-CY$103+1,Männer!$G$9:$J$102,4))*0.5*(VLOOKUP($CU37-CY$103,Männer!$AZ$9:$BD$102,5)+VLOOKUP($CU37-CY$103+1,Männer!$AZ$9:$BD$102,5)),RundDx)))</f>
        <v>1448027266</v>
      </c>
      <c r="CZ37" s="25">
        <f>IF($CU37&gt;=RAF,"",IF($CU37-CZ$103&lt;BeginnAlter,"",ROUND(v^($CU37+FaktorAlter)*$L37*$D37*0.5*(VLOOKUP($CU37-CZ$103,Männer!$G$9:$J$102,4)+VLOOKUP($CU37-CZ$103+1,Männer!$G$9:$J$102,4))*0.5*(VLOOKUP($CU37-CZ$103,Männer!$AZ$9:$BD$102,5)+VLOOKUP($CU37-CZ$103+1,Männer!$AZ$9:$BD$102,5)),RundDx)))</f>
        <v>1504371494</v>
      </c>
      <c r="DA37" s="25">
        <f>IF($CU37&gt;=RAF,"",IF($CU37-DA$103&lt;BeginnAlter,"",ROUND(v^($CU37+FaktorAlter)*$L37*$D37*0.5*(VLOOKUP($CU37-DA$103,Männer!$G$9:$J$102,4)+VLOOKUP($CU37-DA$103+1,Männer!$G$9:$J$102,4))*0.5*(VLOOKUP($CU37-DA$103,Männer!$AZ$9:$BD$102,5)+VLOOKUP($CU37-DA$103+1,Männer!$AZ$9:$BD$102,5)),RundDx)))</f>
        <v>1560748396</v>
      </c>
      <c r="DB37" s="25">
        <f>IF($CU37&gt;=RAF,"",IF($CU37-DB$103&lt;BeginnAlter,"",ROUND(v^($CU37+FaktorAlter)*$L37*$D37*0.5*(VLOOKUP($CU37-DB$103,Männer!$G$9:$J$102,4)+VLOOKUP($CU37-DB$103+1,Männer!$G$9:$J$102,4))*0.5*(VLOOKUP($CU37-DB$103,Männer!$AZ$9:$BD$102,5)+VLOOKUP($CU37-DB$103+1,Männer!$AZ$9:$BD$102,5)),RundDx)))</f>
        <v>1616277109</v>
      </c>
      <c r="DC37" s="25">
        <f>IF($CU37&gt;=RAF,"",IF($CU37-DC$103&lt;BeginnAlter,"",ROUND(v^($CU37+FaktorAlter)*$L37*$D37*0.5*(VLOOKUP($CU37-DC$103,Männer!$G$9:$J$102,4)+VLOOKUP($CU37-DC$103+1,Männer!$G$9:$J$102,4))*0.5*(VLOOKUP($CU37-DC$103,Männer!$AZ$9:$BD$102,5)+VLOOKUP($CU37-DC$103+1,Männer!$AZ$9:$BD$102,5)),RundDx)))</f>
        <v>1670966985</v>
      </c>
      <c r="DD37" s="25">
        <f>IF($CU37&gt;=RAF,"",IF($CU37-DD$103&lt;BeginnAlter,"",ROUND(v^($CU37+FaktorAlter)*$L37*$D37*0.5*(VLOOKUP($CU37-DD$103,Männer!$G$9:$J$102,4)+VLOOKUP($CU37-DD$103+1,Männer!$G$9:$J$102,4))*0.5*(VLOOKUP($CU37-DD$103,Männer!$AZ$9:$BD$102,5)+VLOOKUP($CU37-DD$103+1,Männer!$AZ$9:$BD$102,5)),RundDx)))</f>
        <v>1724826278</v>
      </c>
      <c r="DE37" s="25">
        <f>IF($CU37&gt;=RAF,"",IF($CU37-DE$103&lt;BeginnAlter,"",ROUND(v^($CU37+FaktorAlter)*$L37*$D37*0.5*(VLOOKUP($CU37-DE$103,Männer!$G$9:$J$102,4)+VLOOKUP($CU37-DE$103+1,Männer!$G$9:$J$102,4))*0.5*(VLOOKUP($CU37-DE$103,Männer!$AZ$9:$BD$102,5)+VLOOKUP($CU37-DE$103+1,Männer!$AZ$9:$BD$102,5)),RundDx)))</f>
        <v>1777758216</v>
      </c>
      <c r="DF37" s="25">
        <f>IF($CU37&gt;=RAF,"",IF($CU37-DF$103&lt;BeginnAlter,"",ROUND(v^($CU37+FaktorAlter)*$L37*$D37*0.5*(VLOOKUP($CU37-DF$103,Männer!$G$9:$J$102,4)+VLOOKUP($CU37-DF$103+1,Männer!$G$9:$J$102,4))*0.5*(VLOOKUP($CU37-DF$103,Männer!$AZ$9:$BD$102,5)+VLOOKUP($CU37-DF$103+1,Männer!$AZ$9:$BD$102,5)),RundDx)))</f>
        <v>1829768668</v>
      </c>
      <c r="DG37" s="25">
        <f>IF($CU37&gt;=RAF,"",IF($CU37-DG$103&lt;BeginnAlter,"",ROUND(v^($CU37+FaktorAlter)*$L37*$D37*0.5*(VLOOKUP($CU37-DG$103,Männer!$G$9:$J$102,4)+VLOOKUP($CU37-DG$103+1,Männer!$G$9:$J$102,4))*0.5*(VLOOKUP($CU37-DG$103,Männer!$AZ$9:$BD$102,5)+VLOOKUP($CU37-DG$103+1,Männer!$AZ$9:$BD$102,5)),RundDx)))</f>
        <v>1880938150</v>
      </c>
      <c r="DH37" s="25">
        <f>IF($CU37&gt;=RAF,"",IF($CU37-DH$103&lt;BeginnAlter,"",ROUND(v^($CU37+FaktorAlter)*$L37*$D37*0.5*(VLOOKUP($CU37-DH$103,Männer!$G$9:$J$102,4)+VLOOKUP($CU37-DH$103+1,Männer!$G$9:$J$102,4))*0.5*(VLOOKUP($CU37-DH$103,Männer!$AZ$9:$BD$102,5)+VLOOKUP($CU37-DH$103+1,Männer!$AZ$9:$BD$102,5)),RundDx)))</f>
        <v>1931233732</v>
      </c>
      <c r="DI37" s="25">
        <f>IF($CU37&gt;=RAF,"",IF($CU37-DI$103&lt;BeginnAlter,"",ROUND(v^($CU37+FaktorAlter)*$L37*$D37*0.5*(VLOOKUP($CU37-DI$103,Männer!$G$9:$J$102,4)+VLOOKUP($CU37-DI$103+1,Männer!$G$9:$J$102,4))*0.5*(VLOOKUP($CU37-DI$103,Männer!$AZ$9:$BD$102,5)+VLOOKUP($CU37-DI$103+1,Männer!$AZ$9:$BD$102,5)),RundDx)))</f>
        <v>1980601590</v>
      </c>
      <c r="DJ37" s="25">
        <f>IF($CU37&gt;=RAF,"",IF($CU37-DJ$103&lt;BeginnAlter,"",ROUND(v^($CU37+FaktorAlter)*$L37*$D37*0.5*(VLOOKUP($CU37-DJ$103,Männer!$G$9:$J$102,4)+VLOOKUP($CU37-DJ$103+1,Männer!$G$9:$J$102,4))*0.5*(VLOOKUP($CU37-DJ$103,Männer!$AZ$9:$BD$102,5)+VLOOKUP($CU37-DJ$103+1,Männer!$AZ$9:$BD$102,5)),RundDx)))</f>
        <v>2029102717</v>
      </c>
      <c r="DK37" s="25">
        <f>IF($CU37&gt;=RAF,"",IF($CU37-DK$103&lt;BeginnAlter,"",ROUND(v^($CU37+FaktorAlter)*$L37*$D37*0.5*(VLOOKUP($CU37-DK$103,Männer!$G$9:$J$102,4)+VLOOKUP($CU37-DK$103+1,Männer!$G$9:$J$102,4))*0.5*(VLOOKUP($CU37-DK$103,Männer!$AZ$9:$BD$102,5)+VLOOKUP($CU37-DK$103+1,Männer!$AZ$9:$BD$102,5)),RundDx)))</f>
        <v>2076734891</v>
      </c>
      <c r="DL37" s="25">
        <f>IF($CU37&gt;=RAF,"",IF($CU37-DL$103&lt;BeginnAlter,"",ROUND(v^($CU37+FaktorAlter)*$L37*$D37*0.5*(VLOOKUP($CU37-DL$103,Männer!$G$9:$J$102,4)+VLOOKUP($CU37-DL$103+1,Männer!$G$9:$J$102,4))*0.5*(VLOOKUP($CU37-DL$103,Männer!$AZ$9:$BD$102,5)+VLOOKUP($CU37-DL$103+1,Männer!$AZ$9:$BD$102,5)),RundDx)))</f>
        <v>2123498305</v>
      </c>
      <c r="DM37" s="25">
        <f>IF($CU37&gt;=RAF,"",IF($CU37-DM$103&lt;BeginnAlter,"",ROUND(v^($CU37+FaktorAlter)*$L37*$D37*0.5*(VLOOKUP($CU37-DM$103,Männer!$G$9:$J$102,4)+VLOOKUP($CU37-DM$103+1,Männer!$G$9:$J$102,4))*0.5*(VLOOKUP($CU37-DM$103,Männer!$AZ$9:$BD$102,5)+VLOOKUP($CU37-DM$103+1,Männer!$AZ$9:$BD$102,5)),RundDx)))</f>
        <v>2169373302</v>
      </c>
      <c r="DN37" s="25">
        <f>IF($CU37&gt;=RAF,"",IF($CU37-DN$103&lt;BeginnAlter,"",ROUND(v^($CU37+FaktorAlter)*$L37*$D37*0.5*(VLOOKUP($CU37-DN$103,Männer!$G$9:$J$102,4)+VLOOKUP($CU37-DN$103+1,Männer!$G$9:$J$102,4))*0.5*(VLOOKUP($CU37-DN$103,Männer!$AZ$9:$BD$102,5)+VLOOKUP($CU37-DN$103+1,Männer!$AZ$9:$BD$102,5)),RundDx)))</f>
        <v>2214410288</v>
      </c>
      <c r="DO37" s="25">
        <f>IF($CU37&gt;=RAF,"",IF($CU37-DO$103&lt;BeginnAlter,"",ROUND(v^($CU37+FaktorAlter)*$L37*$D37*0.5*(VLOOKUP($CU37-DO$103,Männer!$G$9:$J$102,4)+VLOOKUP($CU37-DO$103+1,Männer!$G$9:$J$102,4))*0.5*(VLOOKUP($CU37-DO$103,Männer!$AZ$9:$BD$102,5)+VLOOKUP($CU37-DO$103+1,Männer!$AZ$9:$BD$102,5)),RundDx)))</f>
        <v>2258650672</v>
      </c>
      <c r="DP37" s="25">
        <f>IF($CU37&gt;=RAF,"",IF($CU37-DP$103&lt;BeginnAlter,"",ROUND(v^($CU37+FaktorAlter)*$L37*$D37*0.5*(VLOOKUP($CU37-DP$103,Männer!$G$9:$J$102,4)+VLOOKUP($CU37-DP$103+1,Männer!$G$9:$J$102,4))*0.5*(VLOOKUP($CU37-DP$103,Männer!$AZ$9:$BD$102,5)+VLOOKUP($CU37-DP$103+1,Männer!$AZ$9:$BD$102,5)),RundDx)))</f>
        <v>2302019929</v>
      </c>
      <c r="DQ37" s="25">
        <f>IF($CU37&gt;=RAF,"",IF($CU37-DQ$103&lt;BeginnAlter,"",ROUND(v^($CU37+FaktorAlter)*$L37*$D37*0.5*(VLOOKUP($CU37-DQ$103,Männer!$G$9:$J$102,4)+VLOOKUP($CU37-DQ$103+1,Männer!$G$9:$J$102,4))*0.5*(VLOOKUP($CU37-DQ$103,Männer!$AZ$9:$BD$102,5)+VLOOKUP($CU37-DQ$103+1,Männer!$AZ$9:$BD$102,5)),RundDx)))</f>
        <v>2344513840</v>
      </c>
      <c r="DR37" s="25">
        <f>IF($CU37&gt;=RAF,"",IF($CU37-DR$103&lt;BeginnAlter,"",ROUND(v^($CU37+FaktorAlter)*$L37*$D37*0.5*(VLOOKUP($CU37-DR$103,Männer!$G$9:$J$102,4)+VLOOKUP($CU37-DR$103+1,Männer!$G$9:$J$102,4))*0.5*(VLOOKUP($CU37-DR$103,Männer!$AZ$9:$BD$102,5)+VLOOKUP($CU37-DR$103+1,Männer!$AZ$9:$BD$102,5)),RundDx)))</f>
        <v>2386258829</v>
      </c>
      <c r="DS37" s="25">
        <f>IF($CU37&gt;=RAF,"",IF($CU37-DS$103&lt;BeginnAlter,"",ROUND(v^($CU37+FaktorAlter)*$L37*$D37*0.5*(VLOOKUP($CU37-DS$103,Männer!$G$9:$J$102,4)+VLOOKUP($CU37-DS$103+1,Männer!$G$9:$J$102,4))*0.5*(VLOOKUP($CU37-DS$103,Männer!$AZ$9:$BD$102,5)+VLOOKUP($CU37-DS$103+1,Männer!$AZ$9:$BD$102,5)),RundDx)))</f>
        <v>2427205869</v>
      </c>
      <c r="DT37" s="25">
        <f>IF($CU37&gt;=RAF,"",IF($CU37-DT$103&lt;BeginnAlter,"",ROUND(v^($CU37+FaktorAlter)*$L37*$D37*0.5*(VLOOKUP($CU37-DT$103,Männer!$G$9:$J$102,4)+VLOOKUP($CU37-DT$103+1,Männer!$G$9:$J$102,4))*0.5*(VLOOKUP($CU37-DT$103,Männer!$AZ$9:$BD$102,5)+VLOOKUP($CU37-DT$103+1,Männer!$AZ$9:$BD$102,5)),RundDx)))</f>
        <v>2467319363</v>
      </c>
      <c r="DU37" s="25">
        <f>IF($CU37&gt;=RAF,"",IF($CU37-DU$103&lt;BeginnAlter,"",ROUND(v^($CU37+FaktorAlter)*$L37*$D37*0.5*(VLOOKUP($CU37-DU$103,Männer!$G$9:$J$102,4)+VLOOKUP($CU37-DU$103+1,Männer!$G$9:$J$102,4))*0.5*(VLOOKUP($CU37-DU$103,Männer!$AZ$9:$BD$102,5)+VLOOKUP($CU37-DU$103+1,Männer!$AZ$9:$BD$102,5)),RundDx)))</f>
        <v>2506681982</v>
      </c>
      <c r="DV37" s="25">
        <f>IF($CU37&gt;=RAF,"",IF($CU37-DV$103&lt;BeginnAlter,"",ROUND(v^($CU37+FaktorAlter)*$L37*$D37*0.5*(VLOOKUP($CU37-DV$103,Männer!$G$9:$J$102,4)+VLOOKUP($CU37-DV$103+1,Männer!$G$9:$J$102,4))*0.5*(VLOOKUP($CU37-DV$103,Männer!$AZ$9:$BD$102,5)+VLOOKUP($CU37-DV$103+1,Männer!$AZ$9:$BD$102,5)),RundDx)))</f>
        <v>2545235037</v>
      </c>
      <c r="DW37" s="25">
        <f>IF($CU37&gt;=RAF,"",IF($CU37-DW$103&lt;BeginnAlter,"",ROUND(v^($CU37+FaktorAlter)*$L37*$D37*0.5*(VLOOKUP($CU37-DW$103,Männer!$G$9:$J$102,4)+VLOOKUP($CU37-DW$103+1,Männer!$G$9:$J$102,4))*0.5*(VLOOKUP($CU37-DW$103,Männer!$AZ$9:$BD$102,5)+VLOOKUP($CU37-DW$103+1,Männer!$AZ$9:$BD$102,5)),RundDx)))</f>
        <v>2583006529</v>
      </c>
      <c r="DX37" s="25">
        <f>IF($CU37&gt;=RAF,"",IF($CU37-DX$103&lt;BeginnAlter,"",ROUND(v^($CU37+FaktorAlter)*$L37*$D37*0.5*(VLOOKUP($CU37-DX$103,Männer!$G$9:$J$102,4)+VLOOKUP($CU37-DX$103+1,Männer!$G$9:$J$102,4))*0.5*(VLOOKUP($CU37-DX$103,Männer!$AZ$9:$BD$102,5)+VLOOKUP($CU37-DX$103+1,Männer!$AZ$9:$BD$102,5)),RundDx)))</f>
        <v>2620026924</v>
      </c>
      <c r="DY37" s="25">
        <f>IF($CU37&gt;=RAF,"",IF($CU37-DY$103&lt;BeginnAlter,"",ROUND(v^($CU37+FaktorAlter)*$L37*$D37*0.5*(VLOOKUP($CU37-DY$103,Männer!$G$9:$J$102,4)+VLOOKUP($CU37-DY$103+1,Männer!$G$9:$J$102,4))*0.5*(VLOOKUP($CU37-DY$103,Männer!$AZ$9:$BD$102,5)+VLOOKUP($CU37-DY$103+1,Männer!$AZ$9:$BD$102,5)),RundDx)))</f>
        <v>2656315658</v>
      </c>
      <c r="DZ37" s="25">
        <f>IF($CU37&gt;=RAF,"",IF($CU37-DZ$103&lt;BeginnAlter,"",ROUND(v^($CU37+FaktorAlter)*$L37*$D37*0.5*(VLOOKUP($CU37-DZ$103,Männer!$G$9:$J$102,4)+VLOOKUP($CU37-DZ$103+1,Männer!$G$9:$J$102,4))*0.5*(VLOOKUP($CU37-DZ$103,Männer!$AZ$9:$BD$102,5)+VLOOKUP($CU37-DZ$103+1,Männer!$AZ$9:$BD$102,5)),RundDx)))</f>
        <v>2691880182</v>
      </c>
      <c r="EA37" s="43">
        <f>IF($CU37&gt;=RAF,"",IF($CU37-EA$103&lt;BeginnAlter,"",ROUND((SUM(CV37:CV$56)+SUM(FN$9:FN$56))/VLOOKUP($CU37,$AH$9:$AI$102,2)/VLOOKUP($CU37-EA$103,Männer!$G$9:$J$102,4),Rundäx)))</f>
        <v>2.806</v>
      </c>
      <c r="EB37" s="43">
        <f>IF($CU37&gt;=RAF,"",IF($CU37-EB$103&lt;BeginnAlter,"",ROUND((SUM(CW37:CW$56)+SUM(FO$9:FO$56))/VLOOKUP($CU37,$AH$9:$AI$102,2)/VLOOKUP($CU37-EB$103,Männer!$G$9:$J$102,4),Rundäx)))</f>
        <v>2.956</v>
      </c>
      <c r="EC37" s="43">
        <f>IF($CU37&gt;=RAF,"",IF($CU37-EC$103&lt;BeginnAlter,"",ROUND((SUM(CX37:CX$56)+SUM(FP$9:FP$56))/VLOOKUP($CU37,$AH$9:$AI$102,2)/VLOOKUP($CU37-EC$103,Männer!$G$9:$J$102,4),Rundäx)))</f>
        <v>3.1120000000000001</v>
      </c>
      <c r="ED37" s="43">
        <f>IF($CU37&gt;=RAF,"",IF($CU37-ED$103&lt;BeginnAlter,"",ROUND((SUM(CY37:CY$56)+SUM(FQ$9:FQ$56))/VLOOKUP($CU37,$AH$9:$AI$102,2)/VLOOKUP($CU37-ED$103,Männer!$G$9:$J$102,4),Rundäx)))</f>
        <v>3.2730000000000001</v>
      </c>
      <c r="EE37" s="43">
        <f>IF($CU37&gt;=RAF,"",IF($CU37-EE$103&lt;BeginnAlter,"",ROUND((SUM(CZ37:CZ$56)+SUM(FR$9:FR$56))/VLOOKUP($CU37,$AH$9:$AI$102,2)/VLOOKUP($CU37-EE$103,Männer!$G$9:$J$102,4),Rundäx)))</f>
        <v>3.44</v>
      </c>
      <c r="EF37" s="43">
        <f>IF($CU37&gt;=RAF,"",IF($CU37-EF$103&lt;BeginnAlter,"",ROUND((SUM(DA37:DA$56)+SUM(FS$9:FS$56))/VLOOKUP($CU37,$AH$9:$AI$102,2)/VLOOKUP($CU37-EF$103,Männer!$G$9:$J$102,4),Rundäx)))</f>
        <v>3.613</v>
      </c>
      <c r="EG37" s="43">
        <f>IF($CU37&gt;=RAF,"",IF($CU37-EG$103&lt;BeginnAlter,"",ROUND((SUM(DB37:DB$56)+SUM(FT$9:FT$56))/VLOOKUP($CU37,$AH$9:$AI$102,2)/VLOOKUP($CU37-EG$103,Männer!$G$9:$J$102,4),Rundäx)))</f>
        <v>3.7919999999999998</v>
      </c>
      <c r="EH37" s="43">
        <f>IF($CU37&gt;=RAF,"",IF($CU37-EH$103&lt;BeginnAlter,"",ROUND((SUM(DC37:DC$56)+SUM(FU$9:FU$56))/VLOOKUP($CU37,$AH$9:$AI$102,2)/VLOOKUP($CU37-EH$103,Männer!$G$9:$J$102,4),Rundäx)))</f>
        <v>3.976</v>
      </c>
      <c r="EI37" s="89"/>
      <c r="EJ37" s="35">
        <f t="shared" si="61"/>
        <v>45</v>
      </c>
      <c r="EK37" s="43">
        <f>IF($CU37&gt;=RAF,"",IF($CU37-EK$103&lt;BeginnAlter,"",ROUND((SUM(DD37:DD$56)+SUM(FV$9:FV$56))/VLOOKUP($CU37,$AH$9:$AI$102,2)/VLOOKUP($CU37-EK$103,Männer!$G$9:$J$102,4),Rundäx)))</f>
        <v>4.165</v>
      </c>
      <c r="EL37" s="43">
        <f>IF($CU37&gt;=RAF,"",IF($CU37-EL$103&lt;BeginnAlter,"",ROUND((SUM(DE37:DE$56)+SUM(FW$9:FW$56))/VLOOKUP($CU37,$AH$9:$AI$102,2)/VLOOKUP($CU37-EL$103,Männer!$G$9:$J$102,4),Rundäx)))</f>
        <v>4.359</v>
      </c>
      <c r="EM37" s="43">
        <f>IF($CU37&gt;=RAF,"",IF($CU37-EM$103&lt;BeginnAlter,"",ROUND((SUM(DF37:DF$56)+SUM(FX$9:FX$56))/VLOOKUP($CU37,$AH$9:$AI$102,2)/VLOOKUP($CU37-EM$103,Männer!$G$9:$J$102,4),Rundäx)))</f>
        <v>4.5590000000000002</v>
      </c>
      <c r="EN37" s="43">
        <f>IF($CU37&gt;=RAF,"",IF($CU37-EN$103&lt;BeginnAlter,"",ROUND((SUM(DG37:DG$56)+SUM(FY$9:FY$56))/VLOOKUP($CU37,$AH$9:$AI$102,2)/VLOOKUP($CU37-EN$103,Männer!$G$9:$J$102,4),Rundäx)))</f>
        <v>4.7629999999999999</v>
      </c>
      <c r="EO37" s="43">
        <f>IF($CU37&gt;=RAF,"",IF($CU37-EO$103&lt;BeginnAlter,"",ROUND((SUM(DH37:DH$56)+SUM(FZ$9:FZ$56))/VLOOKUP($CU37,$AH$9:$AI$102,2)/VLOOKUP($CU37-EO$103,Männer!$G$9:$J$102,4),Rundäx)))</f>
        <v>4.9720000000000004</v>
      </c>
      <c r="EP37" s="43">
        <f>IF($CU37&gt;=RAF,"",IF($CU37-EP$103&lt;BeginnAlter,"",ROUND((SUM(DI37:DI$56)+SUM(GA$9:GA$56))/VLOOKUP($CU37,$AH$9:$AI$102,2)/VLOOKUP($CU37-EP$103,Männer!$G$9:$J$102,4),Rundäx)))</f>
        <v>5.1859999999999999</v>
      </c>
      <c r="EQ37" s="43">
        <f>IF($CU37&gt;=RAF,"",IF($CU37-EQ$103&lt;BeginnAlter,"",ROUND((SUM(DJ37:DJ$56)+SUM(GB$9:GB$56))/VLOOKUP($CU37,$AH$9:$AI$102,2)/VLOOKUP($CU37-EQ$103,Männer!$G$9:$J$102,4),Rundäx)))</f>
        <v>5.4050000000000002</v>
      </c>
      <c r="ER37" s="43">
        <f>IF($CU37&gt;=RAF,"",IF($CU37-ER$103&lt;BeginnAlter,"",ROUND((SUM(DK37:DK$56)+SUM(GC$9:GC$56))/VLOOKUP($CU37,$AH$9:$AI$102,2)/VLOOKUP($CU37-ER$103,Männer!$G$9:$J$102,4),Rundäx)))</f>
        <v>5.6280000000000001</v>
      </c>
      <c r="ES37" s="89"/>
      <c r="ET37" s="35">
        <f t="shared" si="62"/>
        <v>45</v>
      </c>
      <c r="EU37" s="43">
        <f>IF($CU37&gt;=RAF,"",IF($CU37-EU$103&lt;BeginnAlter,"",ROUND((SUM(DL37:DL$56)+SUM(GD$9:GD$56))/VLOOKUP($CU37,$AH$9:$AI$102,2)/VLOOKUP($CU37-EU$103,Männer!$G$9:$J$102,4),Rundäx)))</f>
        <v>5.8559999999999999</v>
      </c>
      <c r="EV37" s="43">
        <f>IF($CU37&gt;=RAF,"",IF($CU37-EV$103&lt;BeginnAlter,"",ROUND((SUM(DM37:DM$56)+SUM(GE$9:GE$56))/VLOOKUP($CU37,$AH$9:$AI$102,2)/VLOOKUP($CU37-EV$103,Männer!$G$9:$J$102,4),Rundäx)))</f>
        <v>6.0880000000000001</v>
      </c>
      <c r="EW37" s="43">
        <f>IF($CU37&gt;=RAF,"",IF($CU37-EW$103&lt;BeginnAlter,"",ROUND((SUM(DN37:DN$56)+SUM(GF$9:GF$56))/VLOOKUP($CU37,$AH$9:$AI$102,2)/VLOOKUP($CU37-EW$103,Männer!$G$9:$J$102,4),Rundäx)))</f>
        <v>6.3230000000000004</v>
      </c>
      <c r="EX37" s="43">
        <f>IF($CU37&gt;=RAF,"",IF($CU37-EX$103&lt;BeginnAlter,"",ROUND((SUM(DO37:DO$56)+SUM(GG$9:GG$56))/VLOOKUP($CU37,$AH$9:$AI$102,2)/VLOOKUP($CU37-EX$103,Männer!$G$9:$J$102,4),Rundäx)))</f>
        <v>6.5620000000000003</v>
      </c>
      <c r="EY37" s="43">
        <f>IF($CU37&gt;=RAF,"",IF($CU37-EY$103&lt;BeginnAlter,"",ROUND((SUM(DP37:DP$56)+SUM(GH$9:GH$56))/VLOOKUP($CU37,$AH$9:$AI$102,2)/VLOOKUP($CU37-EY$103,Männer!$G$9:$J$102,4),Rundäx)))</f>
        <v>6.8040000000000003</v>
      </c>
      <c r="EZ37" s="43">
        <f>IF($CU37&gt;=RAF,"",IF($CU37-EZ$103&lt;BeginnAlter,"",ROUND((SUM(DQ37:DQ$56)+SUM(GI$9:GI$56))/VLOOKUP($CU37,$AH$9:$AI$102,2)/VLOOKUP($CU37-EZ$103,Männer!$G$9:$J$102,4),Rundäx)))</f>
        <v>7.048</v>
      </c>
      <c r="FA37" s="43">
        <f>IF($CU37&gt;=RAF,"",IF($CU37-FA$103&lt;BeginnAlter,"",ROUND((SUM(DR37:DR$56)+SUM(GJ$9:GJ$56))/VLOOKUP($CU37,$AH$9:$AI$102,2)/VLOOKUP($CU37-FA$103,Männer!$G$9:$J$102,4),Rundäx)))</f>
        <v>7.2960000000000003</v>
      </c>
      <c r="FB37" s="43">
        <f>IF($CU37&gt;=RAF,"",IF($CU37-FB$103&lt;BeginnAlter,"",ROUND((SUM(DS37:DS$56)+SUM(GK$9:GK$56))/VLOOKUP($CU37,$AH$9:$AI$102,2)/VLOOKUP($CU37-FB$103,Männer!$G$9:$J$102,4),Rundäx)))</f>
        <v>7.5449999999999999</v>
      </c>
      <c r="FC37" s="89"/>
      <c r="FD37" s="35">
        <f t="shared" si="63"/>
        <v>45</v>
      </c>
      <c r="FE37" s="43">
        <f>IF($CU37&gt;=RAF,"",IF($CU37-FE$103&lt;BeginnAlter,"",ROUND((SUM(DT37:DT$56)+SUM(GL$9:GL$56))/VLOOKUP($CU37,$AH$9:$AI$102,2)/VLOOKUP($CU37-FE$103,Männer!$G$9:$J$102,4),Rundäx)))</f>
        <v>7.7949999999999999</v>
      </c>
      <c r="FF37" s="43">
        <f>IF($CU37&gt;=RAF,"",IF($CU37-FF$103&lt;BeginnAlter,"",ROUND((SUM(DU37:DU$56)+SUM(GM$9:GM$56))/VLOOKUP($CU37,$AH$9:$AI$102,2)/VLOOKUP($CU37-FF$103,Männer!$G$9:$J$102,4),Rundäx)))</f>
        <v>8.0470000000000006</v>
      </c>
      <c r="FG37" s="43">
        <f>IF($CU37&gt;=RAF,"",IF($CU37-FG$103&lt;BeginnAlter,"",ROUND((SUM(DV37:DV$56)+SUM(GN$9:GN$56))/VLOOKUP($CU37,$AH$9:$AI$102,2)/VLOOKUP($CU37-FG$103,Männer!$G$9:$J$102,4),Rundäx)))</f>
        <v>8.3000000000000007</v>
      </c>
      <c r="FH37" s="43">
        <f>IF($CU37&gt;=RAF,"",IF($CU37-FH$103&lt;BeginnAlter,"",ROUND((SUM(DW37:DW$56)+SUM(GO$9:GO$56))/VLOOKUP($CU37,$AH$9:$AI$102,2)/VLOOKUP($CU37-FH$103,Männer!$G$9:$J$102,4),Rundäx)))</f>
        <v>8.5530000000000008</v>
      </c>
      <c r="FI37" s="43">
        <f>IF($CU37&gt;=RAF,"",IF($CU37-FI$103&lt;BeginnAlter,"",ROUND((SUM(DX37:DX$56)+SUM(GP$9:GP$56))/VLOOKUP($CU37,$AH$9:$AI$102,2)/VLOOKUP($CU37-FI$103,Männer!$G$9:$J$102,4),Rundäx)))</f>
        <v>8.8059999999999992</v>
      </c>
      <c r="FJ37" s="43">
        <f>IF($CU37&gt;=RAF,"",IF($CU37-FJ$103&lt;BeginnAlter,"",ROUND((SUM(DY37:DY$56)+SUM(GQ$9:GQ$56))/VLOOKUP($CU37,$AH$9:$AI$102,2)/VLOOKUP($CU37-FJ$103,Männer!$G$9:$J$102,4),Rundäx)))</f>
        <v>9.0589999999999993</v>
      </c>
      <c r="FK37" s="43">
        <f>IF($CU37&gt;=RAF,"",IF($CU37-FK$103&lt;BeginnAlter,"",ROUND((SUM(DZ37:DZ$56)+SUM(GR$9:GR$56))/VLOOKUP($CU37,$AH$9:$AI$102,2)/VLOOKUP($CU37-FK$103,Männer!$G$9:$J$102,4),Rundäx)))</f>
        <v>9.3119999999999994</v>
      </c>
      <c r="FL37" s="89"/>
      <c r="FM37" s="35">
        <f t="shared" si="64"/>
        <v>92</v>
      </c>
      <c r="FN37" s="25"/>
      <c r="FO37" s="25"/>
      <c r="FP37" s="25"/>
      <c r="FQ37" s="25"/>
      <c r="FR37" s="25"/>
      <c r="FS37" s="25"/>
      <c r="FT37" s="25"/>
      <c r="FU37" s="25">
        <f>ROUND(v^($FM37+FaktorAlter)*VLOOKUP($FM37,$G$9:$J$102,4)*VLOOKUP($FM37,$A$9:$E$102,5)*0.5*(VLOOKUP($FM37-FU$103,Männer!$G$9:$J$102,4)+VLOOKUP($FM37-FU$103+1,Männer!$G$9:$J$102,4))*0.5*(VLOOKUP($FM37-FU$103,Männer!$AZ$9:$BD$102,5)+VLOOKUP($FM37-FU$103+1,Männer!$AZ$9:$BD$102,5)),RundDx)</f>
        <v>92599</v>
      </c>
      <c r="FV37" s="25">
        <f>ROUND(v^($FM37+FaktorAlter)*VLOOKUP($FM37,$G$9:$J$102,4)*VLOOKUP($FM37,$A$9:$E$102,5)*0.5*(VLOOKUP($FM37-FV$103,Männer!$G$9:$J$102,4)+VLOOKUP($FM37-FV$103+1,Männer!$G$9:$J$102,4))*0.5*(VLOOKUP($FM37-FV$103,Männer!$AZ$9:$BD$102,5)+VLOOKUP($FM37-FV$103+1,Männer!$AZ$9:$BD$102,5)),RundDx)</f>
        <v>244203</v>
      </c>
      <c r="FW37" s="25">
        <f>ROUND(v^($FM37+FaktorAlter)*VLOOKUP($FM37,$G$9:$J$102,4)*VLOOKUP($FM37,$A$9:$E$102,5)*0.5*(VLOOKUP($FM37-FW$103,Männer!$G$9:$J$102,4)+VLOOKUP($FM37-FW$103+1,Männer!$G$9:$J$102,4))*0.5*(VLOOKUP($FM37-FW$103,Männer!$AZ$9:$BD$102,5)+VLOOKUP($FM37-FW$103+1,Männer!$AZ$9:$BD$102,5)),RundDx)</f>
        <v>549354</v>
      </c>
      <c r="FX37" s="25">
        <f>ROUND(v^($FM37+FaktorAlter)*VLOOKUP($FM37,$G$9:$J$102,4)*VLOOKUP($FM37,$A$9:$E$102,5)*0.5*(VLOOKUP($FM37-FX$103,Männer!$G$9:$J$102,4)+VLOOKUP($FM37-FX$103+1,Männer!$G$9:$J$102,4))*0.5*(VLOOKUP($FM37-FX$103,Männer!$AZ$9:$BD$102,5)+VLOOKUP($FM37-FX$103+1,Männer!$AZ$9:$BD$102,5)),RundDx)</f>
        <v>1118811</v>
      </c>
      <c r="FY37" s="25">
        <f>ROUND(v^($FM37+FaktorAlter)*VLOOKUP($FM37,$G$9:$J$102,4)*VLOOKUP($FM37,$A$9:$E$102,5)*0.5*(VLOOKUP($FM37-FY$103,Männer!$G$9:$J$102,4)+VLOOKUP($FM37-FY$103+1,Männer!$G$9:$J$102,4))*0.5*(VLOOKUP($FM37-FY$103,Männer!$AZ$9:$BD$102,5)+VLOOKUP($FM37-FY$103+1,Männer!$AZ$9:$BD$102,5)),RundDx)</f>
        <v>2086556</v>
      </c>
      <c r="FZ37" s="25">
        <f>ROUND(v^($FM37+FaktorAlter)*VLOOKUP($FM37,$G$9:$J$102,4)*VLOOKUP($FM37,$A$9:$E$102,5)*0.5*(VLOOKUP($FM37-FZ$103,Männer!$G$9:$J$102,4)+VLOOKUP($FM37-FZ$103+1,Männer!$G$9:$J$102,4))*0.5*(VLOOKUP($FM37-FZ$103,Männer!$AZ$9:$BD$102,5)+VLOOKUP($FM37-FZ$103+1,Männer!$AZ$9:$BD$102,5)),RundDx)</f>
        <v>3611513</v>
      </c>
      <c r="GA37" s="25">
        <f>ROUND(v^($FM37+FaktorAlter)*VLOOKUP($FM37,$G$9:$J$102,4)*VLOOKUP($FM37,$A$9:$E$102,5)*0.5*(VLOOKUP($FM37-GA$103,Männer!$G$9:$J$102,4)+VLOOKUP($FM37-GA$103+1,Männer!$G$9:$J$102,4))*0.5*(VLOOKUP($FM37-GA$103,Männer!$AZ$9:$BD$102,5)+VLOOKUP($FM37-GA$103+1,Männer!$AZ$9:$BD$102,5)),RundDx)</f>
        <v>5869960</v>
      </c>
      <c r="GB37" s="25">
        <f>ROUND(v^($FM37+FaktorAlter)*VLOOKUP($FM37,$G$9:$J$102,4)*VLOOKUP($FM37,$A$9:$E$102,5)*0.5*(VLOOKUP($FM37-GB$103,Männer!$G$9:$J$102,4)+VLOOKUP($FM37-GB$103+1,Männer!$G$9:$J$102,4))*0.5*(VLOOKUP($FM37-GB$103,Männer!$AZ$9:$BD$102,5)+VLOOKUP($FM37-GB$103+1,Männer!$AZ$9:$BD$102,5)),RundDx)</f>
        <v>9033246</v>
      </c>
      <c r="GC37" s="25">
        <f>ROUND(v^($FM37+FaktorAlter)*VLOOKUP($FM37,$G$9:$J$102,4)*VLOOKUP($FM37,$A$9:$E$102,5)*0.5*(VLOOKUP($FM37-GC$103,Männer!$G$9:$J$102,4)+VLOOKUP($FM37-GC$103+1,Männer!$G$9:$J$102,4))*0.5*(VLOOKUP($FM37-GC$103,Männer!$AZ$9:$BD$102,5)+VLOOKUP($FM37-GC$103+1,Männer!$AZ$9:$BD$102,5)),RundDx)</f>
        <v>13281987</v>
      </c>
      <c r="GD37" s="25">
        <f>ROUND(v^($FM37+FaktorAlter)*VLOOKUP($FM37,$G$9:$J$102,4)*VLOOKUP($FM37,$A$9:$E$102,5)*0.5*(VLOOKUP($FM37-GD$103,Männer!$G$9:$J$102,4)+VLOOKUP($FM37-GD$103+1,Männer!$G$9:$J$102,4))*0.5*(VLOOKUP($FM37-GD$103,Männer!$AZ$9:$BD$102,5)+VLOOKUP($FM37-GD$103+1,Männer!$AZ$9:$BD$102,5)),RundDx)</f>
        <v>18780421</v>
      </c>
      <c r="GE37" s="25">
        <f>ROUND(v^($FM37+FaktorAlter)*VLOOKUP($FM37,$G$9:$J$102,4)*VLOOKUP($FM37,$A$9:$E$102,5)*0.5*(VLOOKUP($FM37-GE$103,Männer!$G$9:$J$102,4)+VLOOKUP($FM37-GE$103+1,Männer!$G$9:$J$102,4))*0.5*(VLOOKUP($FM37-GE$103,Männer!$AZ$9:$BD$102,5)+VLOOKUP($FM37-GE$103+1,Männer!$AZ$9:$BD$102,5)),RundDx)</f>
        <v>25649044</v>
      </c>
      <c r="GF37" s="25">
        <f>ROUND(v^($FM37+FaktorAlter)*VLOOKUP($FM37,$G$9:$J$102,4)*VLOOKUP($FM37,$A$9:$E$102,5)*0.5*(VLOOKUP($FM37-GF$103,Männer!$G$9:$J$102,4)+VLOOKUP($FM37-GF$103+1,Männer!$G$9:$J$102,4))*0.5*(VLOOKUP($FM37-GF$103,Männer!$AZ$9:$BD$102,5)+VLOOKUP($FM37-GF$103+1,Männer!$AZ$9:$BD$102,5)),RundDx)</f>
        <v>33980778</v>
      </c>
      <c r="GG37" s="25">
        <f>ROUND(v^($FM37+FaktorAlter)*VLOOKUP($FM37,$G$9:$J$102,4)*VLOOKUP($FM37,$A$9:$E$102,5)*0.5*(VLOOKUP($FM37-GG$103,Männer!$G$9:$J$102,4)+VLOOKUP($FM37-GG$103+1,Männer!$G$9:$J$102,4))*0.5*(VLOOKUP($FM37-GG$103,Männer!$AZ$9:$BD$102,5)+VLOOKUP($FM37-GG$103+1,Männer!$AZ$9:$BD$102,5)),RundDx)</f>
        <v>43823572</v>
      </c>
      <c r="GH37" s="25">
        <f>ROUND(v^($FM37+FaktorAlter)*VLOOKUP($FM37,$G$9:$J$102,4)*VLOOKUP($FM37,$A$9:$E$102,5)*0.5*(VLOOKUP($FM37-GH$103,Männer!$G$9:$J$102,4)+VLOOKUP($FM37-GH$103+1,Männer!$G$9:$J$102,4))*0.5*(VLOOKUP($FM37-GH$103,Männer!$AZ$9:$BD$102,5)+VLOOKUP($FM37-GH$103+1,Männer!$AZ$9:$BD$102,5)),RundDx)</f>
        <v>55141442</v>
      </c>
      <c r="GI37" s="25">
        <f>ROUND(v^($FM37+FaktorAlter)*VLOOKUP($FM37,$G$9:$J$102,4)*VLOOKUP($FM37,$A$9:$E$102,5)*0.5*(VLOOKUP($FM37-GI$103,Männer!$G$9:$J$102,4)+VLOOKUP($FM37-GI$103+1,Männer!$G$9:$J$102,4))*0.5*(VLOOKUP($FM37-GI$103,Männer!$AZ$9:$BD$102,5)+VLOOKUP($FM37-GI$103+1,Männer!$AZ$9:$BD$102,5)),RundDx)</f>
        <v>67862848</v>
      </c>
      <c r="GJ37" s="25">
        <f>ROUND(v^($FM37+FaktorAlter)*VLOOKUP($FM37,$G$9:$J$102,4)*VLOOKUP($FM37,$A$9:$E$102,5)*0.5*(VLOOKUP($FM37-GJ$103,Männer!$G$9:$J$102,4)+VLOOKUP($FM37-GJ$103+1,Männer!$G$9:$J$102,4))*0.5*(VLOOKUP($FM37-GJ$103,Männer!$AZ$9:$BD$102,5)+VLOOKUP($FM37-GJ$103+1,Männer!$AZ$9:$BD$102,5)),RundDx)</f>
        <v>81951532</v>
      </c>
      <c r="GK37" s="25">
        <f>ROUND(v^($FM37+FaktorAlter)*VLOOKUP($FM37,$G$9:$J$102,4)*VLOOKUP($FM37,$A$9:$E$102,5)*0.5*(VLOOKUP($FM37-GK$103,Männer!$G$9:$J$102,4)+VLOOKUP($FM37-GK$103+1,Männer!$G$9:$J$102,4))*0.5*(VLOOKUP($FM37-GK$103,Männer!$AZ$9:$BD$102,5)+VLOOKUP($FM37-GK$103+1,Männer!$AZ$9:$BD$102,5)),RundDx)</f>
        <v>97359866</v>
      </c>
      <c r="GL37" s="25">
        <f>ROUND(v^($FM37+FaktorAlter)*VLOOKUP($FM37,$G$9:$J$102,4)*VLOOKUP($FM37,$A$9:$E$102,5)*0.5*(VLOOKUP($FM37-GL$103,Männer!$G$9:$J$102,4)+VLOOKUP($FM37-GL$103+1,Männer!$G$9:$J$102,4))*0.5*(VLOOKUP($FM37-GL$103,Männer!$AZ$9:$BD$102,5)+VLOOKUP($FM37-GL$103+1,Männer!$AZ$9:$BD$102,5)),RundDx)</f>
        <v>114008359</v>
      </c>
      <c r="GM37" s="25">
        <f>ROUND(v^($FM37+FaktorAlter)*VLOOKUP($FM37,$G$9:$J$102,4)*VLOOKUP($FM37,$A$9:$E$102,5)*0.5*(VLOOKUP($FM37-GM$103,Männer!$G$9:$J$102,4)+VLOOKUP($FM37-GM$103+1,Männer!$G$9:$J$102,4))*0.5*(VLOOKUP($FM37-GM$103,Männer!$AZ$9:$BD$102,5)+VLOOKUP($FM37-GM$103+1,Männer!$AZ$9:$BD$102,5)),RundDx)</f>
        <v>131834513</v>
      </c>
      <c r="GN37" s="25">
        <f>ROUND(v^($FM37+FaktorAlter)*VLOOKUP($FM37,$G$9:$J$102,4)*VLOOKUP($FM37,$A$9:$E$102,5)*0.5*(VLOOKUP($FM37-GN$103,Männer!$G$9:$J$102,4)+VLOOKUP($FM37-GN$103+1,Männer!$G$9:$J$102,4))*0.5*(VLOOKUP($FM37-GN$103,Männer!$AZ$9:$BD$102,5)+VLOOKUP($FM37-GN$103+1,Männer!$AZ$9:$BD$102,5)),RundDx)</f>
        <v>150766180</v>
      </c>
      <c r="GO37" s="25">
        <f>ROUND(v^($FM37+FaktorAlter)*VLOOKUP($FM37,$G$9:$J$102,4)*VLOOKUP($FM37,$A$9:$E$102,5)*0.5*(VLOOKUP($FM37-GO$103,Männer!$G$9:$J$102,4)+VLOOKUP($FM37-GO$103+1,Männer!$G$9:$J$102,4))*0.5*(VLOOKUP($FM37-GO$103,Männer!$AZ$9:$BD$102,5)+VLOOKUP($FM37-GO$103+1,Männer!$AZ$9:$BD$102,5)),RundDx)</f>
        <v>170703430</v>
      </c>
      <c r="GP37" s="25">
        <f>ROUND(v^($FM37+FaktorAlter)*VLOOKUP($FM37,$G$9:$J$102,4)*VLOOKUP($FM37,$A$9:$E$102,5)*0.5*(VLOOKUP($FM37-GP$103,Männer!$G$9:$J$102,4)+VLOOKUP($FM37-GP$103+1,Männer!$G$9:$J$102,4))*0.5*(VLOOKUP($FM37-GP$103,Männer!$AZ$9:$BD$102,5)+VLOOKUP($FM37-GP$103+1,Männer!$AZ$9:$BD$102,5)),RundDx)</f>
        <v>191550505</v>
      </c>
      <c r="GQ37" s="25">
        <f>ROUND(v^($FM37+FaktorAlter)*VLOOKUP($FM37,$G$9:$J$102,4)*VLOOKUP($FM37,$A$9:$E$102,5)*0.5*(VLOOKUP($FM37-GQ$103,Männer!$G$9:$J$102,4)+VLOOKUP($FM37-GQ$103+1,Männer!$G$9:$J$102,4))*0.5*(VLOOKUP($FM37-GQ$103,Männer!$AZ$9:$BD$102,5)+VLOOKUP($FM37-GQ$103+1,Männer!$AZ$9:$BD$102,5)),RundDx)</f>
        <v>213206869</v>
      </c>
      <c r="GR37" s="25">
        <f>ROUND(v^($FM37+FaktorAlter)*VLOOKUP($FM37,$G$9:$J$102,4)*VLOOKUP($FM37,$A$9:$E$102,5)*0.5*(VLOOKUP($FM37-GR$103,Männer!$G$9:$J$102,4)+VLOOKUP($FM37-GR$103+1,Männer!$G$9:$J$102,4))*0.5*(VLOOKUP($FM37-GR$103,Männer!$AZ$9:$BD$102,5)+VLOOKUP($FM37-GR$103+1,Männer!$AZ$9:$BD$102,5)),RundDx)</f>
        <v>235564369</v>
      </c>
      <c r="GS37" s="24"/>
      <c r="GT37" s="24"/>
      <c r="GU37" s="24"/>
      <c r="GV37" s="24"/>
      <c r="GW37" s="24"/>
      <c r="GX37" s="24"/>
      <c r="GY37" s="24">
        <f>ROUND(SUM(FT37:FT$56)/VLOOKUP($FM37,$AQ$9:$AR$102,2)/VLOOKUP($FM37-GY$103,Männer!$G$9:$J$102,4),Rundäx)</f>
        <v>0</v>
      </c>
      <c r="GZ37" s="24">
        <f>ROUND(SUM(FU37:FU$56)/VLOOKUP($FM37,$AQ$9:$AR$102,2)/VLOOKUP($FM37-GZ$103,Männer!$G$9:$J$102,4),Rundäx)</f>
        <v>0.128</v>
      </c>
      <c r="HA37" s="89"/>
      <c r="HB37" s="35">
        <f t="shared" si="65"/>
        <v>92</v>
      </c>
      <c r="HC37" s="24">
        <f>ROUND(SUM(FV37:FV$56)/VLOOKUP($FM37,$AQ$9:$AR$102,2)/VLOOKUP($FM37-HC$103,Männer!$G$9:$J$102,4),Rundäx)</f>
        <v>0.21199999999999999</v>
      </c>
      <c r="HD37" s="24">
        <f>ROUND(SUM(FW37:FW$56)/VLOOKUP($FM37,$AQ$9:$AR$102,2)/VLOOKUP($FM37-HD$103,Männer!$G$9:$J$102,4),Rundäx)</f>
        <v>0.28399999999999997</v>
      </c>
      <c r="HE37" s="24">
        <f>ROUND(SUM(FX37:FX$56)/VLOOKUP($FM37,$AQ$9:$AR$102,2)/VLOOKUP($FM37-HE$103,Männer!$G$9:$J$102,4),Rundäx)</f>
        <v>0.36199999999999999</v>
      </c>
      <c r="HF37" s="24">
        <f>ROUND(SUM(FY37:FY$56)/VLOOKUP($FM37,$AQ$9:$AR$102,2)/VLOOKUP($FM37-HF$103,Männer!$G$9:$J$102,4),Rundäx)</f>
        <v>0.45100000000000001</v>
      </c>
      <c r="HG37" s="24">
        <f>ROUND(SUM(FZ37:FZ$56)/VLOOKUP($FM37,$AQ$9:$AR$102,2)/VLOOKUP($FM37-HG$103,Männer!$G$9:$J$102,4),Rundäx)</f>
        <v>0.55300000000000005</v>
      </c>
      <c r="HH37" s="24">
        <f>ROUND(SUM(GA37:GA$56)/VLOOKUP($FM37,$AQ$9:$AR$102,2)/VLOOKUP($FM37-HH$103,Männer!$G$9:$J$102,4),Rundäx)</f>
        <v>0.67100000000000004</v>
      </c>
      <c r="HI37" s="24">
        <f>ROUND(SUM(GB37:GB$56)/VLOOKUP($FM37,$AQ$9:$AR$102,2)/VLOOKUP($FM37-HI$103,Männer!$G$9:$J$102,4),Rundäx)</f>
        <v>0.80500000000000005</v>
      </c>
      <c r="HJ37" s="24">
        <f>ROUND(SUM(GC37:GC$56)/VLOOKUP($FM37,$AQ$9:$AR$102,2)/VLOOKUP($FM37-HJ$103,Männer!$G$9:$J$102,4),Rundäx)</f>
        <v>0.95599999999999996</v>
      </c>
      <c r="HK37" s="89"/>
      <c r="HL37" s="35">
        <f t="shared" si="66"/>
        <v>92</v>
      </c>
      <c r="HM37" s="24">
        <f>ROUND(SUM(GD37:GD$56)/VLOOKUP($FM37,$AQ$9:$AR$102,2)/VLOOKUP($FM37-HM$103,Männer!$G$9:$J$102,4),Rundäx)</f>
        <v>1.1279999999999999</v>
      </c>
      <c r="HN37" s="24">
        <f>ROUND(SUM(GE37:GE$56)/VLOOKUP($FM37,$AQ$9:$AR$102,2)/VLOOKUP($FM37-HN$103,Männer!$G$9:$J$102,4),Rundäx)</f>
        <v>1.319</v>
      </c>
      <c r="HO37" s="24">
        <f>ROUND(SUM(GF37:GF$56)/VLOOKUP($FM37,$AQ$9:$AR$102,2)/VLOOKUP($FM37-HO$103,Männer!$G$9:$J$102,4),Rundäx)</f>
        <v>1.5309999999999999</v>
      </c>
      <c r="HP37" s="24">
        <f>ROUND(SUM(GG37:GG$56)/VLOOKUP($FM37,$AQ$9:$AR$102,2)/VLOOKUP($FM37-HP$103,Männer!$G$9:$J$102,4),Rundäx)</f>
        <v>1.764</v>
      </c>
      <c r="HQ37" s="24">
        <f>ROUND(SUM(GH37:GH$56)/VLOOKUP($FM37,$AQ$9:$AR$102,2)/VLOOKUP($FM37-HQ$103,Männer!$G$9:$J$102,4),Rundäx)</f>
        <v>2.016</v>
      </c>
      <c r="HR37" s="24">
        <f>ROUND(SUM(GI37:GI$56)/VLOOKUP($FM37,$AQ$9:$AR$102,2)/VLOOKUP($FM37-HR$103,Männer!$G$9:$J$102,4),Rundäx)</f>
        <v>2.286</v>
      </c>
      <c r="HS37" s="24">
        <f>ROUND(SUM(GJ37:GJ$56)/VLOOKUP($FM37,$AQ$9:$AR$102,2)/VLOOKUP($FM37-HS$103,Männer!$G$9:$J$102,4),Rundäx)</f>
        <v>2.5710000000000002</v>
      </c>
      <c r="HT37" s="24">
        <f>ROUND(SUM(GK37:GK$56)/VLOOKUP($FM37,$AQ$9:$AR$102,2)/VLOOKUP($FM37-HT$103,Männer!$G$9:$J$102,4),Rundäx)</f>
        <v>2.8719999999999999</v>
      </c>
      <c r="HU37" s="89"/>
      <c r="HV37" s="35">
        <f t="shared" si="67"/>
        <v>92</v>
      </c>
      <c r="HW37" s="24">
        <f>ROUND(SUM(GL37:GL$56)/VLOOKUP($FM37,$AQ$9:$AR$102,2)/VLOOKUP($FM37-HW$103,Männer!$G$9:$J$102,4),Rundäx)</f>
        <v>3.1859999999999999</v>
      </c>
      <c r="HX37" s="24">
        <f>ROUND(SUM(GM37:GM$56)/VLOOKUP($FM37,$AQ$9:$AR$102,2)/VLOOKUP($FM37-HX$103,Männer!$G$9:$J$102,4),Rundäx)</f>
        <v>3.512</v>
      </c>
      <c r="HY37" s="24">
        <f>ROUND(SUM(GN37:GN$56)/VLOOKUP($FM37,$AQ$9:$AR$102,2)/VLOOKUP($FM37-HY$103,Männer!$G$9:$J$102,4),Rundäx)</f>
        <v>3.8490000000000002</v>
      </c>
      <c r="HZ37" s="24">
        <f>ROUND(SUM(GO37:GO$56)/VLOOKUP($FM37,$AQ$9:$AR$102,2)/VLOOKUP($FM37-HZ$103,Männer!$G$9:$J$102,4),Rundäx)</f>
        <v>4.194</v>
      </c>
      <c r="IA37" s="24">
        <f>ROUND(SUM(GP37:GP$56)/VLOOKUP($FM37,$AQ$9:$AR$102,2)/VLOOKUP($FM37-IA$103,Männer!$G$9:$J$102,4),Rundäx)</f>
        <v>4.548</v>
      </c>
      <c r="IB37" s="24">
        <f>ROUND(SUM(GQ37:GQ$56)/VLOOKUP($FM37,$AQ$9:$AR$102,2)/VLOOKUP($FM37-IB$103,Männer!$G$9:$J$102,4),Rundäx)</f>
        <v>4.9089999999999998</v>
      </c>
      <c r="IC37" s="24">
        <f>ROUND(SUM(GR37:GR$56)/VLOOKUP($FM37,$AQ$9:$AR$102,2)/VLOOKUP($FM37-IC$103,Männer!$G$9:$J$102,4),Rundäx)</f>
        <v>5.2759999999999998</v>
      </c>
      <c r="ID37" s="89"/>
      <c r="IE37" s="9">
        <f t="shared" si="68"/>
        <v>45</v>
      </c>
      <c r="IF37" s="11">
        <f t="shared" si="25"/>
        <v>199</v>
      </c>
      <c r="IG37" s="11">
        <f>IF($IE37&lt;RAF,IF(S38&lt;=RAK,ROUND(SUM(IF37:INDEX(Daky,RAF-BeginnAlter))+INDEX(Day,RAF-BeginnAlter+1)*INDEX(äky,1),RundDx),0),"")</f>
        <v>936</v>
      </c>
      <c r="IH37" s="11">
        <f>IF($IE37&lt;RAF,IF(S38&lt;=RAK,ROUND(SUM(IG37:INDEX(Naky,RAF-BeginnAlter))+INDEX(Day,RAF-BeginnAlter+1)*INDEX(äky,1),RundDx),0),"")</f>
        <v>3780</v>
      </c>
      <c r="II37" s="10">
        <f t="shared" si="26"/>
        <v>2.7E-2</v>
      </c>
      <c r="IJ37" s="11">
        <f t="shared" si="27"/>
        <v>4807</v>
      </c>
      <c r="IK37" s="11">
        <f>IF($IE37&lt;RAF,IF(S38&lt;=RAK,SUM(IJ37:INDEX(Diky,RAF-BeginnAlter))+INDEX(Diy,RAF-BeginnAlter+1)*INDEX(äky,1),0),"")</f>
        <v>17013</v>
      </c>
      <c r="IL37" s="10">
        <f t="shared" si="28"/>
        <v>0.34599999999999997</v>
      </c>
      <c r="IM37" s="89"/>
      <c r="IN37" s="9">
        <f t="shared" si="29"/>
        <v>92</v>
      </c>
      <c r="IO37" s="11"/>
      <c r="IP37" s="11"/>
      <c r="IQ37" s="10"/>
      <c r="IR37" s="86"/>
    </row>
    <row r="38" spans="1:252" ht="15.75" customHeight="1" x14ac:dyDescent="0.25">
      <c r="A38" s="9">
        <f t="shared" si="4"/>
        <v>46</v>
      </c>
      <c r="B38" s="93">
        <v>9.5755209036423614E-4</v>
      </c>
      <c r="C38" s="93">
        <v>5.4536057515095987E-3</v>
      </c>
      <c r="D38" s="93">
        <v>1.9404851978767658E-2</v>
      </c>
      <c r="E38" s="93">
        <v>1.8447175849487518E-3</v>
      </c>
      <c r="F38" s="89"/>
      <c r="G38" s="9">
        <f t="shared" si="5"/>
        <v>46</v>
      </c>
      <c r="H38" s="11">
        <f t="shared" si="30"/>
        <v>93671</v>
      </c>
      <c r="I38" s="25">
        <f t="shared" si="31"/>
        <v>4447</v>
      </c>
      <c r="J38" s="25">
        <f t="shared" si="32"/>
        <v>98118</v>
      </c>
      <c r="K38" s="30">
        <f>IF(J38&gt;0,ROUND(SUM(J38:J$102)/J38-0.5,Rundex),"")</f>
        <v>36.950000000000003</v>
      </c>
      <c r="L38" s="25">
        <f t="shared" si="6"/>
        <v>131110</v>
      </c>
      <c r="M38" s="30">
        <f>IF(L38&gt;0,ROUND(SUM(L38:L$102)/L38-0.5,Rundex),"")</f>
        <v>29.74</v>
      </c>
      <c r="N38" s="89"/>
      <c r="O38" s="9">
        <f t="shared" si="49"/>
        <v>46</v>
      </c>
      <c r="P38" s="94">
        <v>0.31084111842555462</v>
      </c>
      <c r="Q38" s="95">
        <v>48.83002668689047</v>
      </c>
      <c r="R38" s="94">
        <v>0.39142971095007201</v>
      </c>
      <c r="S38" s="95">
        <v>11.725320639279387</v>
      </c>
      <c r="T38" s="28">
        <v>1.4E-3</v>
      </c>
      <c r="U38" s="11">
        <f t="shared" si="33"/>
        <v>98238</v>
      </c>
      <c r="V38" s="30">
        <f>IF(U38&gt;0,ROUND(SUM(U38:U$102)/U38-0.5,Rundex),"")</f>
        <v>38.21</v>
      </c>
      <c r="W38" s="89"/>
      <c r="X38" s="9">
        <f t="shared" si="50"/>
        <v>46</v>
      </c>
      <c r="Y38" s="11">
        <f t="shared" si="34"/>
        <v>33658</v>
      </c>
      <c r="Z38" s="11">
        <f>IF($X38&lt;RAF,SUM(Y38:INDEX(Day,RAF-BeginnAlter))," ")</f>
        <v>461593</v>
      </c>
      <c r="AA38" s="11">
        <f t="shared" si="0"/>
        <v>32</v>
      </c>
      <c r="AB38" s="11">
        <f>IF($X38&lt;RAF,SUM(AA38:INDEX(Cay,RAF-BeginnAlter))," ")</f>
        <v>981</v>
      </c>
      <c r="AC38" s="11">
        <f t="shared" si="1"/>
        <v>182</v>
      </c>
      <c r="AD38" s="11">
        <f>IF($X38&lt;RAF,SUM(AC38:INDEX(Caiy,RAF-BeginnAlter))," ")</f>
        <v>6225</v>
      </c>
      <c r="AE38" s="10">
        <f t="shared" si="35"/>
        <v>13.714</v>
      </c>
      <c r="AF38" s="10">
        <f t="shared" si="36"/>
        <v>13.478999999999999</v>
      </c>
      <c r="AG38" s="89"/>
      <c r="AH38" s="9">
        <f t="shared" si="51"/>
        <v>46</v>
      </c>
      <c r="AI38" s="11">
        <f t="shared" si="37"/>
        <v>47111</v>
      </c>
      <c r="AJ38" s="11">
        <f>IF($AH38&gt;RAF," ",IF($AH38&lt;RAF,SUM(AI38:INDEX(Diy,RAF-BeginnAlter))+INDEX(Ny,RAF-BeginnAlter+1),INDEX(Ny,RAF-BeginnAlter+1)))</f>
        <v>974904</v>
      </c>
      <c r="AK38" s="11">
        <f>IF($AH38&lt;RAF,SUM(AI38:INDEX(Diy,RAF-BeginnAlter))," ")</f>
        <v>608810</v>
      </c>
      <c r="AL38" s="10">
        <f t="shared" si="38"/>
        <v>20.693999999999999</v>
      </c>
      <c r="AM38" s="10">
        <f t="shared" si="39"/>
        <v>20.234999999999999</v>
      </c>
      <c r="AN38" s="10">
        <f t="shared" si="40"/>
        <v>12.923</v>
      </c>
      <c r="AO38" s="10">
        <f t="shared" si="41"/>
        <v>12.676</v>
      </c>
      <c r="AP38" s="89"/>
      <c r="AQ38" s="9">
        <f t="shared" si="52"/>
        <v>46</v>
      </c>
      <c r="AR38" s="11">
        <f t="shared" si="42"/>
        <v>35256</v>
      </c>
      <c r="AS38" s="11">
        <f>SUM(AR38:AR$96)</f>
        <v>881953</v>
      </c>
      <c r="AT38" s="25">
        <f>IF($AQ38&lt;RAF,SUM(AR38:INDEX(Dy,RAF-BeginnAlter))," ")</f>
        <v>515859</v>
      </c>
      <c r="AU38" s="24">
        <f t="shared" si="43"/>
        <v>25.015999999999998</v>
      </c>
      <c r="AV38" s="24">
        <f t="shared" si="44"/>
        <v>24.556999999999999</v>
      </c>
      <c r="AW38" s="24">
        <f t="shared" si="45"/>
        <v>14.632</v>
      </c>
      <c r="AX38" s="24">
        <f t="shared" si="46"/>
        <v>14.456</v>
      </c>
      <c r="AY38" s="89"/>
      <c r="AZ38" s="9">
        <f t="shared" si="53"/>
        <v>46</v>
      </c>
      <c r="BA38" s="11">
        <f t="shared" si="47"/>
        <v>35299</v>
      </c>
      <c r="BB38" s="11">
        <f>SUM(BA38:BA$96)</f>
        <v>904653</v>
      </c>
      <c r="BC38" s="10">
        <f t="shared" si="48"/>
        <v>25.628</v>
      </c>
      <c r="BD38" s="10">
        <f t="shared" si="7"/>
        <v>25.17</v>
      </c>
      <c r="BE38" s="89"/>
      <c r="BF38" s="9">
        <f t="shared" si="54"/>
        <v>29</v>
      </c>
      <c r="BG38" s="10" t="str">
        <f t="shared" si="8"/>
        <v/>
      </c>
      <c r="BH38" s="10" t="str">
        <f t="shared" si="9"/>
        <v/>
      </c>
      <c r="BI38" s="89"/>
      <c r="BJ38" s="9">
        <f t="shared" si="55"/>
        <v>46</v>
      </c>
      <c r="BK38" s="11">
        <f t="shared" si="10"/>
        <v>3659</v>
      </c>
      <c r="BL38" s="11">
        <f>IF(BJ38&lt;RAF,SUM(BK38:INDEX(Daiy,RAF-BeginnAlter))," ")</f>
        <v>111894</v>
      </c>
      <c r="BM38" s="11">
        <f>IF(BJ38&lt;RAF,SUM(BL38:INDEX(Naiy,RAF-BeginnAlter))," ")</f>
        <v>1236645</v>
      </c>
      <c r="BN38" s="10">
        <f t="shared" si="11"/>
        <v>7.968</v>
      </c>
      <c r="BO38" s="10">
        <f t="shared" si="12"/>
        <v>3.3239999999999998</v>
      </c>
      <c r="BP38" s="89"/>
      <c r="BQ38" s="9">
        <f t="shared" si="56"/>
        <v>46</v>
      </c>
      <c r="BR38" s="11">
        <f t="shared" si="13"/>
        <v>2258</v>
      </c>
      <c r="BS38" s="11">
        <f>IF(BQ38&lt;RAF,SUM(BR38:INDEX(Daiys,RAF-BeginnAlter))," ")</f>
        <v>36030</v>
      </c>
      <c r="BT38" s="11">
        <f>IF(BQ38&lt;RAF,SUM(BS38:INDEX(Naiys,RAF-BeginnAlter))," ")</f>
        <v>299165</v>
      </c>
      <c r="BU38" s="10">
        <f t="shared" si="14"/>
        <v>10.222</v>
      </c>
      <c r="BV38" s="10">
        <f t="shared" si="15"/>
        <v>1.07</v>
      </c>
      <c r="BW38" s="89"/>
      <c r="BX38" s="9">
        <f t="shared" si="57"/>
        <v>46</v>
      </c>
      <c r="BY38" s="10">
        <f t="shared" si="16"/>
        <v>9.7757321368353818</v>
      </c>
      <c r="BZ38" s="11">
        <f t="shared" si="17"/>
        <v>652</v>
      </c>
      <c r="CA38" s="11">
        <f>IF(S39&lt;=RAK,IF($BX38&lt;RAF,SUM(BZ38:INDEX(Dazy,RAF-BeginnAlter)),""),"")</f>
        <v>3022</v>
      </c>
      <c r="CB38" s="10">
        <f t="shared" si="18"/>
        <v>0.09</v>
      </c>
      <c r="CC38" s="11">
        <f t="shared" si="19"/>
        <v>25088</v>
      </c>
      <c r="CD38" s="10">
        <f t="shared" si="20"/>
        <v>18.611000000000001</v>
      </c>
      <c r="CE38" s="10">
        <f t="shared" si="21"/>
        <v>4.0000000000000001E-3</v>
      </c>
      <c r="CF38" s="89"/>
      <c r="CG38" s="9">
        <f t="shared" si="58"/>
        <v>46</v>
      </c>
      <c r="CH38" s="11">
        <f>IF(CG38&lt;RAF,ROUND(v^($CG38+FaktorAlter)*$H38*($B38*0.5*($P38+$P39)*(VLOOKUP(TRUNC(0.5*($Q38+$Q39),0),Männer!$AZ$9:$BD$95,5)+(0.5*($Q38+$Q39)-TRUNC(0.5*($Q38+$Q39),0))*(VLOOKUP(TRUNC(0.5*($Q38+$Q39)+1,0),Männer!$AZ$9:$BD$95,5)-VLOOKUP(TRUNC(0.5*($Q38+$Q39),0),Männer!$AZ$9:$BD$95,5)))+$C38*0.5*($CN38+$CN39)),RundDx),"")</f>
        <v>401</v>
      </c>
      <c r="CI38" s="11">
        <f>IF(CG38&lt;RAF,ROUND(SUM(CH38:INDEX(Dawy,RAF-BeginnAlter))+INDEX(Day,RAF-BeginnAlter+1)*INDEX(äwy,1),RundDx),"")</f>
        <v>8304</v>
      </c>
      <c r="CJ38" s="11">
        <f>IF(CG38&lt;RAF,ROUND(SUM(CI38:INDEX(Nawy,RAF-BeginnAlter))+INDEX(Day,RAF-BeginnAlter+1)*INDEX(äwy,1),RundDx),"")</f>
        <v>91724</v>
      </c>
      <c r="CK38" s="10">
        <f t="shared" si="22"/>
        <v>0.247</v>
      </c>
      <c r="CL38" s="11">
        <f>IF(CG38&lt;RAF,ROUND(v^($CG38+FaktorAlter)*$L38*$D38*0.5*($P38+$P39)*(VLOOKUP(TRUNC(0.5*($Q38+$Q39),0),Männer!$AZ$9:$BD$95,5)+(0.5*($Q38+$Q39)-TRUNC(0.5*($Q38+$Q39),0))*(VLOOKUP(TRUNC(0.5*($Q38+$Q39)+1,0),Männer!$AZ$9:$BD$95,5)-VLOOKUP(TRUNC(0.5*($Q38+$Q39),0),Männer!$AZ$9:$BD$95,5))),RundDx),"")</f>
        <v>5727</v>
      </c>
      <c r="CM38" s="11">
        <f>IF(CG38&lt;RAF,SUM(CL38:INDEX(Diwy,RAF-BeginnAlter))+INDEX(Diy,RAF-BeginnAlter+1)*INDEX(äwy,1),"")</f>
        <v>53635.304000000004</v>
      </c>
      <c r="CN38" s="10">
        <f t="shared" si="23"/>
        <v>1.1379999999999999</v>
      </c>
      <c r="CO38" s="89"/>
      <c r="CP38" s="9">
        <f t="shared" si="59"/>
        <v>93</v>
      </c>
      <c r="CQ38" s="11">
        <f>ROUND(v^($CP38+FaktorAlter)*VLOOKUP(CP38,G$9:J$102,4)*VLOOKUP(CP38,A$9:E$102,5)*0.5*(VLOOKUP(CP38,O$9:P$102,2)+VLOOKUP(CP38+1,O$9:P$102,2))*(VLOOKUP(TRUNC(0.5*(VLOOKUP(CP38,O$9:Q$102,3)+VLOOKUP(CP38+1,O$9:Q$102,3)),0),Männer!$AZ$9:$BD$95,5)+(0.5*(VLOOKUP(CP38,O$9:Q$102,3)+VLOOKUP(CP38+1,O$9:Q$102,3))-TRUNC(0.5*(VLOOKUP(CP38,O$9:Q$102,3)+VLOOKUP(CP38+1,O$9:Q$102,3)),0))*(VLOOKUP(TRUNC(0.5*(VLOOKUP(CP38,O$9:Q$102,3)+VLOOKUP(CP38+1,O$9:Q$102,3))+1,0),Männer!$AZ$9:$BD$95,5)-VLOOKUP(TRUNC(0.5*(VLOOKUP(CP38,O$9:Q$102,3)+VLOOKUP(CP38+1,O$9:Q$102,3)),0),Männer!$AZ$9:$BD$95,5))),RundDx)</f>
        <v>4</v>
      </c>
      <c r="CR38" s="11">
        <f>SUM(CQ38:CQ$56)</f>
        <v>12</v>
      </c>
      <c r="CS38" s="24">
        <f t="shared" si="24"/>
        <v>6.0000000000000001E-3</v>
      </c>
      <c r="CT38" s="89"/>
      <c r="CU38" s="35">
        <f t="shared" si="60"/>
        <v>46</v>
      </c>
      <c r="CV38" s="25">
        <f>IF($CU38&gt;=RAF,"",IF($CU38-CV$103&lt;BeginnAlter,"",ROUND(v^($CU38+FaktorAlter)*$L38*$D38*0.5*(VLOOKUP($CU38-CV$103,Männer!$G$9:$J$102,4)+VLOOKUP($CU38-CV$103+1,Männer!$G$9:$J$102,4))*0.5*(VLOOKUP($CU38-CV$103,Männer!$AZ$9:$BD$102,5)+VLOOKUP($CU38-CV$103+1,Männer!$AZ$9:$BD$102,5)),RundDx)))</f>
        <v>1163064212</v>
      </c>
      <c r="CW38" s="25">
        <f>IF($CU38&gt;=RAF,"",IF($CU38-CW$103&lt;BeginnAlter,"",ROUND(v^($CU38+FaktorAlter)*$L38*$D38*0.5*(VLOOKUP($CU38-CW$103,Männer!$G$9:$J$102,4)+VLOOKUP($CU38-CW$103+1,Männer!$G$9:$J$102,4))*0.5*(VLOOKUP($CU38-CW$103,Männer!$AZ$9:$BD$102,5)+VLOOKUP($CU38-CW$103+1,Männer!$AZ$9:$BD$102,5)),RundDx)))</f>
        <v>1212771891</v>
      </c>
      <c r="CX38" s="25">
        <f>IF($CU38&gt;=RAF,"",IF($CU38-CX$103&lt;BeginnAlter,"",ROUND(v^($CU38+FaktorAlter)*$L38*$D38*0.5*(VLOOKUP($CU38-CX$103,Männer!$G$9:$J$102,4)+VLOOKUP($CU38-CX$103+1,Männer!$G$9:$J$102,4))*0.5*(VLOOKUP($CU38-CX$103,Männer!$AZ$9:$BD$102,5)+VLOOKUP($CU38-CX$103+1,Männer!$AZ$9:$BD$102,5)),RundDx)))</f>
        <v>1263440901</v>
      </c>
      <c r="CY38" s="25">
        <f>IF($CU38&gt;=RAF,"",IF($CU38-CY$103&lt;BeginnAlter,"",ROUND(v^($CU38+FaktorAlter)*$L38*$D38*0.5*(VLOOKUP($CU38-CY$103,Männer!$G$9:$J$102,4)+VLOOKUP($CU38-CY$103+1,Männer!$G$9:$J$102,4))*0.5*(VLOOKUP($CU38-CY$103,Männer!$AZ$9:$BD$102,5)+VLOOKUP($CU38-CY$103+1,Männer!$AZ$9:$BD$102,5)),RundDx)))</f>
        <v>1315011293</v>
      </c>
      <c r="CZ38" s="25">
        <f>IF($CU38&gt;=RAF,"",IF($CU38-CZ$103&lt;BeginnAlter,"",ROUND(v^($CU38+FaktorAlter)*$L38*$D38*0.5*(VLOOKUP($CU38-CZ$103,Männer!$G$9:$J$102,4)+VLOOKUP($CU38-CZ$103+1,Männer!$G$9:$J$102,4))*0.5*(VLOOKUP($CU38-CZ$103,Männer!$AZ$9:$BD$102,5)+VLOOKUP($CU38-CZ$103+1,Männer!$AZ$9:$BD$102,5)),RundDx)))</f>
        <v>1367407397</v>
      </c>
      <c r="DA38" s="25">
        <f>IF($CU38&gt;=RAF,"",IF($CU38-DA$103&lt;BeginnAlter,"",ROUND(v^($CU38+FaktorAlter)*$L38*$D38*0.5*(VLOOKUP($CU38-DA$103,Männer!$G$9:$J$102,4)+VLOOKUP($CU38-DA$103+1,Männer!$G$9:$J$102,4))*0.5*(VLOOKUP($CU38-DA$103,Männer!$AZ$9:$BD$102,5)+VLOOKUP($CU38-DA$103+1,Männer!$AZ$9:$BD$102,5)),RundDx)))</f>
        <v>1420614623</v>
      </c>
      <c r="DB38" s="25">
        <f>IF($CU38&gt;=RAF,"",IF($CU38-DB$103&lt;BeginnAlter,"",ROUND(v^($CU38+FaktorAlter)*$L38*$D38*0.5*(VLOOKUP($CU38-DB$103,Männer!$G$9:$J$102,4)+VLOOKUP($CU38-DB$103+1,Männer!$G$9:$J$102,4))*0.5*(VLOOKUP($CU38-DB$103,Männer!$AZ$9:$BD$102,5)+VLOOKUP($CU38-DB$103+1,Männer!$AZ$9:$BD$102,5)),RundDx)))</f>
        <v>1473852703</v>
      </c>
      <c r="DC38" s="25">
        <f>IF($CU38&gt;=RAF,"",IF($CU38-DC$103&lt;BeginnAlter,"",ROUND(v^($CU38+FaktorAlter)*$L38*$D38*0.5*(VLOOKUP($CU38-DC$103,Männer!$G$9:$J$102,4)+VLOOKUP($CU38-DC$103+1,Männer!$G$9:$J$102,4))*0.5*(VLOOKUP($CU38-DC$103,Männer!$AZ$9:$BD$102,5)+VLOOKUP($CU38-DC$103+1,Männer!$AZ$9:$BD$102,5)),RundDx)))</f>
        <v>1526289819</v>
      </c>
      <c r="DD38" s="25">
        <f>IF($CU38&gt;=RAF,"",IF($CU38-DD$103&lt;BeginnAlter,"",ROUND(v^($CU38+FaktorAlter)*$L38*$D38*0.5*(VLOOKUP($CU38-DD$103,Männer!$G$9:$J$102,4)+VLOOKUP($CU38-DD$103+1,Männer!$G$9:$J$102,4))*0.5*(VLOOKUP($CU38-DD$103,Männer!$AZ$9:$BD$102,5)+VLOOKUP($CU38-DD$103+1,Männer!$AZ$9:$BD$102,5)),RundDx)))</f>
        <v>1577934800</v>
      </c>
      <c r="DE38" s="25">
        <f>IF($CU38&gt;=RAF,"",IF($CU38-DE$103&lt;BeginnAlter,"",ROUND(v^($CU38+FaktorAlter)*$L38*$D38*0.5*(VLOOKUP($CU38-DE$103,Männer!$G$9:$J$102,4)+VLOOKUP($CU38-DE$103+1,Männer!$G$9:$J$102,4))*0.5*(VLOOKUP($CU38-DE$103,Männer!$AZ$9:$BD$102,5)+VLOOKUP($CU38-DE$103+1,Männer!$AZ$9:$BD$102,5)),RundDx)))</f>
        <v>1628795442</v>
      </c>
      <c r="DF38" s="25">
        <f>IF($CU38&gt;=RAF,"",IF($CU38-DF$103&lt;BeginnAlter,"",ROUND(v^($CU38+FaktorAlter)*$L38*$D38*0.5*(VLOOKUP($CU38-DF$103,Männer!$G$9:$J$102,4)+VLOOKUP($CU38-DF$103+1,Männer!$G$9:$J$102,4))*0.5*(VLOOKUP($CU38-DF$103,Männer!$AZ$9:$BD$102,5)+VLOOKUP($CU38-DF$103+1,Männer!$AZ$9:$BD$102,5)),RundDx)))</f>
        <v>1678780359</v>
      </c>
      <c r="DG38" s="25">
        <f>IF($CU38&gt;=RAF,"",IF($CU38-DG$103&lt;BeginnAlter,"",ROUND(v^($CU38+FaktorAlter)*$L38*$D38*0.5*(VLOOKUP($CU38-DG$103,Männer!$G$9:$J$102,4)+VLOOKUP($CU38-DG$103+1,Männer!$G$9:$J$102,4))*0.5*(VLOOKUP($CU38-DG$103,Männer!$AZ$9:$BD$102,5)+VLOOKUP($CU38-DG$103+1,Männer!$AZ$9:$BD$102,5)),RundDx)))</f>
        <v>1727895095</v>
      </c>
      <c r="DH38" s="25">
        <f>IF($CU38&gt;=RAF,"",IF($CU38-DH$103&lt;BeginnAlter,"",ROUND(v^($CU38+FaktorAlter)*$L38*$D38*0.5*(VLOOKUP($CU38-DH$103,Männer!$G$9:$J$102,4)+VLOOKUP($CU38-DH$103+1,Männer!$G$9:$J$102,4))*0.5*(VLOOKUP($CU38-DH$103,Männer!$AZ$9:$BD$102,5)+VLOOKUP($CU38-DH$103+1,Männer!$AZ$9:$BD$102,5)),RundDx)))</f>
        <v>1776215682</v>
      </c>
      <c r="DI38" s="25">
        <f>IF($CU38&gt;=RAF,"",IF($CU38-DI$103&lt;BeginnAlter,"",ROUND(v^($CU38+FaktorAlter)*$L38*$D38*0.5*(VLOOKUP($CU38-DI$103,Männer!$G$9:$J$102,4)+VLOOKUP($CU38-DI$103+1,Männer!$G$9:$J$102,4))*0.5*(VLOOKUP($CU38-DI$103,Männer!$AZ$9:$BD$102,5)+VLOOKUP($CU38-DI$103+1,Männer!$AZ$9:$BD$102,5)),RundDx)))</f>
        <v>1823711025</v>
      </c>
      <c r="DJ38" s="25">
        <f>IF($CU38&gt;=RAF,"",IF($CU38-DJ$103&lt;BeginnAlter,"",ROUND(v^($CU38+FaktorAlter)*$L38*$D38*0.5*(VLOOKUP($CU38-DJ$103,Männer!$G$9:$J$102,4)+VLOOKUP($CU38-DJ$103+1,Männer!$G$9:$J$102,4))*0.5*(VLOOKUP($CU38-DJ$103,Männer!$AZ$9:$BD$102,5)+VLOOKUP($CU38-DJ$103+1,Männer!$AZ$9:$BD$102,5)),RundDx)))</f>
        <v>1870330295</v>
      </c>
      <c r="DK38" s="25">
        <f>IF($CU38&gt;=RAF,"",IF($CU38-DK$103&lt;BeginnAlter,"",ROUND(v^($CU38+FaktorAlter)*$L38*$D38*0.5*(VLOOKUP($CU38-DK$103,Männer!$G$9:$J$102,4)+VLOOKUP($CU38-DK$103+1,Männer!$G$9:$J$102,4))*0.5*(VLOOKUP($CU38-DK$103,Männer!$AZ$9:$BD$102,5)+VLOOKUP($CU38-DK$103+1,Männer!$AZ$9:$BD$102,5)),RundDx)))</f>
        <v>1916131090</v>
      </c>
      <c r="DL38" s="25">
        <f>IF($CU38&gt;=RAF,"",IF($CU38-DL$103&lt;BeginnAlter,"",ROUND(v^($CU38+FaktorAlter)*$L38*$D38*0.5*(VLOOKUP($CU38-DL$103,Männer!$G$9:$J$102,4)+VLOOKUP($CU38-DL$103+1,Männer!$G$9:$J$102,4))*0.5*(VLOOKUP($CU38-DL$103,Männer!$AZ$9:$BD$102,5)+VLOOKUP($CU38-DL$103+1,Männer!$AZ$9:$BD$102,5)),RundDx)))</f>
        <v>1961111311</v>
      </c>
      <c r="DM38" s="25">
        <f>IF($CU38&gt;=RAF,"",IF($CU38-DM$103&lt;BeginnAlter,"",ROUND(v^($CU38+FaktorAlter)*$L38*$D38*0.5*(VLOOKUP($CU38-DM$103,Männer!$G$9:$J$102,4)+VLOOKUP($CU38-DM$103+1,Männer!$G$9:$J$102,4))*0.5*(VLOOKUP($CU38-DM$103,Männer!$AZ$9:$BD$102,5)+VLOOKUP($CU38-DM$103+1,Männer!$AZ$9:$BD$102,5)),RundDx)))</f>
        <v>2005271141</v>
      </c>
      <c r="DN38" s="25">
        <f>IF($CU38&gt;=RAF,"",IF($CU38-DN$103&lt;BeginnAlter,"",ROUND(v^($CU38+FaktorAlter)*$L38*$D38*0.5*(VLOOKUP($CU38-DN$103,Männer!$G$9:$J$102,4)+VLOOKUP($CU38-DN$103+1,Männer!$G$9:$J$102,4))*0.5*(VLOOKUP($CU38-DN$103,Männer!$AZ$9:$BD$102,5)+VLOOKUP($CU38-DN$103+1,Männer!$AZ$9:$BD$102,5)),RundDx)))</f>
        <v>2048592018</v>
      </c>
      <c r="DO38" s="25">
        <f>IF($CU38&gt;=RAF,"",IF($CU38-DO$103&lt;BeginnAlter,"",ROUND(v^($CU38+FaktorAlter)*$L38*$D38*0.5*(VLOOKUP($CU38-DO$103,Männer!$G$9:$J$102,4)+VLOOKUP($CU38-DO$103+1,Männer!$G$9:$J$102,4))*0.5*(VLOOKUP($CU38-DO$103,Männer!$AZ$9:$BD$102,5)+VLOOKUP($CU38-DO$103+1,Männer!$AZ$9:$BD$102,5)),RundDx)))</f>
        <v>2091121540</v>
      </c>
      <c r="DP38" s="25">
        <f>IF($CU38&gt;=RAF,"",IF($CU38-DP$103&lt;BeginnAlter,"",ROUND(v^($CU38+FaktorAlter)*$L38*$D38*0.5*(VLOOKUP($CU38-DP$103,Männer!$G$9:$J$102,4)+VLOOKUP($CU38-DP$103+1,Männer!$G$9:$J$102,4))*0.5*(VLOOKUP($CU38-DP$103,Männer!$AZ$9:$BD$102,5)+VLOOKUP($CU38-DP$103+1,Männer!$AZ$9:$BD$102,5)),RundDx)))</f>
        <v>2132898812</v>
      </c>
      <c r="DQ38" s="25">
        <f>IF($CU38&gt;=RAF,"",IF($CU38-DQ$103&lt;BeginnAlter,"",ROUND(v^($CU38+FaktorAlter)*$L38*$D38*0.5*(VLOOKUP($CU38-DQ$103,Männer!$G$9:$J$102,4)+VLOOKUP($CU38-DQ$103+1,Männer!$G$9:$J$102,4))*0.5*(VLOOKUP($CU38-DQ$103,Männer!$AZ$9:$BD$102,5)+VLOOKUP($CU38-DQ$103+1,Männer!$AZ$9:$BD$102,5)),RundDx)))</f>
        <v>2173853457</v>
      </c>
      <c r="DR38" s="25">
        <f>IF($CU38&gt;=RAF,"",IF($CU38-DR$103&lt;BeginnAlter,"",ROUND(v^($CU38+FaktorAlter)*$L38*$D38*0.5*(VLOOKUP($CU38-DR$103,Männer!$G$9:$J$102,4)+VLOOKUP($CU38-DR$103+1,Männer!$G$9:$J$102,4))*0.5*(VLOOKUP($CU38-DR$103,Männer!$AZ$9:$BD$102,5)+VLOOKUP($CU38-DR$103+1,Männer!$AZ$9:$BD$102,5)),RundDx)))</f>
        <v>2213981491</v>
      </c>
      <c r="DS38" s="25">
        <f>IF($CU38&gt;=RAF,"",IF($CU38-DS$103&lt;BeginnAlter,"",ROUND(v^($CU38+FaktorAlter)*$L38*$D38*0.5*(VLOOKUP($CU38-DS$103,Männer!$G$9:$J$102,4)+VLOOKUP($CU38-DS$103+1,Männer!$G$9:$J$102,4))*0.5*(VLOOKUP($CU38-DS$103,Männer!$AZ$9:$BD$102,5)+VLOOKUP($CU38-DS$103+1,Männer!$AZ$9:$BD$102,5)),RundDx)))</f>
        <v>2253402300</v>
      </c>
      <c r="DT38" s="25">
        <f>IF($CU38&gt;=RAF,"",IF($CU38-DT$103&lt;BeginnAlter,"",ROUND(v^($CU38+FaktorAlter)*$L38*$D38*0.5*(VLOOKUP($CU38-DT$103,Männer!$G$9:$J$102,4)+VLOOKUP($CU38-DT$103+1,Männer!$G$9:$J$102,4))*0.5*(VLOOKUP($CU38-DT$103,Männer!$AZ$9:$BD$102,5)+VLOOKUP($CU38-DT$103+1,Männer!$AZ$9:$BD$102,5)),RundDx)))</f>
        <v>2292069587</v>
      </c>
      <c r="DU38" s="25">
        <f>IF($CU38&gt;=RAF,"",IF($CU38-DU$103&lt;BeginnAlter,"",ROUND(v^($CU38+FaktorAlter)*$L38*$D38*0.5*(VLOOKUP($CU38-DU$103,Männer!$G$9:$J$102,4)+VLOOKUP($CU38-DU$103+1,Männer!$G$9:$J$102,4))*0.5*(VLOOKUP($CU38-DU$103,Männer!$AZ$9:$BD$102,5)+VLOOKUP($CU38-DU$103+1,Männer!$AZ$9:$BD$102,5)),RundDx)))</f>
        <v>2329949736</v>
      </c>
      <c r="DV38" s="25">
        <f>IF($CU38&gt;=RAF,"",IF($CU38-DV$103&lt;BeginnAlter,"",ROUND(v^($CU38+FaktorAlter)*$L38*$D38*0.5*(VLOOKUP($CU38-DV$103,Männer!$G$9:$J$102,4)+VLOOKUP($CU38-DV$103+1,Männer!$G$9:$J$102,4))*0.5*(VLOOKUP($CU38-DV$103,Männer!$AZ$9:$BD$102,5)+VLOOKUP($CU38-DV$103+1,Männer!$AZ$9:$BD$102,5)),RundDx)))</f>
        <v>2367120815</v>
      </c>
      <c r="DW38" s="25">
        <f>IF($CU38&gt;=RAF,"",IF($CU38-DW$103&lt;BeginnAlter,"",ROUND(v^($CU38+FaktorAlter)*$L38*$D38*0.5*(VLOOKUP($CU38-DW$103,Männer!$G$9:$J$102,4)+VLOOKUP($CU38-DW$103+1,Männer!$G$9:$J$102,4))*0.5*(VLOOKUP($CU38-DW$103,Männer!$AZ$9:$BD$102,5)+VLOOKUP($CU38-DW$103+1,Männer!$AZ$9:$BD$102,5)),RundDx)))</f>
        <v>2403527403</v>
      </c>
      <c r="DX38" s="25">
        <f>IF($CU38&gt;=RAF,"",IF($CU38-DX$103&lt;BeginnAlter,"",ROUND(v^($CU38+FaktorAlter)*$L38*$D38*0.5*(VLOOKUP($CU38-DX$103,Männer!$G$9:$J$102,4)+VLOOKUP($CU38-DX$103+1,Männer!$G$9:$J$102,4))*0.5*(VLOOKUP($CU38-DX$103,Männer!$AZ$9:$BD$102,5)+VLOOKUP($CU38-DX$103+1,Männer!$AZ$9:$BD$102,5)),RundDx)))</f>
        <v>2439195943</v>
      </c>
      <c r="DY38" s="25">
        <f>IF($CU38&gt;=RAF,"",IF($CU38-DY$103&lt;BeginnAlter,"",ROUND(v^($CU38+FaktorAlter)*$L38*$D38*0.5*(VLOOKUP($CU38-DY$103,Männer!$G$9:$J$102,4)+VLOOKUP($CU38-DY$103+1,Männer!$G$9:$J$102,4))*0.5*(VLOOKUP($CU38-DY$103,Männer!$AZ$9:$BD$102,5)+VLOOKUP($CU38-DY$103+1,Männer!$AZ$9:$BD$102,5)),RundDx)))</f>
        <v>2474155204</v>
      </c>
      <c r="DZ38" s="25">
        <f>IF($CU38&gt;=RAF,"",IF($CU38-DZ$103&lt;BeginnAlter,"",ROUND(v^($CU38+FaktorAlter)*$L38*$D38*0.5*(VLOOKUP($CU38-DZ$103,Männer!$G$9:$J$102,4)+VLOOKUP($CU38-DZ$103+1,Männer!$G$9:$J$102,4))*0.5*(VLOOKUP($CU38-DZ$103,Männer!$AZ$9:$BD$102,5)+VLOOKUP($CU38-DZ$103+1,Männer!$AZ$9:$BD$102,5)),RundDx)))</f>
        <v>2508423538</v>
      </c>
      <c r="EA38" s="43">
        <f>IF($CU38&gt;=RAF,"",IF($CU38-EA$103&lt;BeginnAlter,"",ROUND((SUM(CV38:CV$56)+SUM(FN$9:FN$56))/VLOOKUP($CU38,$AH$9:$AI$102,2)/VLOOKUP($CU38-EA$103,Männer!$G$9:$J$102,4),Rundäx)))</f>
        <v>2.6539999999999999</v>
      </c>
      <c r="EB38" s="43">
        <f>IF($CU38&gt;=RAF,"",IF($CU38-EB$103&lt;BeginnAlter,"",ROUND((SUM(CW38:CW$56)+SUM(FO$9:FO$56))/VLOOKUP($CU38,$AH$9:$AI$102,2)/VLOOKUP($CU38-EB$103,Männer!$G$9:$J$102,4),Rundäx)))</f>
        <v>2.7989999999999999</v>
      </c>
      <c r="EC38" s="43">
        <f>IF($CU38&gt;=RAF,"",IF($CU38-EC$103&lt;BeginnAlter,"",ROUND((SUM(CX38:CX$56)+SUM(FP$9:FP$56))/VLOOKUP($CU38,$AH$9:$AI$102,2)/VLOOKUP($CU38-EC$103,Männer!$G$9:$J$102,4),Rundäx)))</f>
        <v>2.9489999999999998</v>
      </c>
      <c r="ED38" s="43">
        <f>IF($CU38&gt;=RAF,"",IF($CU38-ED$103&lt;BeginnAlter,"",ROUND((SUM(CY38:CY$56)+SUM(FQ$9:FQ$56))/VLOOKUP($CU38,$AH$9:$AI$102,2)/VLOOKUP($CU38-ED$103,Männer!$G$9:$J$102,4),Rundäx)))</f>
        <v>3.1059999999999999</v>
      </c>
      <c r="EE38" s="43">
        <f>IF($CU38&gt;=RAF,"",IF($CU38-EE$103&lt;BeginnAlter,"",ROUND((SUM(CZ38:CZ$56)+SUM(FR$9:FR$56))/VLOOKUP($CU38,$AH$9:$AI$102,2)/VLOOKUP($CU38-EE$103,Männer!$G$9:$J$102,4),Rundäx)))</f>
        <v>3.2669999999999999</v>
      </c>
      <c r="EF38" s="43">
        <f>IF($CU38&gt;=RAF,"",IF($CU38-EF$103&lt;BeginnAlter,"",ROUND((SUM(DA38:DA$56)+SUM(FS$9:FS$56))/VLOOKUP($CU38,$AH$9:$AI$102,2)/VLOOKUP($CU38-EF$103,Männer!$G$9:$J$102,4),Rundäx)))</f>
        <v>3.4350000000000001</v>
      </c>
      <c r="EG38" s="43">
        <f>IF($CU38&gt;=RAF,"",IF($CU38-EG$103&lt;BeginnAlter,"",ROUND((SUM(DB38:DB$56)+SUM(FT$9:FT$56))/VLOOKUP($CU38,$AH$9:$AI$102,2)/VLOOKUP($CU38-EG$103,Männer!$G$9:$J$102,4),Rundäx)))</f>
        <v>3.61</v>
      </c>
      <c r="EH38" s="43">
        <f>IF($CU38&gt;=RAF,"",IF($CU38-EH$103&lt;BeginnAlter,"",ROUND((SUM(DC38:DC$56)+SUM(FU$9:FU$56))/VLOOKUP($CU38,$AH$9:$AI$102,2)/VLOOKUP($CU38-EH$103,Männer!$G$9:$J$102,4),Rundäx)))</f>
        <v>3.79</v>
      </c>
      <c r="EI38" s="89"/>
      <c r="EJ38" s="35">
        <f t="shared" si="61"/>
        <v>46</v>
      </c>
      <c r="EK38" s="43">
        <f>IF($CU38&gt;=RAF,"",IF($CU38-EK$103&lt;BeginnAlter,"",ROUND((SUM(DD38:DD$56)+SUM(FV$9:FV$56))/VLOOKUP($CU38,$AH$9:$AI$102,2)/VLOOKUP($CU38-EK$103,Männer!$G$9:$J$102,4),Rundäx)))</f>
        <v>3.9750000000000001</v>
      </c>
      <c r="EL38" s="43">
        <f>IF($CU38&gt;=RAF,"",IF($CU38-EL$103&lt;BeginnAlter,"",ROUND((SUM(DE38:DE$56)+SUM(FW$9:FW$56))/VLOOKUP($CU38,$AH$9:$AI$102,2)/VLOOKUP($CU38-EL$103,Männer!$G$9:$J$102,4),Rundäx)))</f>
        <v>4.1669999999999998</v>
      </c>
      <c r="EM38" s="43">
        <f>IF($CU38&gt;=RAF,"",IF($CU38-EM$103&lt;BeginnAlter,"",ROUND((SUM(DF38:DF$56)+SUM(FX$9:FX$56))/VLOOKUP($CU38,$AH$9:$AI$102,2)/VLOOKUP($CU38-EM$103,Männer!$G$9:$J$102,4),Rundäx)))</f>
        <v>4.3639999999999999</v>
      </c>
      <c r="EN38" s="43">
        <f>IF($CU38&gt;=RAF,"",IF($CU38-EN$103&lt;BeginnAlter,"",ROUND((SUM(DG38:DG$56)+SUM(FY$9:FY$56))/VLOOKUP($CU38,$AH$9:$AI$102,2)/VLOOKUP($CU38-EN$103,Männer!$G$9:$J$102,4),Rundäx)))</f>
        <v>4.5670000000000002</v>
      </c>
      <c r="EO38" s="43">
        <f>IF($CU38&gt;=RAF,"",IF($CU38-EO$103&lt;BeginnAlter,"",ROUND((SUM(DH38:DH$56)+SUM(FZ$9:FZ$56))/VLOOKUP($CU38,$AH$9:$AI$102,2)/VLOOKUP($CU38-EO$103,Männer!$G$9:$J$102,4),Rundäx)))</f>
        <v>4.7750000000000004</v>
      </c>
      <c r="EP38" s="43">
        <f>IF($CU38&gt;=RAF,"",IF($CU38-EP$103&lt;BeginnAlter,"",ROUND((SUM(DI38:DI$56)+SUM(GA$9:GA$56))/VLOOKUP($CU38,$AH$9:$AI$102,2)/VLOOKUP($CU38-EP$103,Männer!$G$9:$J$102,4),Rundäx)))</f>
        <v>4.9880000000000004</v>
      </c>
      <c r="EQ38" s="43">
        <f>IF($CU38&gt;=RAF,"",IF($CU38-EQ$103&lt;BeginnAlter,"",ROUND((SUM(DJ38:DJ$56)+SUM(GB$9:GB$56))/VLOOKUP($CU38,$AH$9:$AI$102,2)/VLOOKUP($CU38-EQ$103,Männer!$G$9:$J$102,4),Rundäx)))</f>
        <v>5.2060000000000004</v>
      </c>
      <c r="ER38" s="43">
        <f>IF($CU38&gt;=RAF,"",IF($CU38-ER$103&lt;BeginnAlter,"",ROUND((SUM(DK38:DK$56)+SUM(GC$9:GC$56))/VLOOKUP($CU38,$AH$9:$AI$102,2)/VLOOKUP($CU38-ER$103,Männer!$G$9:$J$102,4),Rundäx)))</f>
        <v>5.4290000000000003</v>
      </c>
      <c r="ES38" s="89"/>
      <c r="ET38" s="35">
        <f t="shared" si="62"/>
        <v>46</v>
      </c>
      <c r="EU38" s="43">
        <f>IF($CU38&gt;=RAF,"",IF($CU38-EU$103&lt;BeginnAlter,"",ROUND((SUM(DL38:DL$56)+SUM(GD$9:GD$56))/VLOOKUP($CU38,$AH$9:$AI$102,2)/VLOOKUP($CU38-EU$103,Männer!$G$9:$J$102,4),Rundäx)))</f>
        <v>5.657</v>
      </c>
      <c r="EV38" s="43">
        <f>IF($CU38&gt;=RAF,"",IF($CU38-EV$103&lt;BeginnAlter,"",ROUND((SUM(DM38:DM$56)+SUM(GE$9:GE$56))/VLOOKUP($CU38,$AH$9:$AI$102,2)/VLOOKUP($CU38-EV$103,Männer!$G$9:$J$102,4),Rundäx)))</f>
        <v>5.8890000000000002</v>
      </c>
      <c r="EW38" s="43">
        <f>IF($CU38&gt;=RAF,"",IF($CU38-EW$103&lt;BeginnAlter,"",ROUND((SUM(DN38:DN$56)+SUM(GF$9:GF$56))/VLOOKUP($CU38,$AH$9:$AI$102,2)/VLOOKUP($CU38-EW$103,Männer!$G$9:$J$102,4),Rundäx)))</f>
        <v>6.1260000000000003</v>
      </c>
      <c r="EX38" s="43">
        <f>IF($CU38&gt;=RAF,"",IF($CU38-EX$103&lt;BeginnAlter,"",ROUND((SUM(DO38:DO$56)+SUM(GG$9:GG$56))/VLOOKUP($CU38,$AH$9:$AI$102,2)/VLOOKUP($CU38-EX$103,Männer!$G$9:$J$102,4),Rundäx)))</f>
        <v>6.3659999999999997</v>
      </c>
      <c r="EY38" s="43">
        <f>IF($CU38&gt;=RAF,"",IF($CU38-EY$103&lt;BeginnAlter,"",ROUND((SUM(DP38:DP$56)+SUM(GH$9:GH$56))/VLOOKUP($CU38,$AH$9:$AI$102,2)/VLOOKUP($CU38-EY$103,Männer!$G$9:$J$102,4),Rundäx)))</f>
        <v>6.609</v>
      </c>
      <c r="EZ38" s="43">
        <f>IF($CU38&gt;=RAF,"",IF($CU38-EZ$103&lt;BeginnAlter,"",ROUND((SUM(DQ38:DQ$56)+SUM(GI$9:GI$56))/VLOOKUP($CU38,$AH$9:$AI$102,2)/VLOOKUP($CU38-EZ$103,Männer!$G$9:$J$102,4),Rundäx)))</f>
        <v>6.8550000000000004</v>
      </c>
      <c r="FA38" s="43">
        <f>IF($CU38&gt;=RAF,"",IF($CU38-FA$103&lt;BeginnAlter,"",ROUND((SUM(DR38:DR$56)+SUM(GJ$9:GJ$56))/VLOOKUP($CU38,$AH$9:$AI$102,2)/VLOOKUP($CU38-FA$103,Männer!$G$9:$J$102,4),Rundäx)))</f>
        <v>7.1040000000000001</v>
      </c>
      <c r="FB38" s="43">
        <f>IF($CU38&gt;=RAF,"",IF($CU38-FB$103&lt;BeginnAlter,"",ROUND((SUM(DS38:DS$56)+SUM(GK$9:GK$56))/VLOOKUP($CU38,$AH$9:$AI$102,2)/VLOOKUP($CU38-FB$103,Männer!$G$9:$J$102,4),Rundäx)))</f>
        <v>7.3550000000000004</v>
      </c>
      <c r="FC38" s="89"/>
      <c r="FD38" s="35">
        <f t="shared" si="63"/>
        <v>46</v>
      </c>
      <c r="FE38" s="43">
        <f>IF($CU38&gt;=RAF,"",IF($CU38-FE$103&lt;BeginnAlter,"",ROUND((SUM(DT38:DT$56)+SUM(GL$9:GL$56))/VLOOKUP($CU38,$AH$9:$AI$102,2)/VLOOKUP($CU38-FE$103,Männer!$G$9:$J$102,4),Rundäx)))</f>
        <v>7.6079999999999997</v>
      </c>
      <c r="FF38" s="43">
        <f>IF($CU38&gt;=RAF,"",IF($CU38-FF$103&lt;BeginnAlter,"",ROUND((SUM(DU38:DU$56)+SUM(GM$9:GM$56))/VLOOKUP($CU38,$AH$9:$AI$102,2)/VLOOKUP($CU38-FF$103,Männer!$G$9:$J$102,4),Rundäx)))</f>
        <v>7.8630000000000004</v>
      </c>
      <c r="FG38" s="43">
        <f>IF($CU38&gt;=RAF,"",IF($CU38-FG$103&lt;BeginnAlter,"",ROUND((SUM(DV38:DV$56)+SUM(GN$9:GN$56))/VLOOKUP($CU38,$AH$9:$AI$102,2)/VLOOKUP($CU38-FG$103,Männer!$G$9:$J$102,4),Rundäx)))</f>
        <v>8.1180000000000003</v>
      </c>
      <c r="FH38" s="43">
        <f>IF($CU38&gt;=RAF,"",IF($CU38-FH$103&lt;BeginnAlter,"",ROUND((SUM(DW38:DW$56)+SUM(GO$9:GO$56))/VLOOKUP($CU38,$AH$9:$AI$102,2)/VLOOKUP($CU38-FH$103,Männer!$G$9:$J$102,4),Rundäx)))</f>
        <v>8.3740000000000006</v>
      </c>
      <c r="FI38" s="43">
        <f>IF($CU38&gt;=RAF,"",IF($CU38-FI$103&lt;BeginnAlter,"",ROUND((SUM(DX38:DX$56)+SUM(GP$9:GP$56))/VLOOKUP($CU38,$AH$9:$AI$102,2)/VLOOKUP($CU38-FI$103,Männer!$G$9:$J$102,4),Rundäx)))</f>
        <v>8.6310000000000002</v>
      </c>
      <c r="FJ38" s="43">
        <f>IF($CU38&gt;=RAF,"",IF($CU38-FJ$103&lt;BeginnAlter,"",ROUND((SUM(DY38:DY$56)+SUM(GQ$9:GQ$56))/VLOOKUP($CU38,$AH$9:$AI$102,2)/VLOOKUP($CU38-FJ$103,Männer!$G$9:$J$102,4),Rundäx)))</f>
        <v>8.8870000000000005</v>
      </c>
      <c r="FK38" s="43">
        <f>IF($CU38&gt;=RAF,"",IF($CU38-FK$103&lt;BeginnAlter,"",ROUND((SUM(DZ38:DZ$56)+SUM(GR$9:GR$56))/VLOOKUP($CU38,$AH$9:$AI$102,2)/VLOOKUP($CU38-FK$103,Männer!$G$9:$J$102,4),Rundäx)))</f>
        <v>9.1430000000000007</v>
      </c>
      <c r="FL38" s="89"/>
      <c r="FM38" s="35">
        <f t="shared" si="64"/>
        <v>93</v>
      </c>
      <c r="FN38" s="25"/>
      <c r="FO38" s="25"/>
      <c r="FP38" s="25"/>
      <c r="FQ38" s="25"/>
      <c r="FR38" s="25"/>
      <c r="FS38" s="25"/>
      <c r="FT38" s="25"/>
      <c r="FU38" s="25"/>
      <c r="FV38" s="25">
        <f>ROUND(v^($FM38+FaktorAlter)*VLOOKUP($FM38,$G$9:$J$102,4)*VLOOKUP($FM38,$A$9:$E$102,5)*0.5*(VLOOKUP($FM38-FV$103,Männer!$G$9:$J$102,4)+VLOOKUP($FM38-FV$103+1,Männer!$G$9:$J$102,4))*0.5*(VLOOKUP($FM38-FV$103,Männer!$AZ$9:$BD$102,5)+VLOOKUP($FM38-FV$103+1,Männer!$AZ$9:$BD$102,5)),RundDx)</f>
        <v>81220</v>
      </c>
      <c r="FW38" s="25">
        <f>ROUND(v^($FM38+FaktorAlter)*VLOOKUP($FM38,$G$9:$J$102,4)*VLOOKUP($FM38,$A$9:$E$102,5)*0.5*(VLOOKUP($FM38-FW$103,Männer!$G$9:$J$102,4)+VLOOKUP($FM38-FW$103+1,Männer!$G$9:$J$102,4))*0.5*(VLOOKUP($FM38-FW$103,Männer!$AZ$9:$BD$102,5)+VLOOKUP($FM38-FW$103+1,Männer!$AZ$9:$BD$102,5)),RundDx)</f>
        <v>214194</v>
      </c>
      <c r="FX38" s="25">
        <f>ROUND(v^($FM38+FaktorAlter)*VLOOKUP($FM38,$G$9:$J$102,4)*VLOOKUP($FM38,$A$9:$E$102,5)*0.5*(VLOOKUP($FM38-FX$103,Männer!$G$9:$J$102,4)+VLOOKUP($FM38-FX$103+1,Männer!$G$9:$J$102,4))*0.5*(VLOOKUP($FM38-FX$103,Männer!$AZ$9:$BD$102,5)+VLOOKUP($FM38-FX$103+1,Männer!$AZ$9:$BD$102,5)),RundDx)</f>
        <v>481846</v>
      </c>
      <c r="FY38" s="25">
        <f>ROUND(v^($FM38+FaktorAlter)*VLOOKUP($FM38,$G$9:$J$102,4)*VLOOKUP($FM38,$A$9:$E$102,5)*0.5*(VLOOKUP($FM38-FY$103,Männer!$G$9:$J$102,4)+VLOOKUP($FM38-FY$103+1,Männer!$G$9:$J$102,4))*0.5*(VLOOKUP($FM38-FY$103,Männer!$AZ$9:$BD$102,5)+VLOOKUP($FM38-FY$103+1,Männer!$AZ$9:$BD$102,5)),RundDx)</f>
        <v>981323</v>
      </c>
      <c r="FZ38" s="25">
        <f>ROUND(v^($FM38+FaktorAlter)*VLOOKUP($FM38,$G$9:$J$102,4)*VLOOKUP($FM38,$A$9:$E$102,5)*0.5*(VLOOKUP($FM38-FZ$103,Männer!$G$9:$J$102,4)+VLOOKUP($FM38-FZ$103+1,Männer!$G$9:$J$102,4))*0.5*(VLOOKUP($FM38-FZ$103,Männer!$AZ$9:$BD$102,5)+VLOOKUP($FM38-FZ$103+1,Männer!$AZ$9:$BD$102,5)),RundDx)</f>
        <v>1830145</v>
      </c>
      <c r="GA38" s="25">
        <f>ROUND(v^($FM38+FaktorAlter)*VLOOKUP($FM38,$G$9:$J$102,4)*VLOOKUP($FM38,$A$9:$E$102,5)*0.5*(VLOOKUP($FM38-GA$103,Männer!$G$9:$J$102,4)+VLOOKUP($FM38-GA$103+1,Männer!$G$9:$J$102,4))*0.5*(VLOOKUP($FM38-GA$103,Männer!$AZ$9:$BD$102,5)+VLOOKUP($FM38-GA$103+1,Männer!$AZ$9:$BD$102,5)),RundDx)</f>
        <v>3167703</v>
      </c>
      <c r="GB38" s="25">
        <f>ROUND(v^($FM38+FaktorAlter)*VLOOKUP($FM38,$G$9:$J$102,4)*VLOOKUP($FM38,$A$9:$E$102,5)*0.5*(VLOOKUP($FM38-GB$103,Männer!$G$9:$J$102,4)+VLOOKUP($FM38-GB$103+1,Männer!$G$9:$J$102,4))*0.5*(VLOOKUP($FM38-GB$103,Männer!$AZ$9:$BD$102,5)+VLOOKUP($FM38-GB$103+1,Männer!$AZ$9:$BD$102,5)),RundDx)</f>
        <v>5148615</v>
      </c>
      <c r="GC38" s="25">
        <f>ROUND(v^($FM38+FaktorAlter)*VLOOKUP($FM38,$G$9:$J$102,4)*VLOOKUP($FM38,$A$9:$E$102,5)*0.5*(VLOOKUP($FM38-GC$103,Männer!$G$9:$J$102,4)+VLOOKUP($FM38-GC$103+1,Männer!$G$9:$J$102,4))*0.5*(VLOOKUP($FM38-GC$103,Männer!$AZ$9:$BD$102,5)+VLOOKUP($FM38-GC$103+1,Männer!$AZ$9:$BD$102,5)),RundDx)</f>
        <v>7923173</v>
      </c>
      <c r="GD38" s="25">
        <f>ROUND(v^($FM38+FaktorAlter)*VLOOKUP($FM38,$G$9:$J$102,4)*VLOOKUP($FM38,$A$9:$E$102,5)*0.5*(VLOOKUP($FM38-GD$103,Männer!$G$9:$J$102,4)+VLOOKUP($FM38-GD$103+1,Männer!$G$9:$J$102,4))*0.5*(VLOOKUP($FM38-GD$103,Männer!$AZ$9:$BD$102,5)+VLOOKUP($FM38-GD$103+1,Männer!$AZ$9:$BD$102,5)),RundDx)</f>
        <v>11649797</v>
      </c>
      <c r="GE38" s="25">
        <f>ROUND(v^($FM38+FaktorAlter)*VLOOKUP($FM38,$G$9:$J$102,4)*VLOOKUP($FM38,$A$9:$E$102,5)*0.5*(VLOOKUP($FM38-GE$103,Männer!$G$9:$J$102,4)+VLOOKUP($FM38-GE$103+1,Männer!$G$9:$J$102,4))*0.5*(VLOOKUP($FM38-GE$103,Männer!$AZ$9:$BD$102,5)+VLOOKUP($FM38-GE$103+1,Männer!$AZ$9:$BD$102,5)),RundDx)</f>
        <v>16472542</v>
      </c>
      <c r="GF38" s="25">
        <f>ROUND(v^($FM38+FaktorAlter)*VLOOKUP($FM38,$G$9:$J$102,4)*VLOOKUP($FM38,$A$9:$E$102,5)*0.5*(VLOOKUP($FM38-GF$103,Männer!$G$9:$J$102,4)+VLOOKUP($FM38-GF$103+1,Männer!$G$9:$J$102,4))*0.5*(VLOOKUP($FM38-GF$103,Männer!$AZ$9:$BD$102,5)+VLOOKUP($FM38-GF$103+1,Männer!$AZ$9:$BD$102,5)),RundDx)</f>
        <v>22497097</v>
      </c>
      <c r="GG38" s="25">
        <f>ROUND(v^($FM38+FaktorAlter)*VLOOKUP($FM38,$G$9:$J$102,4)*VLOOKUP($FM38,$A$9:$E$102,5)*0.5*(VLOOKUP($FM38-GG$103,Männer!$G$9:$J$102,4)+VLOOKUP($FM38-GG$103+1,Männer!$G$9:$J$102,4))*0.5*(VLOOKUP($FM38-GG$103,Männer!$AZ$9:$BD$102,5)+VLOOKUP($FM38-GG$103+1,Männer!$AZ$9:$BD$102,5)),RundDx)</f>
        <v>29804965</v>
      </c>
      <c r="GH38" s="25">
        <f>ROUND(v^($FM38+FaktorAlter)*VLOOKUP($FM38,$G$9:$J$102,4)*VLOOKUP($FM38,$A$9:$E$102,5)*0.5*(VLOOKUP($FM38-GH$103,Männer!$G$9:$J$102,4)+VLOOKUP($FM38-GH$103+1,Männer!$G$9:$J$102,4))*0.5*(VLOOKUP($FM38-GH$103,Männer!$AZ$9:$BD$102,5)+VLOOKUP($FM38-GH$103+1,Männer!$AZ$9:$BD$102,5)),RundDx)</f>
        <v>38438203</v>
      </c>
      <c r="GI38" s="25">
        <f>ROUND(v^($FM38+FaktorAlter)*VLOOKUP($FM38,$G$9:$J$102,4)*VLOOKUP($FM38,$A$9:$E$102,5)*0.5*(VLOOKUP($FM38-GI$103,Männer!$G$9:$J$102,4)+VLOOKUP($FM38-GI$103+1,Männer!$G$9:$J$102,4))*0.5*(VLOOKUP($FM38-GI$103,Männer!$AZ$9:$BD$102,5)+VLOOKUP($FM38-GI$103+1,Männer!$AZ$9:$BD$102,5)),RundDx)</f>
        <v>48365249</v>
      </c>
      <c r="GJ38" s="25">
        <f>ROUND(v^($FM38+FaktorAlter)*VLOOKUP($FM38,$G$9:$J$102,4)*VLOOKUP($FM38,$A$9:$E$102,5)*0.5*(VLOOKUP($FM38-GJ$103,Männer!$G$9:$J$102,4)+VLOOKUP($FM38-GJ$103+1,Männer!$G$9:$J$102,4))*0.5*(VLOOKUP($FM38-GJ$103,Männer!$AZ$9:$BD$102,5)+VLOOKUP($FM38-GJ$103+1,Männer!$AZ$9:$BD$102,5)),RundDx)</f>
        <v>59523353</v>
      </c>
      <c r="GK38" s="25">
        <f>ROUND(v^($FM38+FaktorAlter)*VLOOKUP($FM38,$G$9:$J$102,4)*VLOOKUP($FM38,$A$9:$E$102,5)*0.5*(VLOOKUP($FM38-GK$103,Männer!$G$9:$J$102,4)+VLOOKUP($FM38-GK$103+1,Männer!$G$9:$J$102,4))*0.5*(VLOOKUP($FM38-GK$103,Männer!$AZ$9:$BD$102,5)+VLOOKUP($FM38-GK$103+1,Männer!$AZ$9:$BD$102,5)),RundDx)</f>
        <v>71880714</v>
      </c>
      <c r="GL38" s="25">
        <f>ROUND(v^($FM38+FaktorAlter)*VLOOKUP($FM38,$G$9:$J$102,4)*VLOOKUP($FM38,$A$9:$E$102,5)*0.5*(VLOOKUP($FM38-GL$103,Männer!$G$9:$J$102,4)+VLOOKUP($FM38-GL$103+1,Männer!$G$9:$J$102,4))*0.5*(VLOOKUP($FM38-GL$103,Männer!$AZ$9:$BD$102,5)+VLOOKUP($FM38-GL$103+1,Männer!$AZ$9:$BD$102,5)),RundDx)</f>
        <v>85395557</v>
      </c>
      <c r="GM38" s="25">
        <f>ROUND(v^($FM38+FaktorAlter)*VLOOKUP($FM38,$G$9:$J$102,4)*VLOOKUP($FM38,$A$9:$E$102,5)*0.5*(VLOOKUP($FM38-GM$103,Männer!$G$9:$J$102,4)+VLOOKUP($FM38-GM$103+1,Männer!$G$9:$J$102,4))*0.5*(VLOOKUP($FM38-GM$103,Männer!$AZ$9:$BD$102,5)+VLOOKUP($FM38-GM$103+1,Männer!$AZ$9:$BD$102,5)),RundDx)</f>
        <v>99998158</v>
      </c>
      <c r="GN38" s="25">
        <f>ROUND(v^($FM38+FaktorAlter)*VLOOKUP($FM38,$G$9:$J$102,4)*VLOOKUP($FM38,$A$9:$E$102,5)*0.5*(VLOOKUP($FM38-GN$103,Männer!$G$9:$J$102,4)+VLOOKUP($FM38-GN$103+1,Männer!$G$9:$J$102,4))*0.5*(VLOOKUP($FM38-GN$103,Männer!$AZ$9:$BD$102,5)+VLOOKUP($FM38-GN$103+1,Männer!$AZ$9:$BD$102,5)),RundDx)</f>
        <v>115633701</v>
      </c>
      <c r="GO38" s="25">
        <f>ROUND(v^($FM38+FaktorAlter)*VLOOKUP($FM38,$G$9:$J$102,4)*VLOOKUP($FM38,$A$9:$E$102,5)*0.5*(VLOOKUP($FM38-GO$103,Männer!$G$9:$J$102,4)+VLOOKUP($FM38-GO$103+1,Männer!$G$9:$J$102,4))*0.5*(VLOOKUP($FM38-GO$103,Männer!$AZ$9:$BD$102,5)+VLOOKUP($FM38-GO$103+1,Männer!$AZ$9:$BD$102,5)),RundDx)</f>
        <v>132238903</v>
      </c>
      <c r="GP38" s="25">
        <f>ROUND(v^($FM38+FaktorAlter)*VLOOKUP($FM38,$G$9:$J$102,4)*VLOOKUP($FM38,$A$9:$E$102,5)*0.5*(VLOOKUP($FM38-GP$103,Männer!$G$9:$J$102,4)+VLOOKUP($FM38-GP$103+1,Männer!$G$9:$J$102,4))*0.5*(VLOOKUP($FM38-GP$103,Männer!$AZ$9:$BD$102,5)+VLOOKUP($FM38-GP$103+1,Männer!$AZ$9:$BD$102,5)),RundDx)</f>
        <v>149726114</v>
      </c>
      <c r="GQ38" s="25">
        <f>ROUND(v^($FM38+FaktorAlter)*VLOOKUP($FM38,$G$9:$J$102,4)*VLOOKUP($FM38,$A$9:$E$102,5)*0.5*(VLOOKUP($FM38-GQ$103,Männer!$G$9:$J$102,4)+VLOOKUP($FM38-GQ$103+1,Männer!$G$9:$J$102,4))*0.5*(VLOOKUP($FM38-GQ$103,Männer!$AZ$9:$BD$102,5)+VLOOKUP($FM38-GQ$103+1,Männer!$AZ$9:$BD$102,5)),RundDx)</f>
        <v>168011344</v>
      </c>
      <c r="GR38" s="25">
        <f>ROUND(v^($FM38+FaktorAlter)*VLOOKUP($FM38,$G$9:$J$102,4)*VLOOKUP($FM38,$A$9:$E$102,5)*0.5*(VLOOKUP($FM38-GR$103,Männer!$G$9:$J$102,4)+VLOOKUP($FM38-GR$103+1,Männer!$G$9:$J$102,4))*0.5*(VLOOKUP($FM38-GR$103,Männer!$AZ$9:$BD$102,5)+VLOOKUP($FM38-GR$103+1,Männer!$AZ$9:$BD$102,5)),RundDx)</f>
        <v>187006412</v>
      </c>
      <c r="GS38" s="24"/>
      <c r="GT38" s="24"/>
      <c r="GU38" s="24"/>
      <c r="GV38" s="24"/>
      <c r="GW38" s="24"/>
      <c r="GX38" s="24"/>
      <c r="GY38" s="24"/>
      <c r="GZ38" s="24">
        <f>ROUND(SUM(FU38:FU$56)/VLOOKUP($FM38,$AQ$9:$AR$102,2)/VLOOKUP($FM38-GZ$103,Männer!$G$9:$J$102,4),Rundäx)</f>
        <v>0</v>
      </c>
      <c r="HA38" s="89"/>
      <c r="HB38" s="35">
        <f t="shared" si="65"/>
        <v>93</v>
      </c>
      <c r="HC38" s="24">
        <f>ROUND(SUM(FV38:FV$56)/VLOOKUP($FM38,$AQ$9:$AR$102,2)/VLOOKUP($FM38-HC$103,Männer!$G$9:$J$102,4),Rundäx)</f>
        <v>0.14199999999999999</v>
      </c>
      <c r="HD38" s="24">
        <f>ROUND(SUM(FW38:FW$56)/VLOOKUP($FM38,$AQ$9:$AR$102,2)/VLOOKUP($FM38-HD$103,Männer!$G$9:$J$102,4),Rundäx)</f>
        <v>0.23200000000000001</v>
      </c>
      <c r="HE38" s="24">
        <f>ROUND(SUM(FX38:FX$56)/VLOOKUP($FM38,$AQ$9:$AR$102,2)/VLOOKUP($FM38-HE$103,Männer!$G$9:$J$102,4),Rundäx)</f>
        <v>0.311</v>
      </c>
      <c r="HF38" s="24">
        <f>ROUND(SUM(FY38:FY$56)/VLOOKUP($FM38,$AQ$9:$AR$102,2)/VLOOKUP($FM38-HF$103,Männer!$G$9:$J$102,4),Rundäx)</f>
        <v>0.39500000000000002</v>
      </c>
      <c r="HG38" s="24">
        <f>ROUND(SUM(FZ38:FZ$56)/VLOOKUP($FM38,$AQ$9:$AR$102,2)/VLOOKUP($FM38-HG$103,Männer!$G$9:$J$102,4),Rundäx)</f>
        <v>0.49</v>
      </c>
      <c r="HH38" s="24">
        <f>ROUND(SUM(GA38:GA$56)/VLOOKUP($FM38,$AQ$9:$AR$102,2)/VLOOKUP($FM38-HH$103,Männer!$G$9:$J$102,4),Rundäx)</f>
        <v>0.6</v>
      </c>
      <c r="HI38" s="24">
        <f>ROUND(SUM(GB38:GB$56)/VLOOKUP($FM38,$AQ$9:$AR$102,2)/VLOOKUP($FM38-HI$103,Männer!$G$9:$J$102,4),Rundäx)</f>
        <v>0.72499999999999998</v>
      </c>
      <c r="HJ38" s="24">
        <f>ROUND(SUM(GC38:GC$56)/VLOOKUP($FM38,$AQ$9:$AR$102,2)/VLOOKUP($FM38-HJ$103,Männer!$G$9:$J$102,4),Rundäx)</f>
        <v>0.86699999999999999</v>
      </c>
      <c r="HK38" s="89"/>
      <c r="HL38" s="35">
        <f t="shared" si="66"/>
        <v>93</v>
      </c>
      <c r="HM38" s="24">
        <f>ROUND(SUM(GD38:GD$56)/VLOOKUP($FM38,$AQ$9:$AR$102,2)/VLOOKUP($FM38-HM$103,Männer!$G$9:$J$102,4),Rundäx)</f>
        <v>1.028</v>
      </c>
      <c r="HN38" s="24">
        <f>ROUND(SUM(GE38:GE$56)/VLOOKUP($FM38,$AQ$9:$AR$102,2)/VLOOKUP($FM38-HN$103,Männer!$G$9:$J$102,4),Rundäx)</f>
        <v>1.2090000000000001</v>
      </c>
      <c r="HO38" s="24">
        <f>ROUND(SUM(GF38:GF$56)/VLOOKUP($FM38,$AQ$9:$AR$102,2)/VLOOKUP($FM38-HO$103,Männer!$G$9:$J$102,4),Rundäx)</f>
        <v>1.41</v>
      </c>
      <c r="HP38" s="24">
        <f>ROUND(SUM(GG38:GG$56)/VLOOKUP($FM38,$AQ$9:$AR$102,2)/VLOOKUP($FM38-HP$103,Männer!$G$9:$J$102,4),Rundäx)</f>
        <v>1.633</v>
      </c>
      <c r="HQ38" s="24">
        <f>ROUND(SUM(GH38:GH$56)/VLOOKUP($FM38,$AQ$9:$AR$102,2)/VLOOKUP($FM38-HQ$103,Männer!$G$9:$J$102,4),Rundäx)</f>
        <v>1.875</v>
      </c>
      <c r="HR38" s="24">
        <f>ROUND(SUM(GI38:GI$56)/VLOOKUP($FM38,$AQ$9:$AR$102,2)/VLOOKUP($FM38-HR$103,Männer!$G$9:$J$102,4),Rundäx)</f>
        <v>2.137</v>
      </c>
      <c r="HS38" s="24">
        <f>ROUND(SUM(GJ38:GJ$56)/VLOOKUP($FM38,$AQ$9:$AR$102,2)/VLOOKUP($FM38-HS$103,Männer!$G$9:$J$102,4),Rundäx)</f>
        <v>2.4169999999999998</v>
      </c>
      <c r="HT38" s="24">
        <f>ROUND(SUM(GK38:GK$56)/VLOOKUP($FM38,$AQ$9:$AR$102,2)/VLOOKUP($FM38-HT$103,Männer!$G$9:$J$102,4),Rundäx)</f>
        <v>2.7120000000000002</v>
      </c>
      <c r="HU38" s="89"/>
      <c r="HV38" s="35">
        <f t="shared" si="67"/>
        <v>93</v>
      </c>
      <c r="HW38" s="24">
        <f>ROUND(SUM(GL38:GL$56)/VLOOKUP($FM38,$AQ$9:$AR$102,2)/VLOOKUP($FM38-HW$103,Männer!$G$9:$J$102,4),Rundäx)</f>
        <v>3.0209999999999999</v>
      </c>
      <c r="HX38" s="24">
        <f>ROUND(SUM(GM38:GM$56)/VLOOKUP($FM38,$AQ$9:$AR$102,2)/VLOOKUP($FM38-HX$103,Männer!$G$9:$J$102,4),Rundäx)</f>
        <v>3.3420000000000001</v>
      </c>
      <c r="HY38" s="24">
        <f>ROUND(SUM(GN38:GN$56)/VLOOKUP($FM38,$AQ$9:$AR$102,2)/VLOOKUP($FM38-HY$103,Männer!$G$9:$J$102,4),Rundäx)</f>
        <v>3.6749999999999998</v>
      </c>
      <c r="HZ38" s="24">
        <f>ROUND(SUM(GO38:GO$56)/VLOOKUP($FM38,$AQ$9:$AR$102,2)/VLOOKUP($FM38-HZ$103,Männer!$G$9:$J$102,4),Rundäx)</f>
        <v>4.0179999999999998</v>
      </c>
      <c r="IA38" s="24">
        <f>ROUND(SUM(GP38:GP$56)/VLOOKUP($FM38,$AQ$9:$AR$102,2)/VLOOKUP($FM38-IA$103,Männer!$G$9:$J$102,4),Rundäx)</f>
        <v>4.37</v>
      </c>
      <c r="IB38" s="24">
        <f>ROUND(SUM(GQ38:GQ$56)/VLOOKUP($FM38,$AQ$9:$AR$102,2)/VLOOKUP($FM38-IB$103,Männer!$G$9:$J$102,4),Rundäx)</f>
        <v>4.7290000000000001</v>
      </c>
      <c r="IC38" s="24">
        <f>ROUND(SUM(GR38:GR$56)/VLOOKUP($FM38,$AQ$9:$AR$102,2)/VLOOKUP($FM38-IC$103,Männer!$G$9:$J$102,4),Rundäx)</f>
        <v>5.0940000000000003</v>
      </c>
      <c r="ID38" s="89"/>
      <c r="IE38" s="9">
        <f t="shared" si="68"/>
        <v>46</v>
      </c>
      <c r="IF38" s="11">
        <f t="shared" si="25"/>
        <v>168</v>
      </c>
      <c r="IG38" s="11">
        <f>IF($IE38&lt;RAF,IF(S39&lt;=RAK,ROUND(SUM(IF38:INDEX(Daky,RAF-BeginnAlter))+INDEX(Day,RAF-BeginnAlter+1)*INDEX(äky,1),RundDx),0),"")</f>
        <v>737</v>
      </c>
      <c r="IH38" s="11">
        <f>IF($IE38&lt;RAF,IF(S39&lt;=RAK,ROUND(SUM(IG38:INDEX(Naky,RAF-BeginnAlter))+INDEX(Day,RAF-BeginnAlter+1)*INDEX(äky,1),RundDx),0),"")</f>
        <v>2844</v>
      </c>
      <c r="II38" s="10">
        <f t="shared" si="26"/>
        <v>2.1999999999999999E-2</v>
      </c>
      <c r="IJ38" s="11">
        <f t="shared" si="27"/>
        <v>3618</v>
      </c>
      <c r="IK38" s="11">
        <f>IF($IE38&lt;RAF,IF(S39&lt;=RAK,SUM(IJ38:INDEX(Diky,RAF-BeginnAlter))+INDEX(Diy,RAF-BeginnAlter+1)*INDEX(äky,1),0),"")</f>
        <v>12206</v>
      </c>
      <c r="IL38" s="10">
        <f t="shared" si="28"/>
        <v>0.25900000000000001</v>
      </c>
      <c r="IM38" s="89"/>
      <c r="IN38" s="9">
        <f t="shared" si="29"/>
        <v>93</v>
      </c>
      <c r="IO38" s="11"/>
      <c r="IP38" s="11"/>
      <c r="IQ38" s="10"/>
      <c r="IR38" s="86"/>
    </row>
    <row r="39" spans="1:252" ht="15.75" customHeight="1" x14ac:dyDescent="0.25">
      <c r="A39" s="9">
        <f t="shared" si="4"/>
        <v>47</v>
      </c>
      <c r="B39" s="93">
        <v>1.0633999169239084E-3</v>
      </c>
      <c r="C39" s="93">
        <v>5.9407132494633244E-3</v>
      </c>
      <c r="D39" s="93">
        <v>1.9142389472767071E-2</v>
      </c>
      <c r="E39" s="93">
        <v>2.0217078325862614E-3</v>
      </c>
      <c r="F39" s="89"/>
      <c r="G39" s="9">
        <f t="shared" si="5"/>
        <v>47</v>
      </c>
      <c r="H39" s="11">
        <f t="shared" si="30"/>
        <v>93070</v>
      </c>
      <c r="I39" s="25">
        <f t="shared" si="31"/>
        <v>4867</v>
      </c>
      <c r="J39" s="25">
        <f t="shared" si="32"/>
        <v>97937</v>
      </c>
      <c r="K39" s="30">
        <f>IF(J39&gt;0,ROUND(SUM(J39:J$102)/J39-0.5,Rundex),"")</f>
        <v>36.020000000000003</v>
      </c>
      <c r="L39" s="25">
        <f t="shared" si="6"/>
        <v>128566</v>
      </c>
      <c r="M39" s="30">
        <f>IF(L39&gt;0,ROUND(SUM(L39:L$102)/L39-0.5,Rundex),"")</f>
        <v>29.32</v>
      </c>
      <c r="N39" s="89"/>
      <c r="O39" s="9">
        <f t="shared" si="49"/>
        <v>47</v>
      </c>
      <c r="P39" s="94">
        <v>0.30889244450685593</v>
      </c>
      <c r="Q39" s="95">
        <v>49.767557767630343</v>
      </c>
      <c r="R39" s="94">
        <v>0.34361939198751418</v>
      </c>
      <c r="S39" s="95">
        <v>13.360078583229237</v>
      </c>
      <c r="T39" s="28">
        <v>1.49E-3</v>
      </c>
      <c r="U39" s="11">
        <f t="shared" si="33"/>
        <v>98100</v>
      </c>
      <c r="V39" s="30">
        <f>IF(U39&gt;0,ROUND(SUM(U39:U$102)/U39-0.5,Rundex),"")</f>
        <v>37.26</v>
      </c>
      <c r="W39" s="89"/>
      <c r="X39" s="9">
        <f t="shared" si="50"/>
        <v>47</v>
      </c>
      <c r="Y39" s="11">
        <f t="shared" si="34"/>
        <v>32706</v>
      </c>
      <c r="Z39" s="11">
        <f>IF($X39&lt;RAF,SUM(Y39:INDEX(Day,RAF-BeginnAlter))," ")</f>
        <v>427935</v>
      </c>
      <c r="AA39" s="11">
        <f t="shared" si="0"/>
        <v>34</v>
      </c>
      <c r="AB39" s="11">
        <f>IF($X39&lt;RAF,SUM(AA39:INDEX(Cay,RAF-BeginnAlter))," ")</f>
        <v>949</v>
      </c>
      <c r="AC39" s="11">
        <f t="shared" si="1"/>
        <v>192</v>
      </c>
      <c r="AD39" s="11">
        <f>IF($X39&lt;RAF,SUM(AC39:INDEX(Caiy,RAF-BeginnAlter))," ")</f>
        <v>6043</v>
      </c>
      <c r="AE39" s="10">
        <f t="shared" si="35"/>
        <v>13.084</v>
      </c>
      <c r="AF39" s="10">
        <f t="shared" si="36"/>
        <v>12.855</v>
      </c>
      <c r="AG39" s="89"/>
      <c r="AH39" s="9">
        <f t="shared" si="51"/>
        <v>47</v>
      </c>
      <c r="AI39" s="11">
        <f t="shared" si="37"/>
        <v>45180</v>
      </c>
      <c r="AJ39" s="11">
        <f>IF($AH39&gt;RAF," ",IF($AH39&lt;RAF,SUM(AI39:INDEX(Diy,RAF-BeginnAlter))+INDEX(Ny,RAF-BeginnAlter+1),INDEX(Ny,RAF-BeginnAlter+1)))</f>
        <v>927793</v>
      </c>
      <c r="AK39" s="11">
        <f>IF($AH39&lt;RAF,SUM(AI39:INDEX(Diy,RAF-BeginnAlter))," ")</f>
        <v>561699</v>
      </c>
      <c r="AL39" s="10">
        <f t="shared" si="38"/>
        <v>20.535</v>
      </c>
      <c r="AM39" s="10">
        <f t="shared" si="39"/>
        <v>20.077000000000002</v>
      </c>
      <c r="AN39" s="10">
        <f t="shared" si="40"/>
        <v>12.432</v>
      </c>
      <c r="AO39" s="10">
        <f t="shared" si="41"/>
        <v>12.195</v>
      </c>
      <c r="AP39" s="89"/>
      <c r="AQ39" s="9">
        <f t="shared" si="52"/>
        <v>47</v>
      </c>
      <c r="AR39" s="11">
        <f t="shared" si="42"/>
        <v>34417</v>
      </c>
      <c r="AS39" s="11">
        <f>SUM(AR39:AR$96)</f>
        <v>846697</v>
      </c>
      <c r="AT39" s="25">
        <f>IF($AQ39&lt;RAF,SUM(AR39:INDEX(Dy,RAF-BeginnAlter))," ")</f>
        <v>480603</v>
      </c>
      <c r="AU39" s="24">
        <f t="shared" si="43"/>
        <v>24.600999999999999</v>
      </c>
      <c r="AV39" s="24">
        <f t="shared" si="44"/>
        <v>24.143000000000001</v>
      </c>
      <c r="AW39" s="24">
        <f t="shared" si="45"/>
        <v>13.964</v>
      </c>
      <c r="AX39" s="24">
        <f t="shared" si="46"/>
        <v>13.795</v>
      </c>
      <c r="AY39" s="89"/>
      <c r="AZ39" s="9">
        <f t="shared" si="53"/>
        <v>47</v>
      </c>
      <c r="BA39" s="11">
        <f t="shared" si="47"/>
        <v>34474</v>
      </c>
      <c r="BB39" s="11">
        <f>SUM(BA39:BA$96)</f>
        <v>869354</v>
      </c>
      <c r="BC39" s="10">
        <f t="shared" si="48"/>
        <v>25.218</v>
      </c>
      <c r="BD39" s="10">
        <f t="shared" si="7"/>
        <v>24.759</v>
      </c>
      <c r="BE39" s="89"/>
      <c r="BF39" s="9">
        <f t="shared" si="54"/>
        <v>30</v>
      </c>
      <c r="BG39" s="10" t="str">
        <f t="shared" si="8"/>
        <v/>
      </c>
      <c r="BH39" s="10" t="str">
        <f t="shared" si="9"/>
        <v/>
      </c>
      <c r="BI39" s="89"/>
      <c r="BJ39" s="9">
        <f t="shared" si="55"/>
        <v>47</v>
      </c>
      <c r="BK39" s="11">
        <f t="shared" si="10"/>
        <v>3841</v>
      </c>
      <c r="BL39" s="11">
        <f>IF(BJ39&lt;RAF,SUM(BK39:INDEX(Daiy,RAF-BeginnAlter))," ")</f>
        <v>108235</v>
      </c>
      <c r="BM39" s="11">
        <f>IF(BJ39&lt;RAF,SUM(BL39:INDEX(Naiy,RAF-BeginnAlter))," ")</f>
        <v>1124751</v>
      </c>
      <c r="BN39" s="10">
        <f t="shared" si="11"/>
        <v>8.1999999999999993</v>
      </c>
      <c r="BO39" s="10">
        <f t="shared" si="12"/>
        <v>3.3090000000000002</v>
      </c>
      <c r="BP39" s="89"/>
      <c r="BQ39" s="9">
        <f t="shared" si="56"/>
        <v>47</v>
      </c>
      <c r="BR39" s="11">
        <f t="shared" si="13"/>
        <v>2295</v>
      </c>
      <c r="BS39" s="11">
        <f>IF(BQ39&lt;RAF,SUM(BR39:INDEX(Daiys,RAF-BeginnAlter))," ")</f>
        <v>33772</v>
      </c>
      <c r="BT39" s="11">
        <f>IF(BQ39&lt;RAF,SUM(BS39:INDEX(Naiys,RAF-BeginnAlter))," ")</f>
        <v>263135</v>
      </c>
      <c r="BU39" s="10">
        <f t="shared" si="14"/>
        <v>10.476000000000001</v>
      </c>
      <c r="BV39" s="10">
        <f t="shared" si="15"/>
        <v>1.0329999999999999</v>
      </c>
      <c r="BW39" s="89"/>
      <c r="BX39" s="9">
        <f t="shared" si="57"/>
        <v>47</v>
      </c>
      <c r="BY39" s="10">
        <f t="shared" si="16"/>
        <v>8.5360556285268139</v>
      </c>
      <c r="BZ39" s="11">
        <f t="shared" si="17"/>
        <v>525</v>
      </c>
      <c r="CA39" s="11">
        <f>IF(S40&lt;=RAK,IF($BX39&lt;RAF,SUM(BZ39:INDEX(Dazy,RAF-BeginnAlter)),""),"")</f>
        <v>2370</v>
      </c>
      <c r="CB39" s="10">
        <f t="shared" si="18"/>
        <v>7.1999999999999995E-2</v>
      </c>
      <c r="CC39" s="11">
        <f t="shared" si="19"/>
        <v>25540</v>
      </c>
      <c r="CD39" s="10">
        <f t="shared" si="20"/>
        <v>18.911000000000001</v>
      </c>
      <c r="CE39" s="10">
        <f t="shared" si="21"/>
        <v>4.0000000000000001E-3</v>
      </c>
      <c r="CF39" s="89"/>
      <c r="CG39" s="9">
        <f t="shared" si="58"/>
        <v>47</v>
      </c>
      <c r="CH39" s="11">
        <f>IF(CG39&lt;RAF,ROUND(v^($CG39+FaktorAlter)*$H39*($B39*0.5*($P39+$P40)*(VLOOKUP(TRUNC(0.5*($Q39+$Q40),0),Männer!$AZ$9:$BD$95,5)+(0.5*($Q39+$Q40)-TRUNC(0.5*($Q39+$Q40),0))*(VLOOKUP(TRUNC(0.5*($Q39+$Q40)+1,0),Männer!$AZ$9:$BD$95,5)-VLOOKUP(TRUNC(0.5*($Q39+$Q40),0),Männer!$AZ$9:$BD$95,5)))+$C39*0.5*($CN39+$CN40)),RundDx),"")</f>
        <v>407</v>
      </c>
      <c r="CI39" s="11">
        <f>IF(CG39&lt;RAF,ROUND(SUM(CH39:INDEX(Dawy,RAF-BeginnAlter))+INDEX(Day,RAF-BeginnAlter+1)*INDEX(äwy,1),RundDx),"")</f>
        <v>7903</v>
      </c>
      <c r="CJ39" s="11">
        <f>IF(CG39&lt;RAF,ROUND(SUM(CI39:INDEX(Nawy,RAF-BeginnAlter))+INDEX(Day,RAF-BeginnAlter+1)*INDEX(äwy,1),RundDx),"")</f>
        <v>83420</v>
      </c>
      <c r="CK39" s="10">
        <f t="shared" si="22"/>
        <v>0.24199999999999999</v>
      </c>
      <c r="CL39" s="11">
        <f>IF(CG39&lt;RAF,ROUND(v^($CG39+FaktorAlter)*$L39*$D39*0.5*($P39+$P40)*(VLOOKUP(TRUNC(0.5*($Q39+$Q40),0),Männer!$AZ$9:$BD$95,5)+(0.5*($Q39+$Q40)-TRUNC(0.5*($Q39+$Q40),0))*(VLOOKUP(TRUNC(0.5*($Q39+$Q40)+1,0),Männer!$AZ$9:$BD$95,5)-VLOOKUP(TRUNC(0.5*($Q39+$Q40),0),Männer!$AZ$9:$BD$95,5))),RundDx),"")</f>
        <v>5247</v>
      </c>
      <c r="CM39" s="11">
        <f>IF(CG39&lt;RAF,SUM(CL39:INDEX(Diwy,RAF-BeginnAlter))+INDEX(Diy,RAF-BeginnAlter+1)*INDEX(äwy,1),"")</f>
        <v>47908.304000000004</v>
      </c>
      <c r="CN39" s="10">
        <f t="shared" si="23"/>
        <v>1.06</v>
      </c>
      <c r="CO39" s="89"/>
      <c r="CP39" s="9">
        <f t="shared" si="59"/>
        <v>94</v>
      </c>
      <c r="CQ39" s="11">
        <f>ROUND(v^($CP39+FaktorAlter)*VLOOKUP(CP39,G$9:J$102,4)*VLOOKUP(CP39,A$9:E$102,5)*0.5*(VLOOKUP(CP39,O$9:P$102,2)+VLOOKUP(CP39+1,O$9:P$102,2))*(VLOOKUP(TRUNC(0.5*(VLOOKUP(CP39,O$9:Q$102,3)+VLOOKUP(CP39+1,O$9:Q$102,3)),0),Männer!$AZ$9:$BD$95,5)+(0.5*(VLOOKUP(CP39,O$9:Q$102,3)+VLOOKUP(CP39+1,O$9:Q$102,3))-TRUNC(0.5*(VLOOKUP(CP39,O$9:Q$102,3)+VLOOKUP(CP39+1,O$9:Q$102,3)),0))*(VLOOKUP(TRUNC(0.5*(VLOOKUP(CP39,O$9:Q$102,3)+VLOOKUP(CP39+1,O$9:Q$102,3))+1,0),Männer!$AZ$9:$BD$95,5)-VLOOKUP(TRUNC(0.5*(VLOOKUP(CP39,O$9:Q$102,3)+VLOOKUP(CP39+1,O$9:Q$102,3)),0),Männer!$AZ$9:$BD$95,5))),RundDx)</f>
        <v>3</v>
      </c>
      <c r="CR39" s="11">
        <f>SUM(CQ39:CQ$56)</f>
        <v>8</v>
      </c>
      <c r="CS39" s="24">
        <f t="shared" si="24"/>
        <v>5.0000000000000001E-3</v>
      </c>
      <c r="CT39" s="89"/>
      <c r="CU39" s="35">
        <f t="shared" si="60"/>
        <v>47</v>
      </c>
      <c r="CV39" s="25">
        <f>IF($CU39&gt;=RAF,"",IF($CU39-CV$103&lt;BeginnAlter,"",ROUND(v^($CU39+FaktorAlter)*$L39*$D39*0.5*(VLOOKUP($CU39-CV$103,Männer!$G$9:$J$102,4)+VLOOKUP($CU39-CV$103+1,Männer!$G$9:$J$102,4))*0.5*(VLOOKUP($CU39-CV$103,Männer!$AZ$9:$BD$102,5)+VLOOKUP($CU39-CV$103+1,Männer!$AZ$9:$BD$102,5)),RundDx)))</f>
        <v>1054113286</v>
      </c>
      <c r="CW39" s="25">
        <f>IF($CU39&gt;=RAF,"",IF($CU39-CW$103&lt;BeginnAlter,"",ROUND(v^($CU39+FaktorAlter)*$L39*$D39*0.5*(VLOOKUP($CU39-CW$103,Männer!$G$9:$J$102,4)+VLOOKUP($CU39-CW$103+1,Männer!$G$9:$J$102,4))*0.5*(VLOOKUP($CU39-CW$103,Männer!$AZ$9:$BD$102,5)+VLOOKUP($CU39-CW$103+1,Männer!$AZ$9:$BD$102,5)),RundDx)))</f>
        <v>1100313660</v>
      </c>
      <c r="CX39" s="25">
        <f>IF($CU39&gt;=RAF,"",IF($CU39-CX$103&lt;BeginnAlter,"",ROUND(v^($CU39+FaktorAlter)*$L39*$D39*0.5*(VLOOKUP($CU39-CX$103,Männer!$G$9:$J$102,4)+VLOOKUP($CU39-CX$103+1,Männer!$G$9:$J$102,4))*0.5*(VLOOKUP($CU39-CX$103,Männer!$AZ$9:$BD$102,5)+VLOOKUP($CU39-CX$103+1,Männer!$AZ$9:$BD$102,5)),RundDx)))</f>
        <v>1147339471</v>
      </c>
      <c r="CY39" s="25">
        <f>IF($CU39&gt;=RAF,"",IF($CU39-CY$103&lt;BeginnAlter,"",ROUND(v^($CU39+FaktorAlter)*$L39*$D39*0.5*(VLOOKUP($CU39-CY$103,Männer!$G$9:$J$102,4)+VLOOKUP($CU39-CY$103+1,Männer!$G$9:$J$102,4))*0.5*(VLOOKUP($CU39-CY$103,Männer!$AZ$9:$BD$102,5)+VLOOKUP($CU39-CY$103+1,Männer!$AZ$9:$BD$102,5)),RundDx)))</f>
        <v>1195274747</v>
      </c>
      <c r="CZ39" s="25">
        <f>IF($CU39&gt;=RAF,"",IF($CU39-CZ$103&lt;BeginnAlter,"",ROUND(v^($CU39+FaktorAlter)*$L39*$D39*0.5*(VLOOKUP($CU39-CZ$103,Männer!$G$9:$J$102,4)+VLOOKUP($CU39-CZ$103+1,Männer!$G$9:$J$102,4))*0.5*(VLOOKUP($CU39-CZ$103,Männer!$AZ$9:$BD$102,5)+VLOOKUP($CU39-CZ$103+1,Männer!$AZ$9:$BD$102,5)),RundDx)))</f>
        <v>1244062772</v>
      </c>
      <c r="DA39" s="25">
        <f>IF($CU39&gt;=RAF,"",IF($CU39-DA$103&lt;BeginnAlter,"",ROUND(v^($CU39+FaktorAlter)*$L39*$D39*0.5*(VLOOKUP($CU39-DA$103,Männer!$G$9:$J$102,4)+VLOOKUP($CU39-DA$103+1,Männer!$G$9:$J$102,4))*0.5*(VLOOKUP($CU39-DA$103,Männer!$AZ$9:$BD$102,5)+VLOOKUP($CU39-DA$103+1,Männer!$AZ$9:$BD$102,5)),RundDx)))</f>
        <v>1293631961</v>
      </c>
      <c r="DB39" s="25">
        <f>IF($CU39&gt;=RAF,"",IF($CU39-DB$103&lt;BeginnAlter,"",ROUND(v^($CU39+FaktorAlter)*$L39*$D39*0.5*(VLOOKUP($CU39-DB$103,Männer!$G$9:$J$102,4)+VLOOKUP($CU39-DB$103+1,Männer!$G$9:$J$102,4))*0.5*(VLOOKUP($CU39-DB$103,Männer!$AZ$9:$BD$102,5)+VLOOKUP($CU39-DB$103+1,Männer!$AZ$9:$BD$102,5)),RundDx)))</f>
        <v>1343968509</v>
      </c>
      <c r="DC39" s="25">
        <f>IF($CU39&gt;=RAF,"",IF($CU39-DC$103&lt;BeginnAlter,"",ROUND(v^($CU39+FaktorAlter)*$L39*$D39*0.5*(VLOOKUP($CU39-DC$103,Männer!$G$9:$J$102,4)+VLOOKUP($CU39-DC$103+1,Männer!$G$9:$J$102,4))*0.5*(VLOOKUP($CU39-DC$103,Männer!$AZ$9:$BD$102,5)+VLOOKUP($CU39-DC$103+1,Männer!$AZ$9:$BD$102,5)),RundDx)))</f>
        <v>1394334247</v>
      </c>
      <c r="DD39" s="25">
        <f>IF($CU39&gt;=RAF,"",IF($CU39-DD$103&lt;BeginnAlter,"",ROUND(v^($CU39+FaktorAlter)*$L39*$D39*0.5*(VLOOKUP($CU39-DD$103,Männer!$G$9:$J$102,4)+VLOOKUP($CU39-DD$103+1,Männer!$G$9:$J$102,4))*0.5*(VLOOKUP($CU39-DD$103,Männer!$AZ$9:$BD$102,5)+VLOOKUP($CU39-DD$103+1,Männer!$AZ$9:$BD$102,5)),RundDx)))</f>
        <v>1443942234</v>
      </c>
      <c r="DE39" s="25">
        <f>IF($CU39&gt;=RAF,"",IF($CU39-DE$103&lt;BeginnAlter,"",ROUND(v^($CU39+FaktorAlter)*$L39*$D39*0.5*(VLOOKUP($CU39-DE$103,Männer!$G$9:$J$102,4)+VLOOKUP($CU39-DE$103+1,Männer!$G$9:$J$102,4))*0.5*(VLOOKUP($CU39-DE$103,Männer!$AZ$9:$BD$102,5)+VLOOKUP($CU39-DE$103+1,Männer!$AZ$9:$BD$102,5)),RundDx)))</f>
        <v>1492800824</v>
      </c>
      <c r="DF39" s="25">
        <f>IF($CU39&gt;=RAF,"",IF($CU39-DF$103&lt;BeginnAlter,"",ROUND(v^($CU39+FaktorAlter)*$L39*$D39*0.5*(VLOOKUP($CU39-DF$103,Männer!$G$9:$J$102,4)+VLOOKUP($CU39-DF$103+1,Männer!$G$9:$J$102,4))*0.5*(VLOOKUP($CU39-DF$103,Männer!$AZ$9:$BD$102,5)+VLOOKUP($CU39-DF$103+1,Männer!$AZ$9:$BD$102,5)),RundDx)))</f>
        <v>1540917393</v>
      </c>
      <c r="DG39" s="25">
        <f>IF($CU39&gt;=RAF,"",IF($CU39-DG$103&lt;BeginnAlter,"",ROUND(v^($CU39+FaktorAlter)*$L39*$D39*0.5*(VLOOKUP($CU39-DG$103,Männer!$G$9:$J$102,4)+VLOOKUP($CU39-DG$103+1,Männer!$G$9:$J$102,4))*0.5*(VLOOKUP($CU39-DG$103,Männer!$AZ$9:$BD$102,5)+VLOOKUP($CU39-DG$103+1,Männer!$AZ$9:$BD$102,5)),RundDx)))</f>
        <v>1588205484</v>
      </c>
      <c r="DH39" s="25">
        <f>IF($CU39&gt;=RAF,"",IF($CU39-DH$103&lt;BeginnAlter,"",ROUND(v^($CU39+FaktorAlter)*$L39*$D39*0.5*(VLOOKUP($CU39-DH$103,Männer!$G$9:$J$102,4)+VLOOKUP($CU39-DH$103+1,Männer!$G$9:$J$102,4))*0.5*(VLOOKUP($CU39-DH$103,Männer!$AZ$9:$BD$102,5)+VLOOKUP($CU39-DH$103+1,Männer!$AZ$9:$BD$102,5)),RundDx)))</f>
        <v>1634670344</v>
      </c>
      <c r="DI39" s="25">
        <f>IF($CU39&gt;=RAF,"",IF($CU39-DI$103&lt;BeginnAlter,"",ROUND(v^($CU39+FaktorAlter)*$L39*$D39*0.5*(VLOOKUP($CU39-DI$103,Männer!$G$9:$J$102,4)+VLOOKUP($CU39-DI$103+1,Männer!$G$9:$J$102,4))*0.5*(VLOOKUP($CU39-DI$103,Männer!$AZ$9:$BD$102,5)+VLOOKUP($CU39-DI$103+1,Männer!$AZ$9:$BD$102,5)),RundDx)))</f>
        <v>1680383901</v>
      </c>
      <c r="DJ39" s="25">
        <f>IF($CU39&gt;=RAF,"",IF($CU39-DJ$103&lt;BeginnAlter,"",ROUND(v^($CU39+FaktorAlter)*$L39*$D39*0.5*(VLOOKUP($CU39-DJ$103,Männer!$G$9:$J$102,4)+VLOOKUP($CU39-DJ$103+1,Männer!$G$9:$J$102,4))*0.5*(VLOOKUP($CU39-DJ$103,Männer!$AZ$9:$BD$102,5)+VLOOKUP($CU39-DJ$103+1,Männer!$AZ$9:$BD$102,5)),RundDx)))</f>
        <v>1725316738</v>
      </c>
      <c r="DK39" s="25">
        <f>IF($CU39&gt;=RAF,"",IF($CU39-DK$103&lt;BeginnAlter,"",ROUND(v^($CU39+FaktorAlter)*$L39*$D39*0.5*(VLOOKUP($CU39-DK$103,Männer!$G$9:$J$102,4)+VLOOKUP($CU39-DK$103+1,Männer!$G$9:$J$102,4))*0.5*(VLOOKUP($CU39-DK$103,Männer!$AZ$9:$BD$102,5)+VLOOKUP($CU39-DK$103+1,Männer!$AZ$9:$BD$102,5)),RundDx)))</f>
        <v>1769420769</v>
      </c>
      <c r="DL39" s="25">
        <f>IF($CU39&gt;=RAF,"",IF($CU39-DL$103&lt;BeginnAlter,"",ROUND(v^($CU39+FaktorAlter)*$L39*$D39*0.5*(VLOOKUP($CU39-DL$103,Männer!$G$9:$J$102,4)+VLOOKUP($CU39-DL$103+1,Männer!$G$9:$J$102,4))*0.5*(VLOOKUP($CU39-DL$103,Männer!$AZ$9:$BD$102,5)+VLOOKUP($CU39-DL$103+1,Männer!$AZ$9:$BD$102,5)),RundDx)))</f>
        <v>1812750483</v>
      </c>
      <c r="DM39" s="25">
        <f>IF($CU39&gt;=RAF,"",IF($CU39-DM$103&lt;BeginnAlter,"",ROUND(v^($CU39+FaktorAlter)*$L39*$D39*0.5*(VLOOKUP($CU39-DM$103,Männer!$G$9:$J$102,4)+VLOOKUP($CU39-DM$103+1,Männer!$G$9:$J$102,4))*0.5*(VLOOKUP($CU39-DM$103,Männer!$AZ$9:$BD$102,5)+VLOOKUP($CU39-DM$103+1,Männer!$AZ$9:$BD$102,5)),RundDx)))</f>
        <v>1855303896</v>
      </c>
      <c r="DN39" s="25">
        <f>IF($CU39&gt;=RAF,"",IF($CU39-DN$103&lt;BeginnAlter,"",ROUND(v^($CU39+FaktorAlter)*$L39*$D39*0.5*(VLOOKUP($CU39-DN$103,Männer!$G$9:$J$102,4)+VLOOKUP($CU39-DN$103+1,Männer!$G$9:$J$102,4))*0.5*(VLOOKUP($CU39-DN$103,Männer!$AZ$9:$BD$102,5)+VLOOKUP($CU39-DN$103+1,Männer!$AZ$9:$BD$102,5)),RundDx)))</f>
        <v>1897081180</v>
      </c>
      <c r="DO39" s="25">
        <f>IF($CU39&gt;=RAF,"",IF($CU39-DO$103&lt;BeginnAlter,"",ROUND(v^($CU39+FaktorAlter)*$L39*$D39*0.5*(VLOOKUP($CU39-DO$103,Männer!$G$9:$J$102,4)+VLOOKUP($CU39-DO$103+1,Männer!$G$9:$J$102,4))*0.5*(VLOOKUP($CU39-DO$103,Männer!$AZ$9:$BD$102,5)+VLOOKUP($CU39-DO$103+1,Männer!$AZ$9:$BD$102,5)),RundDx)))</f>
        <v>1938064775</v>
      </c>
      <c r="DP39" s="25">
        <f>IF($CU39&gt;=RAF,"",IF($CU39-DP$103&lt;BeginnAlter,"",ROUND(v^($CU39+FaktorAlter)*$L39*$D39*0.5*(VLOOKUP($CU39-DP$103,Männer!$G$9:$J$102,4)+VLOOKUP($CU39-DP$103+1,Männer!$G$9:$J$102,4))*0.5*(VLOOKUP($CU39-DP$103,Männer!$AZ$9:$BD$102,5)+VLOOKUP($CU39-DP$103+1,Männer!$AZ$9:$BD$102,5)),RundDx)))</f>
        <v>1978299711</v>
      </c>
      <c r="DQ39" s="25">
        <f>IF($CU39&gt;=RAF,"",IF($CU39-DQ$103&lt;BeginnAlter,"",ROUND(v^($CU39+FaktorAlter)*$L39*$D39*0.5*(VLOOKUP($CU39-DQ$103,Männer!$G$9:$J$102,4)+VLOOKUP($CU39-DQ$103+1,Männer!$G$9:$J$102,4))*0.5*(VLOOKUP($CU39-DQ$103,Männer!$AZ$9:$BD$102,5)+VLOOKUP($CU39-DQ$103+1,Männer!$AZ$9:$BD$102,5)),RundDx)))</f>
        <v>2017822983</v>
      </c>
      <c r="DR39" s="25">
        <f>IF($CU39&gt;=RAF,"",IF($CU39-DR$103&lt;BeginnAlter,"",ROUND(v^($CU39+FaktorAlter)*$L39*$D39*0.5*(VLOOKUP($CU39-DR$103,Männer!$G$9:$J$102,4)+VLOOKUP($CU39-DR$103+1,Männer!$G$9:$J$102,4))*0.5*(VLOOKUP($CU39-DR$103,Männer!$AZ$9:$BD$102,5)+VLOOKUP($CU39-DR$103+1,Männer!$AZ$9:$BD$102,5)),RundDx)))</f>
        <v>2056568011</v>
      </c>
      <c r="DS39" s="25">
        <f>IF($CU39&gt;=RAF,"",IF($CU39-DS$103&lt;BeginnAlter,"",ROUND(v^($CU39+FaktorAlter)*$L39*$D39*0.5*(VLOOKUP($CU39-DS$103,Männer!$G$9:$J$102,4)+VLOOKUP($CU39-DS$103+1,Männer!$G$9:$J$102,4))*0.5*(VLOOKUP($CU39-DS$103,Männer!$AZ$9:$BD$102,5)+VLOOKUP($CU39-DS$103+1,Männer!$AZ$9:$BD$102,5)),RundDx)))</f>
        <v>2094531026</v>
      </c>
      <c r="DT39" s="25">
        <f>IF($CU39&gt;=RAF,"",IF($CU39-DT$103&lt;BeginnAlter,"",ROUND(v^($CU39+FaktorAlter)*$L39*$D39*0.5*(VLOOKUP($CU39-DT$103,Männer!$G$9:$J$102,4)+VLOOKUP($CU39-DT$103+1,Männer!$G$9:$J$102,4))*0.5*(VLOOKUP($CU39-DT$103,Männer!$AZ$9:$BD$102,5)+VLOOKUP($CU39-DT$103+1,Männer!$AZ$9:$BD$102,5)),RundDx)))</f>
        <v>2131824973</v>
      </c>
      <c r="DU39" s="25">
        <f>IF($CU39&gt;=RAF,"",IF($CU39-DU$103&lt;BeginnAlter,"",ROUND(v^($CU39+FaktorAlter)*$L39*$D39*0.5*(VLOOKUP($CU39-DU$103,Männer!$G$9:$J$102,4)+VLOOKUP($CU39-DU$103+1,Männer!$G$9:$J$102,4))*0.5*(VLOOKUP($CU39-DU$103,Männer!$AZ$9:$BD$102,5)+VLOOKUP($CU39-DU$103+1,Männer!$AZ$9:$BD$102,5)),RundDx)))</f>
        <v>2168406052</v>
      </c>
      <c r="DV39" s="25">
        <f>IF($CU39&gt;=RAF,"",IF($CU39-DV$103&lt;BeginnAlter,"",ROUND(v^($CU39+FaktorAlter)*$L39*$D39*0.5*(VLOOKUP($CU39-DV$103,Männer!$G$9:$J$102,4)+VLOOKUP($CU39-DV$103+1,Männer!$G$9:$J$102,4))*0.5*(VLOOKUP($CU39-DV$103,Männer!$AZ$9:$BD$102,5)+VLOOKUP($CU39-DV$103+1,Männer!$AZ$9:$BD$102,5)),RundDx)))</f>
        <v>2204242461</v>
      </c>
      <c r="DW39" s="25">
        <f>IF($CU39&gt;=RAF,"",IF($CU39-DW$103&lt;BeginnAlter,"",ROUND(v^($CU39+FaktorAlter)*$L39*$D39*0.5*(VLOOKUP($CU39-DW$103,Männer!$G$9:$J$102,4)+VLOOKUP($CU39-DW$103+1,Männer!$G$9:$J$102,4))*0.5*(VLOOKUP($CU39-DW$103,Männer!$AZ$9:$BD$102,5)+VLOOKUP($CU39-DW$103+1,Männer!$AZ$9:$BD$102,5)),RundDx)))</f>
        <v>2239408057</v>
      </c>
      <c r="DX39" s="25">
        <f>IF($CU39&gt;=RAF,"",IF($CU39-DX$103&lt;BeginnAlter,"",ROUND(v^($CU39+FaktorAlter)*$L39*$D39*0.5*(VLOOKUP($CU39-DX$103,Männer!$G$9:$J$102,4)+VLOOKUP($CU39-DX$103+1,Männer!$G$9:$J$102,4))*0.5*(VLOOKUP($CU39-DX$103,Männer!$AZ$9:$BD$102,5)+VLOOKUP($CU39-DX$103+1,Männer!$AZ$9:$BD$102,5)),RundDx)))</f>
        <v>2273850408</v>
      </c>
      <c r="DY39" s="25">
        <f>IF($CU39&gt;=RAF,"",IF($CU39-DY$103&lt;BeginnAlter,"",ROUND(v^($CU39+FaktorAlter)*$L39*$D39*0.5*(VLOOKUP($CU39-DY$103,Männer!$G$9:$J$102,4)+VLOOKUP($CU39-DY$103+1,Männer!$G$9:$J$102,4))*0.5*(VLOOKUP($CU39-DY$103,Männer!$AZ$9:$BD$102,5)+VLOOKUP($CU39-DY$103+1,Männer!$AZ$9:$BD$102,5)),RundDx)))</f>
        <v>2307594531</v>
      </c>
      <c r="DZ39" s="25">
        <f>IF($CU39&gt;=RAF,"",IF($CU39-DZ$103&lt;BeginnAlter,"",ROUND(v^($CU39+FaktorAlter)*$L39*$D39*0.5*(VLOOKUP($CU39-DZ$103,Männer!$G$9:$J$102,4)+VLOOKUP($CU39-DZ$103+1,Männer!$G$9:$J$102,4))*0.5*(VLOOKUP($CU39-DZ$103,Männer!$AZ$9:$BD$102,5)+VLOOKUP($CU39-DZ$103+1,Männer!$AZ$9:$BD$102,5)),RundDx)))</f>
        <v>2340667642</v>
      </c>
      <c r="EA39" s="43">
        <f>IF($CU39&gt;=RAF,"",IF($CU39-EA$103&lt;BeginnAlter,"",ROUND((SUM(CV39:CV$56)+SUM(FN$9:FN$56))/VLOOKUP($CU39,$AH$9:$AI$102,2)/VLOOKUP($CU39-EA$103,Männer!$G$9:$J$102,4),Rundäx)))</f>
        <v>2.5099999999999998</v>
      </c>
      <c r="EB39" s="43">
        <f>IF($CU39&gt;=RAF,"",IF($CU39-EB$103&lt;BeginnAlter,"",ROUND((SUM(CW39:CW$56)+SUM(FO$9:FO$56))/VLOOKUP($CU39,$AH$9:$AI$102,2)/VLOOKUP($CU39-EB$103,Männer!$G$9:$J$102,4),Rundäx)))</f>
        <v>2.65</v>
      </c>
      <c r="EC39" s="43">
        <f>IF($CU39&gt;=RAF,"",IF($CU39-EC$103&lt;BeginnAlter,"",ROUND((SUM(CX39:CX$56)+SUM(FP$9:FP$56))/VLOOKUP($CU39,$AH$9:$AI$102,2)/VLOOKUP($CU39-EC$103,Männer!$G$9:$J$102,4),Rundäx)))</f>
        <v>2.7959999999999998</v>
      </c>
      <c r="ED39" s="43">
        <f>IF($CU39&gt;=RAF,"",IF($CU39-ED$103&lt;BeginnAlter,"",ROUND((SUM(CY39:CY$56)+SUM(FQ$9:FQ$56))/VLOOKUP($CU39,$AH$9:$AI$102,2)/VLOOKUP($CU39-ED$103,Männer!$G$9:$J$102,4),Rundäx)))</f>
        <v>2.9470000000000001</v>
      </c>
      <c r="EE39" s="43">
        <f>IF($CU39&gt;=RAF,"",IF($CU39-EE$103&lt;BeginnAlter,"",ROUND((SUM(CZ39:CZ$56)+SUM(FR$9:FR$56))/VLOOKUP($CU39,$AH$9:$AI$102,2)/VLOOKUP($CU39-EE$103,Männer!$G$9:$J$102,4),Rundäx)))</f>
        <v>3.1030000000000002</v>
      </c>
      <c r="EF39" s="43">
        <f>IF($CU39&gt;=RAF,"",IF($CU39-EF$103&lt;BeginnAlter,"",ROUND((SUM(DA39:DA$56)+SUM(FS$9:FS$56))/VLOOKUP($CU39,$AH$9:$AI$102,2)/VLOOKUP($CU39-EF$103,Männer!$G$9:$J$102,4),Rundäx)))</f>
        <v>3.266</v>
      </c>
      <c r="EG39" s="43">
        <f>IF($CU39&gt;=RAF,"",IF($CU39-EG$103&lt;BeginnAlter,"",ROUND((SUM(DB39:DB$56)+SUM(FT$9:FT$56))/VLOOKUP($CU39,$AH$9:$AI$102,2)/VLOOKUP($CU39-EG$103,Männer!$G$9:$J$102,4),Rundäx)))</f>
        <v>3.4359999999999999</v>
      </c>
      <c r="EH39" s="43">
        <f>IF($CU39&gt;=RAF,"",IF($CU39-EH$103&lt;BeginnAlter,"",ROUND((SUM(DC39:DC$56)+SUM(FU$9:FU$56))/VLOOKUP($CU39,$AH$9:$AI$102,2)/VLOOKUP($CU39-EH$103,Männer!$G$9:$J$102,4),Rundäx)))</f>
        <v>3.6120000000000001</v>
      </c>
      <c r="EI39" s="89"/>
      <c r="EJ39" s="35">
        <f t="shared" si="61"/>
        <v>47</v>
      </c>
      <c r="EK39" s="43">
        <f>IF($CU39&gt;=RAF,"",IF($CU39-EK$103&lt;BeginnAlter,"",ROUND((SUM(DD39:DD$56)+SUM(FV$9:FV$56))/VLOOKUP($CU39,$AH$9:$AI$102,2)/VLOOKUP($CU39-EK$103,Männer!$G$9:$J$102,4),Rundäx)))</f>
        <v>3.794</v>
      </c>
      <c r="EL39" s="43">
        <f>IF($CU39&gt;=RAF,"",IF($CU39-EL$103&lt;BeginnAlter,"",ROUND((SUM(DE39:DE$56)+SUM(FW$9:FW$56))/VLOOKUP($CU39,$AH$9:$AI$102,2)/VLOOKUP($CU39-EL$103,Männer!$G$9:$J$102,4),Rundäx)))</f>
        <v>3.9820000000000002</v>
      </c>
      <c r="EM39" s="43">
        <f>IF($CU39&gt;=RAF,"",IF($CU39-EM$103&lt;BeginnAlter,"",ROUND((SUM(DF39:DF$56)+SUM(FX$9:FX$56))/VLOOKUP($CU39,$AH$9:$AI$102,2)/VLOOKUP($CU39-EM$103,Männer!$G$9:$J$102,4),Rundäx)))</f>
        <v>4.1769999999999996</v>
      </c>
      <c r="EN39" s="43">
        <f>IF($CU39&gt;=RAF,"",IF($CU39-EN$103&lt;BeginnAlter,"",ROUND((SUM(DG39:DG$56)+SUM(FY$9:FY$56))/VLOOKUP($CU39,$AH$9:$AI$102,2)/VLOOKUP($CU39-EN$103,Männer!$G$9:$J$102,4),Rundäx)))</f>
        <v>4.3780000000000001</v>
      </c>
      <c r="EO39" s="43">
        <f>IF($CU39&gt;=RAF,"",IF($CU39-EO$103&lt;BeginnAlter,"",ROUND((SUM(DH39:DH$56)+SUM(FZ$9:FZ$56))/VLOOKUP($CU39,$AH$9:$AI$102,2)/VLOOKUP($CU39-EO$103,Männer!$G$9:$J$102,4),Rundäx)))</f>
        <v>4.5839999999999996</v>
      </c>
      <c r="EP39" s="43">
        <f>IF($CU39&gt;=RAF,"",IF($CU39-EP$103&lt;BeginnAlter,"",ROUND((SUM(DI39:DI$56)+SUM(GA$9:GA$56))/VLOOKUP($CU39,$AH$9:$AI$102,2)/VLOOKUP($CU39-EP$103,Männer!$G$9:$J$102,4),Rundäx)))</f>
        <v>4.7960000000000003</v>
      </c>
      <c r="EQ39" s="43">
        <f>IF($CU39&gt;=RAF,"",IF($CU39-EQ$103&lt;BeginnAlter,"",ROUND((SUM(DJ39:DJ$56)+SUM(GB$9:GB$56))/VLOOKUP($CU39,$AH$9:$AI$102,2)/VLOOKUP($CU39-EQ$103,Männer!$G$9:$J$102,4),Rundäx)))</f>
        <v>5.0140000000000002</v>
      </c>
      <c r="ER39" s="43">
        <f>IF($CU39&gt;=RAF,"",IF($CU39-ER$103&lt;BeginnAlter,"",ROUND((SUM(DK39:DK$56)+SUM(GC$9:GC$56))/VLOOKUP($CU39,$AH$9:$AI$102,2)/VLOOKUP($CU39-ER$103,Männer!$G$9:$J$102,4),Rundäx)))</f>
        <v>5.2370000000000001</v>
      </c>
      <c r="ES39" s="89"/>
      <c r="ET39" s="35">
        <f t="shared" si="62"/>
        <v>47</v>
      </c>
      <c r="EU39" s="43">
        <f>IF($CU39&gt;=RAF,"",IF($CU39-EU$103&lt;BeginnAlter,"",ROUND((SUM(DL39:DL$56)+SUM(GD$9:GD$56))/VLOOKUP($CU39,$AH$9:$AI$102,2)/VLOOKUP($CU39-EU$103,Männer!$G$9:$J$102,4),Rundäx)))</f>
        <v>5.4649999999999999</v>
      </c>
      <c r="EV39" s="43">
        <f>IF($CU39&gt;=RAF,"",IF($CU39-EV$103&lt;BeginnAlter,"",ROUND((SUM(DM39:DM$56)+SUM(GE$9:GE$56))/VLOOKUP($CU39,$AH$9:$AI$102,2)/VLOOKUP($CU39-EV$103,Männer!$G$9:$J$102,4),Rundäx)))</f>
        <v>5.6970000000000001</v>
      </c>
      <c r="EW39" s="43">
        <f>IF($CU39&gt;=RAF,"",IF($CU39-EW$103&lt;BeginnAlter,"",ROUND((SUM(DN39:DN$56)+SUM(GF$9:GF$56))/VLOOKUP($CU39,$AH$9:$AI$102,2)/VLOOKUP($CU39-EW$103,Männer!$G$9:$J$102,4),Rundäx)))</f>
        <v>5.9349999999999996</v>
      </c>
      <c r="EX39" s="43">
        <f>IF($CU39&gt;=RAF,"",IF($CU39-EX$103&lt;BeginnAlter,"",ROUND((SUM(DO39:DO$56)+SUM(GG$9:GG$56))/VLOOKUP($CU39,$AH$9:$AI$102,2)/VLOOKUP($CU39-EX$103,Männer!$G$9:$J$102,4),Rundäx)))</f>
        <v>6.1760000000000002</v>
      </c>
      <c r="EY39" s="43">
        <f>IF($CU39&gt;=RAF,"",IF($CU39-EY$103&lt;BeginnAlter,"",ROUND((SUM(DP39:DP$56)+SUM(GH$9:GH$56))/VLOOKUP($CU39,$AH$9:$AI$102,2)/VLOOKUP($CU39-EY$103,Männer!$G$9:$J$102,4),Rundäx)))</f>
        <v>6.42</v>
      </c>
      <c r="EZ39" s="43">
        <f>IF($CU39&gt;=RAF,"",IF($CU39-EZ$103&lt;BeginnAlter,"",ROUND((SUM(DQ39:DQ$56)+SUM(GI$9:GI$56))/VLOOKUP($CU39,$AH$9:$AI$102,2)/VLOOKUP($CU39-EZ$103,Männer!$G$9:$J$102,4),Rundäx)))</f>
        <v>6.6680000000000001</v>
      </c>
      <c r="FA39" s="43">
        <f>IF($CU39&gt;=RAF,"",IF($CU39-FA$103&lt;BeginnAlter,"",ROUND((SUM(DR39:DR$56)+SUM(GJ$9:GJ$56))/VLOOKUP($CU39,$AH$9:$AI$102,2)/VLOOKUP($CU39-FA$103,Männer!$G$9:$J$102,4),Rundäx)))</f>
        <v>6.9189999999999996</v>
      </c>
      <c r="FB39" s="43">
        <f>IF($CU39&gt;=RAF,"",IF($CU39-FB$103&lt;BeginnAlter,"",ROUND((SUM(DS39:DS$56)+SUM(GK$9:GK$56))/VLOOKUP($CU39,$AH$9:$AI$102,2)/VLOOKUP($CU39-FB$103,Männer!$G$9:$J$102,4),Rundäx)))</f>
        <v>7.1719999999999997</v>
      </c>
      <c r="FC39" s="89"/>
      <c r="FD39" s="35">
        <f t="shared" si="63"/>
        <v>47</v>
      </c>
      <c r="FE39" s="43">
        <f>IF($CU39&gt;=RAF,"",IF($CU39-FE$103&lt;BeginnAlter,"",ROUND((SUM(DT39:DT$56)+SUM(GL$9:GL$56))/VLOOKUP($CU39,$AH$9:$AI$102,2)/VLOOKUP($CU39-FE$103,Männer!$G$9:$J$102,4),Rundäx)))</f>
        <v>7.4279999999999999</v>
      </c>
      <c r="FF39" s="43">
        <f>IF($CU39&gt;=RAF,"",IF($CU39-FF$103&lt;BeginnAlter,"",ROUND((SUM(DU39:DU$56)+SUM(GM$9:GM$56))/VLOOKUP($CU39,$AH$9:$AI$102,2)/VLOOKUP($CU39-FF$103,Männer!$G$9:$J$102,4),Rundäx)))</f>
        <v>7.6840000000000002</v>
      </c>
      <c r="FG39" s="43">
        <f>IF($CU39&gt;=RAF,"",IF($CU39-FG$103&lt;BeginnAlter,"",ROUND((SUM(DV39:DV$56)+SUM(GN$9:GN$56))/VLOOKUP($CU39,$AH$9:$AI$102,2)/VLOOKUP($CU39-FG$103,Männer!$G$9:$J$102,4),Rundäx)))</f>
        <v>7.9420000000000002</v>
      </c>
      <c r="FH39" s="43">
        <f>IF($CU39&gt;=RAF,"",IF($CU39-FH$103&lt;BeginnAlter,"",ROUND((SUM(DW39:DW$56)+SUM(GO$9:GO$56))/VLOOKUP($CU39,$AH$9:$AI$102,2)/VLOOKUP($CU39-FH$103,Männer!$G$9:$J$102,4),Rundäx)))</f>
        <v>8.202</v>
      </c>
      <c r="FI39" s="43">
        <f>IF($CU39&gt;=RAF,"",IF($CU39-FI$103&lt;BeginnAlter,"",ROUND((SUM(DX39:DX$56)+SUM(GP$9:GP$56))/VLOOKUP($CU39,$AH$9:$AI$102,2)/VLOOKUP($CU39-FI$103,Männer!$G$9:$J$102,4),Rundäx)))</f>
        <v>8.4610000000000003</v>
      </c>
      <c r="FJ39" s="43">
        <f>IF($CU39&gt;=RAF,"",IF($CU39-FJ$103&lt;BeginnAlter,"",ROUND((SUM(DY39:DY$56)+SUM(GQ$9:GQ$56))/VLOOKUP($CU39,$AH$9:$AI$102,2)/VLOOKUP($CU39-FJ$103,Männer!$G$9:$J$102,4),Rundäx)))</f>
        <v>8.7210000000000001</v>
      </c>
      <c r="FK39" s="43">
        <f>IF($CU39&gt;=RAF,"",IF($CU39-FK$103&lt;BeginnAlter,"",ROUND((SUM(DZ39:DZ$56)+SUM(GR$9:GR$56))/VLOOKUP($CU39,$AH$9:$AI$102,2)/VLOOKUP($CU39-FK$103,Männer!$G$9:$J$102,4),Rundäx)))</f>
        <v>8.9809999999999999</v>
      </c>
      <c r="FL39" s="89"/>
      <c r="FM39" s="35">
        <f t="shared" si="64"/>
        <v>94</v>
      </c>
      <c r="FN39" s="25"/>
      <c r="FO39" s="25"/>
      <c r="FP39" s="25"/>
      <c r="FQ39" s="25"/>
      <c r="FR39" s="25"/>
      <c r="FS39" s="25"/>
      <c r="FT39" s="25"/>
      <c r="FU39" s="25"/>
      <c r="FV39" s="25"/>
      <c r="FW39" s="25">
        <f>ROUND(v^($FM39+FaktorAlter)*VLOOKUP($FM39,$G$9:$J$102,4)*VLOOKUP($FM39,$A$9:$E$102,5)*0.5*(VLOOKUP($FM39-FW$103,Männer!$G$9:$J$102,4)+VLOOKUP($FM39-FW$103+1,Männer!$G$9:$J$102,4))*0.5*(VLOOKUP($FM39-FW$103,Männer!$AZ$9:$BD$102,5)+VLOOKUP($FM39-FW$103+1,Männer!$AZ$9:$BD$102,5)),RundDx)</f>
        <v>69492</v>
      </c>
      <c r="FX39" s="25">
        <f>ROUND(v^($FM39+FaktorAlter)*VLOOKUP($FM39,$G$9:$J$102,4)*VLOOKUP($FM39,$A$9:$E$102,5)*0.5*(VLOOKUP($FM39-FX$103,Männer!$G$9:$J$102,4)+VLOOKUP($FM39-FX$103+1,Männer!$G$9:$J$102,4))*0.5*(VLOOKUP($FM39-FX$103,Männer!$AZ$9:$BD$102,5)+VLOOKUP($FM39-FX$103+1,Männer!$AZ$9:$BD$102,5)),RundDx)</f>
        <v>183264</v>
      </c>
      <c r="FY39" s="25">
        <f>ROUND(v^($FM39+FaktorAlter)*VLOOKUP($FM39,$G$9:$J$102,4)*VLOOKUP($FM39,$A$9:$E$102,5)*0.5*(VLOOKUP($FM39-FY$103,Männer!$G$9:$J$102,4)+VLOOKUP($FM39-FY$103+1,Männer!$G$9:$J$102,4))*0.5*(VLOOKUP($FM39-FY$103,Männer!$AZ$9:$BD$102,5)+VLOOKUP($FM39-FY$103+1,Männer!$AZ$9:$BD$102,5)),RundDx)</f>
        <v>412267</v>
      </c>
      <c r="FZ39" s="25">
        <f>ROUND(v^($FM39+FaktorAlter)*VLOOKUP($FM39,$G$9:$J$102,4)*VLOOKUP($FM39,$A$9:$E$102,5)*0.5*(VLOOKUP($FM39-FZ$103,Männer!$G$9:$J$102,4)+VLOOKUP($FM39-FZ$103+1,Männer!$G$9:$J$102,4))*0.5*(VLOOKUP($FM39-FZ$103,Männer!$AZ$9:$BD$102,5)+VLOOKUP($FM39-FZ$103+1,Männer!$AZ$9:$BD$102,5)),RundDx)</f>
        <v>839621</v>
      </c>
      <c r="GA39" s="25">
        <f>ROUND(v^($FM39+FaktorAlter)*VLOOKUP($FM39,$G$9:$J$102,4)*VLOOKUP($FM39,$A$9:$E$102,5)*0.5*(VLOOKUP($FM39-GA$103,Männer!$G$9:$J$102,4)+VLOOKUP($FM39-GA$103+1,Männer!$G$9:$J$102,4))*0.5*(VLOOKUP($FM39-GA$103,Männer!$AZ$9:$BD$102,5)+VLOOKUP($FM39-GA$103+1,Männer!$AZ$9:$BD$102,5)),RundDx)</f>
        <v>1565873</v>
      </c>
      <c r="GB39" s="25">
        <f>ROUND(v^($FM39+FaktorAlter)*VLOOKUP($FM39,$G$9:$J$102,4)*VLOOKUP($FM39,$A$9:$E$102,5)*0.5*(VLOOKUP($FM39-GB$103,Männer!$G$9:$J$102,4)+VLOOKUP($FM39-GB$103+1,Männer!$G$9:$J$102,4))*0.5*(VLOOKUP($FM39-GB$103,Männer!$AZ$9:$BD$102,5)+VLOOKUP($FM39-GB$103+1,Männer!$AZ$9:$BD$102,5)),RundDx)</f>
        <v>2710289</v>
      </c>
      <c r="GC39" s="25">
        <f>ROUND(v^($FM39+FaktorAlter)*VLOOKUP($FM39,$G$9:$J$102,4)*VLOOKUP($FM39,$A$9:$E$102,5)*0.5*(VLOOKUP($FM39-GC$103,Männer!$G$9:$J$102,4)+VLOOKUP($FM39-GC$103+1,Männer!$G$9:$J$102,4))*0.5*(VLOOKUP($FM39-GC$103,Männer!$AZ$9:$BD$102,5)+VLOOKUP($FM39-GC$103+1,Männer!$AZ$9:$BD$102,5)),RundDx)</f>
        <v>4405159</v>
      </c>
      <c r="GD39" s="25">
        <f>ROUND(v^($FM39+FaktorAlter)*VLOOKUP($FM39,$G$9:$J$102,4)*VLOOKUP($FM39,$A$9:$E$102,5)*0.5*(VLOOKUP($FM39-GD$103,Männer!$G$9:$J$102,4)+VLOOKUP($FM39-GD$103+1,Männer!$G$9:$J$102,4))*0.5*(VLOOKUP($FM39-GD$103,Männer!$AZ$9:$BD$102,5)+VLOOKUP($FM39-GD$103+1,Männer!$AZ$9:$BD$102,5)),RundDx)</f>
        <v>6779073</v>
      </c>
      <c r="GE39" s="25">
        <f>ROUND(v^($FM39+FaktorAlter)*VLOOKUP($FM39,$G$9:$J$102,4)*VLOOKUP($FM39,$A$9:$E$102,5)*0.5*(VLOOKUP($FM39-GE$103,Männer!$G$9:$J$102,4)+VLOOKUP($FM39-GE$103+1,Männer!$G$9:$J$102,4))*0.5*(VLOOKUP($FM39-GE$103,Männer!$AZ$9:$BD$102,5)+VLOOKUP($FM39-GE$103+1,Männer!$AZ$9:$BD$102,5)),RundDx)</f>
        <v>9967575</v>
      </c>
      <c r="GF39" s="25">
        <f>ROUND(v^($FM39+FaktorAlter)*VLOOKUP($FM39,$G$9:$J$102,4)*VLOOKUP($FM39,$A$9:$E$102,5)*0.5*(VLOOKUP($FM39-GF$103,Männer!$G$9:$J$102,4)+VLOOKUP($FM39-GF$103+1,Männer!$G$9:$J$102,4))*0.5*(VLOOKUP($FM39-GF$103,Männer!$AZ$9:$BD$102,5)+VLOOKUP($FM39-GF$103+1,Männer!$AZ$9:$BD$102,5)),RundDx)</f>
        <v>14093920</v>
      </c>
      <c r="GG39" s="25">
        <f>ROUND(v^($FM39+FaktorAlter)*VLOOKUP($FM39,$G$9:$J$102,4)*VLOOKUP($FM39,$A$9:$E$102,5)*0.5*(VLOOKUP($FM39-GG$103,Männer!$G$9:$J$102,4)+VLOOKUP($FM39-GG$103+1,Männer!$G$9:$J$102,4))*0.5*(VLOOKUP($FM39-GG$103,Männer!$AZ$9:$BD$102,5)+VLOOKUP($FM39-GG$103+1,Männer!$AZ$9:$BD$102,5)),RundDx)</f>
        <v>19248533</v>
      </c>
      <c r="GH39" s="25">
        <f>ROUND(v^($FM39+FaktorAlter)*VLOOKUP($FM39,$G$9:$J$102,4)*VLOOKUP($FM39,$A$9:$E$102,5)*0.5*(VLOOKUP($FM39-GH$103,Männer!$G$9:$J$102,4)+VLOOKUP($FM39-GH$103+1,Männer!$G$9:$J$102,4))*0.5*(VLOOKUP($FM39-GH$103,Männer!$AZ$9:$BD$102,5)+VLOOKUP($FM39-GH$103+1,Männer!$AZ$9:$BD$102,5)),RundDx)</f>
        <v>25501151</v>
      </c>
      <c r="GI39" s="25">
        <f>ROUND(v^($FM39+FaktorAlter)*VLOOKUP($FM39,$G$9:$J$102,4)*VLOOKUP($FM39,$A$9:$E$102,5)*0.5*(VLOOKUP($FM39-GI$103,Männer!$G$9:$J$102,4)+VLOOKUP($FM39-GI$103+1,Männer!$G$9:$J$102,4))*0.5*(VLOOKUP($FM39-GI$103,Männer!$AZ$9:$BD$102,5)+VLOOKUP($FM39-GI$103+1,Männer!$AZ$9:$BD$102,5)),RundDx)</f>
        <v>32887756</v>
      </c>
      <c r="GJ39" s="25">
        <f>ROUND(v^($FM39+FaktorAlter)*VLOOKUP($FM39,$G$9:$J$102,4)*VLOOKUP($FM39,$A$9:$E$102,5)*0.5*(VLOOKUP($FM39-GJ$103,Männer!$G$9:$J$102,4)+VLOOKUP($FM39-GJ$103+1,Männer!$G$9:$J$102,4))*0.5*(VLOOKUP($FM39-GJ$103,Männer!$AZ$9:$BD$102,5)+VLOOKUP($FM39-GJ$103+1,Männer!$AZ$9:$BD$102,5)),RundDx)</f>
        <v>41381344</v>
      </c>
      <c r="GK39" s="25">
        <f>ROUND(v^($FM39+FaktorAlter)*VLOOKUP($FM39,$G$9:$J$102,4)*VLOOKUP($FM39,$A$9:$E$102,5)*0.5*(VLOOKUP($FM39-GK$103,Männer!$G$9:$J$102,4)+VLOOKUP($FM39-GK$103+1,Männer!$G$9:$J$102,4))*0.5*(VLOOKUP($FM39-GK$103,Männer!$AZ$9:$BD$102,5)+VLOOKUP($FM39-GK$103+1,Männer!$AZ$9:$BD$102,5)),RundDx)</f>
        <v>50928227</v>
      </c>
      <c r="GL39" s="25">
        <f>ROUND(v^($FM39+FaktorAlter)*VLOOKUP($FM39,$G$9:$J$102,4)*VLOOKUP($FM39,$A$9:$E$102,5)*0.5*(VLOOKUP($FM39-GL$103,Männer!$G$9:$J$102,4)+VLOOKUP($FM39-GL$103+1,Männer!$G$9:$J$102,4))*0.5*(VLOOKUP($FM39-GL$103,Männer!$AZ$9:$BD$102,5)+VLOOKUP($FM39-GL$103+1,Männer!$AZ$9:$BD$102,5)),RundDx)</f>
        <v>61501194</v>
      </c>
      <c r="GM39" s="25">
        <f>ROUND(v^($FM39+FaktorAlter)*VLOOKUP($FM39,$G$9:$J$102,4)*VLOOKUP($FM39,$A$9:$E$102,5)*0.5*(VLOOKUP($FM39-GM$103,Männer!$G$9:$J$102,4)+VLOOKUP($FM39-GM$103+1,Männer!$G$9:$J$102,4))*0.5*(VLOOKUP($FM39-GM$103,Männer!$AZ$9:$BD$102,5)+VLOOKUP($FM39-GM$103+1,Männer!$AZ$9:$BD$102,5)),RundDx)</f>
        <v>73064504</v>
      </c>
      <c r="GN39" s="25">
        <f>ROUND(v^($FM39+FaktorAlter)*VLOOKUP($FM39,$G$9:$J$102,4)*VLOOKUP($FM39,$A$9:$E$102,5)*0.5*(VLOOKUP($FM39-GN$103,Männer!$G$9:$J$102,4)+VLOOKUP($FM39-GN$103+1,Männer!$G$9:$J$102,4))*0.5*(VLOOKUP($FM39-GN$103,Männer!$AZ$9:$BD$102,5)+VLOOKUP($FM39-GN$103+1,Männer!$AZ$9:$BD$102,5)),RundDx)</f>
        <v>85558501</v>
      </c>
      <c r="GO39" s="25">
        <f>ROUND(v^($FM39+FaktorAlter)*VLOOKUP($FM39,$G$9:$J$102,4)*VLOOKUP($FM39,$A$9:$E$102,5)*0.5*(VLOOKUP($FM39-GO$103,Männer!$G$9:$J$102,4)+VLOOKUP($FM39-GO$103+1,Männer!$G$9:$J$102,4))*0.5*(VLOOKUP($FM39-GO$103,Männer!$AZ$9:$BD$102,5)+VLOOKUP($FM39-GO$103+1,Männer!$AZ$9:$BD$102,5)),RundDx)</f>
        <v>98936283</v>
      </c>
      <c r="GP39" s="25">
        <f>ROUND(v^($FM39+FaktorAlter)*VLOOKUP($FM39,$G$9:$J$102,4)*VLOOKUP($FM39,$A$9:$E$102,5)*0.5*(VLOOKUP($FM39-GP$103,Männer!$G$9:$J$102,4)+VLOOKUP($FM39-GP$103+1,Männer!$G$9:$J$102,4))*0.5*(VLOOKUP($FM39-GP$103,Männer!$AZ$9:$BD$102,5)+VLOOKUP($FM39-GP$103+1,Männer!$AZ$9:$BD$102,5)),RundDx)</f>
        <v>113143707</v>
      </c>
      <c r="GQ39" s="25">
        <f>ROUND(v^($FM39+FaktorAlter)*VLOOKUP($FM39,$G$9:$J$102,4)*VLOOKUP($FM39,$A$9:$E$102,5)*0.5*(VLOOKUP($FM39-GQ$103,Männer!$G$9:$J$102,4)+VLOOKUP($FM39-GQ$103+1,Männer!$G$9:$J$102,4))*0.5*(VLOOKUP($FM39-GQ$103,Männer!$AZ$9:$BD$102,5)+VLOOKUP($FM39-GQ$103+1,Männer!$AZ$9:$BD$102,5)),RundDx)</f>
        <v>128105778</v>
      </c>
      <c r="GR39" s="25">
        <f>ROUND(v^($FM39+FaktorAlter)*VLOOKUP($FM39,$G$9:$J$102,4)*VLOOKUP($FM39,$A$9:$E$102,5)*0.5*(VLOOKUP($FM39-GR$103,Männer!$G$9:$J$102,4)+VLOOKUP($FM39-GR$103+1,Männer!$G$9:$J$102,4))*0.5*(VLOOKUP($FM39-GR$103,Männer!$AZ$9:$BD$102,5)+VLOOKUP($FM39-GR$103+1,Männer!$AZ$9:$BD$102,5)),RundDx)</f>
        <v>143750635</v>
      </c>
      <c r="GS39" s="24"/>
      <c r="GT39" s="24"/>
      <c r="GU39" s="24"/>
      <c r="GV39" s="24"/>
      <c r="GW39" s="24"/>
      <c r="GX39" s="24"/>
      <c r="GY39" s="24"/>
      <c r="GZ39" s="24"/>
      <c r="HA39" s="89"/>
      <c r="HB39" s="35">
        <f t="shared" si="65"/>
        <v>94</v>
      </c>
      <c r="HC39" s="24">
        <f>ROUND(SUM(FV39:FV$56)/VLOOKUP($FM39,$AQ$9:$AR$102,2)/VLOOKUP($FM39-HC$103,Männer!$G$9:$J$102,4),Rundäx)</f>
        <v>0</v>
      </c>
      <c r="HD39" s="24">
        <f>ROUND(SUM(FW39:FW$56)/VLOOKUP($FM39,$AQ$9:$AR$102,2)/VLOOKUP($FM39-HD$103,Männer!$G$9:$J$102,4),Rundäx)</f>
        <v>0.157</v>
      </c>
      <c r="HE39" s="24">
        <f>ROUND(SUM(FX39:FX$56)/VLOOKUP($FM39,$AQ$9:$AR$102,2)/VLOOKUP($FM39-HE$103,Männer!$G$9:$J$102,4),Rundäx)</f>
        <v>0.255</v>
      </c>
      <c r="HF39" s="24">
        <f>ROUND(SUM(FY39:FY$56)/VLOOKUP($FM39,$AQ$9:$AR$102,2)/VLOOKUP($FM39-HF$103,Männer!$G$9:$J$102,4),Rundäx)</f>
        <v>0.34</v>
      </c>
      <c r="HG39" s="24">
        <f>ROUND(SUM(FZ39:FZ$56)/VLOOKUP($FM39,$AQ$9:$AR$102,2)/VLOOKUP($FM39-HG$103,Männer!$G$9:$J$102,4),Rundäx)</f>
        <v>0.43</v>
      </c>
      <c r="HH39" s="24">
        <f>ROUND(SUM(GA39:GA$56)/VLOOKUP($FM39,$AQ$9:$AR$102,2)/VLOOKUP($FM39-HH$103,Männer!$G$9:$J$102,4),Rundäx)</f>
        <v>0.53200000000000003</v>
      </c>
      <c r="HI39" s="24">
        <f>ROUND(SUM(GB39:GB$56)/VLOOKUP($FM39,$AQ$9:$AR$102,2)/VLOOKUP($FM39-HI$103,Männer!$G$9:$J$102,4),Rundäx)</f>
        <v>0.64900000000000002</v>
      </c>
      <c r="HJ39" s="24">
        <f>ROUND(SUM(GC39:GC$56)/VLOOKUP($FM39,$AQ$9:$AR$102,2)/VLOOKUP($FM39-HJ$103,Männer!$G$9:$J$102,4),Rundäx)</f>
        <v>0.78200000000000003</v>
      </c>
      <c r="HK39" s="89"/>
      <c r="HL39" s="35">
        <f t="shared" si="66"/>
        <v>94</v>
      </c>
      <c r="HM39" s="24">
        <f>ROUND(SUM(GD39:GD$56)/VLOOKUP($FM39,$AQ$9:$AR$102,2)/VLOOKUP($FM39-HM$103,Männer!$G$9:$J$102,4),Rundäx)</f>
        <v>0.93300000000000005</v>
      </c>
      <c r="HN39" s="24">
        <f>ROUND(SUM(GE39:GE$56)/VLOOKUP($FM39,$AQ$9:$AR$102,2)/VLOOKUP($FM39-HN$103,Männer!$G$9:$J$102,4),Rundäx)</f>
        <v>1.103</v>
      </c>
      <c r="HO39" s="24">
        <f>ROUND(SUM(GF39:GF$56)/VLOOKUP($FM39,$AQ$9:$AR$102,2)/VLOOKUP($FM39-HO$103,Männer!$G$9:$J$102,4),Rundäx)</f>
        <v>1.2929999999999999</v>
      </c>
      <c r="HP39" s="24">
        <f>ROUND(SUM(GG39:GG$56)/VLOOKUP($FM39,$AQ$9:$AR$102,2)/VLOOKUP($FM39-HP$103,Männer!$G$9:$J$102,4),Rundäx)</f>
        <v>1.504</v>
      </c>
      <c r="HQ39" s="24">
        <f>ROUND(SUM(GH39:GH$56)/VLOOKUP($FM39,$AQ$9:$AR$102,2)/VLOOKUP($FM39-HQ$103,Männer!$G$9:$J$102,4),Rundäx)</f>
        <v>1.736</v>
      </c>
      <c r="HR39" s="24">
        <f>ROUND(SUM(GI39:GI$56)/VLOOKUP($FM39,$AQ$9:$AR$102,2)/VLOOKUP($FM39-HR$103,Männer!$G$9:$J$102,4),Rundäx)</f>
        <v>1.988</v>
      </c>
      <c r="HS39" s="24">
        <f>ROUND(SUM(GJ39:GJ$56)/VLOOKUP($FM39,$AQ$9:$AR$102,2)/VLOOKUP($FM39-HS$103,Männer!$G$9:$J$102,4),Rundäx)</f>
        <v>2.2599999999999998</v>
      </c>
      <c r="HT39" s="24">
        <f>ROUND(SUM(GK39:GK$56)/VLOOKUP($FM39,$AQ$9:$AR$102,2)/VLOOKUP($FM39-HT$103,Männer!$G$9:$J$102,4),Rundäx)</f>
        <v>2.548</v>
      </c>
      <c r="HU39" s="89"/>
      <c r="HV39" s="35">
        <f t="shared" si="67"/>
        <v>94</v>
      </c>
      <c r="HW39" s="24">
        <f>ROUND(SUM(GL39:GL$56)/VLOOKUP($FM39,$AQ$9:$AR$102,2)/VLOOKUP($FM39-HW$103,Männer!$G$9:$J$102,4),Rundäx)</f>
        <v>2.851</v>
      </c>
      <c r="HX39" s="24">
        <f>ROUND(SUM(GM39:GM$56)/VLOOKUP($FM39,$AQ$9:$AR$102,2)/VLOOKUP($FM39-HX$103,Männer!$G$9:$J$102,4),Rundäx)</f>
        <v>3.1669999999999998</v>
      </c>
      <c r="HY39" s="24">
        <f>ROUND(SUM(GN39:GN$56)/VLOOKUP($FM39,$AQ$9:$AR$102,2)/VLOOKUP($FM39-HY$103,Männer!$G$9:$J$102,4),Rundäx)</f>
        <v>3.4950000000000001</v>
      </c>
      <c r="HZ39" s="24">
        <f>ROUND(SUM(GO39:GO$56)/VLOOKUP($FM39,$AQ$9:$AR$102,2)/VLOOKUP($FM39-HZ$103,Männer!$G$9:$J$102,4),Rundäx)</f>
        <v>3.8340000000000001</v>
      </c>
      <c r="IA39" s="24">
        <f>ROUND(SUM(GP39:GP$56)/VLOOKUP($FM39,$AQ$9:$AR$102,2)/VLOOKUP($FM39-IA$103,Männer!$G$9:$J$102,4),Rundäx)</f>
        <v>4.1820000000000004</v>
      </c>
      <c r="IB39" s="24">
        <f>ROUND(SUM(GQ39:GQ$56)/VLOOKUP($FM39,$AQ$9:$AR$102,2)/VLOOKUP($FM39-IB$103,Männer!$G$9:$J$102,4),Rundäx)</f>
        <v>4.5369999999999999</v>
      </c>
      <c r="IC39" s="24">
        <f>ROUND(SUM(GR39:GR$56)/VLOOKUP($FM39,$AQ$9:$AR$102,2)/VLOOKUP($FM39-IC$103,Männer!$G$9:$J$102,4),Rundäx)</f>
        <v>4.9000000000000004</v>
      </c>
      <c r="ID39" s="89"/>
      <c r="IE39" s="9">
        <f t="shared" si="68"/>
        <v>47</v>
      </c>
      <c r="IF39" s="11">
        <f t="shared" si="25"/>
        <v>138</v>
      </c>
      <c r="IG39" s="11">
        <f>IF($IE39&lt;RAF,IF(S40&lt;=RAK,ROUND(SUM(IF39:INDEX(Daky,RAF-BeginnAlter))+INDEX(Day,RAF-BeginnAlter+1)*INDEX(äky,1),RundDx),0),"")</f>
        <v>569</v>
      </c>
      <c r="IH39" s="11">
        <f>IF($IE39&lt;RAF,IF(S40&lt;=RAK,ROUND(SUM(IG39:INDEX(Naky,RAF-BeginnAlter))+INDEX(Day,RAF-BeginnAlter+1)*INDEX(äky,1),RundDx),0),"")</f>
        <v>2107</v>
      </c>
      <c r="II39" s="10">
        <f t="shared" si="26"/>
        <v>1.7000000000000001E-2</v>
      </c>
      <c r="IJ39" s="11">
        <f t="shared" si="27"/>
        <v>2640</v>
      </c>
      <c r="IK39" s="11">
        <f>IF($IE39&lt;RAF,IF(S40&lt;=RAK,SUM(IJ39:INDEX(Diky,RAF-BeginnAlter))+INDEX(Diy,RAF-BeginnAlter+1)*INDEX(äky,1),0),"")</f>
        <v>8588</v>
      </c>
      <c r="IL39" s="10">
        <f t="shared" si="28"/>
        <v>0.19</v>
      </c>
      <c r="IM39" s="89"/>
      <c r="IN39" s="9">
        <f t="shared" si="29"/>
        <v>94</v>
      </c>
      <c r="IO39" s="11"/>
      <c r="IP39" s="11"/>
      <c r="IQ39" s="10"/>
      <c r="IR39" s="86"/>
    </row>
    <row r="40" spans="1:252" ht="15.75" customHeight="1" x14ac:dyDescent="0.25">
      <c r="A40" s="9">
        <f t="shared" si="4"/>
        <v>48</v>
      </c>
      <c r="B40" s="93">
        <v>1.1752933760158298E-3</v>
      </c>
      <c r="C40" s="93">
        <v>6.4859658604094709E-3</v>
      </c>
      <c r="D40" s="93">
        <v>1.8922478136848081E-2</v>
      </c>
      <c r="E40" s="93">
        <v>2.1997360316762249E-3</v>
      </c>
      <c r="F40" s="89"/>
      <c r="G40" s="9">
        <f t="shared" si="5"/>
        <v>48</v>
      </c>
      <c r="H40" s="11">
        <f t="shared" si="30"/>
        <v>92418</v>
      </c>
      <c r="I40" s="25">
        <f t="shared" si="31"/>
        <v>5321</v>
      </c>
      <c r="J40" s="25">
        <f t="shared" si="32"/>
        <v>97739</v>
      </c>
      <c r="K40" s="30">
        <f>IF(J40&gt;0,ROUND(SUM(J40:J$102)/J40-0.5,Rundex),"")</f>
        <v>35.090000000000003</v>
      </c>
      <c r="L40" s="25">
        <f t="shared" si="6"/>
        <v>126105</v>
      </c>
      <c r="M40" s="30">
        <f>IF(L40&gt;0,ROUND(SUM(L40:L$102)/L40-0.5,Rundex),"")</f>
        <v>28.89</v>
      </c>
      <c r="N40" s="89"/>
      <c r="O40" s="9">
        <f t="shared" si="49"/>
        <v>48</v>
      </c>
      <c r="P40" s="94">
        <v>0.30537061588986303</v>
      </c>
      <c r="Q40" s="95">
        <v>50.705088848370217</v>
      </c>
      <c r="R40" s="94">
        <v>0.29594039167080172</v>
      </c>
      <c r="S40" s="95">
        <v>14.927392489343609</v>
      </c>
      <c r="T40" s="28">
        <v>1.57E-3</v>
      </c>
      <c r="U40" s="11">
        <f t="shared" si="33"/>
        <v>97954</v>
      </c>
      <c r="V40" s="30">
        <f>IF(U40&gt;0,ROUND(SUM(U40:U$102)/U40-0.5,Rundex),"")</f>
        <v>36.32</v>
      </c>
      <c r="W40" s="89"/>
      <c r="X40" s="9">
        <f t="shared" si="50"/>
        <v>48</v>
      </c>
      <c r="Y40" s="11">
        <f t="shared" si="34"/>
        <v>31763</v>
      </c>
      <c r="Z40" s="11">
        <f>IF($X40&lt;RAF,SUM(Y40:INDEX(Day,RAF-BeginnAlter))," ")</f>
        <v>395229</v>
      </c>
      <c r="AA40" s="11">
        <f t="shared" si="0"/>
        <v>37</v>
      </c>
      <c r="AB40" s="11">
        <f>IF($X40&lt;RAF,SUM(AA40:INDEX(Cay,RAF-BeginnAlter))," ")</f>
        <v>915</v>
      </c>
      <c r="AC40" s="11">
        <f t="shared" si="1"/>
        <v>204</v>
      </c>
      <c r="AD40" s="11">
        <f>IF($X40&lt;RAF,SUM(AC40:INDEX(Caiy,RAF-BeginnAlter))," ")</f>
        <v>5851</v>
      </c>
      <c r="AE40" s="10">
        <f t="shared" si="35"/>
        <v>12.443</v>
      </c>
      <c r="AF40" s="10">
        <f t="shared" si="36"/>
        <v>12.221</v>
      </c>
      <c r="AG40" s="89"/>
      <c r="AH40" s="9">
        <f t="shared" si="51"/>
        <v>48</v>
      </c>
      <c r="AI40" s="11">
        <f t="shared" si="37"/>
        <v>43340</v>
      </c>
      <c r="AJ40" s="11">
        <f>IF($AH40&gt;RAF," ",IF($AH40&lt;RAF,SUM(AI40:INDEX(Diy,RAF-BeginnAlter))+INDEX(Ny,RAF-BeginnAlter+1),INDEX(Ny,RAF-BeginnAlter+1)))</f>
        <v>882613</v>
      </c>
      <c r="AK40" s="11">
        <f>IF($AH40&lt;RAF,SUM(AI40:INDEX(Diy,RAF-BeginnAlter))," ")</f>
        <v>516519</v>
      </c>
      <c r="AL40" s="10">
        <f t="shared" si="38"/>
        <v>20.364999999999998</v>
      </c>
      <c r="AM40" s="10">
        <f t="shared" si="39"/>
        <v>19.907</v>
      </c>
      <c r="AN40" s="10">
        <f t="shared" si="40"/>
        <v>11.917999999999999</v>
      </c>
      <c r="AO40" s="10">
        <f t="shared" si="41"/>
        <v>11.689</v>
      </c>
      <c r="AP40" s="89"/>
      <c r="AQ40" s="9">
        <f t="shared" si="52"/>
        <v>48</v>
      </c>
      <c r="AR40" s="11">
        <f t="shared" si="42"/>
        <v>33591</v>
      </c>
      <c r="AS40" s="11">
        <f>SUM(AR40:AR$96)</f>
        <v>812280</v>
      </c>
      <c r="AT40" s="25">
        <f>IF($AQ40&lt;RAF,SUM(AR40:INDEX(Dy,RAF-BeginnAlter))," ")</f>
        <v>446186</v>
      </c>
      <c r="AU40" s="24">
        <f t="shared" si="43"/>
        <v>24.181000000000001</v>
      </c>
      <c r="AV40" s="24">
        <f t="shared" si="44"/>
        <v>23.722999999999999</v>
      </c>
      <c r="AW40" s="24">
        <f t="shared" si="45"/>
        <v>13.282999999999999</v>
      </c>
      <c r="AX40" s="24">
        <f t="shared" si="46"/>
        <v>13.121</v>
      </c>
      <c r="AY40" s="89"/>
      <c r="AZ40" s="9">
        <f t="shared" si="53"/>
        <v>48</v>
      </c>
      <c r="BA40" s="11">
        <f t="shared" si="47"/>
        <v>33665</v>
      </c>
      <c r="BB40" s="11">
        <f>SUM(BA40:BA$96)</f>
        <v>834880</v>
      </c>
      <c r="BC40" s="10">
        <f t="shared" si="48"/>
        <v>24.8</v>
      </c>
      <c r="BD40" s="10">
        <f t="shared" si="7"/>
        <v>24.341000000000001</v>
      </c>
      <c r="BE40" s="89"/>
      <c r="BF40" s="9">
        <f t="shared" si="54"/>
        <v>31</v>
      </c>
      <c r="BG40" s="10" t="str">
        <f t="shared" si="8"/>
        <v/>
      </c>
      <c r="BH40" s="10" t="str">
        <f t="shared" si="9"/>
        <v/>
      </c>
      <c r="BI40" s="89"/>
      <c r="BJ40" s="9">
        <f t="shared" si="55"/>
        <v>48</v>
      </c>
      <c r="BK40" s="11">
        <f t="shared" si="10"/>
        <v>4037</v>
      </c>
      <c r="BL40" s="11">
        <f>IF(BJ40&lt;RAF,SUM(BK40:INDEX(Daiy,RAF-BeginnAlter))," ")</f>
        <v>104394</v>
      </c>
      <c r="BM40" s="11">
        <f>IF(BJ40&lt;RAF,SUM(BL40:INDEX(Naiy,RAF-BeginnAlter))," ")</f>
        <v>1016516</v>
      </c>
      <c r="BN40" s="10">
        <f t="shared" si="11"/>
        <v>8.4429999999999996</v>
      </c>
      <c r="BO40" s="10">
        <f t="shared" si="12"/>
        <v>3.2869999999999999</v>
      </c>
      <c r="BP40" s="89"/>
      <c r="BQ40" s="9">
        <f t="shared" si="56"/>
        <v>48</v>
      </c>
      <c r="BR40" s="11">
        <f t="shared" si="13"/>
        <v>2328</v>
      </c>
      <c r="BS40" s="11">
        <f>IF(BQ40&lt;RAF,SUM(BR40:INDEX(Daiys,RAF-BeginnAlter))," ")</f>
        <v>31477</v>
      </c>
      <c r="BT40" s="11">
        <f>IF(BQ40&lt;RAF,SUM(BS40:INDEX(Naiys,RAF-BeginnAlter))," ")</f>
        <v>229363</v>
      </c>
      <c r="BU40" s="10">
        <f t="shared" si="14"/>
        <v>10.739000000000001</v>
      </c>
      <c r="BV40" s="10">
        <f t="shared" si="15"/>
        <v>0.99099999999999999</v>
      </c>
      <c r="BW40" s="89"/>
      <c r="BX40" s="9">
        <f t="shared" si="57"/>
        <v>48</v>
      </c>
      <c r="BY40" s="10">
        <f t="shared" si="16"/>
        <v>7.8747324351873775</v>
      </c>
      <c r="BZ40" s="11">
        <f t="shared" si="17"/>
        <v>438</v>
      </c>
      <c r="CA40" s="11">
        <f>IF(S41&lt;=RAK,IF($BX40&lt;RAF,SUM(BZ40:INDEX(Dazy,RAF-BeginnAlter)),""),"")</f>
        <v>1845</v>
      </c>
      <c r="CB40" s="10">
        <f t="shared" si="18"/>
        <v>5.8000000000000003E-2</v>
      </c>
      <c r="CC40" s="11">
        <f t="shared" si="19"/>
        <v>25945</v>
      </c>
      <c r="CD40" s="10">
        <f t="shared" si="20"/>
        <v>19.18</v>
      </c>
      <c r="CE40" s="10">
        <f t="shared" si="21"/>
        <v>4.0000000000000001E-3</v>
      </c>
      <c r="CF40" s="89"/>
      <c r="CG40" s="9">
        <f t="shared" si="58"/>
        <v>48</v>
      </c>
      <c r="CH40" s="11">
        <f>IF(CG40&lt;RAF,ROUND(v^($CG40+FaktorAlter)*$H40*($B40*0.5*($P40+$P41)*(VLOOKUP(TRUNC(0.5*($Q40+$Q41),0),Männer!$AZ$9:$BD$95,5)+(0.5*($Q40+$Q41)-TRUNC(0.5*($Q40+$Q41),0))*(VLOOKUP(TRUNC(0.5*($Q40+$Q41)+1,0),Männer!$AZ$9:$BD$95,5)-VLOOKUP(TRUNC(0.5*($Q40+$Q41),0),Männer!$AZ$9:$BD$95,5)))+$C40*0.5*($CN40+$CN41)),RundDx),"")</f>
        <v>411</v>
      </c>
      <c r="CI40" s="11">
        <f>IF(CG40&lt;RAF,ROUND(SUM(CH40:INDEX(Dawy,RAF-BeginnAlter))+INDEX(Day,RAF-BeginnAlter+1)*INDEX(äwy,1),RundDx),"")</f>
        <v>7496</v>
      </c>
      <c r="CJ40" s="11">
        <f>IF(CG40&lt;RAF,ROUND(SUM(CI40:INDEX(Nawy,RAF-BeginnAlter))+INDEX(Day,RAF-BeginnAlter+1)*INDEX(äwy,1),RundDx),"")</f>
        <v>75517</v>
      </c>
      <c r="CK40" s="10">
        <f t="shared" si="22"/>
        <v>0.23599999999999999</v>
      </c>
      <c r="CL40" s="11">
        <f>IF(CG40&lt;RAF,ROUND(v^($CG40+FaktorAlter)*$L40*$D40*0.5*($P40+$P41)*(VLOOKUP(TRUNC(0.5*($Q40+$Q41),0),Männer!$AZ$9:$BD$95,5)+(0.5*($Q40+$Q41)-TRUNC(0.5*($Q40+$Q41),0))*(VLOOKUP(TRUNC(0.5*($Q40+$Q41)+1,0),Männer!$AZ$9:$BD$95,5)-VLOOKUP(TRUNC(0.5*($Q40+$Q41),0),Männer!$AZ$9:$BD$95,5))),RundDx),"")</f>
        <v>4790</v>
      </c>
      <c r="CM40" s="11">
        <f>IF(CG40&lt;RAF,SUM(CL40:INDEX(Diwy,RAF-BeginnAlter))+INDEX(Diy,RAF-BeginnAlter+1)*INDEX(äwy,1),"")</f>
        <v>42661.304000000004</v>
      </c>
      <c r="CN40" s="10">
        <f t="shared" si="23"/>
        <v>0.98399999999999999</v>
      </c>
      <c r="CO40" s="89"/>
      <c r="CP40" s="9">
        <f t="shared" si="59"/>
        <v>95</v>
      </c>
      <c r="CQ40" s="11">
        <f>ROUND(v^($CP40+FaktorAlter)*VLOOKUP(CP40,G$9:J$102,4)*VLOOKUP(CP40,A$9:E$102,5)*0.5*(VLOOKUP(CP40,O$9:P$102,2)+VLOOKUP(CP40+1,O$9:P$102,2))*(VLOOKUP(TRUNC(0.5*(VLOOKUP(CP40,O$9:Q$102,3)+VLOOKUP(CP40+1,O$9:Q$102,3)),0),Männer!$AZ$9:$BD$95,5)+(0.5*(VLOOKUP(CP40,O$9:Q$102,3)+VLOOKUP(CP40+1,O$9:Q$102,3))-TRUNC(0.5*(VLOOKUP(CP40,O$9:Q$102,3)+VLOOKUP(CP40+1,O$9:Q$102,3)),0))*(VLOOKUP(TRUNC(0.5*(VLOOKUP(CP40,O$9:Q$102,3)+VLOOKUP(CP40+1,O$9:Q$102,3))+1,0),Männer!$AZ$9:$BD$95,5)-VLOOKUP(TRUNC(0.5*(VLOOKUP(CP40,O$9:Q$102,3)+VLOOKUP(CP40+1,O$9:Q$102,3)),0),Männer!$AZ$9:$BD$95,5))),RundDx)</f>
        <v>2</v>
      </c>
      <c r="CR40" s="11">
        <f>SUM(CQ40:CQ$56)</f>
        <v>5</v>
      </c>
      <c r="CS40" s="24">
        <f t="shared" si="24"/>
        <v>4.0000000000000001E-3</v>
      </c>
      <c r="CT40" s="89"/>
      <c r="CU40" s="35">
        <f t="shared" si="60"/>
        <v>48</v>
      </c>
      <c r="CV40" s="25">
        <f>IF($CU40&gt;=RAF,"",IF($CU40-CV$103&lt;BeginnAlter,"",ROUND(v^($CU40+FaktorAlter)*$L40*$D40*0.5*(VLOOKUP($CU40-CV$103,Männer!$G$9:$J$102,4)+VLOOKUP($CU40-CV$103+1,Männer!$G$9:$J$102,4))*0.5*(VLOOKUP($CU40-CV$103,Männer!$AZ$9:$BD$102,5)+VLOOKUP($CU40-CV$103+1,Männer!$AZ$9:$BD$102,5)),RundDx)))</f>
        <v>956504994</v>
      </c>
      <c r="CW40" s="25">
        <f>IF($CU40&gt;=RAF,"",IF($CU40-CW$103&lt;BeginnAlter,"",ROUND(v^($CU40+FaktorAlter)*$L40*$D40*0.5*(VLOOKUP($CU40-CW$103,Männer!$G$9:$J$102,4)+VLOOKUP($CU40-CW$103+1,Männer!$G$9:$J$102,4))*0.5*(VLOOKUP($CU40-CW$103,Männer!$AZ$9:$BD$102,5)+VLOOKUP($CU40-CW$103+1,Männer!$AZ$9:$BD$102,5)),RundDx)))</f>
        <v>999567228</v>
      </c>
      <c r="CX40" s="25">
        <f>IF($CU40&gt;=RAF,"",IF($CU40-CX$103&lt;BeginnAlter,"",ROUND(v^($CU40+FaktorAlter)*$L40*$D40*0.5*(VLOOKUP($CU40-CX$103,Männer!$G$9:$J$102,4)+VLOOKUP($CU40-CX$103+1,Männer!$G$9:$J$102,4))*0.5*(VLOOKUP($CU40-CX$103,Männer!$AZ$9:$BD$102,5)+VLOOKUP($CU40-CX$103+1,Männer!$AZ$9:$BD$102,5)),RundDx)))</f>
        <v>1043376921</v>
      </c>
      <c r="CY40" s="25">
        <f>IF($CU40&gt;=RAF,"",IF($CU40-CY$103&lt;BeginnAlter,"",ROUND(v^($CU40+FaktorAlter)*$L40*$D40*0.5*(VLOOKUP($CU40-CY$103,Männer!$G$9:$J$102,4)+VLOOKUP($CU40-CY$103+1,Männer!$G$9:$J$102,4))*0.5*(VLOOKUP($CU40-CY$103,Männer!$AZ$9:$BD$102,5)+VLOOKUP($CU40-CY$103+1,Männer!$AZ$9:$BD$102,5)),RundDx)))</f>
        <v>1087969338</v>
      </c>
      <c r="CZ40" s="25">
        <f>IF($CU40&gt;=RAF,"",IF($CU40-CZ$103&lt;BeginnAlter,"",ROUND(v^($CU40+FaktorAlter)*$L40*$D40*0.5*(VLOOKUP($CU40-CZ$103,Männer!$G$9:$J$102,4)+VLOOKUP($CU40-CZ$103+1,Männer!$G$9:$J$102,4))*0.5*(VLOOKUP($CU40-CZ$103,Männer!$AZ$9:$BD$102,5)+VLOOKUP($CU40-CZ$103+1,Männer!$AZ$9:$BD$102,5)),RundDx)))</f>
        <v>1133424160</v>
      </c>
      <c r="DA40" s="25">
        <f>IF($CU40&gt;=RAF,"",IF($CU40-DA$103&lt;BeginnAlter,"",ROUND(v^($CU40+FaktorAlter)*$L40*$D40*0.5*(VLOOKUP($CU40-DA$103,Männer!$G$9:$J$102,4)+VLOOKUP($CU40-DA$103+1,Männer!$G$9:$J$102,4))*0.5*(VLOOKUP($CU40-DA$103,Männer!$AZ$9:$BD$102,5)+VLOOKUP($CU40-DA$103+1,Männer!$AZ$9:$BD$102,5)),RundDx)))</f>
        <v>1179687604</v>
      </c>
      <c r="DB40" s="25">
        <f>IF($CU40&gt;=RAF,"",IF($CU40-DB$103&lt;BeginnAlter,"",ROUND(v^($CU40+FaktorAlter)*$L40*$D40*0.5*(VLOOKUP($CU40-DB$103,Männer!$G$9:$J$102,4)+VLOOKUP($CU40-DB$103+1,Männer!$G$9:$J$102,4))*0.5*(VLOOKUP($CU40-DB$103,Männer!$AZ$9:$BD$102,5)+VLOOKUP($CU40-DB$103+1,Männer!$AZ$9:$BD$102,5)),RundDx)))</f>
        <v>1226691789</v>
      </c>
      <c r="DC40" s="25">
        <f>IF($CU40&gt;=RAF,"",IF($CU40-DC$103&lt;BeginnAlter,"",ROUND(v^($CU40+FaktorAlter)*$L40*$D40*0.5*(VLOOKUP($CU40-DC$103,Männer!$G$9:$J$102,4)+VLOOKUP($CU40-DC$103+1,Männer!$G$9:$J$102,4))*0.5*(VLOOKUP($CU40-DC$103,Männer!$AZ$9:$BD$102,5)+VLOOKUP($CU40-DC$103+1,Männer!$AZ$9:$BD$102,5)),RundDx)))</f>
        <v>1274423627</v>
      </c>
      <c r="DD40" s="25">
        <f>IF($CU40&gt;=RAF,"",IF($CU40-DD$103&lt;BeginnAlter,"",ROUND(v^($CU40+FaktorAlter)*$L40*$D40*0.5*(VLOOKUP($CU40-DD$103,Männer!$G$9:$J$102,4)+VLOOKUP($CU40-DD$103+1,Männer!$G$9:$J$102,4))*0.5*(VLOOKUP($CU40-DD$103,Männer!$AZ$9:$BD$102,5)+VLOOKUP($CU40-DD$103+1,Männer!$AZ$9:$BD$102,5)),RundDx)))</f>
        <v>1322183143</v>
      </c>
      <c r="DE40" s="25">
        <f>IF($CU40&gt;=RAF,"",IF($CU40-DE$103&lt;BeginnAlter,"",ROUND(v^($CU40+FaktorAlter)*$L40*$D40*0.5*(VLOOKUP($CU40-DE$103,Männer!$G$9:$J$102,4)+VLOOKUP($CU40-DE$103+1,Männer!$G$9:$J$102,4))*0.5*(VLOOKUP($CU40-DE$103,Männer!$AZ$9:$BD$102,5)+VLOOKUP($CU40-DE$103+1,Männer!$AZ$9:$BD$102,5)),RundDx)))</f>
        <v>1369224119</v>
      </c>
      <c r="DF40" s="25">
        <f>IF($CU40&gt;=RAF,"",IF($CU40-DF$103&lt;BeginnAlter,"",ROUND(v^($CU40+FaktorAlter)*$L40*$D40*0.5*(VLOOKUP($CU40-DF$103,Männer!$G$9:$J$102,4)+VLOOKUP($CU40-DF$103+1,Männer!$G$9:$J$102,4))*0.5*(VLOOKUP($CU40-DF$103,Männer!$AZ$9:$BD$102,5)+VLOOKUP($CU40-DF$103+1,Männer!$AZ$9:$BD$102,5)),RundDx)))</f>
        <v>1415554478</v>
      </c>
      <c r="DG40" s="25">
        <f>IF($CU40&gt;=RAF,"",IF($CU40-DG$103&lt;BeginnAlter,"",ROUND(v^($CU40+FaktorAlter)*$L40*$D40*0.5*(VLOOKUP($CU40-DG$103,Männer!$G$9:$J$102,4)+VLOOKUP($CU40-DG$103+1,Männer!$G$9:$J$102,4))*0.5*(VLOOKUP($CU40-DG$103,Männer!$AZ$9:$BD$102,5)+VLOOKUP($CU40-DG$103+1,Männer!$AZ$9:$BD$102,5)),RundDx)))</f>
        <v>1461181210</v>
      </c>
      <c r="DH40" s="25">
        <f>IF($CU40&gt;=RAF,"",IF($CU40-DH$103&lt;BeginnAlter,"",ROUND(v^($CU40+FaktorAlter)*$L40*$D40*0.5*(VLOOKUP($CU40-DH$103,Männer!$G$9:$J$102,4)+VLOOKUP($CU40-DH$103+1,Männer!$G$9:$J$102,4))*0.5*(VLOOKUP($CU40-DH$103,Männer!$AZ$9:$BD$102,5)+VLOOKUP($CU40-DH$103+1,Männer!$AZ$9:$BD$102,5)),RundDx)))</f>
        <v>1506022336</v>
      </c>
      <c r="DI40" s="25">
        <f>IF($CU40&gt;=RAF,"",IF($CU40-DI$103&lt;BeginnAlter,"",ROUND(v^($CU40+FaktorAlter)*$L40*$D40*0.5*(VLOOKUP($CU40-DI$103,Männer!$G$9:$J$102,4)+VLOOKUP($CU40-DI$103+1,Männer!$G$9:$J$102,4))*0.5*(VLOOKUP($CU40-DI$103,Männer!$AZ$9:$BD$102,5)+VLOOKUP($CU40-DI$103+1,Männer!$AZ$9:$BD$102,5)),RundDx)))</f>
        <v>1550082828</v>
      </c>
      <c r="DJ40" s="25">
        <f>IF($CU40&gt;=RAF,"",IF($CU40-DJ$103&lt;BeginnAlter,"",ROUND(v^($CU40+FaktorAlter)*$L40*$D40*0.5*(VLOOKUP($CU40-DJ$103,Männer!$G$9:$J$102,4)+VLOOKUP($CU40-DJ$103+1,Männer!$G$9:$J$102,4))*0.5*(VLOOKUP($CU40-DJ$103,Männer!$AZ$9:$BD$102,5)+VLOOKUP($CU40-DJ$103+1,Männer!$AZ$9:$BD$102,5)),RundDx)))</f>
        <v>1593430896</v>
      </c>
      <c r="DK40" s="25">
        <f>IF($CU40&gt;=RAF,"",IF($CU40-DK$103&lt;BeginnAlter,"",ROUND(v^($CU40+FaktorAlter)*$L40*$D40*0.5*(VLOOKUP($CU40-DK$103,Männer!$G$9:$J$102,4)+VLOOKUP($CU40-DK$103+1,Männer!$G$9:$J$102,4))*0.5*(VLOOKUP($CU40-DK$103,Männer!$AZ$9:$BD$102,5)+VLOOKUP($CU40-DK$103+1,Männer!$AZ$9:$BD$102,5)),RundDx)))</f>
        <v>1636038642</v>
      </c>
      <c r="DL40" s="25">
        <f>IF($CU40&gt;=RAF,"",IF($CU40-DL$103&lt;BeginnAlter,"",ROUND(v^($CU40+FaktorAlter)*$L40*$D40*0.5*(VLOOKUP($CU40-DL$103,Männer!$G$9:$J$102,4)+VLOOKUP($CU40-DL$103+1,Männer!$G$9:$J$102,4))*0.5*(VLOOKUP($CU40-DL$103,Männer!$AZ$9:$BD$102,5)+VLOOKUP($CU40-DL$103+1,Männer!$AZ$9:$BD$102,5)),RundDx)))</f>
        <v>1677860469</v>
      </c>
      <c r="DM40" s="25">
        <f>IF($CU40&gt;=RAF,"",IF($CU40-DM$103&lt;BeginnAlter,"",ROUND(v^($CU40+FaktorAlter)*$L40*$D40*0.5*(VLOOKUP($CU40-DM$103,Männer!$G$9:$J$102,4)+VLOOKUP($CU40-DM$103+1,Männer!$G$9:$J$102,4))*0.5*(VLOOKUP($CU40-DM$103,Männer!$AZ$9:$BD$102,5)+VLOOKUP($CU40-DM$103+1,Männer!$AZ$9:$BD$102,5)),RundDx)))</f>
        <v>1718948048</v>
      </c>
      <c r="DN40" s="25">
        <f>IF($CU40&gt;=RAF,"",IF($CU40-DN$103&lt;BeginnAlter,"",ROUND(v^($CU40+FaktorAlter)*$L40*$D40*0.5*(VLOOKUP($CU40-DN$103,Männer!$G$9:$J$102,4)+VLOOKUP($CU40-DN$103+1,Männer!$G$9:$J$102,4))*0.5*(VLOOKUP($CU40-DN$103,Männer!$AZ$9:$BD$102,5)+VLOOKUP($CU40-DN$103+1,Männer!$AZ$9:$BD$102,5)),RundDx)))</f>
        <v>1759299496</v>
      </c>
      <c r="DO40" s="25">
        <f>IF($CU40&gt;=RAF,"",IF($CU40-DO$103&lt;BeginnAlter,"",ROUND(v^($CU40+FaktorAlter)*$L40*$D40*0.5*(VLOOKUP($CU40-DO$103,Männer!$G$9:$J$102,4)+VLOOKUP($CU40-DO$103+1,Männer!$G$9:$J$102,4))*0.5*(VLOOKUP($CU40-DO$103,Männer!$AZ$9:$BD$102,5)+VLOOKUP($CU40-DO$103+1,Männer!$AZ$9:$BD$102,5)),RundDx)))</f>
        <v>1798914976</v>
      </c>
      <c r="DP40" s="25">
        <f>IF($CU40&gt;=RAF,"",IF($CU40-DP$103&lt;BeginnAlter,"",ROUND(v^($CU40+FaktorAlter)*$L40*$D40*0.5*(VLOOKUP($CU40-DP$103,Männer!$G$9:$J$102,4)+VLOOKUP($CU40-DP$103+1,Männer!$G$9:$J$102,4))*0.5*(VLOOKUP($CU40-DP$103,Männer!$AZ$9:$BD$102,5)+VLOOKUP($CU40-DP$103+1,Männer!$AZ$9:$BD$102,5)),RundDx)))</f>
        <v>1837777837</v>
      </c>
      <c r="DQ40" s="25">
        <f>IF($CU40&gt;=RAF,"",IF($CU40-DQ$103&lt;BeginnAlter,"",ROUND(v^($CU40+FaktorAlter)*$L40*$D40*0.5*(VLOOKUP($CU40-DQ$103,Männer!$G$9:$J$102,4)+VLOOKUP($CU40-DQ$103+1,Männer!$G$9:$J$102,4))*0.5*(VLOOKUP($CU40-DQ$103,Männer!$AZ$9:$BD$102,5)+VLOOKUP($CU40-DQ$103+1,Männer!$AZ$9:$BD$102,5)),RundDx)))</f>
        <v>1875930780</v>
      </c>
      <c r="DR40" s="25">
        <f>IF($CU40&gt;=RAF,"",IF($CU40-DR$103&lt;BeginnAlter,"",ROUND(v^($CU40+FaktorAlter)*$L40*$D40*0.5*(VLOOKUP($CU40-DR$103,Männer!$G$9:$J$102,4)+VLOOKUP($CU40-DR$103+1,Männer!$G$9:$J$102,4))*0.5*(VLOOKUP($CU40-DR$103,Männer!$AZ$9:$BD$102,5)+VLOOKUP($CU40-DR$103+1,Männer!$AZ$9:$BD$102,5)),RundDx)))</f>
        <v>1913408883</v>
      </c>
      <c r="DS40" s="25">
        <f>IF($CU40&gt;=RAF,"",IF($CU40-DS$103&lt;BeginnAlter,"",ROUND(v^($CU40+FaktorAlter)*$L40*$D40*0.5*(VLOOKUP($CU40-DS$103,Männer!$G$9:$J$102,4)+VLOOKUP($CU40-DS$103+1,Männer!$G$9:$J$102,4))*0.5*(VLOOKUP($CU40-DS$103,Männer!$AZ$9:$BD$102,5)+VLOOKUP($CU40-DS$103+1,Männer!$AZ$9:$BD$102,5)),RundDx)))</f>
        <v>1950149014</v>
      </c>
      <c r="DT40" s="25">
        <f>IF($CU40&gt;=RAF,"",IF($CU40-DT$103&lt;BeginnAlter,"",ROUND(v^($CU40+FaktorAlter)*$L40*$D40*0.5*(VLOOKUP($CU40-DT$103,Männer!$G$9:$J$102,4)+VLOOKUP($CU40-DT$103+1,Männer!$G$9:$J$102,4))*0.5*(VLOOKUP($CU40-DT$103,Männer!$AZ$9:$BD$102,5)+VLOOKUP($CU40-DT$103+1,Männer!$AZ$9:$BD$102,5)),RundDx)))</f>
        <v>1986147598</v>
      </c>
      <c r="DU40" s="25">
        <f>IF($CU40&gt;=RAF,"",IF($CU40-DU$103&lt;BeginnAlter,"",ROUND(v^($CU40+FaktorAlter)*$L40*$D40*0.5*(VLOOKUP($CU40-DU$103,Männer!$G$9:$J$102,4)+VLOOKUP($CU40-DU$103+1,Männer!$G$9:$J$102,4))*0.5*(VLOOKUP($CU40-DU$103,Männer!$AZ$9:$BD$102,5)+VLOOKUP($CU40-DU$103+1,Männer!$AZ$9:$BD$102,5)),RundDx)))</f>
        <v>2021511736</v>
      </c>
      <c r="DV40" s="25">
        <f>IF($CU40&gt;=RAF,"",IF($CU40-DV$103&lt;BeginnAlter,"",ROUND(v^($CU40+FaktorAlter)*$L40*$D40*0.5*(VLOOKUP($CU40-DV$103,Männer!$G$9:$J$102,4)+VLOOKUP($CU40-DV$103+1,Männer!$G$9:$J$102,4))*0.5*(VLOOKUP($CU40-DV$103,Männer!$AZ$9:$BD$102,5)+VLOOKUP($CU40-DV$103+1,Männer!$AZ$9:$BD$102,5)),RundDx)))</f>
        <v>2056199893</v>
      </c>
      <c r="DW40" s="25">
        <f>IF($CU40&gt;=RAF,"",IF($CU40-DW$103&lt;BeginnAlter,"",ROUND(v^($CU40+FaktorAlter)*$L40*$D40*0.5*(VLOOKUP($CU40-DW$103,Männer!$G$9:$J$102,4)+VLOOKUP($CU40-DW$103+1,Männer!$G$9:$J$102,4))*0.5*(VLOOKUP($CU40-DW$103,Männer!$AZ$9:$BD$102,5)+VLOOKUP($CU40-DW$103+1,Männer!$AZ$9:$BD$102,5)),RundDx)))</f>
        <v>2090181914</v>
      </c>
      <c r="DX40" s="25">
        <f>IF($CU40&gt;=RAF,"",IF($CU40-DX$103&lt;BeginnAlter,"",ROUND(v^($CU40+FaktorAlter)*$L40*$D40*0.5*(VLOOKUP($CU40-DX$103,Männer!$G$9:$J$102,4)+VLOOKUP($CU40-DX$103+1,Männer!$G$9:$J$102,4))*0.5*(VLOOKUP($CU40-DX$103,Männer!$AZ$9:$BD$102,5)+VLOOKUP($CU40-DX$103+1,Männer!$AZ$9:$BD$102,5)),RundDx)))</f>
        <v>2123527835</v>
      </c>
      <c r="DY40" s="25">
        <f>IF($CU40&gt;=RAF,"",IF($CU40-DY$103&lt;BeginnAlter,"",ROUND(v^($CU40+FaktorAlter)*$L40*$D40*0.5*(VLOOKUP($CU40-DY$103,Männer!$G$9:$J$102,4)+VLOOKUP($CU40-DY$103+1,Männer!$G$9:$J$102,4))*0.5*(VLOOKUP($CU40-DY$103,Männer!$AZ$9:$BD$102,5)+VLOOKUP($CU40-DY$103+1,Männer!$AZ$9:$BD$102,5)),RundDx)))</f>
        <v>2156187935</v>
      </c>
      <c r="DZ40" s="25">
        <f>IF($CU40&gt;=RAF,"",IF($CU40-DZ$103&lt;BeginnAlter,"",ROUND(v^($CU40+FaktorAlter)*$L40*$D40*0.5*(VLOOKUP($CU40-DZ$103,Männer!$G$9:$J$102,4)+VLOOKUP($CU40-DZ$103+1,Männer!$G$9:$J$102,4))*0.5*(VLOOKUP($CU40-DZ$103,Männer!$AZ$9:$BD$102,5)+VLOOKUP($CU40-DZ$103+1,Männer!$AZ$9:$BD$102,5)),RundDx)))</f>
        <v>2188185937</v>
      </c>
      <c r="EA40" s="43">
        <f>IF($CU40&gt;=RAF,"",IF($CU40-EA$103&lt;BeginnAlter,"",ROUND((SUM(CV40:CV$56)+SUM(FN$9:FN$56))/VLOOKUP($CU40,$AH$9:$AI$102,2)/VLOOKUP($CU40-EA$103,Männer!$G$9:$J$102,4),Rundäx)))</f>
        <v>2.3730000000000002</v>
      </c>
      <c r="EB40" s="43">
        <f>IF($CU40&gt;=RAF,"",IF($CU40-EB$103&lt;BeginnAlter,"",ROUND((SUM(CW40:CW$56)+SUM(FO$9:FO$56))/VLOOKUP($CU40,$AH$9:$AI$102,2)/VLOOKUP($CU40-EB$103,Männer!$G$9:$J$102,4),Rundäx)))</f>
        <v>2.5089999999999999</v>
      </c>
      <c r="EC40" s="43">
        <f>IF($CU40&gt;=RAF,"",IF($CU40-EC$103&lt;BeginnAlter,"",ROUND((SUM(CX40:CX$56)+SUM(FP$9:FP$56))/VLOOKUP($CU40,$AH$9:$AI$102,2)/VLOOKUP($CU40-EC$103,Männer!$G$9:$J$102,4),Rundäx)))</f>
        <v>2.65</v>
      </c>
      <c r="ED40" s="43">
        <f>IF($CU40&gt;=RAF,"",IF($CU40-ED$103&lt;BeginnAlter,"",ROUND((SUM(CY40:CY$56)+SUM(FQ$9:FQ$56))/VLOOKUP($CU40,$AH$9:$AI$102,2)/VLOOKUP($CU40-ED$103,Männer!$G$9:$J$102,4),Rundäx)))</f>
        <v>2.7959999999999998</v>
      </c>
      <c r="EE40" s="43">
        <f>IF($CU40&gt;=RAF,"",IF($CU40-EE$103&lt;BeginnAlter,"",ROUND((SUM(CZ40:CZ$56)+SUM(FR$9:FR$56))/VLOOKUP($CU40,$AH$9:$AI$102,2)/VLOOKUP($CU40-EE$103,Männer!$G$9:$J$102,4),Rundäx)))</f>
        <v>2.948</v>
      </c>
      <c r="EF40" s="43">
        <f>IF($CU40&gt;=RAF,"",IF($CU40-EF$103&lt;BeginnAlter,"",ROUND((SUM(DA40:DA$56)+SUM(FS$9:FS$56))/VLOOKUP($CU40,$AH$9:$AI$102,2)/VLOOKUP($CU40-EF$103,Männer!$G$9:$J$102,4),Rundäx)))</f>
        <v>3.1059999999999999</v>
      </c>
      <c r="EG40" s="43">
        <f>IF($CU40&gt;=RAF,"",IF($CU40-EG$103&lt;BeginnAlter,"",ROUND((SUM(DB40:DB$56)+SUM(FT$9:FT$56))/VLOOKUP($CU40,$AH$9:$AI$102,2)/VLOOKUP($CU40-EG$103,Männer!$G$9:$J$102,4),Rundäx)))</f>
        <v>3.27</v>
      </c>
      <c r="EH40" s="43">
        <f>IF($CU40&gt;=RAF,"",IF($CU40-EH$103&lt;BeginnAlter,"",ROUND((SUM(DC40:DC$56)+SUM(FU$9:FU$56))/VLOOKUP($CU40,$AH$9:$AI$102,2)/VLOOKUP($CU40-EH$103,Männer!$G$9:$J$102,4),Rundäx)))</f>
        <v>3.4420000000000002</v>
      </c>
      <c r="EI40" s="89"/>
      <c r="EJ40" s="35">
        <f t="shared" si="61"/>
        <v>48</v>
      </c>
      <c r="EK40" s="43">
        <f>IF($CU40&gt;=RAF,"",IF($CU40-EK$103&lt;BeginnAlter,"",ROUND((SUM(DD40:DD$56)+SUM(FV$9:FV$56))/VLOOKUP($CU40,$AH$9:$AI$102,2)/VLOOKUP($CU40-EK$103,Männer!$G$9:$J$102,4),Rundäx)))</f>
        <v>3.62</v>
      </c>
      <c r="EL40" s="43">
        <f>IF($CU40&gt;=RAF,"",IF($CU40-EL$103&lt;BeginnAlter,"",ROUND((SUM(DE40:DE$56)+SUM(FW$9:FW$56))/VLOOKUP($CU40,$AH$9:$AI$102,2)/VLOOKUP($CU40-EL$103,Männer!$G$9:$J$102,4),Rundäx)))</f>
        <v>3.8050000000000002</v>
      </c>
      <c r="EM40" s="43">
        <f>IF($CU40&gt;=RAF,"",IF($CU40-EM$103&lt;BeginnAlter,"",ROUND((SUM(DF40:DF$56)+SUM(FX$9:FX$56))/VLOOKUP($CU40,$AH$9:$AI$102,2)/VLOOKUP($CU40-EM$103,Männer!$G$9:$J$102,4),Rundäx)))</f>
        <v>3.9969999999999999</v>
      </c>
      <c r="EN40" s="43">
        <f>IF($CU40&gt;=RAF,"",IF($CU40-EN$103&lt;BeginnAlter,"",ROUND((SUM(DG40:DG$56)+SUM(FY$9:FY$56))/VLOOKUP($CU40,$AH$9:$AI$102,2)/VLOOKUP($CU40-EN$103,Männer!$G$9:$J$102,4),Rundäx)))</f>
        <v>4.1950000000000003</v>
      </c>
      <c r="EO40" s="43">
        <f>IF($CU40&gt;=RAF,"",IF($CU40-EO$103&lt;BeginnAlter,"",ROUND((SUM(DH40:DH$56)+SUM(FZ$9:FZ$56))/VLOOKUP($CU40,$AH$9:$AI$102,2)/VLOOKUP($CU40-EO$103,Männer!$G$9:$J$102,4),Rundäx)))</f>
        <v>4.4000000000000004</v>
      </c>
      <c r="EP40" s="43">
        <f>IF($CU40&gt;=RAF,"",IF($CU40-EP$103&lt;BeginnAlter,"",ROUND((SUM(DI40:DI$56)+SUM(GA$9:GA$56))/VLOOKUP($CU40,$AH$9:$AI$102,2)/VLOOKUP($CU40-EP$103,Männer!$G$9:$J$102,4),Rundäx)))</f>
        <v>4.6109999999999998</v>
      </c>
      <c r="EQ40" s="43">
        <f>IF($CU40&gt;=RAF,"",IF($CU40-EQ$103&lt;BeginnAlter,"",ROUND((SUM(DJ40:DJ$56)+SUM(GB$9:GB$56))/VLOOKUP($CU40,$AH$9:$AI$102,2)/VLOOKUP($CU40-EQ$103,Männer!$G$9:$J$102,4),Rundäx)))</f>
        <v>4.8280000000000003</v>
      </c>
      <c r="ER40" s="43">
        <f>IF($CU40&gt;=RAF,"",IF($CU40-ER$103&lt;BeginnAlter,"",ROUND((SUM(DK40:DK$56)+SUM(GC$9:GC$56))/VLOOKUP($CU40,$AH$9:$AI$102,2)/VLOOKUP($CU40-ER$103,Männer!$G$9:$J$102,4),Rundäx)))</f>
        <v>5.05</v>
      </c>
      <c r="ES40" s="89"/>
      <c r="ET40" s="35">
        <f t="shared" si="62"/>
        <v>48</v>
      </c>
      <c r="EU40" s="43">
        <f>IF($CU40&gt;=RAF,"",IF($CU40-EU$103&lt;BeginnAlter,"",ROUND((SUM(DL40:DL$56)+SUM(GD$9:GD$56))/VLOOKUP($CU40,$AH$9:$AI$102,2)/VLOOKUP($CU40-EU$103,Männer!$G$9:$J$102,4),Rundäx)))</f>
        <v>5.2779999999999996</v>
      </c>
      <c r="EV40" s="43">
        <f>IF($CU40&gt;=RAF,"",IF($CU40-EV$103&lt;BeginnAlter,"",ROUND((SUM(DM40:DM$56)+SUM(GE$9:GE$56))/VLOOKUP($CU40,$AH$9:$AI$102,2)/VLOOKUP($CU40-EV$103,Männer!$G$9:$J$102,4),Rundäx)))</f>
        <v>5.5110000000000001</v>
      </c>
      <c r="EW40" s="43">
        <f>IF($CU40&gt;=RAF,"",IF($CU40-EW$103&lt;BeginnAlter,"",ROUND((SUM(DN40:DN$56)+SUM(GF$9:GF$56))/VLOOKUP($CU40,$AH$9:$AI$102,2)/VLOOKUP($CU40-EW$103,Männer!$G$9:$J$102,4),Rundäx)))</f>
        <v>5.7489999999999997</v>
      </c>
      <c r="EX40" s="43">
        <f>IF($CU40&gt;=RAF,"",IF($CU40-EX$103&lt;BeginnAlter,"",ROUND((SUM(DO40:DO$56)+SUM(GG$9:GG$56))/VLOOKUP($CU40,$AH$9:$AI$102,2)/VLOOKUP($CU40-EX$103,Männer!$G$9:$J$102,4),Rundäx)))</f>
        <v>5.9909999999999997</v>
      </c>
      <c r="EY40" s="43">
        <f>IF($CU40&gt;=RAF,"",IF($CU40-EY$103&lt;BeginnAlter,"",ROUND((SUM(DP40:DP$56)+SUM(GH$9:GH$56))/VLOOKUP($CU40,$AH$9:$AI$102,2)/VLOOKUP($CU40-EY$103,Männer!$G$9:$J$102,4),Rundäx)))</f>
        <v>6.2380000000000004</v>
      </c>
      <c r="EZ40" s="43">
        <f>IF($CU40&gt;=RAF,"",IF($CU40-EZ$103&lt;BeginnAlter,"",ROUND((SUM(DQ40:DQ$56)+SUM(GI$9:GI$56))/VLOOKUP($CU40,$AH$9:$AI$102,2)/VLOOKUP($CU40-EZ$103,Männer!$G$9:$J$102,4),Rundäx)))</f>
        <v>6.4870000000000001</v>
      </c>
      <c r="FA40" s="43">
        <f>IF($CU40&gt;=RAF,"",IF($CU40-FA$103&lt;BeginnAlter,"",ROUND((SUM(DR40:DR$56)+SUM(GJ$9:GJ$56))/VLOOKUP($CU40,$AH$9:$AI$102,2)/VLOOKUP($CU40-FA$103,Männer!$G$9:$J$102,4),Rundäx)))</f>
        <v>6.74</v>
      </c>
      <c r="FB40" s="43">
        <f>IF($CU40&gt;=RAF,"",IF($CU40-FB$103&lt;BeginnAlter,"",ROUND((SUM(DS40:DS$56)+SUM(GK$9:GK$56))/VLOOKUP($CU40,$AH$9:$AI$102,2)/VLOOKUP($CU40-FB$103,Männer!$G$9:$J$102,4),Rundäx)))</f>
        <v>6.9950000000000001</v>
      </c>
      <c r="FC40" s="89"/>
      <c r="FD40" s="35">
        <f t="shared" si="63"/>
        <v>48</v>
      </c>
      <c r="FE40" s="43">
        <f>IF($CU40&gt;=RAF,"",IF($CU40-FE$103&lt;BeginnAlter,"",ROUND((SUM(DT40:DT$56)+SUM(GL$9:GL$56))/VLOOKUP($CU40,$AH$9:$AI$102,2)/VLOOKUP($CU40-FE$103,Männer!$G$9:$J$102,4),Rundäx)))</f>
        <v>7.2530000000000001</v>
      </c>
      <c r="FF40" s="43">
        <f>IF($CU40&gt;=RAF,"",IF($CU40-FF$103&lt;BeginnAlter,"",ROUND((SUM(DU40:DU$56)+SUM(GM$9:GM$56))/VLOOKUP($CU40,$AH$9:$AI$102,2)/VLOOKUP($CU40-FF$103,Männer!$G$9:$J$102,4),Rundäx)))</f>
        <v>7.5119999999999996</v>
      </c>
      <c r="FG40" s="43">
        <f>IF($CU40&gt;=RAF,"",IF($CU40-FG$103&lt;BeginnAlter,"",ROUND((SUM(DV40:DV$56)+SUM(GN$9:GN$56))/VLOOKUP($CU40,$AH$9:$AI$102,2)/VLOOKUP($CU40-FG$103,Männer!$G$9:$J$102,4),Rundäx)))</f>
        <v>7.7729999999999997</v>
      </c>
      <c r="FH40" s="43">
        <f>IF($CU40&gt;=RAF,"",IF($CU40-FH$103&lt;BeginnAlter,"",ROUND((SUM(DW40:DW$56)+SUM(GO$9:GO$56))/VLOOKUP($CU40,$AH$9:$AI$102,2)/VLOOKUP($CU40-FH$103,Männer!$G$9:$J$102,4),Rundäx)))</f>
        <v>8.0350000000000001</v>
      </c>
      <c r="FI40" s="43">
        <f>IF($CU40&gt;=RAF,"",IF($CU40-FI$103&lt;BeginnAlter,"",ROUND((SUM(DX40:DX$56)+SUM(GP$9:GP$56))/VLOOKUP($CU40,$AH$9:$AI$102,2)/VLOOKUP($CU40-FI$103,Männer!$G$9:$J$102,4),Rundäx)))</f>
        <v>8.2970000000000006</v>
      </c>
      <c r="FJ40" s="43">
        <f>IF($CU40&gt;=RAF,"",IF($CU40-FJ$103&lt;BeginnAlter,"",ROUND((SUM(DY40:DY$56)+SUM(GQ$9:GQ$56))/VLOOKUP($CU40,$AH$9:$AI$102,2)/VLOOKUP($CU40-FJ$103,Männer!$G$9:$J$102,4),Rundäx)))</f>
        <v>8.56</v>
      </c>
      <c r="FK40" s="43">
        <f>IF($CU40&gt;=RAF,"",IF($CU40-FK$103&lt;BeginnAlter,"",ROUND((SUM(DZ40:DZ$56)+SUM(GR$9:GR$56))/VLOOKUP($CU40,$AH$9:$AI$102,2)/VLOOKUP($CU40-FK$103,Männer!$G$9:$J$102,4),Rundäx)))</f>
        <v>8.8239999999999998</v>
      </c>
      <c r="FL40" s="89"/>
      <c r="FM40" s="35">
        <f t="shared" si="64"/>
        <v>95</v>
      </c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>
        <f>ROUND(v^($FM40+FaktorAlter)*VLOOKUP($FM40,$G$9:$J$102,4)*VLOOKUP($FM40,$A$9:$E$102,5)*0.5*(VLOOKUP($FM40-FX$103,Männer!$G$9:$J$102,4)+VLOOKUP($FM40-FX$103+1,Männer!$G$9:$J$102,4))*0.5*(VLOOKUP($FM40-FX$103,Männer!$AZ$9:$BD$102,5)+VLOOKUP($FM40-FX$103+1,Männer!$AZ$9:$BD$102,5)),RundDx)</f>
        <v>57908</v>
      </c>
      <c r="FY40" s="25">
        <f>ROUND(v^($FM40+FaktorAlter)*VLOOKUP($FM40,$G$9:$J$102,4)*VLOOKUP($FM40,$A$9:$E$102,5)*0.5*(VLOOKUP($FM40-FY$103,Männer!$G$9:$J$102,4)+VLOOKUP($FM40-FY$103+1,Männer!$G$9:$J$102,4))*0.5*(VLOOKUP($FM40-FY$103,Männer!$AZ$9:$BD$102,5)+VLOOKUP($FM40-FY$103+1,Männer!$AZ$9:$BD$102,5)),RundDx)</f>
        <v>152716</v>
      </c>
      <c r="FZ40" s="25">
        <f>ROUND(v^($FM40+FaktorAlter)*VLOOKUP($FM40,$G$9:$J$102,4)*VLOOKUP($FM40,$A$9:$E$102,5)*0.5*(VLOOKUP($FM40-FZ$103,Männer!$G$9:$J$102,4)+VLOOKUP($FM40-FZ$103+1,Männer!$G$9:$J$102,4))*0.5*(VLOOKUP($FM40-FZ$103,Männer!$AZ$9:$BD$102,5)+VLOOKUP($FM40-FZ$103+1,Männer!$AZ$9:$BD$102,5)),RundDx)</f>
        <v>343547</v>
      </c>
      <c r="GA40" s="25">
        <f>ROUND(v^($FM40+FaktorAlter)*VLOOKUP($FM40,$G$9:$J$102,4)*VLOOKUP($FM40,$A$9:$E$102,5)*0.5*(VLOOKUP($FM40-GA$103,Männer!$G$9:$J$102,4)+VLOOKUP($FM40-GA$103+1,Männer!$G$9:$J$102,4))*0.5*(VLOOKUP($FM40-GA$103,Männer!$AZ$9:$BD$102,5)+VLOOKUP($FM40-GA$103+1,Männer!$AZ$9:$BD$102,5)),RundDx)</f>
        <v>699666</v>
      </c>
      <c r="GB40" s="25">
        <f>ROUND(v^($FM40+FaktorAlter)*VLOOKUP($FM40,$G$9:$J$102,4)*VLOOKUP($FM40,$A$9:$E$102,5)*0.5*(VLOOKUP($FM40-GB$103,Männer!$G$9:$J$102,4)+VLOOKUP($FM40-GB$103+1,Männer!$G$9:$J$102,4))*0.5*(VLOOKUP($FM40-GB$103,Männer!$AZ$9:$BD$102,5)+VLOOKUP($FM40-GB$103+1,Männer!$AZ$9:$BD$102,5)),RundDx)</f>
        <v>1304860</v>
      </c>
      <c r="GC40" s="25">
        <f>ROUND(v^($FM40+FaktorAlter)*VLOOKUP($FM40,$G$9:$J$102,4)*VLOOKUP($FM40,$A$9:$E$102,5)*0.5*(VLOOKUP($FM40-GC$103,Männer!$G$9:$J$102,4)+VLOOKUP($FM40-GC$103+1,Männer!$G$9:$J$102,4))*0.5*(VLOOKUP($FM40-GC$103,Männer!$AZ$9:$BD$102,5)+VLOOKUP($FM40-GC$103+1,Männer!$AZ$9:$BD$102,5)),RundDx)</f>
        <v>2258514</v>
      </c>
      <c r="GD40" s="25">
        <f>ROUND(v^($FM40+FaktorAlter)*VLOOKUP($FM40,$G$9:$J$102,4)*VLOOKUP($FM40,$A$9:$E$102,5)*0.5*(VLOOKUP($FM40-GD$103,Männer!$G$9:$J$102,4)+VLOOKUP($FM40-GD$103+1,Männer!$G$9:$J$102,4))*0.5*(VLOOKUP($FM40-GD$103,Männer!$AZ$9:$BD$102,5)+VLOOKUP($FM40-GD$103+1,Männer!$AZ$9:$BD$102,5)),RundDx)</f>
        <v>3670869</v>
      </c>
      <c r="GE40" s="25">
        <f>ROUND(v^($FM40+FaktorAlter)*VLOOKUP($FM40,$G$9:$J$102,4)*VLOOKUP($FM40,$A$9:$E$102,5)*0.5*(VLOOKUP($FM40-GE$103,Männer!$G$9:$J$102,4)+VLOOKUP($FM40-GE$103+1,Männer!$G$9:$J$102,4))*0.5*(VLOOKUP($FM40-GE$103,Männer!$AZ$9:$BD$102,5)+VLOOKUP($FM40-GE$103+1,Männer!$AZ$9:$BD$102,5)),RundDx)</f>
        <v>5649078</v>
      </c>
      <c r="GF40" s="25">
        <f>ROUND(v^($FM40+FaktorAlter)*VLOOKUP($FM40,$G$9:$J$102,4)*VLOOKUP($FM40,$A$9:$E$102,5)*0.5*(VLOOKUP($FM40-GF$103,Männer!$G$9:$J$102,4)+VLOOKUP($FM40-GF$103+1,Männer!$G$9:$J$102,4))*0.5*(VLOOKUP($FM40-GF$103,Männer!$AZ$9:$BD$102,5)+VLOOKUP($FM40-GF$103+1,Männer!$AZ$9:$BD$102,5)),RundDx)</f>
        <v>8306093</v>
      </c>
      <c r="GG40" s="25">
        <f>ROUND(v^($FM40+FaktorAlter)*VLOOKUP($FM40,$G$9:$J$102,4)*VLOOKUP($FM40,$A$9:$E$102,5)*0.5*(VLOOKUP($FM40-GG$103,Männer!$G$9:$J$102,4)+VLOOKUP($FM40-GG$103+1,Männer!$G$9:$J$102,4))*0.5*(VLOOKUP($FM40-GG$103,Männer!$AZ$9:$BD$102,5)+VLOOKUP($FM40-GG$103+1,Männer!$AZ$9:$BD$102,5)),RundDx)</f>
        <v>11744622</v>
      </c>
      <c r="GH40" s="25">
        <f>ROUND(v^($FM40+FaktorAlter)*VLOOKUP($FM40,$G$9:$J$102,4)*VLOOKUP($FM40,$A$9:$E$102,5)*0.5*(VLOOKUP($FM40-GH$103,Männer!$G$9:$J$102,4)+VLOOKUP($FM40-GH$103+1,Männer!$G$9:$J$102,4))*0.5*(VLOOKUP($FM40-GH$103,Männer!$AZ$9:$BD$102,5)+VLOOKUP($FM40-GH$103+1,Männer!$AZ$9:$BD$102,5)),RundDx)</f>
        <v>16040020</v>
      </c>
      <c r="GI40" s="25">
        <f>ROUND(v^($FM40+FaktorAlter)*VLOOKUP($FM40,$G$9:$J$102,4)*VLOOKUP($FM40,$A$9:$E$102,5)*0.5*(VLOOKUP($FM40-GI$103,Männer!$G$9:$J$102,4)+VLOOKUP($FM40-GI$103+1,Männer!$G$9:$J$102,4))*0.5*(VLOOKUP($FM40-GI$103,Männer!$AZ$9:$BD$102,5)+VLOOKUP($FM40-GI$103+1,Männer!$AZ$9:$BD$102,5)),RundDx)</f>
        <v>21250397</v>
      </c>
      <c r="GJ40" s="25">
        <f>ROUND(v^($FM40+FaktorAlter)*VLOOKUP($FM40,$G$9:$J$102,4)*VLOOKUP($FM40,$A$9:$E$102,5)*0.5*(VLOOKUP($FM40-GJ$103,Männer!$G$9:$J$102,4)+VLOOKUP($FM40-GJ$103+1,Männer!$G$9:$J$102,4))*0.5*(VLOOKUP($FM40-GJ$103,Männer!$AZ$9:$BD$102,5)+VLOOKUP($FM40-GJ$103+1,Männer!$AZ$9:$BD$102,5)),RundDx)</f>
        <v>27405738</v>
      </c>
      <c r="GK40" s="25">
        <f>ROUND(v^($FM40+FaktorAlter)*VLOOKUP($FM40,$G$9:$J$102,4)*VLOOKUP($FM40,$A$9:$E$102,5)*0.5*(VLOOKUP($FM40-GK$103,Männer!$G$9:$J$102,4)+VLOOKUP($FM40-GK$103+1,Männer!$G$9:$J$102,4))*0.5*(VLOOKUP($FM40-GK$103,Männer!$AZ$9:$BD$102,5)+VLOOKUP($FM40-GK$103+1,Männer!$AZ$9:$BD$102,5)),RundDx)</f>
        <v>34483541</v>
      </c>
      <c r="GL40" s="25">
        <f>ROUND(v^($FM40+FaktorAlter)*VLOOKUP($FM40,$G$9:$J$102,4)*VLOOKUP($FM40,$A$9:$E$102,5)*0.5*(VLOOKUP($FM40-GL$103,Männer!$G$9:$J$102,4)+VLOOKUP($FM40-GL$103+1,Männer!$G$9:$J$102,4))*0.5*(VLOOKUP($FM40-GL$103,Männer!$AZ$9:$BD$102,5)+VLOOKUP($FM40-GL$103+1,Männer!$AZ$9:$BD$102,5)),RundDx)</f>
        <v>42439066</v>
      </c>
      <c r="GM40" s="25">
        <f>ROUND(v^($FM40+FaktorAlter)*VLOOKUP($FM40,$G$9:$J$102,4)*VLOOKUP($FM40,$A$9:$E$102,5)*0.5*(VLOOKUP($FM40-GM$103,Männer!$G$9:$J$102,4)+VLOOKUP($FM40-GM$103+1,Männer!$G$9:$J$102,4))*0.5*(VLOOKUP($FM40-GM$103,Männer!$AZ$9:$BD$102,5)+VLOOKUP($FM40-GM$103+1,Männer!$AZ$9:$BD$102,5)),RundDx)</f>
        <v>51249639</v>
      </c>
      <c r="GN40" s="25">
        <f>ROUND(v^($FM40+FaktorAlter)*VLOOKUP($FM40,$G$9:$J$102,4)*VLOOKUP($FM40,$A$9:$E$102,5)*0.5*(VLOOKUP($FM40-GN$103,Männer!$G$9:$J$102,4)+VLOOKUP($FM40-GN$103+1,Männer!$G$9:$J$102,4))*0.5*(VLOOKUP($FM40-GN$103,Männer!$AZ$9:$BD$102,5)+VLOOKUP($FM40-GN$103+1,Männer!$AZ$9:$BD$102,5)),RundDx)</f>
        <v>60885475</v>
      </c>
      <c r="GO40" s="25">
        <f>ROUND(v^($FM40+FaktorAlter)*VLOOKUP($FM40,$G$9:$J$102,4)*VLOOKUP($FM40,$A$9:$E$102,5)*0.5*(VLOOKUP($FM40-GO$103,Männer!$G$9:$J$102,4)+VLOOKUP($FM40-GO$103+1,Männer!$G$9:$J$102,4))*0.5*(VLOOKUP($FM40-GO$103,Männer!$AZ$9:$BD$102,5)+VLOOKUP($FM40-GO$103+1,Männer!$AZ$9:$BD$102,5)),RundDx)</f>
        <v>71296864</v>
      </c>
      <c r="GP40" s="25">
        <f>ROUND(v^($FM40+FaktorAlter)*VLOOKUP($FM40,$G$9:$J$102,4)*VLOOKUP($FM40,$A$9:$E$102,5)*0.5*(VLOOKUP($FM40-GP$103,Männer!$G$9:$J$102,4)+VLOOKUP($FM40-GP$103+1,Männer!$G$9:$J$102,4))*0.5*(VLOOKUP($FM40-GP$103,Männer!$AZ$9:$BD$102,5)+VLOOKUP($FM40-GP$103+1,Männer!$AZ$9:$BD$102,5)),RundDx)</f>
        <v>82444721</v>
      </c>
      <c r="GQ40" s="25">
        <f>ROUND(v^($FM40+FaktorAlter)*VLOOKUP($FM40,$G$9:$J$102,4)*VLOOKUP($FM40,$A$9:$E$102,5)*0.5*(VLOOKUP($FM40-GQ$103,Männer!$G$9:$J$102,4)+VLOOKUP($FM40-GQ$103+1,Männer!$G$9:$J$102,4))*0.5*(VLOOKUP($FM40-GQ$103,Männer!$AZ$9:$BD$102,5)+VLOOKUP($FM40-GQ$103+1,Männer!$AZ$9:$BD$102,5)),RundDx)</f>
        <v>94283927</v>
      </c>
      <c r="GR40" s="25">
        <f>ROUND(v^($FM40+FaktorAlter)*VLOOKUP($FM40,$G$9:$J$102,4)*VLOOKUP($FM40,$A$9:$E$102,5)*0.5*(VLOOKUP($FM40-GR$103,Männer!$G$9:$J$102,4)+VLOOKUP($FM40-GR$103+1,Männer!$G$9:$J$102,4))*0.5*(VLOOKUP($FM40-GR$103,Männer!$AZ$9:$BD$102,5)+VLOOKUP($FM40-GR$103+1,Männer!$AZ$9:$BD$102,5)),RundDx)</f>
        <v>106751990</v>
      </c>
      <c r="GS40" s="24"/>
      <c r="GT40" s="24"/>
      <c r="GU40" s="24"/>
      <c r="GV40" s="24"/>
      <c r="GW40" s="24"/>
      <c r="GX40" s="24"/>
      <c r="GY40" s="24"/>
      <c r="GZ40" s="24"/>
      <c r="HA40" s="89"/>
      <c r="HB40" s="35">
        <f t="shared" si="65"/>
        <v>95</v>
      </c>
      <c r="HC40" s="24"/>
      <c r="HD40" s="24">
        <f>ROUND(SUM(FW40:FW$56)/VLOOKUP($FM40,$AQ$9:$AR$102,2)/VLOOKUP($FM40-HD$103,Männer!$G$9:$J$102,4),Rundäx)</f>
        <v>0</v>
      </c>
      <c r="HE40" s="24">
        <f>ROUND(SUM(FX40:FX$56)/VLOOKUP($FM40,$AQ$9:$AR$102,2)/VLOOKUP($FM40-HE$103,Männer!$G$9:$J$102,4),Rundäx)</f>
        <v>0.17299999999999999</v>
      </c>
      <c r="HF40" s="24">
        <f>ROUND(SUM(FY40:FY$56)/VLOOKUP($FM40,$AQ$9:$AR$102,2)/VLOOKUP($FM40-HF$103,Männer!$G$9:$J$102,4),Rundäx)</f>
        <v>0.28000000000000003</v>
      </c>
      <c r="HG40" s="24">
        <f>ROUND(SUM(FZ40:FZ$56)/VLOOKUP($FM40,$AQ$9:$AR$102,2)/VLOOKUP($FM40-HG$103,Männer!$G$9:$J$102,4),Rundäx)</f>
        <v>0.371</v>
      </c>
      <c r="HH40" s="24">
        <f>ROUND(SUM(GA40:GA$56)/VLOOKUP($FM40,$AQ$9:$AR$102,2)/VLOOKUP($FM40-HH$103,Männer!$G$9:$J$102,4),Rundäx)</f>
        <v>0.46800000000000003</v>
      </c>
      <c r="HI40" s="24">
        <f>ROUND(SUM(GB40:GB$56)/VLOOKUP($FM40,$AQ$9:$AR$102,2)/VLOOKUP($FM40-HI$103,Männer!$G$9:$J$102,4),Rundäx)</f>
        <v>0.57799999999999996</v>
      </c>
      <c r="HJ40" s="24">
        <f>ROUND(SUM(GC40:GC$56)/VLOOKUP($FM40,$AQ$9:$AR$102,2)/VLOOKUP($FM40-HJ$103,Männer!$G$9:$J$102,4),Rundäx)</f>
        <v>0.70199999999999996</v>
      </c>
      <c r="HK40" s="89"/>
      <c r="HL40" s="35">
        <f t="shared" si="66"/>
        <v>95</v>
      </c>
      <c r="HM40" s="24">
        <f>ROUND(SUM(GD40:GD$56)/VLOOKUP($FM40,$AQ$9:$AR$102,2)/VLOOKUP($FM40-HM$103,Männer!$G$9:$J$102,4),Rundäx)</f>
        <v>0.84399999999999997</v>
      </c>
      <c r="HN40" s="24">
        <f>ROUND(SUM(GE40:GE$56)/VLOOKUP($FM40,$AQ$9:$AR$102,2)/VLOOKUP($FM40-HN$103,Männer!$G$9:$J$102,4),Rundäx)</f>
        <v>1.0029999999999999</v>
      </c>
      <c r="HO40" s="24">
        <f>ROUND(SUM(GF40:GF$56)/VLOOKUP($FM40,$AQ$9:$AR$102,2)/VLOOKUP($FM40-HO$103,Männer!$G$9:$J$102,4),Rundäx)</f>
        <v>1.1819999999999999</v>
      </c>
      <c r="HP40" s="24">
        <f>ROUND(SUM(GG40:GG$56)/VLOOKUP($FM40,$AQ$9:$AR$102,2)/VLOOKUP($FM40-HP$103,Männer!$G$9:$J$102,4),Rundäx)</f>
        <v>1.3819999999999999</v>
      </c>
      <c r="HQ40" s="24">
        <f>ROUND(SUM(GH40:GH$56)/VLOOKUP($FM40,$AQ$9:$AR$102,2)/VLOOKUP($FM40-HQ$103,Männer!$G$9:$J$102,4),Rundäx)</f>
        <v>1.603</v>
      </c>
      <c r="HR40" s="24">
        <f>ROUND(SUM(GI40:GI$56)/VLOOKUP($FM40,$AQ$9:$AR$102,2)/VLOOKUP($FM40-HR$103,Männer!$G$9:$J$102,4),Rundäx)</f>
        <v>1.8440000000000001</v>
      </c>
      <c r="HS40" s="24">
        <f>ROUND(SUM(GJ40:GJ$56)/VLOOKUP($FM40,$AQ$9:$AR$102,2)/VLOOKUP($FM40-HS$103,Männer!$G$9:$J$102,4),Rundäx)</f>
        <v>2.1059999999999999</v>
      </c>
      <c r="HT40" s="24">
        <f>ROUND(SUM(GK40:GK$56)/VLOOKUP($FM40,$AQ$9:$AR$102,2)/VLOOKUP($FM40-HT$103,Männer!$G$9:$J$102,4),Rundäx)</f>
        <v>2.387</v>
      </c>
      <c r="HU40" s="89"/>
      <c r="HV40" s="35">
        <f t="shared" si="67"/>
        <v>95</v>
      </c>
      <c r="HW40" s="24">
        <f>ROUND(SUM(GL40:GL$56)/VLOOKUP($FM40,$AQ$9:$AR$102,2)/VLOOKUP($FM40-HW$103,Männer!$G$9:$J$102,4),Rundäx)</f>
        <v>2.6829999999999998</v>
      </c>
      <c r="HX40" s="24">
        <f>ROUND(SUM(GM40:GM$56)/VLOOKUP($FM40,$AQ$9:$AR$102,2)/VLOOKUP($FM40-HX$103,Männer!$G$9:$J$102,4),Rundäx)</f>
        <v>2.9929999999999999</v>
      </c>
      <c r="HY40" s="24">
        <f>ROUND(SUM(GN40:GN$56)/VLOOKUP($FM40,$AQ$9:$AR$102,2)/VLOOKUP($FM40-HY$103,Männer!$G$9:$J$102,4),Rundäx)</f>
        <v>3.3159999999999998</v>
      </c>
      <c r="HZ40" s="24">
        <f>ROUND(SUM(GO40:GO$56)/VLOOKUP($FM40,$AQ$9:$AR$102,2)/VLOOKUP($FM40-HZ$103,Männer!$G$9:$J$102,4),Rundäx)</f>
        <v>3.65</v>
      </c>
      <c r="IA40" s="24">
        <f>ROUND(SUM(GP40:GP$56)/VLOOKUP($FM40,$AQ$9:$AR$102,2)/VLOOKUP($FM40-IA$103,Männer!$G$9:$J$102,4),Rundäx)</f>
        <v>3.9940000000000002</v>
      </c>
      <c r="IB40" s="24">
        <f>ROUND(SUM(GQ40:GQ$56)/VLOOKUP($FM40,$AQ$9:$AR$102,2)/VLOOKUP($FM40-IB$103,Männer!$G$9:$J$102,4),Rundäx)</f>
        <v>4.3460000000000001</v>
      </c>
      <c r="IC40" s="24">
        <f>ROUND(SUM(GR40:GR$56)/VLOOKUP($FM40,$AQ$9:$AR$102,2)/VLOOKUP($FM40-IC$103,Männer!$G$9:$J$102,4),Rundäx)</f>
        <v>4.7050000000000001</v>
      </c>
      <c r="ID40" s="89"/>
      <c r="IE40" s="9">
        <f t="shared" si="68"/>
        <v>48</v>
      </c>
      <c r="IF40" s="11">
        <f t="shared" si="25"/>
        <v>109</v>
      </c>
      <c r="IG40" s="11">
        <f>IF($IE40&lt;RAF,IF(S41&lt;=RAK,ROUND(SUM(IF40:INDEX(Daky,RAF-BeginnAlter))+INDEX(Day,RAF-BeginnAlter+1)*INDEX(äky,1),RundDx),0),"")</f>
        <v>431</v>
      </c>
      <c r="IH40" s="11">
        <f>IF($IE40&lt;RAF,IF(S41&lt;=RAK,ROUND(SUM(IG40:INDEX(Naky,RAF-BeginnAlter))+INDEX(Day,RAF-BeginnAlter+1)*INDEX(äky,1),RundDx),0),"")</f>
        <v>1538</v>
      </c>
      <c r="II40" s="10">
        <f t="shared" si="26"/>
        <v>1.4E-2</v>
      </c>
      <c r="IJ40" s="11">
        <f t="shared" si="27"/>
        <v>1871</v>
      </c>
      <c r="IK40" s="11">
        <f>IF($IE40&lt;RAF,IF(S41&lt;=RAK,SUM(IJ40:INDEX(Diky,RAF-BeginnAlter))+INDEX(Diy,RAF-BeginnAlter+1)*INDEX(äky,1),0),"")</f>
        <v>5948</v>
      </c>
      <c r="IL40" s="10">
        <f t="shared" si="28"/>
        <v>0.13700000000000001</v>
      </c>
      <c r="IM40" s="89"/>
      <c r="IN40" s="9">
        <f t="shared" si="29"/>
        <v>95</v>
      </c>
      <c r="IO40" s="11"/>
      <c r="IP40" s="11"/>
      <c r="IQ40" s="10"/>
      <c r="IR40" s="86"/>
    </row>
    <row r="41" spans="1:252" ht="15.75" customHeight="1" x14ac:dyDescent="0.25">
      <c r="A41" s="9">
        <f t="shared" si="4"/>
        <v>49</v>
      </c>
      <c r="B41" s="93">
        <v>1.2929638912567833E-3</v>
      </c>
      <c r="C41" s="93">
        <v>7.1008270736256244E-3</v>
      </c>
      <c r="D41" s="93">
        <v>1.8754173070589922E-2</v>
      </c>
      <c r="E41" s="93">
        <v>2.3994093761535717E-3</v>
      </c>
      <c r="F41" s="89"/>
      <c r="G41" s="9">
        <f t="shared" si="5"/>
        <v>49</v>
      </c>
      <c r="H41" s="11">
        <f t="shared" si="30"/>
        <v>91710</v>
      </c>
      <c r="I41" s="25">
        <f t="shared" si="31"/>
        <v>5814</v>
      </c>
      <c r="J41" s="25">
        <f t="shared" si="32"/>
        <v>97524</v>
      </c>
      <c r="K41" s="30">
        <f>IF(J41&gt;0,ROUND(SUM(J41:J$102)/J41-0.5,Rundex),"")</f>
        <v>34.17</v>
      </c>
      <c r="L41" s="25">
        <f t="shared" si="6"/>
        <v>123719</v>
      </c>
      <c r="M41" s="30">
        <f>IF(L41&gt;0,ROUND(SUM(L41:L$102)/L41-0.5,Rundex),"")</f>
        <v>28.43</v>
      </c>
      <c r="N41" s="89"/>
      <c r="O41" s="9">
        <f t="shared" si="49"/>
        <v>49</v>
      </c>
      <c r="P41" s="94">
        <v>0.30037379844395984</v>
      </c>
      <c r="Q41" s="95">
        <v>51.64261992911009</v>
      </c>
      <c r="R41" s="94">
        <v>0.2496659892681426</v>
      </c>
      <c r="S41" s="95">
        <v>16.347667119260954</v>
      </c>
      <c r="T41" s="28">
        <v>1.6670000000000001E-3</v>
      </c>
      <c r="U41" s="11">
        <f t="shared" si="33"/>
        <v>97800</v>
      </c>
      <c r="V41" s="30">
        <f>IF(U41&gt;0,ROUND(SUM(U41:U$102)/U41-0.5,Rundex),"")</f>
        <v>35.369999999999997</v>
      </c>
      <c r="W41" s="89"/>
      <c r="X41" s="9">
        <f t="shared" si="50"/>
        <v>49</v>
      </c>
      <c r="Y41" s="11">
        <f t="shared" si="34"/>
        <v>30826</v>
      </c>
      <c r="Z41" s="11">
        <f>IF($X41&lt;RAF,SUM(Y41:INDEX(Day,RAF-BeginnAlter))," ")</f>
        <v>363466</v>
      </c>
      <c r="AA41" s="11">
        <f t="shared" si="0"/>
        <v>39</v>
      </c>
      <c r="AB41" s="11">
        <f>IF($X41&lt;RAF,SUM(AA41:INDEX(Cay,RAF-BeginnAlter))," ")</f>
        <v>878</v>
      </c>
      <c r="AC41" s="11">
        <f t="shared" si="1"/>
        <v>216</v>
      </c>
      <c r="AD41" s="11">
        <f>IF($X41&lt;RAF,SUM(AC41:INDEX(Caiy,RAF-BeginnAlter))," ")</f>
        <v>5647</v>
      </c>
      <c r="AE41" s="10">
        <f t="shared" si="35"/>
        <v>11.791</v>
      </c>
      <c r="AF41" s="10">
        <f t="shared" si="36"/>
        <v>11.576000000000001</v>
      </c>
      <c r="AG41" s="89"/>
      <c r="AH41" s="9">
        <f t="shared" si="51"/>
        <v>49</v>
      </c>
      <c r="AI41" s="11">
        <f t="shared" si="37"/>
        <v>41585</v>
      </c>
      <c r="AJ41" s="11">
        <f>IF($AH41&gt;RAF," ",IF($AH41&lt;RAF,SUM(AI41:INDEX(Diy,RAF-BeginnAlter))+INDEX(Ny,RAF-BeginnAlter+1),INDEX(Ny,RAF-BeginnAlter+1)))</f>
        <v>839273</v>
      </c>
      <c r="AK41" s="11">
        <f>IF($AH41&lt;RAF,SUM(AI41:INDEX(Diy,RAF-BeginnAlter))," ")</f>
        <v>473179</v>
      </c>
      <c r="AL41" s="10">
        <f t="shared" si="38"/>
        <v>20.181999999999999</v>
      </c>
      <c r="AM41" s="10">
        <f t="shared" si="39"/>
        <v>19.724</v>
      </c>
      <c r="AN41" s="10">
        <f t="shared" si="40"/>
        <v>11.379</v>
      </c>
      <c r="AO41" s="10">
        <f t="shared" si="41"/>
        <v>11.16</v>
      </c>
      <c r="AP41" s="89"/>
      <c r="AQ41" s="9">
        <f t="shared" si="52"/>
        <v>49</v>
      </c>
      <c r="AR41" s="11">
        <f t="shared" si="42"/>
        <v>32780</v>
      </c>
      <c r="AS41" s="11">
        <f>SUM(AR41:AR$96)</f>
        <v>778689</v>
      </c>
      <c r="AT41" s="25">
        <f>IF($AQ41&lt;RAF,SUM(AR41:INDEX(Dy,RAF-BeginnAlter))," ")</f>
        <v>412595</v>
      </c>
      <c r="AU41" s="24">
        <f t="shared" si="43"/>
        <v>23.754999999999999</v>
      </c>
      <c r="AV41" s="24">
        <f t="shared" si="44"/>
        <v>23.297000000000001</v>
      </c>
      <c r="AW41" s="24">
        <f t="shared" si="45"/>
        <v>12.587</v>
      </c>
      <c r="AX41" s="24">
        <f t="shared" si="46"/>
        <v>12.432</v>
      </c>
      <c r="AY41" s="89"/>
      <c r="AZ41" s="9">
        <f t="shared" si="53"/>
        <v>49</v>
      </c>
      <c r="BA41" s="11">
        <f t="shared" si="47"/>
        <v>32873</v>
      </c>
      <c r="BB41" s="11">
        <f>SUM(BA41:BA$96)</f>
        <v>801215</v>
      </c>
      <c r="BC41" s="10">
        <f t="shared" si="48"/>
        <v>24.373000000000001</v>
      </c>
      <c r="BD41" s="10">
        <f t="shared" si="7"/>
        <v>23.914999999999999</v>
      </c>
      <c r="BE41" s="89"/>
      <c r="BF41" s="9">
        <f t="shared" si="54"/>
        <v>32</v>
      </c>
      <c r="BG41" s="10" t="str">
        <f t="shared" si="8"/>
        <v/>
      </c>
      <c r="BH41" s="10" t="str">
        <f t="shared" si="9"/>
        <v/>
      </c>
      <c r="BI41" s="89"/>
      <c r="BJ41" s="9">
        <f t="shared" si="55"/>
        <v>49</v>
      </c>
      <c r="BK41" s="11">
        <f t="shared" si="10"/>
        <v>4249</v>
      </c>
      <c r="BL41" s="11">
        <f>IF(BJ41&lt;RAF,SUM(BK41:INDEX(Daiy,RAF-BeginnAlter))," ")</f>
        <v>100357</v>
      </c>
      <c r="BM41" s="11">
        <f>IF(BJ41&lt;RAF,SUM(BL41:INDEX(Naiy,RAF-BeginnAlter))," ")</f>
        <v>912122</v>
      </c>
      <c r="BN41" s="10">
        <f t="shared" si="11"/>
        <v>8.6999999999999993</v>
      </c>
      <c r="BO41" s="10">
        <f t="shared" si="12"/>
        <v>3.2559999999999998</v>
      </c>
      <c r="BP41" s="89"/>
      <c r="BQ41" s="9">
        <f t="shared" si="56"/>
        <v>49</v>
      </c>
      <c r="BR41" s="11">
        <f t="shared" si="13"/>
        <v>2356</v>
      </c>
      <c r="BS41" s="11">
        <f>IF(BQ41&lt;RAF,SUM(BR41:INDEX(Daiys,RAF-BeginnAlter))," ")</f>
        <v>29149</v>
      </c>
      <c r="BT41" s="11">
        <f>IF(BQ41&lt;RAF,SUM(BS41:INDEX(Naiys,RAF-BeginnAlter))," ")</f>
        <v>197886</v>
      </c>
      <c r="BU41" s="10">
        <f t="shared" si="14"/>
        <v>11.01</v>
      </c>
      <c r="BV41" s="10">
        <f t="shared" si="15"/>
        <v>0.94599999999999995</v>
      </c>
      <c r="BW41" s="89"/>
      <c r="BX41" s="9">
        <f t="shared" si="57"/>
        <v>49</v>
      </c>
      <c r="BY41" s="10">
        <f t="shared" si="16"/>
        <v>7.1830724979115494</v>
      </c>
      <c r="BZ41" s="11">
        <f t="shared" si="17"/>
        <v>354</v>
      </c>
      <c r="CA41" s="11">
        <f>IF(S42&lt;=RAK,IF($BX41&lt;RAF,SUM(BZ41:INDEX(Dazy,RAF-BeginnAlter)),""),"")</f>
        <v>1407</v>
      </c>
      <c r="CB41" s="10">
        <f t="shared" si="18"/>
        <v>4.5999999999999999E-2</v>
      </c>
      <c r="CC41" s="11">
        <f t="shared" si="19"/>
        <v>26247</v>
      </c>
      <c r="CD41" s="10">
        <f t="shared" si="20"/>
        <v>19.378</v>
      </c>
      <c r="CE41" s="10">
        <f t="shared" si="21"/>
        <v>4.0000000000000001E-3</v>
      </c>
      <c r="CF41" s="89"/>
      <c r="CG41" s="9">
        <f t="shared" si="58"/>
        <v>49</v>
      </c>
      <c r="CH41" s="11">
        <f>IF(CG41&lt;RAF,ROUND(v^($CG41+FaktorAlter)*$H41*($B41*0.5*($P41+$P42)*(VLOOKUP(TRUNC(0.5*($Q41+$Q42),0),Männer!$AZ$9:$BD$95,5)+(0.5*($Q41+$Q42)-TRUNC(0.5*($Q41+$Q42),0))*(VLOOKUP(TRUNC(0.5*($Q41+$Q42)+1,0),Männer!$AZ$9:$BD$95,5)-VLOOKUP(TRUNC(0.5*($Q41+$Q42),0),Männer!$AZ$9:$BD$95,5)))+$C41*0.5*($CN41+$CN42)),RundDx),"")</f>
        <v>412</v>
      </c>
      <c r="CI41" s="11">
        <f>IF(CG41&lt;RAF,ROUND(SUM(CH41:INDEX(Dawy,RAF-BeginnAlter))+INDEX(Day,RAF-BeginnAlter+1)*INDEX(äwy,1),RundDx),"")</f>
        <v>7085</v>
      </c>
      <c r="CJ41" s="11">
        <f>IF(CG41&lt;RAF,ROUND(SUM(CI41:INDEX(Nawy,RAF-BeginnAlter))+INDEX(Day,RAF-BeginnAlter+1)*INDEX(äwy,1),RundDx),"")</f>
        <v>68021</v>
      </c>
      <c r="CK41" s="10">
        <f t="shared" si="22"/>
        <v>0.23</v>
      </c>
      <c r="CL41" s="11">
        <f>IF(CG41&lt;RAF,ROUND(v^($CG41+FaktorAlter)*$L41*$D41*0.5*($P41+$P42)*(VLOOKUP(TRUNC(0.5*($Q41+$Q42),0),Männer!$AZ$9:$BD$95,5)+(0.5*($Q41+$Q42)-TRUNC(0.5*($Q41+$Q42),0))*(VLOOKUP(TRUNC(0.5*($Q41+$Q42)+1,0),Männer!$AZ$9:$BD$95,5)-VLOOKUP(TRUNC(0.5*($Q41+$Q42),0),Männer!$AZ$9:$BD$95,5))),RundDx),"")</f>
        <v>4360</v>
      </c>
      <c r="CM41" s="11">
        <f>IF(CG41&lt;RAF,SUM(CL41:INDEX(Diwy,RAF-BeginnAlter))+INDEX(Diy,RAF-BeginnAlter+1)*INDEX(äwy,1),"")</f>
        <v>37871.304000000004</v>
      </c>
      <c r="CN41" s="10">
        <f t="shared" si="23"/>
        <v>0.91100000000000003</v>
      </c>
      <c r="CO41" s="89"/>
      <c r="CP41" s="9">
        <f t="shared" si="59"/>
        <v>96</v>
      </c>
      <c r="CQ41" s="11">
        <f>ROUND(v^($CP41+FaktorAlter)*VLOOKUP(CP41,G$9:J$102,4)*VLOOKUP(CP41,A$9:E$102,5)*0.5*(VLOOKUP(CP41,O$9:P$102,2)+VLOOKUP(CP41+1,O$9:P$102,2))*(VLOOKUP(TRUNC(0.5*(VLOOKUP(CP41,O$9:Q$102,3)+VLOOKUP(CP41+1,O$9:Q$102,3)),0),Männer!$AZ$9:$BD$95,5)+(0.5*(VLOOKUP(CP41,O$9:Q$102,3)+VLOOKUP(CP41+1,O$9:Q$102,3))-TRUNC(0.5*(VLOOKUP(CP41,O$9:Q$102,3)+VLOOKUP(CP41+1,O$9:Q$102,3)),0))*(VLOOKUP(TRUNC(0.5*(VLOOKUP(CP41,O$9:Q$102,3)+VLOOKUP(CP41+1,O$9:Q$102,3))+1,0),Männer!$AZ$9:$BD$95,5)-VLOOKUP(TRUNC(0.5*(VLOOKUP(CP41,O$9:Q$102,3)+VLOOKUP(CP41+1,O$9:Q$102,3)),0),Männer!$AZ$9:$BD$95,5))),RundDx)</f>
        <v>1</v>
      </c>
      <c r="CR41" s="11">
        <f>SUM(CQ41:CQ$56)</f>
        <v>3</v>
      </c>
      <c r="CS41" s="24">
        <f t="shared" si="24"/>
        <v>3.0000000000000001E-3</v>
      </c>
      <c r="CT41" s="89"/>
      <c r="CU41" s="35">
        <f t="shared" si="60"/>
        <v>49</v>
      </c>
      <c r="CV41" s="25">
        <f>IF($CU41&gt;=RAF,"",IF($CU41-CV$103&lt;BeginnAlter,"",ROUND(v^($CU41+FaktorAlter)*$L41*$D41*0.5*(VLOOKUP($CU41-CV$103,Männer!$G$9:$J$102,4)+VLOOKUP($CU41-CV$103+1,Männer!$G$9:$J$102,4))*0.5*(VLOOKUP($CU41-CV$103,Männer!$AZ$9:$BD$102,5)+VLOOKUP($CU41-CV$103+1,Männer!$AZ$9:$BD$102,5)),RundDx)))</f>
        <v>869294156</v>
      </c>
      <c r="CW41" s="25">
        <f>IF($CU41&gt;=RAF,"",IF($CU41-CW$103&lt;BeginnAlter,"",ROUND(v^($CU41+FaktorAlter)*$L41*$D41*0.5*(VLOOKUP($CU41-CW$103,Männer!$G$9:$J$102,4)+VLOOKUP($CU41-CW$103+1,Männer!$G$9:$J$102,4))*0.5*(VLOOKUP($CU41-CW$103,Männer!$AZ$9:$BD$102,5)+VLOOKUP($CU41-CW$103+1,Männer!$AZ$9:$BD$102,5)),RundDx)))</f>
        <v>909594712</v>
      </c>
      <c r="CX41" s="25">
        <f>IF($CU41&gt;=RAF,"",IF($CU41-CX$103&lt;BeginnAlter,"",ROUND(v^($CU41+FaktorAlter)*$L41*$D41*0.5*(VLOOKUP($CU41-CX$103,Männer!$G$9:$J$102,4)+VLOOKUP($CU41-CX$103+1,Männer!$G$9:$J$102,4))*0.5*(VLOOKUP($CU41-CX$103,Männer!$AZ$9:$BD$102,5)+VLOOKUP($CU41-CX$103+1,Männer!$AZ$9:$BD$102,5)),RundDx)))</f>
        <v>950545027</v>
      </c>
      <c r="CY41" s="25">
        <f>IF($CU41&gt;=RAF,"",IF($CU41-CY$103&lt;BeginnAlter,"",ROUND(v^($CU41+FaktorAlter)*$L41*$D41*0.5*(VLOOKUP($CU41-CY$103,Männer!$G$9:$J$102,4)+VLOOKUP($CU41-CY$103+1,Männer!$G$9:$J$102,4))*0.5*(VLOOKUP($CU41-CY$103,Männer!$AZ$9:$BD$102,5)+VLOOKUP($CU41-CY$103+1,Männer!$AZ$9:$BD$102,5)),RundDx)))</f>
        <v>992206143</v>
      </c>
      <c r="CZ41" s="25">
        <f>IF($CU41&gt;=RAF,"",IF($CU41-CZ$103&lt;BeginnAlter,"",ROUND(v^($CU41+FaktorAlter)*$L41*$D41*0.5*(VLOOKUP($CU41-CZ$103,Männer!$G$9:$J$102,4)+VLOOKUP($CU41-CZ$103+1,Männer!$G$9:$J$102,4))*0.5*(VLOOKUP($CU41-CZ$103,Männer!$AZ$9:$BD$102,5)+VLOOKUP($CU41-CZ$103+1,Männer!$AZ$9:$BD$102,5)),RundDx)))</f>
        <v>1034611595</v>
      </c>
      <c r="DA41" s="25">
        <f>IF($CU41&gt;=RAF,"",IF($CU41-DA$103&lt;BeginnAlter,"",ROUND(v^($CU41+FaktorAlter)*$L41*$D41*0.5*(VLOOKUP($CU41-DA$103,Männer!$G$9:$J$102,4)+VLOOKUP($CU41-DA$103+1,Männer!$G$9:$J$102,4))*0.5*(VLOOKUP($CU41-DA$103,Männer!$AZ$9:$BD$102,5)+VLOOKUP($CU41-DA$103+1,Männer!$AZ$9:$BD$102,5)),RundDx)))</f>
        <v>1077837157</v>
      </c>
      <c r="DB41" s="25">
        <f>IF($CU41&gt;=RAF,"",IF($CU41-DB$103&lt;BeginnAlter,"",ROUND(v^($CU41+FaktorAlter)*$L41*$D41*0.5*(VLOOKUP($CU41-DB$103,Männer!$G$9:$J$102,4)+VLOOKUP($CU41-DB$103+1,Männer!$G$9:$J$102,4))*0.5*(VLOOKUP($CU41-DB$103,Männer!$AZ$9:$BD$102,5)+VLOOKUP($CU41-DB$103+1,Männer!$AZ$9:$BD$102,5)),RundDx)))</f>
        <v>1121831683</v>
      </c>
      <c r="DC41" s="25">
        <f>IF($CU41&gt;=RAF,"",IF($CU41-DC$103&lt;BeginnAlter,"",ROUND(v^($CU41+FaktorAlter)*$L41*$D41*0.5*(VLOOKUP($CU41-DC$103,Männer!$G$9:$J$102,4)+VLOOKUP($CU41-DC$103+1,Männer!$G$9:$J$102,4))*0.5*(VLOOKUP($CU41-DC$103,Männer!$AZ$9:$BD$102,5)+VLOOKUP($CU41-DC$103+1,Männer!$AZ$9:$BD$102,5)),RundDx)))</f>
        <v>1166530622</v>
      </c>
      <c r="DD41" s="25">
        <f>IF($CU41&gt;=RAF,"",IF($CU41-DD$103&lt;BeginnAlter,"",ROUND(v^($CU41+FaktorAlter)*$L41*$D41*0.5*(VLOOKUP($CU41-DD$103,Männer!$G$9:$J$102,4)+VLOOKUP($CU41-DD$103+1,Männer!$G$9:$J$102,4))*0.5*(VLOOKUP($CU41-DD$103,Männer!$AZ$9:$BD$102,5)+VLOOKUP($CU41-DD$103+1,Männer!$AZ$9:$BD$102,5)),RundDx)))</f>
        <v>1211921526</v>
      </c>
      <c r="DE41" s="25">
        <f>IF($CU41&gt;=RAF,"",IF($CU41-DE$103&lt;BeginnAlter,"",ROUND(v^($CU41+FaktorAlter)*$L41*$D41*0.5*(VLOOKUP($CU41-DE$103,Männer!$G$9:$J$102,4)+VLOOKUP($CU41-DE$103+1,Männer!$G$9:$J$102,4))*0.5*(VLOOKUP($CU41-DE$103,Männer!$AZ$9:$BD$102,5)+VLOOKUP($CU41-DE$103+1,Männer!$AZ$9:$BD$102,5)),RundDx)))</f>
        <v>1257338753</v>
      </c>
      <c r="DF41" s="25">
        <f>IF($CU41&gt;=RAF,"",IF($CU41-DF$103&lt;BeginnAlter,"",ROUND(v^($CU41+FaktorAlter)*$L41*$D41*0.5*(VLOOKUP($CU41-DF$103,Männer!$G$9:$J$102,4)+VLOOKUP($CU41-DF$103+1,Männer!$G$9:$J$102,4))*0.5*(VLOOKUP($CU41-DF$103,Männer!$AZ$9:$BD$102,5)+VLOOKUP($CU41-DF$103+1,Männer!$AZ$9:$BD$102,5)),RundDx)))</f>
        <v>1302072678</v>
      </c>
      <c r="DG41" s="25">
        <f>IF($CU41&gt;=RAF,"",IF($CU41-DG$103&lt;BeginnAlter,"",ROUND(v^($CU41+FaktorAlter)*$L41*$D41*0.5*(VLOOKUP($CU41-DG$103,Männer!$G$9:$J$102,4)+VLOOKUP($CU41-DG$103+1,Männer!$G$9:$J$102,4))*0.5*(VLOOKUP($CU41-DG$103,Männer!$AZ$9:$BD$102,5)+VLOOKUP($CU41-DG$103+1,Männer!$AZ$9:$BD$102,5)),RundDx)))</f>
        <v>1346130837</v>
      </c>
      <c r="DH41" s="25">
        <f>IF($CU41&gt;=RAF,"",IF($CU41-DH$103&lt;BeginnAlter,"",ROUND(v^($CU41+FaktorAlter)*$L41*$D41*0.5*(VLOOKUP($CU41-DH$103,Männer!$G$9:$J$102,4)+VLOOKUP($CU41-DH$103+1,Männer!$G$9:$J$102,4))*0.5*(VLOOKUP($CU41-DH$103,Männer!$AZ$9:$BD$102,5)+VLOOKUP($CU41-DH$103+1,Männer!$AZ$9:$BD$102,5)),RundDx)))</f>
        <v>1389519878</v>
      </c>
      <c r="DI41" s="25">
        <f>IF($CU41&gt;=RAF,"",IF($CU41-DI$103&lt;BeginnAlter,"",ROUND(v^($CU41+FaktorAlter)*$L41*$D41*0.5*(VLOOKUP($CU41-DI$103,Männer!$G$9:$J$102,4)+VLOOKUP($CU41-DI$103+1,Männer!$G$9:$J$102,4))*0.5*(VLOOKUP($CU41-DI$103,Männer!$AZ$9:$BD$102,5)+VLOOKUP($CU41-DI$103+1,Männer!$AZ$9:$BD$102,5)),RundDx)))</f>
        <v>1432161842</v>
      </c>
      <c r="DJ41" s="25">
        <f>IF($CU41&gt;=RAF,"",IF($CU41-DJ$103&lt;BeginnAlter,"",ROUND(v^($CU41+FaktorAlter)*$L41*$D41*0.5*(VLOOKUP($CU41-DJ$103,Männer!$G$9:$J$102,4)+VLOOKUP($CU41-DJ$103+1,Männer!$G$9:$J$102,4))*0.5*(VLOOKUP($CU41-DJ$103,Männer!$AZ$9:$BD$102,5)+VLOOKUP($CU41-DJ$103+1,Männer!$AZ$9:$BD$102,5)),RundDx)))</f>
        <v>1474061457</v>
      </c>
      <c r="DK41" s="25">
        <f>IF($CU41&gt;=RAF,"",IF($CU41-DK$103&lt;BeginnAlter,"",ROUND(v^($CU41+FaktorAlter)*$L41*$D41*0.5*(VLOOKUP($CU41-DK$103,Männer!$G$9:$J$102,4)+VLOOKUP($CU41-DK$103+1,Männer!$G$9:$J$102,4))*0.5*(VLOOKUP($CU41-DK$103,Männer!$AZ$9:$BD$102,5)+VLOOKUP($CU41-DK$103+1,Männer!$AZ$9:$BD$102,5)),RundDx)))</f>
        <v>1515283587</v>
      </c>
      <c r="DL41" s="25">
        <f>IF($CU41&gt;=RAF,"",IF($CU41-DL$103&lt;BeginnAlter,"",ROUND(v^($CU41+FaktorAlter)*$L41*$D41*0.5*(VLOOKUP($CU41-DL$103,Männer!$G$9:$J$102,4)+VLOOKUP($CU41-DL$103+1,Männer!$G$9:$J$102,4))*0.5*(VLOOKUP($CU41-DL$103,Männer!$AZ$9:$BD$102,5)+VLOOKUP($CU41-DL$103+1,Männer!$AZ$9:$BD$102,5)),RundDx)))</f>
        <v>1555801703</v>
      </c>
      <c r="DM41" s="25">
        <f>IF($CU41&gt;=RAF,"",IF($CU41-DM$103&lt;BeginnAlter,"",ROUND(v^($CU41+FaktorAlter)*$L41*$D41*0.5*(VLOOKUP($CU41-DM$103,Männer!$G$9:$J$102,4)+VLOOKUP($CU41-DM$103+1,Männer!$G$9:$J$102,4))*0.5*(VLOOKUP($CU41-DM$103,Männer!$AZ$9:$BD$102,5)+VLOOKUP($CU41-DM$103+1,Männer!$AZ$9:$BD$102,5)),RundDx)))</f>
        <v>1595572444</v>
      </c>
      <c r="DN41" s="25">
        <f>IF($CU41&gt;=RAF,"",IF($CU41-DN$103&lt;BeginnAlter,"",ROUND(v^($CU41+FaktorAlter)*$L41*$D41*0.5*(VLOOKUP($CU41-DN$103,Männer!$G$9:$J$102,4)+VLOOKUP($CU41-DN$103+1,Männer!$G$9:$J$102,4))*0.5*(VLOOKUP($CU41-DN$103,Männer!$AZ$9:$BD$102,5)+VLOOKUP($CU41-DN$103+1,Männer!$AZ$9:$BD$102,5)),RundDx)))</f>
        <v>1634644947</v>
      </c>
      <c r="DO41" s="25">
        <f>IF($CU41&gt;=RAF,"",IF($CU41-DO$103&lt;BeginnAlter,"",ROUND(v^($CU41+FaktorAlter)*$L41*$D41*0.5*(VLOOKUP($CU41-DO$103,Männer!$G$9:$J$102,4)+VLOOKUP($CU41-DO$103+1,Männer!$G$9:$J$102,4))*0.5*(VLOOKUP($CU41-DO$103,Männer!$AZ$9:$BD$102,5)+VLOOKUP($CU41-DO$103+1,Männer!$AZ$9:$BD$102,5)),RundDx)))</f>
        <v>1673017422</v>
      </c>
      <c r="DP41" s="25">
        <f>IF($CU41&gt;=RAF,"",IF($CU41-DP$103&lt;BeginnAlter,"",ROUND(v^($CU41+FaktorAlter)*$L41*$D41*0.5*(VLOOKUP($CU41-DP$103,Männer!$G$9:$J$102,4)+VLOOKUP($CU41-DP$103+1,Männer!$G$9:$J$102,4))*0.5*(VLOOKUP($CU41-DP$103,Männer!$AZ$9:$BD$102,5)+VLOOKUP($CU41-DP$103+1,Männer!$AZ$9:$BD$102,5)),RundDx)))</f>
        <v>1710690023</v>
      </c>
      <c r="DQ41" s="25">
        <f>IF($CU41&gt;=RAF,"",IF($CU41-DQ$103&lt;BeginnAlter,"",ROUND(v^($CU41+FaktorAlter)*$L41*$D41*0.5*(VLOOKUP($CU41-DQ$103,Männer!$G$9:$J$102,4)+VLOOKUP($CU41-DQ$103+1,Männer!$G$9:$J$102,4))*0.5*(VLOOKUP($CU41-DQ$103,Männer!$AZ$9:$BD$102,5)+VLOOKUP($CU41-DQ$103+1,Männer!$AZ$9:$BD$102,5)),RundDx)))</f>
        <v>1747646916</v>
      </c>
      <c r="DR41" s="25">
        <f>IF($CU41&gt;=RAF,"",IF($CU41-DR$103&lt;BeginnAlter,"",ROUND(v^($CU41+FaktorAlter)*$L41*$D41*0.5*(VLOOKUP($CU41-DR$103,Männer!$G$9:$J$102,4)+VLOOKUP($CU41-DR$103+1,Männer!$G$9:$J$102,4))*0.5*(VLOOKUP($CU41-DR$103,Männer!$AZ$9:$BD$102,5)+VLOOKUP($CU41-DR$103+1,Männer!$AZ$9:$BD$102,5)),RundDx)))</f>
        <v>1783928708</v>
      </c>
      <c r="DS41" s="25">
        <f>IF($CU41&gt;=RAF,"",IF($CU41-DS$103&lt;BeginnAlter,"",ROUND(v^($CU41+FaktorAlter)*$L41*$D41*0.5*(VLOOKUP($CU41-DS$103,Männer!$G$9:$J$102,4)+VLOOKUP($CU41-DS$103+1,Männer!$G$9:$J$102,4))*0.5*(VLOOKUP($CU41-DS$103,Männer!$AZ$9:$BD$102,5)+VLOOKUP($CU41-DS$103+1,Männer!$AZ$9:$BD$102,5)),RundDx)))</f>
        <v>1819568757</v>
      </c>
      <c r="DT41" s="25">
        <f>IF($CU41&gt;=RAF,"",IF($CU41-DT$103&lt;BeginnAlter,"",ROUND(v^($CU41+FaktorAlter)*$L41*$D41*0.5*(VLOOKUP($CU41-DT$103,Männer!$G$9:$J$102,4)+VLOOKUP($CU41-DT$103+1,Männer!$G$9:$J$102,4))*0.5*(VLOOKUP($CU41-DT$103,Männer!$AZ$9:$BD$102,5)+VLOOKUP($CU41-DT$103+1,Männer!$AZ$9:$BD$102,5)),RundDx)))</f>
        <v>1854507026</v>
      </c>
      <c r="DU41" s="25">
        <f>IF($CU41&gt;=RAF,"",IF($CU41-DU$103&lt;BeginnAlter,"",ROUND(v^($CU41+FaktorAlter)*$L41*$D41*0.5*(VLOOKUP($CU41-DU$103,Männer!$G$9:$J$102,4)+VLOOKUP($CU41-DU$103+1,Männer!$G$9:$J$102,4))*0.5*(VLOOKUP($CU41-DU$103,Männer!$AZ$9:$BD$102,5)+VLOOKUP($CU41-DU$103+1,Männer!$AZ$9:$BD$102,5)),RundDx)))</f>
        <v>1888740116</v>
      </c>
      <c r="DV41" s="25">
        <f>IF($CU41&gt;=RAF,"",IF($CU41-DV$103&lt;BeginnAlter,"",ROUND(v^($CU41+FaktorAlter)*$L41*$D41*0.5*(VLOOKUP($CU41-DV$103,Männer!$G$9:$J$102,4)+VLOOKUP($CU41-DV$103+1,Männer!$G$9:$J$102,4))*0.5*(VLOOKUP($CU41-DV$103,Männer!$AZ$9:$BD$102,5)+VLOOKUP($CU41-DV$103+1,Männer!$AZ$9:$BD$102,5)),RundDx)))</f>
        <v>1922369875</v>
      </c>
      <c r="DW41" s="25">
        <f>IF($CU41&gt;=RAF,"",IF($CU41-DW$103&lt;BeginnAlter,"",ROUND(v^($CU41+FaktorAlter)*$L41*$D41*0.5*(VLOOKUP($CU41-DW$103,Männer!$G$9:$J$102,4)+VLOOKUP($CU41-DW$103+1,Männer!$G$9:$J$102,4))*0.5*(VLOOKUP($CU41-DW$103,Männer!$AZ$9:$BD$102,5)+VLOOKUP($CU41-DW$103+1,Männer!$AZ$9:$BD$102,5)),RundDx)))</f>
        <v>1955356807</v>
      </c>
      <c r="DX41" s="25">
        <f>IF($CU41&gt;=RAF,"",IF($CU41-DX$103&lt;BeginnAlter,"",ROUND(v^($CU41+FaktorAlter)*$L41*$D41*0.5*(VLOOKUP($CU41-DX$103,Männer!$G$9:$J$102,4)+VLOOKUP($CU41-DX$103+1,Männer!$G$9:$J$102,4))*0.5*(VLOOKUP($CU41-DX$103,Männer!$AZ$9:$BD$102,5)+VLOOKUP($CU41-DX$103+1,Männer!$AZ$9:$BD$102,5)),RundDx)))</f>
        <v>1987672233</v>
      </c>
      <c r="DY41" s="25">
        <f>IF($CU41&gt;=RAF,"",IF($CU41-DY$103&lt;BeginnAlter,"",ROUND(v^($CU41+FaktorAlter)*$L41*$D41*0.5*(VLOOKUP($CU41-DY$103,Männer!$G$9:$J$102,4)+VLOOKUP($CU41-DY$103+1,Männer!$G$9:$J$102,4))*0.5*(VLOOKUP($CU41-DY$103,Männer!$AZ$9:$BD$102,5)+VLOOKUP($CU41-DY$103+1,Männer!$AZ$9:$BD$102,5)),RundDx)))</f>
        <v>2019382755</v>
      </c>
      <c r="DZ41" s="25">
        <f>IF($CU41&gt;=RAF,"",IF($CU41-DZ$103&lt;BeginnAlter,"",ROUND(v^($CU41+FaktorAlter)*$L41*$D41*0.5*(VLOOKUP($CU41-DZ$103,Männer!$G$9:$J$102,4)+VLOOKUP($CU41-DZ$103+1,Männer!$G$9:$J$102,4))*0.5*(VLOOKUP($CU41-DZ$103,Männer!$AZ$9:$BD$102,5)+VLOOKUP($CU41-DZ$103+1,Männer!$AZ$9:$BD$102,5)),RundDx)))</f>
        <v>2050441092</v>
      </c>
      <c r="EA41" s="43">
        <f>IF($CU41&gt;=RAF,"",IF($CU41-EA$103&lt;BeginnAlter,"",ROUND((SUM(CV41:CV$56)+SUM(FN$9:FN$56))/VLOOKUP($CU41,$AH$9:$AI$102,2)/VLOOKUP($CU41-EA$103,Männer!$G$9:$J$102,4),Rundäx)))</f>
        <v>2.2429999999999999</v>
      </c>
      <c r="EB41" s="43">
        <f>IF($CU41&gt;=RAF,"",IF($CU41-EB$103&lt;BeginnAlter,"",ROUND((SUM(CW41:CW$56)+SUM(FO$9:FO$56))/VLOOKUP($CU41,$AH$9:$AI$102,2)/VLOOKUP($CU41-EB$103,Männer!$G$9:$J$102,4),Rundäx)))</f>
        <v>2.375</v>
      </c>
      <c r="EC41" s="43">
        <f>IF($CU41&gt;=RAF,"",IF($CU41-EC$103&lt;BeginnAlter,"",ROUND((SUM(CX41:CX$56)+SUM(FP$9:FP$56))/VLOOKUP($CU41,$AH$9:$AI$102,2)/VLOOKUP($CU41-EC$103,Männer!$G$9:$J$102,4),Rundäx)))</f>
        <v>2.5110000000000001</v>
      </c>
      <c r="ED41" s="43">
        <f>IF($CU41&gt;=RAF,"",IF($CU41-ED$103&lt;BeginnAlter,"",ROUND((SUM(CY41:CY$56)+SUM(FQ$9:FQ$56))/VLOOKUP($CU41,$AH$9:$AI$102,2)/VLOOKUP($CU41-ED$103,Männer!$G$9:$J$102,4),Rundäx)))</f>
        <v>2.653</v>
      </c>
      <c r="EE41" s="43">
        <f>IF($CU41&gt;=RAF,"",IF($CU41-EE$103&lt;BeginnAlter,"",ROUND((SUM(CZ41:CZ$56)+SUM(FR$9:FR$56))/VLOOKUP($CU41,$AH$9:$AI$102,2)/VLOOKUP($CU41-EE$103,Männer!$G$9:$J$102,4),Rundäx)))</f>
        <v>2.8</v>
      </c>
      <c r="EF41" s="43">
        <f>IF($CU41&gt;=RAF,"",IF($CU41-EF$103&lt;BeginnAlter,"",ROUND((SUM(DA41:DA$56)+SUM(FS$9:FS$56))/VLOOKUP($CU41,$AH$9:$AI$102,2)/VLOOKUP($CU41-EF$103,Männer!$G$9:$J$102,4),Rundäx)))</f>
        <v>2.9529999999999998</v>
      </c>
      <c r="EG41" s="43">
        <f>IF($CU41&gt;=RAF,"",IF($CU41-EG$103&lt;BeginnAlter,"",ROUND((SUM(DB41:DB$56)+SUM(FT$9:FT$56))/VLOOKUP($CU41,$AH$9:$AI$102,2)/VLOOKUP($CU41-EG$103,Männer!$G$9:$J$102,4),Rundäx)))</f>
        <v>3.113</v>
      </c>
      <c r="EH41" s="43">
        <f>IF($CU41&gt;=RAF,"",IF($CU41-EH$103&lt;BeginnAlter,"",ROUND((SUM(DC41:DC$56)+SUM(FU$9:FU$56))/VLOOKUP($CU41,$AH$9:$AI$102,2)/VLOOKUP($CU41-EH$103,Männer!$G$9:$J$102,4),Rundäx)))</f>
        <v>3.28</v>
      </c>
      <c r="EI41" s="89"/>
      <c r="EJ41" s="35">
        <f t="shared" si="61"/>
        <v>49</v>
      </c>
      <c r="EK41" s="43">
        <f>IF($CU41&gt;=RAF,"",IF($CU41-EK$103&lt;BeginnAlter,"",ROUND((SUM(DD41:DD$56)+SUM(FV$9:FV$56))/VLOOKUP($CU41,$AH$9:$AI$102,2)/VLOOKUP($CU41-EK$103,Männer!$G$9:$J$102,4),Rundäx)))</f>
        <v>3.4540000000000002</v>
      </c>
      <c r="EL41" s="43">
        <f>IF($CU41&gt;=RAF,"",IF($CU41-EL$103&lt;BeginnAlter,"",ROUND((SUM(DE41:DE$56)+SUM(FW$9:FW$56))/VLOOKUP($CU41,$AH$9:$AI$102,2)/VLOOKUP($CU41-EL$103,Männer!$G$9:$J$102,4),Rundäx)))</f>
        <v>3.6349999999999998</v>
      </c>
      <c r="EM41" s="43">
        <f>IF($CU41&gt;=RAF,"",IF($CU41-EM$103&lt;BeginnAlter,"",ROUND((SUM(DF41:DF$56)+SUM(FX$9:FX$56))/VLOOKUP($CU41,$AH$9:$AI$102,2)/VLOOKUP($CU41-EM$103,Männer!$G$9:$J$102,4),Rundäx)))</f>
        <v>3.8239999999999998</v>
      </c>
      <c r="EN41" s="43">
        <f>IF($CU41&gt;=RAF,"",IF($CU41-EN$103&lt;BeginnAlter,"",ROUND((SUM(DG41:DG$56)+SUM(FY$9:FY$56))/VLOOKUP($CU41,$AH$9:$AI$102,2)/VLOOKUP($CU41-EN$103,Männer!$G$9:$J$102,4),Rundäx)))</f>
        <v>4.0190000000000001</v>
      </c>
      <c r="EO41" s="43">
        <f>IF($CU41&gt;=RAF,"",IF($CU41-EO$103&lt;BeginnAlter,"",ROUND((SUM(DH41:DH$56)+SUM(FZ$9:FZ$56))/VLOOKUP($CU41,$AH$9:$AI$102,2)/VLOOKUP($CU41-EO$103,Männer!$G$9:$J$102,4),Rundäx)))</f>
        <v>4.2220000000000004</v>
      </c>
      <c r="EP41" s="43">
        <f>IF($CU41&gt;=RAF,"",IF($CU41-EP$103&lt;BeginnAlter,"",ROUND((SUM(DI41:DI$56)+SUM(GA$9:GA$56))/VLOOKUP($CU41,$AH$9:$AI$102,2)/VLOOKUP($CU41-EP$103,Männer!$G$9:$J$102,4),Rundäx)))</f>
        <v>4.431</v>
      </c>
      <c r="EQ41" s="43">
        <f>IF($CU41&gt;=RAF,"",IF($CU41-EQ$103&lt;BeginnAlter,"",ROUND((SUM(DJ41:DJ$56)+SUM(GB$9:GB$56))/VLOOKUP($CU41,$AH$9:$AI$102,2)/VLOOKUP($CU41-EQ$103,Männer!$G$9:$J$102,4),Rundäx)))</f>
        <v>4.6470000000000002</v>
      </c>
      <c r="ER41" s="43">
        <f>IF($CU41&gt;=RAF,"",IF($CU41-ER$103&lt;BeginnAlter,"",ROUND((SUM(DK41:DK$56)+SUM(GC$9:GC$56))/VLOOKUP($CU41,$AH$9:$AI$102,2)/VLOOKUP($CU41-ER$103,Männer!$G$9:$J$102,4),Rundäx)))</f>
        <v>4.8689999999999998</v>
      </c>
      <c r="ES41" s="89"/>
      <c r="ET41" s="35">
        <f t="shared" si="62"/>
        <v>49</v>
      </c>
      <c r="EU41" s="43">
        <f>IF($CU41&gt;=RAF,"",IF($CU41-EU$103&lt;BeginnAlter,"",ROUND((SUM(DL41:DL$56)+SUM(GD$9:GD$56))/VLOOKUP($CU41,$AH$9:$AI$102,2)/VLOOKUP($CU41-EU$103,Männer!$G$9:$J$102,4),Rundäx)))</f>
        <v>5.0970000000000004</v>
      </c>
      <c r="EV41" s="43">
        <f>IF($CU41&gt;=RAF,"",IF($CU41-EV$103&lt;BeginnAlter,"",ROUND((SUM(DM41:DM$56)+SUM(GE$9:GE$56))/VLOOKUP($CU41,$AH$9:$AI$102,2)/VLOOKUP($CU41-EV$103,Männer!$G$9:$J$102,4),Rundäx)))</f>
        <v>5.33</v>
      </c>
      <c r="EW41" s="43">
        <f>IF($CU41&gt;=RAF,"",IF($CU41-EW$103&lt;BeginnAlter,"",ROUND((SUM(DN41:DN$56)+SUM(GF$9:GF$56))/VLOOKUP($CU41,$AH$9:$AI$102,2)/VLOOKUP($CU41-EW$103,Männer!$G$9:$J$102,4),Rundäx)))</f>
        <v>5.569</v>
      </c>
      <c r="EX41" s="43">
        <f>IF($CU41&gt;=RAF,"",IF($CU41-EX$103&lt;BeginnAlter,"",ROUND((SUM(DO41:DO$56)+SUM(GG$9:GG$56))/VLOOKUP($CU41,$AH$9:$AI$102,2)/VLOOKUP($CU41-EX$103,Männer!$G$9:$J$102,4),Rundäx)))</f>
        <v>5.8120000000000003</v>
      </c>
      <c r="EY41" s="43">
        <f>IF($CU41&gt;=RAF,"",IF($CU41-EY$103&lt;BeginnAlter,"",ROUND((SUM(DP41:DP$56)+SUM(GH$9:GH$56))/VLOOKUP($CU41,$AH$9:$AI$102,2)/VLOOKUP($CU41-EY$103,Männer!$G$9:$J$102,4),Rundäx)))</f>
        <v>6.06</v>
      </c>
      <c r="EZ41" s="43">
        <f>IF($CU41&gt;=RAF,"",IF($CU41-EZ$103&lt;BeginnAlter,"",ROUND((SUM(DQ41:DQ$56)+SUM(GI$9:GI$56))/VLOOKUP($CU41,$AH$9:$AI$102,2)/VLOOKUP($CU41-EZ$103,Männer!$G$9:$J$102,4),Rundäx)))</f>
        <v>6.3109999999999999</v>
      </c>
      <c r="FA41" s="43">
        <f>IF($CU41&gt;=RAF,"",IF($CU41-FA$103&lt;BeginnAlter,"",ROUND((SUM(DR41:DR$56)+SUM(GJ$9:GJ$56))/VLOOKUP($CU41,$AH$9:$AI$102,2)/VLOOKUP($CU41-FA$103,Männer!$G$9:$J$102,4),Rundäx)))</f>
        <v>6.5659999999999998</v>
      </c>
      <c r="FB41" s="43">
        <f>IF($CU41&gt;=RAF,"",IF($CU41-FB$103&lt;BeginnAlter,"",ROUND((SUM(DS41:DS$56)+SUM(GK$9:GK$56))/VLOOKUP($CU41,$AH$9:$AI$102,2)/VLOOKUP($CU41-FB$103,Männer!$G$9:$J$102,4),Rundäx)))</f>
        <v>6.8230000000000004</v>
      </c>
      <c r="FC41" s="89"/>
      <c r="FD41" s="35">
        <f t="shared" si="63"/>
        <v>49</v>
      </c>
      <c r="FE41" s="43">
        <f>IF($CU41&gt;=RAF,"",IF($CU41-FE$103&lt;BeginnAlter,"",ROUND((SUM(DT41:DT$56)+SUM(GL$9:GL$56))/VLOOKUP($CU41,$AH$9:$AI$102,2)/VLOOKUP($CU41-FE$103,Männer!$G$9:$J$102,4),Rundäx)))</f>
        <v>7.0830000000000002</v>
      </c>
      <c r="FF41" s="43">
        <f>IF($CU41&gt;=RAF,"",IF($CU41-FF$103&lt;BeginnAlter,"",ROUND((SUM(DU41:DU$56)+SUM(GM$9:GM$56))/VLOOKUP($CU41,$AH$9:$AI$102,2)/VLOOKUP($CU41-FF$103,Männer!$G$9:$J$102,4),Rundäx)))</f>
        <v>7.3449999999999998</v>
      </c>
      <c r="FG41" s="43">
        <f>IF($CU41&gt;=RAF,"",IF($CU41-FG$103&lt;BeginnAlter,"",ROUND((SUM(DV41:DV$56)+SUM(GN$9:GN$56))/VLOOKUP($CU41,$AH$9:$AI$102,2)/VLOOKUP($CU41-FG$103,Männer!$G$9:$J$102,4),Rundäx)))</f>
        <v>7.6079999999999997</v>
      </c>
      <c r="FH41" s="43">
        <f>IF($CU41&gt;=RAF,"",IF($CU41-FH$103&lt;BeginnAlter,"",ROUND((SUM(DW41:DW$56)+SUM(GO$9:GO$56))/VLOOKUP($CU41,$AH$9:$AI$102,2)/VLOOKUP($CU41-FH$103,Männer!$G$9:$J$102,4),Rundäx)))</f>
        <v>7.8730000000000002</v>
      </c>
      <c r="FI41" s="43">
        <f>IF($CU41&gt;=RAF,"",IF($CU41-FI$103&lt;BeginnAlter,"",ROUND((SUM(DX41:DX$56)+SUM(GP$9:GP$56))/VLOOKUP($CU41,$AH$9:$AI$102,2)/VLOOKUP($CU41-FI$103,Männer!$G$9:$J$102,4),Rundäx)))</f>
        <v>8.1389999999999993</v>
      </c>
      <c r="FJ41" s="43">
        <f>IF($CU41&gt;=RAF,"",IF($CU41-FJ$103&lt;BeginnAlter,"",ROUND((SUM(DY41:DY$56)+SUM(GQ$9:GQ$56))/VLOOKUP($CU41,$AH$9:$AI$102,2)/VLOOKUP($CU41-FJ$103,Männer!$G$9:$J$102,4),Rundäx)))</f>
        <v>8.4049999999999994</v>
      </c>
      <c r="FK41" s="43">
        <f>IF($CU41&gt;=RAF,"",IF($CU41-FK$103&lt;BeginnAlter,"",ROUND((SUM(DZ41:DZ$56)+SUM(GR$9:GR$56))/VLOOKUP($CU41,$AH$9:$AI$102,2)/VLOOKUP($CU41-FK$103,Männer!$G$9:$J$102,4),Rundäx)))</f>
        <v>8.6709999999999994</v>
      </c>
      <c r="FL41" s="89"/>
      <c r="FM41" s="35">
        <f t="shared" si="64"/>
        <v>96</v>
      </c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>
        <f>ROUND(v^($FM41+FaktorAlter)*VLOOKUP($FM41,$G$9:$J$102,4)*VLOOKUP($FM41,$A$9:$E$102,5)*0.5*(VLOOKUP($FM41-FY$103,Männer!$G$9:$J$102,4)+VLOOKUP($FM41-FY$103+1,Männer!$G$9:$J$102,4))*0.5*(VLOOKUP($FM41-FY$103,Männer!$AZ$9:$BD$102,5)+VLOOKUP($FM41-FY$103+1,Männer!$AZ$9:$BD$102,5)),RundDx)</f>
        <v>46881</v>
      </c>
      <c r="FZ41" s="25">
        <f>ROUND(v^($FM41+FaktorAlter)*VLOOKUP($FM41,$G$9:$J$102,4)*VLOOKUP($FM41,$A$9:$E$102,5)*0.5*(VLOOKUP($FM41-FZ$103,Männer!$G$9:$J$102,4)+VLOOKUP($FM41-FZ$103+1,Männer!$G$9:$J$102,4))*0.5*(VLOOKUP($FM41-FZ$103,Männer!$AZ$9:$BD$102,5)+VLOOKUP($FM41-FZ$103+1,Männer!$AZ$9:$BD$102,5)),RundDx)</f>
        <v>123637</v>
      </c>
      <c r="GA41" s="25">
        <f>ROUND(v^($FM41+FaktorAlter)*VLOOKUP($FM41,$G$9:$J$102,4)*VLOOKUP($FM41,$A$9:$E$102,5)*0.5*(VLOOKUP($FM41-GA$103,Männer!$G$9:$J$102,4)+VLOOKUP($FM41-GA$103+1,Männer!$G$9:$J$102,4))*0.5*(VLOOKUP($FM41-GA$103,Männer!$AZ$9:$BD$102,5)+VLOOKUP($FM41-GA$103+1,Männer!$AZ$9:$BD$102,5)),RundDx)</f>
        <v>278130</v>
      </c>
      <c r="GB41" s="25">
        <f>ROUND(v^($FM41+FaktorAlter)*VLOOKUP($FM41,$G$9:$J$102,4)*VLOOKUP($FM41,$A$9:$E$102,5)*0.5*(VLOOKUP($FM41-GB$103,Männer!$G$9:$J$102,4)+VLOOKUP($FM41-GB$103+1,Männer!$G$9:$J$102,4))*0.5*(VLOOKUP($FM41-GB$103,Männer!$AZ$9:$BD$102,5)+VLOOKUP($FM41-GB$103+1,Männer!$AZ$9:$BD$102,5)),RundDx)</f>
        <v>566438</v>
      </c>
      <c r="GC41" s="25">
        <f>ROUND(v^($FM41+FaktorAlter)*VLOOKUP($FM41,$G$9:$J$102,4)*VLOOKUP($FM41,$A$9:$E$102,5)*0.5*(VLOOKUP($FM41-GC$103,Männer!$G$9:$J$102,4)+VLOOKUP($FM41-GC$103+1,Männer!$G$9:$J$102,4))*0.5*(VLOOKUP($FM41-GC$103,Männer!$AZ$9:$BD$102,5)+VLOOKUP($FM41-GC$103+1,Männer!$AZ$9:$BD$102,5)),RundDx)</f>
        <v>1056393</v>
      </c>
      <c r="GD41" s="25">
        <f>ROUND(v^($FM41+FaktorAlter)*VLOOKUP($FM41,$G$9:$J$102,4)*VLOOKUP($FM41,$A$9:$E$102,5)*0.5*(VLOOKUP($FM41-GD$103,Männer!$G$9:$J$102,4)+VLOOKUP($FM41-GD$103+1,Männer!$G$9:$J$102,4))*0.5*(VLOOKUP($FM41-GD$103,Männer!$AZ$9:$BD$102,5)+VLOOKUP($FM41-GD$103+1,Männer!$AZ$9:$BD$102,5)),RundDx)</f>
        <v>1828456</v>
      </c>
      <c r="GE41" s="25">
        <f>ROUND(v^($FM41+FaktorAlter)*VLOOKUP($FM41,$G$9:$J$102,4)*VLOOKUP($FM41,$A$9:$E$102,5)*0.5*(VLOOKUP($FM41-GE$103,Männer!$G$9:$J$102,4)+VLOOKUP($FM41-GE$103+1,Männer!$G$9:$J$102,4))*0.5*(VLOOKUP($FM41-GE$103,Männer!$AZ$9:$BD$102,5)+VLOOKUP($FM41-GE$103+1,Männer!$AZ$9:$BD$102,5)),RundDx)</f>
        <v>2971875</v>
      </c>
      <c r="GF41" s="25">
        <f>ROUND(v^($FM41+FaktorAlter)*VLOOKUP($FM41,$G$9:$J$102,4)*VLOOKUP($FM41,$A$9:$E$102,5)*0.5*(VLOOKUP($FM41-GF$103,Männer!$G$9:$J$102,4)+VLOOKUP($FM41-GF$103+1,Männer!$G$9:$J$102,4))*0.5*(VLOOKUP($FM41-GF$103,Männer!$AZ$9:$BD$102,5)+VLOOKUP($FM41-GF$103+1,Männer!$AZ$9:$BD$102,5)),RundDx)</f>
        <v>4573401</v>
      </c>
      <c r="GG41" s="25">
        <f>ROUND(v^($FM41+FaktorAlter)*VLOOKUP($FM41,$G$9:$J$102,4)*VLOOKUP($FM41,$A$9:$E$102,5)*0.5*(VLOOKUP($FM41-GG$103,Männer!$G$9:$J$102,4)+VLOOKUP($FM41-GG$103+1,Männer!$G$9:$J$102,4))*0.5*(VLOOKUP($FM41-GG$103,Männer!$AZ$9:$BD$102,5)+VLOOKUP($FM41-GG$103+1,Männer!$AZ$9:$BD$102,5)),RundDx)</f>
        <v>6724477</v>
      </c>
      <c r="GH41" s="25">
        <f>ROUND(v^($FM41+FaktorAlter)*VLOOKUP($FM41,$G$9:$J$102,4)*VLOOKUP($FM41,$A$9:$E$102,5)*0.5*(VLOOKUP($FM41-GH$103,Männer!$G$9:$J$102,4)+VLOOKUP($FM41-GH$103+1,Männer!$G$9:$J$102,4))*0.5*(VLOOKUP($FM41-GH$103,Männer!$AZ$9:$BD$102,5)+VLOOKUP($FM41-GH$103+1,Männer!$AZ$9:$BD$102,5)),RundDx)</f>
        <v>9508254</v>
      </c>
      <c r="GI41" s="25">
        <f>ROUND(v^($FM41+FaktorAlter)*VLOOKUP($FM41,$G$9:$J$102,4)*VLOOKUP($FM41,$A$9:$E$102,5)*0.5*(VLOOKUP($FM41-GI$103,Männer!$G$9:$J$102,4)+VLOOKUP($FM41-GI$103+1,Männer!$G$9:$J$102,4))*0.5*(VLOOKUP($FM41-GI$103,Männer!$AZ$9:$BD$102,5)+VLOOKUP($FM41-GI$103+1,Männer!$AZ$9:$BD$102,5)),RundDx)</f>
        <v>12985738</v>
      </c>
      <c r="GJ41" s="25">
        <f>ROUND(v^($FM41+FaktorAlter)*VLOOKUP($FM41,$G$9:$J$102,4)*VLOOKUP($FM41,$A$9:$E$102,5)*0.5*(VLOOKUP($FM41-GJ$103,Männer!$G$9:$J$102,4)+VLOOKUP($FM41-GJ$103+1,Männer!$G$9:$J$102,4))*0.5*(VLOOKUP($FM41-GJ$103,Männer!$AZ$9:$BD$102,5)+VLOOKUP($FM41-GJ$103+1,Männer!$AZ$9:$BD$102,5)),RundDx)</f>
        <v>17203973</v>
      </c>
      <c r="GK41" s="25">
        <f>ROUND(v^($FM41+FaktorAlter)*VLOOKUP($FM41,$G$9:$J$102,4)*VLOOKUP($FM41,$A$9:$E$102,5)*0.5*(VLOOKUP($FM41-GK$103,Männer!$G$9:$J$102,4)+VLOOKUP($FM41-GK$103+1,Männer!$G$9:$J$102,4))*0.5*(VLOOKUP($FM41-GK$103,Männer!$AZ$9:$BD$102,5)+VLOOKUP($FM41-GK$103+1,Männer!$AZ$9:$BD$102,5)),RundDx)</f>
        <v>22187237</v>
      </c>
      <c r="GL41" s="25">
        <f>ROUND(v^($FM41+FaktorAlter)*VLOOKUP($FM41,$G$9:$J$102,4)*VLOOKUP($FM41,$A$9:$E$102,5)*0.5*(VLOOKUP($FM41-GL$103,Männer!$G$9:$J$102,4)+VLOOKUP($FM41-GL$103+1,Männer!$G$9:$J$102,4))*0.5*(VLOOKUP($FM41-GL$103,Männer!$AZ$9:$BD$102,5)+VLOOKUP($FM41-GL$103+1,Männer!$AZ$9:$BD$102,5)),RundDx)</f>
        <v>27917310</v>
      </c>
      <c r="GM41" s="25">
        <f>ROUND(v^($FM41+FaktorAlter)*VLOOKUP($FM41,$G$9:$J$102,4)*VLOOKUP($FM41,$A$9:$E$102,5)*0.5*(VLOOKUP($FM41-GM$103,Männer!$G$9:$J$102,4)+VLOOKUP($FM41-GM$103+1,Männer!$G$9:$J$102,4))*0.5*(VLOOKUP($FM41-GM$103,Männer!$AZ$9:$BD$102,5)+VLOOKUP($FM41-GM$103+1,Männer!$AZ$9:$BD$102,5)),RundDx)</f>
        <v>34357973</v>
      </c>
      <c r="GN41" s="25">
        <f>ROUND(v^($FM41+FaktorAlter)*VLOOKUP($FM41,$G$9:$J$102,4)*VLOOKUP($FM41,$A$9:$E$102,5)*0.5*(VLOOKUP($FM41-GN$103,Männer!$G$9:$J$102,4)+VLOOKUP($FM41-GN$103+1,Männer!$G$9:$J$102,4))*0.5*(VLOOKUP($FM41-GN$103,Männer!$AZ$9:$BD$102,5)+VLOOKUP($FM41-GN$103+1,Männer!$AZ$9:$BD$102,5)),RundDx)</f>
        <v>41490868</v>
      </c>
      <c r="GO41" s="25">
        <f>ROUND(v^($FM41+FaktorAlter)*VLOOKUP($FM41,$G$9:$J$102,4)*VLOOKUP($FM41,$A$9:$E$102,5)*0.5*(VLOOKUP($FM41-GO$103,Männer!$G$9:$J$102,4)+VLOOKUP($FM41-GO$103+1,Männer!$G$9:$J$102,4))*0.5*(VLOOKUP($FM41-GO$103,Männer!$AZ$9:$BD$102,5)+VLOOKUP($FM41-GO$103+1,Männer!$AZ$9:$BD$102,5)),RundDx)</f>
        <v>49291884</v>
      </c>
      <c r="GP41" s="25">
        <f>ROUND(v^($FM41+FaktorAlter)*VLOOKUP($FM41,$G$9:$J$102,4)*VLOOKUP($FM41,$A$9:$E$102,5)*0.5*(VLOOKUP($FM41-GP$103,Männer!$G$9:$J$102,4)+VLOOKUP($FM41-GP$103+1,Männer!$G$9:$J$102,4))*0.5*(VLOOKUP($FM41-GP$103,Männer!$AZ$9:$BD$102,5)+VLOOKUP($FM41-GP$103+1,Männer!$AZ$9:$BD$102,5)),RundDx)</f>
        <v>57720774</v>
      </c>
      <c r="GQ41" s="25">
        <f>ROUND(v^($FM41+FaktorAlter)*VLOOKUP($FM41,$G$9:$J$102,4)*VLOOKUP($FM41,$A$9:$E$102,5)*0.5*(VLOOKUP($FM41-GQ$103,Männer!$G$9:$J$102,4)+VLOOKUP($FM41-GQ$103+1,Männer!$G$9:$J$102,4))*0.5*(VLOOKUP($FM41-GQ$103,Männer!$AZ$9:$BD$102,5)+VLOOKUP($FM41-GQ$103+1,Männer!$AZ$9:$BD$102,5)),RundDx)</f>
        <v>66745896</v>
      </c>
      <c r="GR41" s="25">
        <f>ROUND(v^($FM41+FaktorAlter)*VLOOKUP($FM41,$G$9:$J$102,4)*VLOOKUP($FM41,$A$9:$E$102,5)*0.5*(VLOOKUP($FM41-GR$103,Männer!$G$9:$J$102,4)+VLOOKUP($FM41-GR$103+1,Männer!$G$9:$J$102,4))*0.5*(VLOOKUP($FM41-GR$103,Männer!$AZ$9:$BD$102,5)+VLOOKUP($FM41-GR$103+1,Männer!$AZ$9:$BD$102,5)),RundDx)</f>
        <v>76330724</v>
      </c>
      <c r="GS41" s="24"/>
      <c r="GT41" s="24"/>
      <c r="GU41" s="24"/>
      <c r="GV41" s="24"/>
      <c r="GW41" s="24"/>
      <c r="GX41" s="24"/>
      <c r="GY41" s="24"/>
      <c r="GZ41" s="24"/>
      <c r="HA41" s="89"/>
      <c r="HB41" s="35">
        <f t="shared" si="65"/>
        <v>96</v>
      </c>
      <c r="HC41" s="24"/>
      <c r="HD41" s="24"/>
      <c r="HE41" s="24">
        <f>ROUND(SUM(FX41:FX$56)/VLOOKUP($FM41,$AQ$9:$AR$102,2)/VLOOKUP($FM41-HE$103,Männer!$G$9:$J$102,4),Rundäx)</f>
        <v>0</v>
      </c>
      <c r="HF41" s="24">
        <f>ROUND(SUM(FY41:FY$56)/VLOOKUP($FM41,$AQ$9:$AR$102,2)/VLOOKUP($FM41-HF$103,Männer!$G$9:$J$102,4),Rundäx)</f>
        <v>0.192</v>
      </c>
      <c r="HG41" s="24">
        <f>ROUND(SUM(FZ41:FZ$56)/VLOOKUP($FM41,$AQ$9:$AR$102,2)/VLOOKUP($FM41-HG$103,Männer!$G$9:$J$102,4),Rundäx)</f>
        <v>0.308</v>
      </c>
      <c r="HH41" s="24">
        <f>ROUND(SUM(GA41:GA$56)/VLOOKUP($FM41,$AQ$9:$AR$102,2)/VLOOKUP($FM41-HH$103,Männer!$G$9:$J$102,4),Rundäx)</f>
        <v>0.40600000000000003</v>
      </c>
      <c r="HI41" s="24">
        <f>ROUND(SUM(GB41:GB$56)/VLOOKUP($FM41,$AQ$9:$AR$102,2)/VLOOKUP($FM41-HI$103,Männer!$G$9:$J$102,4),Rundäx)</f>
        <v>0.51</v>
      </c>
      <c r="HJ41" s="24">
        <f>ROUND(SUM(GC41:GC$56)/VLOOKUP($FM41,$AQ$9:$AR$102,2)/VLOOKUP($FM41-HJ$103,Männer!$G$9:$J$102,4),Rundäx)</f>
        <v>0.627</v>
      </c>
      <c r="HK41" s="89"/>
      <c r="HL41" s="35">
        <f t="shared" si="66"/>
        <v>96</v>
      </c>
      <c r="HM41" s="24">
        <f>ROUND(SUM(GD41:GD$56)/VLOOKUP($FM41,$AQ$9:$AR$102,2)/VLOOKUP($FM41-HM$103,Männer!$G$9:$J$102,4),Rundäx)</f>
        <v>0.76</v>
      </c>
      <c r="HN41" s="24">
        <f>ROUND(SUM(GE41:GE$56)/VLOOKUP($FM41,$AQ$9:$AR$102,2)/VLOOKUP($FM41-HN$103,Männer!$G$9:$J$102,4),Rundäx)</f>
        <v>0.91</v>
      </c>
      <c r="HO41" s="24">
        <f>ROUND(SUM(GF41:GF$56)/VLOOKUP($FM41,$AQ$9:$AR$102,2)/VLOOKUP($FM41-HO$103,Männer!$G$9:$J$102,4),Rundäx)</f>
        <v>1.079</v>
      </c>
      <c r="HP41" s="24">
        <f>ROUND(SUM(GG41:GG$56)/VLOOKUP($FM41,$AQ$9:$AR$102,2)/VLOOKUP($FM41-HP$103,Männer!$G$9:$J$102,4),Rundäx)</f>
        <v>1.2669999999999999</v>
      </c>
      <c r="HQ41" s="24">
        <f>ROUND(SUM(GH41:GH$56)/VLOOKUP($FM41,$AQ$9:$AR$102,2)/VLOOKUP($FM41-HQ$103,Männer!$G$9:$J$102,4),Rundäx)</f>
        <v>1.476</v>
      </c>
      <c r="HR41" s="24">
        <f>ROUND(SUM(GI41:GI$56)/VLOOKUP($FM41,$AQ$9:$AR$102,2)/VLOOKUP($FM41-HR$103,Männer!$G$9:$J$102,4),Rundäx)</f>
        <v>1.7050000000000001</v>
      </c>
      <c r="HS41" s="24">
        <f>ROUND(SUM(GJ41:GJ$56)/VLOOKUP($FM41,$AQ$9:$AR$102,2)/VLOOKUP($FM41-HS$103,Männer!$G$9:$J$102,4),Rundäx)</f>
        <v>1.956</v>
      </c>
      <c r="HT41" s="24">
        <f>ROUND(SUM(GK41:GK$56)/VLOOKUP($FM41,$AQ$9:$AR$102,2)/VLOOKUP($FM41-HT$103,Männer!$G$9:$J$102,4),Rundäx)</f>
        <v>2.226</v>
      </c>
      <c r="HU41" s="89"/>
      <c r="HV41" s="35">
        <f t="shared" si="67"/>
        <v>96</v>
      </c>
      <c r="HW41" s="24">
        <f>ROUND(SUM(GL41:GL$56)/VLOOKUP($FM41,$AQ$9:$AR$102,2)/VLOOKUP($FM41-HW$103,Männer!$G$9:$J$102,4),Rundäx)</f>
        <v>2.5139999999999998</v>
      </c>
      <c r="HX41" s="24">
        <f>ROUND(SUM(GM41:GM$56)/VLOOKUP($FM41,$AQ$9:$AR$102,2)/VLOOKUP($FM41-HX$103,Männer!$G$9:$J$102,4),Rundäx)</f>
        <v>2.8180000000000001</v>
      </c>
      <c r="HY41" s="24">
        <f>ROUND(SUM(GN41:GN$56)/VLOOKUP($FM41,$AQ$9:$AR$102,2)/VLOOKUP($FM41-HY$103,Männer!$G$9:$J$102,4),Rundäx)</f>
        <v>3.1339999999999999</v>
      </c>
      <c r="HZ41" s="24">
        <f>ROUND(SUM(GO41:GO$56)/VLOOKUP($FM41,$AQ$9:$AR$102,2)/VLOOKUP($FM41-HZ$103,Männer!$G$9:$J$102,4),Rundäx)</f>
        <v>3.4620000000000002</v>
      </c>
      <c r="IA41" s="24">
        <f>ROUND(SUM(GP41:GP$56)/VLOOKUP($FM41,$AQ$9:$AR$102,2)/VLOOKUP($FM41-IA$103,Männer!$G$9:$J$102,4),Rundäx)</f>
        <v>3.8</v>
      </c>
      <c r="IB41" s="24">
        <f>ROUND(SUM(GQ41:GQ$56)/VLOOKUP($FM41,$AQ$9:$AR$102,2)/VLOOKUP($FM41-IB$103,Männer!$G$9:$J$102,4),Rundäx)</f>
        <v>4.1470000000000002</v>
      </c>
      <c r="IC41" s="24">
        <f>ROUND(SUM(GR41:GR$56)/VLOOKUP($FM41,$AQ$9:$AR$102,2)/VLOOKUP($FM41-IC$103,Männer!$G$9:$J$102,4),Rundäx)</f>
        <v>4.5019999999999998</v>
      </c>
      <c r="ID41" s="89"/>
      <c r="IE41" s="9">
        <f t="shared" si="68"/>
        <v>49</v>
      </c>
      <c r="IF41" s="11">
        <f t="shared" si="25"/>
        <v>84</v>
      </c>
      <c r="IG41" s="11">
        <f>IF($IE41&lt;RAF,IF(S42&lt;=RAK,ROUND(SUM(IF41:INDEX(Daky,RAF-BeginnAlter))+INDEX(Day,RAF-BeginnAlter+1)*INDEX(äky,1),RundDx),0),"")</f>
        <v>322</v>
      </c>
      <c r="IH41" s="11">
        <f>IF($IE41&lt;RAF,IF(S42&lt;=RAK,ROUND(SUM(IG41:INDEX(Naky,RAF-BeginnAlter))+INDEX(Day,RAF-BeginnAlter+1)*INDEX(äky,1),RundDx),0),"")</f>
        <v>1107</v>
      </c>
      <c r="II41" s="10">
        <f t="shared" si="26"/>
        <v>0.01</v>
      </c>
      <c r="IJ41" s="11">
        <f t="shared" si="27"/>
        <v>1298</v>
      </c>
      <c r="IK41" s="11">
        <f>IF($IE41&lt;RAF,IF(S42&lt;=RAK,SUM(IJ41:INDEX(Diky,RAF-BeginnAlter))+INDEX(Diy,RAF-BeginnAlter+1)*INDEX(äky,1),0),"")</f>
        <v>4077</v>
      </c>
      <c r="IL41" s="10">
        <f t="shared" si="28"/>
        <v>9.8000000000000004E-2</v>
      </c>
      <c r="IM41" s="89"/>
      <c r="IN41" s="9">
        <f t="shared" si="29"/>
        <v>96</v>
      </c>
      <c r="IO41" s="11"/>
      <c r="IP41" s="11"/>
      <c r="IQ41" s="10"/>
      <c r="IR41" s="86"/>
    </row>
    <row r="42" spans="1:252" ht="15.75" customHeight="1" x14ac:dyDescent="0.25">
      <c r="A42" s="9">
        <f t="shared" si="4"/>
        <v>50</v>
      </c>
      <c r="B42" s="93">
        <v>1.416537852744146E-3</v>
      </c>
      <c r="C42" s="93">
        <v>7.7994034131845108E-3</v>
      </c>
      <c r="D42" s="93">
        <v>1.8646529373571724E-2</v>
      </c>
      <c r="E42" s="93">
        <v>2.6107513619076927E-3</v>
      </c>
      <c r="F42" s="89"/>
      <c r="G42" s="9">
        <f t="shared" si="5"/>
        <v>50</v>
      </c>
      <c r="H42" s="11">
        <f t="shared" si="30"/>
        <v>90940</v>
      </c>
      <c r="I42" s="25">
        <f t="shared" si="31"/>
        <v>6350</v>
      </c>
      <c r="J42" s="25">
        <f t="shared" si="32"/>
        <v>97290</v>
      </c>
      <c r="K42" s="30">
        <f>IF(J42&gt;0,ROUND(SUM(J42:J$102)/J42-0.5,Rundex),"")</f>
        <v>33.25</v>
      </c>
      <c r="L42" s="25">
        <f t="shared" si="6"/>
        <v>121399</v>
      </c>
      <c r="M42" s="30">
        <f>IF(L42&gt;0,ROUND(SUM(L42:L$102)/L42-0.5,Rundex),"")</f>
        <v>27.97</v>
      </c>
      <c r="N42" s="89"/>
      <c r="O42" s="9">
        <f t="shared" si="49"/>
        <v>50</v>
      </c>
      <c r="P42" s="94">
        <v>0.29400886620875566</v>
      </c>
      <c r="Q42" s="95">
        <v>52.58015100984997</v>
      </c>
      <c r="R42" s="94">
        <v>0.20589936438875017</v>
      </c>
      <c r="S42" s="95">
        <v>17.530949292185987</v>
      </c>
      <c r="T42" s="28">
        <v>1.7899999999999999E-3</v>
      </c>
      <c r="U42" s="11">
        <f t="shared" si="33"/>
        <v>97637</v>
      </c>
      <c r="V42" s="30">
        <f>IF(U42&gt;0,ROUND(SUM(U42:U$102)/U42-0.5,Rundex),"")</f>
        <v>34.43</v>
      </c>
      <c r="W42" s="89"/>
      <c r="X42" s="9">
        <f t="shared" si="50"/>
        <v>50</v>
      </c>
      <c r="Y42" s="11">
        <f t="shared" si="34"/>
        <v>29894</v>
      </c>
      <c r="Z42" s="11">
        <f>IF($X42&lt;RAF,SUM(Y42:INDEX(Day,RAF-BeginnAlter))," ")</f>
        <v>332640</v>
      </c>
      <c r="AA42" s="11">
        <f t="shared" si="0"/>
        <v>42</v>
      </c>
      <c r="AB42" s="11">
        <f>IF($X42&lt;RAF,SUM(AA42:INDEX(Cay,RAF-BeginnAlter))," ")</f>
        <v>839</v>
      </c>
      <c r="AC42" s="11">
        <f t="shared" si="1"/>
        <v>231</v>
      </c>
      <c r="AD42" s="11">
        <f>IF($X42&lt;RAF,SUM(AC42:INDEX(Caiy,RAF-BeginnAlter))," ")</f>
        <v>5431</v>
      </c>
      <c r="AE42" s="10">
        <f t="shared" si="35"/>
        <v>11.127000000000001</v>
      </c>
      <c r="AF42" s="10">
        <f t="shared" si="36"/>
        <v>10.92</v>
      </c>
      <c r="AG42" s="89"/>
      <c r="AH42" s="9">
        <f t="shared" si="51"/>
        <v>50</v>
      </c>
      <c r="AI42" s="11">
        <f t="shared" si="37"/>
        <v>39907</v>
      </c>
      <c r="AJ42" s="11">
        <f>IF($AH42&gt;RAF," ",IF($AH42&lt;RAF,SUM(AI42:INDEX(Diy,RAF-BeginnAlter))+INDEX(Ny,RAF-BeginnAlter+1),INDEX(Ny,RAF-BeginnAlter+1)))</f>
        <v>797688</v>
      </c>
      <c r="AK42" s="11">
        <f>IF($AH42&lt;RAF,SUM(AI42:INDEX(Diy,RAF-BeginnAlter))," ")</f>
        <v>431594</v>
      </c>
      <c r="AL42" s="10">
        <f t="shared" si="38"/>
        <v>19.989000000000001</v>
      </c>
      <c r="AM42" s="10">
        <f t="shared" si="39"/>
        <v>19.53</v>
      </c>
      <c r="AN42" s="10">
        <f t="shared" si="40"/>
        <v>10.815</v>
      </c>
      <c r="AO42" s="10">
        <f t="shared" si="41"/>
        <v>10.606</v>
      </c>
      <c r="AP42" s="89"/>
      <c r="AQ42" s="9">
        <f t="shared" si="52"/>
        <v>50</v>
      </c>
      <c r="AR42" s="11">
        <f t="shared" si="42"/>
        <v>31982</v>
      </c>
      <c r="AS42" s="11">
        <f>SUM(AR42:AR$96)</f>
        <v>745909</v>
      </c>
      <c r="AT42" s="25">
        <f>IF($AQ42&lt;RAF,SUM(AR42:INDEX(Dy,RAF-BeginnAlter))," ")</f>
        <v>379815</v>
      </c>
      <c r="AU42" s="24">
        <f t="shared" si="43"/>
        <v>23.323</v>
      </c>
      <c r="AV42" s="24">
        <f t="shared" si="44"/>
        <v>22.864000000000001</v>
      </c>
      <c r="AW42" s="24">
        <f t="shared" si="45"/>
        <v>11.875999999999999</v>
      </c>
      <c r="AX42" s="24">
        <f t="shared" si="46"/>
        <v>11.728999999999999</v>
      </c>
      <c r="AY42" s="89"/>
      <c r="AZ42" s="9">
        <f t="shared" si="53"/>
        <v>50</v>
      </c>
      <c r="BA42" s="11">
        <f t="shared" si="47"/>
        <v>32096</v>
      </c>
      <c r="BB42" s="11">
        <f>SUM(BA42:BA$96)</f>
        <v>768342</v>
      </c>
      <c r="BC42" s="10">
        <f t="shared" si="48"/>
        <v>23.939</v>
      </c>
      <c r="BD42" s="10">
        <f t="shared" si="7"/>
        <v>23.481000000000002</v>
      </c>
      <c r="BE42" s="89"/>
      <c r="BF42" s="9">
        <f t="shared" si="54"/>
        <v>33</v>
      </c>
      <c r="BG42" s="10" t="str">
        <f t="shared" si="8"/>
        <v/>
      </c>
      <c r="BH42" s="10" t="str">
        <f t="shared" si="9"/>
        <v/>
      </c>
      <c r="BI42" s="89"/>
      <c r="BJ42" s="9">
        <f t="shared" si="55"/>
        <v>50</v>
      </c>
      <c r="BK42" s="11">
        <f t="shared" si="10"/>
        <v>4480</v>
      </c>
      <c r="BL42" s="11">
        <f>IF(BJ42&lt;RAF,SUM(BK42:INDEX(Daiy,RAF-BeginnAlter))," ")</f>
        <v>96108</v>
      </c>
      <c r="BM42" s="11">
        <f>IF(BJ42&lt;RAF,SUM(BL42:INDEX(Naiy,RAF-BeginnAlter))," ")</f>
        <v>811765</v>
      </c>
      <c r="BN42" s="10">
        <f t="shared" si="11"/>
        <v>8.9710000000000001</v>
      </c>
      <c r="BO42" s="10">
        <f t="shared" si="12"/>
        <v>3.2149999999999999</v>
      </c>
      <c r="BP42" s="89"/>
      <c r="BQ42" s="9">
        <f t="shared" si="56"/>
        <v>50</v>
      </c>
      <c r="BR42" s="11">
        <f t="shared" si="13"/>
        <v>2380</v>
      </c>
      <c r="BS42" s="11">
        <f>IF(BQ42&lt;RAF,SUM(BR42:INDEX(Daiys,RAF-BeginnAlter))," ")</f>
        <v>26793</v>
      </c>
      <c r="BT42" s="11">
        <f>IF(BQ42&lt;RAF,SUM(BS42:INDEX(Naiys,RAF-BeginnAlter))," ")</f>
        <v>168737</v>
      </c>
      <c r="BU42" s="10">
        <f t="shared" si="14"/>
        <v>11.29</v>
      </c>
      <c r="BV42" s="10">
        <f t="shared" si="15"/>
        <v>0.89600000000000002</v>
      </c>
      <c r="BW42" s="89"/>
      <c r="BX42" s="9">
        <f t="shared" si="57"/>
        <v>50</v>
      </c>
      <c r="BY42" s="10">
        <f t="shared" si="16"/>
        <v>6.4620680548703184</v>
      </c>
      <c r="BZ42" s="11">
        <f t="shared" si="17"/>
        <v>277</v>
      </c>
      <c r="CA42" s="11">
        <f>IF(S43&lt;=RAK,IF($BX42&lt;RAF,SUM(BZ42:INDEX(Dazy,RAF-BeginnAlter)),""),"")</f>
        <v>1053</v>
      </c>
      <c r="CB42" s="10">
        <f t="shared" si="18"/>
        <v>3.5000000000000003E-2</v>
      </c>
      <c r="CC42" s="11">
        <f t="shared" si="19"/>
        <v>26378</v>
      </c>
      <c r="CD42" s="10">
        <f t="shared" si="20"/>
        <v>19.463999999999999</v>
      </c>
      <c r="CE42" s="10">
        <f t="shared" si="21"/>
        <v>4.0000000000000001E-3</v>
      </c>
      <c r="CF42" s="89"/>
      <c r="CG42" s="9">
        <f t="shared" si="58"/>
        <v>50</v>
      </c>
      <c r="CH42" s="11">
        <f>IF(CG42&lt;RAF,ROUND(v^($CG42+FaktorAlter)*$H42*($B42*0.5*($P42+$P43)*(VLOOKUP(TRUNC(0.5*($Q42+$Q43),0),Männer!$AZ$9:$BD$95,5)+(0.5*($Q42+$Q43)-TRUNC(0.5*($Q42+$Q43),0))*(VLOOKUP(TRUNC(0.5*($Q42+$Q43)+1,0),Männer!$AZ$9:$BD$95,5)-VLOOKUP(TRUNC(0.5*($Q42+$Q43),0),Männer!$AZ$9:$BD$95,5)))+$C42*0.5*($CN42+$CN43)),RundDx),"")</f>
        <v>411</v>
      </c>
      <c r="CI42" s="11">
        <f>IF(CG42&lt;RAF,ROUND(SUM(CH42:INDEX(Dawy,RAF-BeginnAlter))+INDEX(Day,RAF-BeginnAlter+1)*INDEX(äwy,1),RundDx),"")</f>
        <v>6673</v>
      </c>
      <c r="CJ42" s="11">
        <f>IF(CG42&lt;RAF,ROUND(SUM(CI42:INDEX(Nawy,RAF-BeginnAlter))+INDEX(Day,RAF-BeginnAlter+1)*INDEX(äwy,1),RundDx),"")</f>
        <v>60936</v>
      </c>
      <c r="CK42" s="10">
        <f t="shared" si="22"/>
        <v>0.223</v>
      </c>
      <c r="CL42" s="11">
        <f>IF(CG42&lt;RAF,ROUND(v^($CG42+FaktorAlter)*$L42*$D42*0.5*($P42+$P43)*(VLOOKUP(TRUNC(0.5*($Q42+$Q43),0),Männer!$AZ$9:$BD$95,5)+(0.5*($Q42+$Q43)-TRUNC(0.5*($Q42+$Q43),0))*(VLOOKUP(TRUNC(0.5*($Q42+$Q43)+1,0),Männer!$AZ$9:$BD$95,5)-VLOOKUP(TRUNC(0.5*($Q42+$Q43),0),Männer!$AZ$9:$BD$95,5))),RundDx),"")</f>
        <v>3958</v>
      </c>
      <c r="CM42" s="11">
        <f>IF(CG42&lt;RAF,SUM(CL42:INDEX(Diwy,RAF-BeginnAlter))+INDEX(Diy,RAF-BeginnAlter+1)*INDEX(äwy,1),"")</f>
        <v>33511.304000000004</v>
      </c>
      <c r="CN42" s="10">
        <f t="shared" si="23"/>
        <v>0.84</v>
      </c>
      <c r="CO42" s="89"/>
      <c r="CP42" s="9">
        <f t="shared" si="59"/>
        <v>97</v>
      </c>
      <c r="CQ42" s="11">
        <f>ROUND(v^($CP42+FaktorAlter)*VLOOKUP(CP42,G$9:J$102,4)*VLOOKUP(CP42,A$9:E$102,5)*0.5*(VLOOKUP(CP42,O$9:P$102,2)+VLOOKUP(CP42+1,O$9:P$102,2))*(VLOOKUP(TRUNC(0.5*(VLOOKUP(CP42,O$9:Q$102,3)+VLOOKUP(CP42+1,O$9:Q$102,3)),0),Männer!$AZ$9:$BD$95,5)+(0.5*(VLOOKUP(CP42,O$9:Q$102,3)+VLOOKUP(CP42+1,O$9:Q$102,3))-TRUNC(0.5*(VLOOKUP(CP42,O$9:Q$102,3)+VLOOKUP(CP42+1,O$9:Q$102,3)),0))*(VLOOKUP(TRUNC(0.5*(VLOOKUP(CP42,O$9:Q$102,3)+VLOOKUP(CP42+1,O$9:Q$102,3))+1,0),Männer!$AZ$9:$BD$95,5)-VLOOKUP(TRUNC(0.5*(VLOOKUP(CP42,O$9:Q$102,3)+VLOOKUP(CP42+1,O$9:Q$102,3)),0),Männer!$AZ$9:$BD$95,5))),RundDx)</f>
        <v>1</v>
      </c>
      <c r="CR42" s="11">
        <f>SUM(CQ42:CQ$56)</f>
        <v>2</v>
      </c>
      <c r="CS42" s="24">
        <f t="shared" si="24"/>
        <v>3.0000000000000001E-3</v>
      </c>
      <c r="CT42" s="89"/>
      <c r="CU42" s="35">
        <f t="shared" si="60"/>
        <v>50</v>
      </c>
      <c r="CV42" s="25">
        <f>IF($CU42&gt;=RAF,"",IF($CU42-CV$103&lt;BeginnAlter,"",ROUND(v^($CU42+FaktorAlter)*$L42*$D42*0.5*(VLOOKUP($CU42-CV$103,Männer!$G$9:$J$102,4)+VLOOKUP($CU42-CV$103+1,Männer!$G$9:$J$102,4))*0.5*(VLOOKUP($CU42-CV$103,Männer!$AZ$9:$BD$102,5)+VLOOKUP($CU42-CV$103+1,Männer!$AZ$9:$BD$102,5)),RundDx)))</f>
        <v>791509354</v>
      </c>
      <c r="CW42" s="25">
        <f>IF($CU42&gt;=RAF,"",IF($CU42-CW$103&lt;BeginnAlter,"",ROUND(v^($CU42+FaktorAlter)*$L42*$D42*0.5*(VLOOKUP($CU42-CW$103,Männer!$G$9:$J$102,4)+VLOOKUP($CU42-CW$103+1,Männer!$G$9:$J$102,4))*0.5*(VLOOKUP($CU42-CW$103,Männer!$AZ$9:$BD$102,5)+VLOOKUP($CU42-CW$103+1,Männer!$AZ$9:$BD$102,5)),RundDx)))</f>
        <v>829434779</v>
      </c>
      <c r="CX42" s="25">
        <f>IF($CU42&gt;=RAF,"",IF($CU42-CX$103&lt;BeginnAlter,"",ROUND(v^($CU42+FaktorAlter)*$L42*$D42*0.5*(VLOOKUP($CU42-CX$103,Männer!$G$9:$J$102,4)+VLOOKUP($CU42-CX$103+1,Männer!$G$9:$J$102,4))*0.5*(VLOOKUP($CU42-CX$103,Männer!$AZ$9:$BD$102,5)+VLOOKUP($CU42-CX$103+1,Männer!$AZ$9:$BD$102,5)),RundDx)))</f>
        <v>867887451</v>
      </c>
      <c r="CY42" s="25">
        <f>IF($CU42&gt;=RAF,"",IF($CU42-CY$103&lt;BeginnAlter,"",ROUND(v^($CU42+FaktorAlter)*$L42*$D42*0.5*(VLOOKUP($CU42-CY$103,Männer!$G$9:$J$102,4)+VLOOKUP($CU42-CY$103+1,Männer!$G$9:$J$102,4))*0.5*(VLOOKUP($CU42-CY$103,Männer!$AZ$9:$BD$102,5)+VLOOKUP($CU42-CY$103+1,Männer!$AZ$9:$BD$102,5)),RundDx)))</f>
        <v>906960088</v>
      </c>
      <c r="CZ42" s="25">
        <f>IF($CU42&gt;=RAF,"",IF($CU42-CZ$103&lt;BeginnAlter,"",ROUND(v^($CU42+FaktorAlter)*$L42*$D42*0.5*(VLOOKUP($CU42-CZ$103,Männer!$G$9:$J$102,4)+VLOOKUP($CU42-CZ$103+1,Männer!$G$9:$J$102,4))*0.5*(VLOOKUP($CU42-CZ$103,Männer!$AZ$9:$BD$102,5)+VLOOKUP($CU42-CZ$103+1,Männer!$AZ$9:$BD$102,5)),RundDx)))</f>
        <v>946710934</v>
      </c>
      <c r="DA42" s="25">
        <f>IF($CU42&gt;=RAF,"",IF($CU42-DA$103&lt;BeginnAlter,"",ROUND(v^($CU42+FaktorAlter)*$L42*$D42*0.5*(VLOOKUP($CU42-DA$103,Männer!$G$9:$J$102,4)+VLOOKUP($CU42-DA$103+1,Männer!$G$9:$J$102,4))*0.5*(VLOOKUP($CU42-DA$103,Männer!$AZ$9:$BD$102,5)+VLOOKUP($CU42-DA$103+1,Männer!$AZ$9:$BD$102,5)),RundDx)))</f>
        <v>987171988</v>
      </c>
      <c r="DB42" s="25">
        <f>IF($CU42&gt;=RAF,"",IF($CU42-DB$103&lt;BeginnAlter,"",ROUND(v^($CU42+FaktorAlter)*$L42*$D42*0.5*(VLOOKUP($CU42-DB$103,Männer!$G$9:$J$102,4)+VLOOKUP($CU42-DB$103+1,Männer!$G$9:$J$102,4))*0.5*(VLOOKUP($CU42-DB$103,Männer!$AZ$9:$BD$102,5)+VLOOKUP($CU42-DB$103+1,Männer!$AZ$9:$BD$102,5)),RundDx)))</f>
        <v>1028415546</v>
      </c>
      <c r="DC42" s="25">
        <f>IF($CU42&gt;=RAF,"",IF($CU42-DC$103&lt;BeginnAlter,"",ROUND(v^($CU42+FaktorAlter)*$L42*$D42*0.5*(VLOOKUP($CU42-DC$103,Männer!$G$9:$J$102,4)+VLOOKUP($CU42-DC$103+1,Männer!$G$9:$J$102,4))*0.5*(VLOOKUP($CU42-DC$103,Männer!$AZ$9:$BD$102,5)+VLOOKUP($CU42-DC$103+1,Männer!$AZ$9:$BD$102,5)),RundDx)))</f>
        <v>1070392809</v>
      </c>
      <c r="DD42" s="25">
        <f>IF($CU42&gt;=RAF,"",IF($CU42-DD$103&lt;BeginnAlter,"",ROUND(v^($CU42+FaktorAlter)*$L42*$D42*0.5*(VLOOKUP($CU42-DD$103,Männer!$G$9:$J$102,4)+VLOOKUP($CU42-DD$103+1,Männer!$G$9:$J$102,4))*0.5*(VLOOKUP($CU42-DD$103,Männer!$AZ$9:$BD$102,5)+VLOOKUP($CU42-DD$103+1,Männer!$AZ$9:$BD$102,5)),RundDx)))</f>
        <v>1113042187</v>
      </c>
      <c r="DE42" s="25">
        <f>IF($CU42&gt;=RAF,"",IF($CU42-DE$103&lt;BeginnAlter,"",ROUND(v^($CU42+FaktorAlter)*$L42*$D42*0.5*(VLOOKUP($CU42-DE$103,Männer!$G$9:$J$102,4)+VLOOKUP($CU42-DE$103+1,Männer!$G$9:$J$102,4))*0.5*(VLOOKUP($CU42-DE$103,Männer!$AZ$9:$BD$102,5)+VLOOKUP($CU42-DE$103+1,Männer!$AZ$9:$BD$102,5)),RundDx)))</f>
        <v>1156351801</v>
      </c>
      <c r="DF42" s="25">
        <f>IF($CU42&gt;=RAF,"",IF($CU42-DF$103&lt;BeginnAlter,"",ROUND(v^($CU42+FaktorAlter)*$L42*$D42*0.5*(VLOOKUP($CU42-DF$103,Männer!$G$9:$J$102,4)+VLOOKUP($CU42-DF$103+1,Männer!$G$9:$J$102,4))*0.5*(VLOOKUP($CU42-DF$103,Männer!$AZ$9:$BD$102,5)+VLOOKUP($CU42-DF$103+1,Männer!$AZ$9:$BD$102,5)),RundDx)))</f>
        <v>1199686531</v>
      </c>
      <c r="DG42" s="25">
        <f>IF($CU42&gt;=RAF,"",IF($CU42-DG$103&lt;BeginnAlter,"",ROUND(v^($CU42+FaktorAlter)*$L42*$D42*0.5*(VLOOKUP($CU42-DG$103,Männer!$G$9:$J$102,4)+VLOOKUP($CU42-DG$103+1,Männer!$G$9:$J$102,4))*0.5*(VLOOKUP($CU42-DG$103,Männer!$AZ$9:$BD$102,5)+VLOOKUP($CU42-DG$103+1,Männer!$AZ$9:$BD$102,5)),RundDx)))</f>
        <v>1242369291</v>
      </c>
      <c r="DH42" s="25">
        <f>IF($CU42&gt;=RAF,"",IF($CU42-DH$103&lt;BeginnAlter,"",ROUND(v^($CU42+FaktorAlter)*$L42*$D42*0.5*(VLOOKUP($CU42-DH$103,Männer!$G$9:$J$102,4)+VLOOKUP($CU42-DH$103+1,Männer!$G$9:$J$102,4))*0.5*(VLOOKUP($CU42-DH$103,Männer!$AZ$9:$BD$102,5)+VLOOKUP($CU42-DH$103+1,Männer!$AZ$9:$BD$102,5)),RundDx)))</f>
        <v>1284407269</v>
      </c>
      <c r="DI42" s="25">
        <f>IF($CU42&gt;=RAF,"",IF($CU42-DI$103&lt;BeginnAlter,"",ROUND(v^($CU42+FaktorAlter)*$L42*$D42*0.5*(VLOOKUP($CU42-DI$103,Männer!$G$9:$J$102,4)+VLOOKUP($CU42-DI$103+1,Männer!$G$9:$J$102,4))*0.5*(VLOOKUP($CU42-DI$103,Männer!$AZ$9:$BD$102,5)+VLOOKUP($CU42-DI$103+1,Männer!$AZ$9:$BD$102,5)),RundDx)))</f>
        <v>1325806811</v>
      </c>
      <c r="DJ42" s="25">
        <f>IF($CU42&gt;=RAF,"",IF($CU42-DJ$103&lt;BeginnAlter,"",ROUND(v^($CU42+FaktorAlter)*$L42*$D42*0.5*(VLOOKUP($CU42-DJ$103,Männer!$G$9:$J$102,4)+VLOOKUP($CU42-DJ$103+1,Männer!$G$9:$J$102,4))*0.5*(VLOOKUP($CU42-DJ$103,Männer!$AZ$9:$BD$102,5)+VLOOKUP($CU42-DJ$103+1,Männer!$AZ$9:$BD$102,5)),RundDx)))</f>
        <v>1366493531</v>
      </c>
      <c r="DK42" s="25">
        <f>IF($CU42&gt;=RAF,"",IF($CU42-DK$103&lt;BeginnAlter,"",ROUND(v^($CU42+FaktorAlter)*$L42*$D42*0.5*(VLOOKUP($CU42-DK$103,Männer!$G$9:$J$102,4)+VLOOKUP($CU42-DK$103+1,Männer!$G$9:$J$102,4))*0.5*(VLOOKUP($CU42-DK$103,Männer!$AZ$9:$BD$102,5)+VLOOKUP($CU42-DK$103+1,Männer!$AZ$9:$BD$102,5)),RundDx)))</f>
        <v>1406471940</v>
      </c>
      <c r="DL42" s="25">
        <f>IF($CU42&gt;=RAF,"",IF($CU42-DL$103&lt;BeginnAlter,"",ROUND(v^($CU42+FaktorAlter)*$L42*$D42*0.5*(VLOOKUP($CU42-DL$103,Männer!$G$9:$J$102,4)+VLOOKUP($CU42-DL$103+1,Männer!$G$9:$J$102,4))*0.5*(VLOOKUP($CU42-DL$103,Männer!$AZ$9:$BD$102,5)+VLOOKUP($CU42-DL$103+1,Männer!$AZ$9:$BD$102,5)),RundDx)))</f>
        <v>1445803930</v>
      </c>
      <c r="DM42" s="25">
        <f>IF($CU42&gt;=RAF,"",IF($CU42-DM$103&lt;BeginnAlter,"",ROUND(v^($CU42+FaktorAlter)*$L42*$D42*0.5*(VLOOKUP($CU42-DM$103,Männer!$G$9:$J$102,4)+VLOOKUP($CU42-DM$103+1,Männer!$G$9:$J$102,4))*0.5*(VLOOKUP($CU42-DM$103,Männer!$AZ$9:$BD$102,5)+VLOOKUP($CU42-DM$103+1,Männer!$AZ$9:$BD$102,5)),RundDx)))</f>
        <v>1484464185</v>
      </c>
      <c r="DN42" s="25">
        <f>IF($CU42&gt;=RAF,"",IF($CU42-DN$103&lt;BeginnAlter,"",ROUND(v^($CU42+FaktorAlter)*$L42*$D42*0.5*(VLOOKUP($CU42-DN$103,Männer!$G$9:$J$102,4)+VLOOKUP($CU42-DN$103+1,Männer!$G$9:$J$102,4))*0.5*(VLOOKUP($CU42-DN$103,Männer!$AZ$9:$BD$102,5)+VLOOKUP($CU42-DN$103+1,Männer!$AZ$9:$BD$102,5)),RundDx)))</f>
        <v>1522411336</v>
      </c>
      <c r="DO42" s="25">
        <f>IF($CU42&gt;=RAF,"",IF($CU42-DO$103&lt;BeginnAlter,"",ROUND(v^($CU42+FaktorAlter)*$L42*$D42*0.5*(VLOOKUP($CU42-DO$103,Männer!$G$9:$J$102,4)+VLOOKUP($CU42-DO$103+1,Männer!$G$9:$J$102,4))*0.5*(VLOOKUP($CU42-DO$103,Männer!$AZ$9:$BD$102,5)+VLOOKUP($CU42-DO$103+1,Männer!$AZ$9:$BD$102,5)),RundDx)))</f>
        <v>1559692264</v>
      </c>
      <c r="DP42" s="25">
        <f>IF($CU42&gt;=RAF,"",IF($CU42-DP$103&lt;BeginnAlter,"",ROUND(v^($CU42+FaktorAlter)*$L42*$D42*0.5*(VLOOKUP($CU42-DP$103,Männer!$G$9:$J$102,4)+VLOOKUP($CU42-DP$103+1,Männer!$G$9:$J$102,4))*0.5*(VLOOKUP($CU42-DP$103,Männer!$AZ$9:$BD$102,5)+VLOOKUP($CU42-DP$103+1,Männer!$AZ$9:$BD$102,5)),RundDx)))</f>
        <v>1596305262</v>
      </c>
      <c r="DQ42" s="25">
        <f>IF($CU42&gt;=RAF,"",IF($CU42-DQ$103&lt;BeginnAlter,"",ROUND(v^($CU42+FaktorAlter)*$L42*$D42*0.5*(VLOOKUP($CU42-DQ$103,Männer!$G$9:$J$102,4)+VLOOKUP($CU42-DQ$103+1,Männer!$G$9:$J$102,4))*0.5*(VLOOKUP($CU42-DQ$103,Männer!$AZ$9:$BD$102,5)+VLOOKUP($CU42-DQ$103+1,Männer!$AZ$9:$BD$102,5)),RundDx)))</f>
        <v>1632250477</v>
      </c>
      <c r="DR42" s="25">
        <f>IF($CU42&gt;=RAF,"",IF($CU42-DR$103&lt;BeginnAlter,"",ROUND(v^($CU42+FaktorAlter)*$L42*$D42*0.5*(VLOOKUP($CU42-DR$103,Männer!$G$9:$J$102,4)+VLOOKUP($CU42-DR$103+1,Männer!$G$9:$J$102,4))*0.5*(VLOOKUP($CU42-DR$103,Männer!$AZ$9:$BD$102,5)+VLOOKUP($CU42-DR$103+1,Männer!$AZ$9:$BD$102,5)),RundDx)))</f>
        <v>1667512802</v>
      </c>
      <c r="DS42" s="25">
        <f>IF($CU42&gt;=RAF,"",IF($CU42-DS$103&lt;BeginnAlter,"",ROUND(v^($CU42+FaktorAlter)*$L42*$D42*0.5*(VLOOKUP($CU42-DS$103,Männer!$G$9:$J$102,4)+VLOOKUP($CU42-DS$103+1,Männer!$G$9:$J$102,4))*0.5*(VLOOKUP($CU42-DS$103,Männer!$AZ$9:$BD$102,5)+VLOOKUP($CU42-DS$103+1,Männer!$AZ$9:$BD$102,5)),RundDx)))</f>
        <v>1702130980</v>
      </c>
      <c r="DT42" s="25">
        <f>IF($CU42&gt;=RAF,"",IF($CU42-DT$103&lt;BeginnAlter,"",ROUND(v^($CU42+FaktorAlter)*$L42*$D42*0.5*(VLOOKUP($CU42-DT$103,Männer!$G$9:$J$102,4)+VLOOKUP($CU42-DT$103+1,Männer!$G$9:$J$102,4))*0.5*(VLOOKUP($CU42-DT$103,Männer!$AZ$9:$BD$102,5)+VLOOKUP($CU42-DT$103+1,Männer!$AZ$9:$BD$102,5)),RundDx)))</f>
        <v>1736136841</v>
      </c>
      <c r="DU42" s="25">
        <f>IF($CU42&gt;=RAF,"",IF($CU42-DU$103&lt;BeginnAlter,"",ROUND(v^($CU42+FaktorAlter)*$L42*$D42*0.5*(VLOOKUP($CU42-DU$103,Männer!$G$9:$J$102,4)+VLOOKUP($CU42-DU$103+1,Männer!$G$9:$J$102,4))*0.5*(VLOOKUP($CU42-DU$103,Männer!$AZ$9:$BD$102,5)+VLOOKUP($CU42-DU$103+1,Männer!$AZ$9:$BD$102,5)),RundDx)))</f>
        <v>1769473100</v>
      </c>
      <c r="DV42" s="25">
        <f>IF($CU42&gt;=RAF,"",IF($CU42-DV$103&lt;BeginnAlter,"",ROUND(v^($CU42+FaktorAlter)*$L42*$D42*0.5*(VLOOKUP($CU42-DV$103,Männer!$G$9:$J$102,4)+VLOOKUP($CU42-DV$103+1,Männer!$G$9:$J$102,4))*0.5*(VLOOKUP($CU42-DV$103,Männer!$AZ$9:$BD$102,5)+VLOOKUP($CU42-DV$103+1,Männer!$AZ$9:$BD$102,5)),RundDx)))</f>
        <v>1802136515</v>
      </c>
      <c r="DW42" s="25">
        <f>IF($CU42&gt;=RAF,"",IF($CU42-DW$103&lt;BeginnAlter,"",ROUND(v^($CU42+FaktorAlter)*$L42*$D42*0.5*(VLOOKUP($CU42-DW$103,Männer!$G$9:$J$102,4)+VLOOKUP($CU42-DW$103+1,Männer!$G$9:$J$102,4))*0.5*(VLOOKUP($CU42-DW$103,Männer!$AZ$9:$BD$102,5)+VLOOKUP($CU42-DW$103+1,Männer!$AZ$9:$BD$102,5)),RundDx)))</f>
        <v>1834224263</v>
      </c>
      <c r="DX42" s="25">
        <f>IF($CU42&gt;=RAF,"",IF($CU42-DX$103&lt;BeginnAlter,"",ROUND(v^($CU42+FaktorAlter)*$L42*$D42*0.5*(VLOOKUP($CU42-DX$103,Männer!$G$9:$J$102,4)+VLOOKUP($CU42-DX$103+1,Männer!$G$9:$J$102,4))*0.5*(VLOOKUP($CU42-DX$103,Männer!$AZ$9:$BD$102,5)+VLOOKUP($CU42-DX$103+1,Männer!$AZ$9:$BD$102,5)),RundDx)))</f>
        <v>1865698659</v>
      </c>
      <c r="DY42" s="25">
        <f>IF($CU42&gt;=RAF,"",IF($CU42-DY$103&lt;BeginnAlter,"",ROUND(v^($CU42+FaktorAlter)*$L42*$D42*0.5*(VLOOKUP($CU42-DY$103,Männer!$G$9:$J$102,4)+VLOOKUP($CU42-DY$103+1,Männer!$G$9:$J$102,4))*0.5*(VLOOKUP($CU42-DY$103,Männer!$AZ$9:$BD$102,5)+VLOOKUP($CU42-DY$103+1,Männer!$AZ$9:$BD$102,5)),RundDx)))</f>
        <v>1896532340</v>
      </c>
      <c r="DZ42" s="25">
        <f>IF($CU42&gt;=RAF,"",IF($CU42-DZ$103&lt;BeginnAlter,"",ROUND(v^($CU42+FaktorAlter)*$L42*$D42*0.5*(VLOOKUP($CU42-DZ$103,Männer!$G$9:$J$102,4)+VLOOKUP($CU42-DZ$103+1,Männer!$G$9:$J$102,4))*0.5*(VLOOKUP($CU42-DZ$103,Männer!$AZ$9:$BD$102,5)+VLOOKUP($CU42-DZ$103+1,Männer!$AZ$9:$BD$102,5)),RundDx)))</f>
        <v>1926788852</v>
      </c>
      <c r="EA42" s="43">
        <f>IF($CU42&gt;=RAF,"",IF($CU42-EA$103&lt;BeginnAlter,"",ROUND((SUM(CV42:CV$56)+SUM(FN$9:FN$56))/VLOOKUP($CU42,$AH$9:$AI$102,2)/VLOOKUP($CU42-EA$103,Männer!$G$9:$J$102,4),Rundäx)))</f>
        <v>2.1190000000000002</v>
      </c>
      <c r="EB42" s="43">
        <f>IF($CU42&gt;=RAF,"",IF($CU42-EB$103&lt;BeginnAlter,"",ROUND((SUM(CW42:CW$56)+SUM(FO$9:FO$56))/VLOOKUP($CU42,$AH$9:$AI$102,2)/VLOOKUP($CU42-EB$103,Männer!$G$9:$J$102,4),Rundäx)))</f>
        <v>2.2469999999999999</v>
      </c>
      <c r="EC42" s="43">
        <f>IF($CU42&gt;=RAF,"",IF($CU42-EC$103&lt;BeginnAlter,"",ROUND((SUM(CX42:CX$56)+SUM(FP$9:FP$56))/VLOOKUP($CU42,$AH$9:$AI$102,2)/VLOOKUP($CU42-EC$103,Männer!$G$9:$J$102,4),Rundäx)))</f>
        <v>2.379</v>
      </c>
      <c r="ED42" s="43">
        <f>IF($CU42&gt;=RAF,"",IF($CU42-ED$103&lt;BeginnAlter,"",ROUND((SUM(CY42:CY$56)+SUM(FQ$9:FQ$56))/VLOOKUP($CU42,$AH$9:$AI$102,2)/VLOOKUP($CU42-ED$103,Männer!$G$9:$J$102,4),Rundäx)))</f>
        <v>2.5169999999999999</v>
      </c>
      <c r="EE42" s="43">
        <f>IF($CU42&gt;=RAF,"",IF($CU42-EE$103&lt;BeginnAlter,"",ROUND((SUM(CZ42:CZ$56)+SUM(FR$9:FR$56))/VLOOKUP($CU42,$AH$9:$AI$102,2)/VLOOKUP($CU42-EE$103,Männer!$G$9:$J$102,4),Rundäx)))</f>
        <v>2.6589999999999998</v>
      </c>
      <c r="EF42" s="43">
        <f>IF($CU42&gt;=RAF,"",IF($CU42-EF$103&lt;BeginnAlter,"",ROUND((SUM(DA42:DA$56)+SUM(FS$9:FS$56))/VLOOKUP($CU42,$AH$9:$AI$102,2)/VLOOKUP($CU42-EF$103,Männer!$G$9:$J$102,4),Rundäx)))</f>
        <v>2.8079999999999998</v>
      </c>
      <c r="EG42" s="43">
        <f>IF($CU42&gt;=RAF,"",IF($CU42-EG$103&lt;BeginnAlter,"",ROUND((SUM(DB42:DB$56)+SUM(FT$9:FT$56))/VLOOKUP($CU42,$AH$9:$AI$102,2)/VLOOKUP($CU42-EG$103,Männer!$G$9:$J$102,4),Rundäx)))</f>
        <v>2.9630000000000001</v>
      </c>
      <c r="EH42" s="43">
        <f>IF($CU42&gt;=RAF,"",IF($CU42-EH$103&lt;BeginnAlter,"",ROUND((SUM(DC42:DC$56)+SUM(FU$9:FU$56))/VLOOKUP($CU42,$AH$9:$AI$102,2)/VLOOKUP($CU42-EH$103,Männer!$G$9:$J$102,4),Rundäx)))</f>
        <v>3.125</v>
      </c>
      <c r="EI42" s="89"/>
      <c r="EJ42" s="35">
        <f t="shared" si="61"/>
        <v>50</v>
      </c>
      <c r="EK42" s="43">
        <f>IF($CU42&gt;=RAF,"",IF($CU42-EK$103&lt;BeginnAlter,"",ROUND((SUM(DD42:DD$56)+SUM(FV$9:FV$56))/VLOOKUP($CU42,$AH$9:$AI$102,2)/VLOOKUP($CU42-EK$103,Männer!$G$9:$J$102,4),Rundäx)))</f>
        <v>3.294</v>
      </c>
      <c r="EL42" s="43">
        <f>IF($CU42&gt;=RAF,"",IF($CU42-EL$103&lt;BeginnAlter,"",ROUND((SUM(DE42:DE$56)+SUM(FW$9:FW$56))/VLOOKUP($CU42,$AH$9:$AI$102,2)/VLOOKUP($CU42-EL$103,Männer!$G$9:$J$102,4),Rundäx)))</f>
        <v>3.472</v>
      </c>
      <c r="EM42" s="43">
        <f>IF($CU42&gt;=RAF,"",IF($CU42-EM$103&lt;BeginnAlter,"",ROUND((SUM(DF42:DF$56)+SUM(FX$9:FX$56))/VLOOKUP($CU42,$AH$9:$AI$102,2)/VLOOKUP($CU42-EM$103,Männer!$G$9:$J$102,4),Rundäx)))</f>
        <v>3.657</v>
      </c>
      <c r="EN42" s="43">
        <f>IF($CU42&gt;=RAF,"",IF($CU42-EN$103&lt;BeginnAlter,"",ROUND((SUM(DG42:DG$56)+SUM(FY$9:FY$56))/VLOOKUP($CU42,$AH$9:$AI$102,2)/VLOOKUP($CU42-EN$103,Männer!$G$9:$J$102,4),Rundäx)))</f>
        <v>3.8490000000000002</v>
      </c>
      <c r="EO42" s="43">
        <f>IF($CU42&gt;=RAF,"",IF($CU42-EO$103&lt;BeginnAlter,"",ROUND((SUM(DH42:DH$56)+SUM(FZ$9:FZ$56))/VLOOKUP($CU42,$AH$9:$AI$102,2)/VLOOKUP($CU42-EO$103,Männer!$G$9:$J$102,4),Rundäx)))</f>
        <v>4.05</v>
      </c>
      <c r="EP42" s="43">
        <f>IF($CU42&gt;=RAF,"",IF($CU42-EP$103&lt;BeginnAlter,"",ROUND((SUM(DI42:DI$56)+SUM(GA$9:GA$56))/VLOOKUP($CU42,$AH$9:$AI$102,2)/VLOOKUP($CU42-EP$103,Männer!$G$9:$J$102,4),Rundäx)))</f>
        <v>4.2569999999999997</v>
      </c>
      <c r="EQ42" s="43">
        <f>IF($CU42&gt;=RAF,"",IF($CU42-EQ$103&lt;BeginnAlter,"",ROUND((SUM(DJ42:DJ$56)+SUM(GB$9:GB$56))/VLOOKUP($CU42,$AH$9:$AI$102,2)/VLOOKUP($CU42-EQ$103,Männer!$G$9:$J$102,4),Rundäx)))</f>
        <v>4.4720000000000004</v>
      </c>
      <c r="ER42" s="43">
        <f>IF($CU42&gt;=RAF,"",IF($CU42-ER$103&lt;BeginnAlter,"",ROUND((SUM(DK42:DK$56)+SUM(GC$9:GC$56))/VLOOKUP($CU42,$AH$9:$AI$102,2)/VLOOKUP($CU42-ER$103,Männer!$G$9:$J$102,4),Rundäx)))</f>
        <v>4.6929999999999996</v>
      </c>
      <c r="ES42" s="89"/>
      <c r="ET42" s="35">
        <f t="shared" si="62"/>
        <v>50</v>
      </c>
      <c r="EU42" s="43">
        <f>IF($CU42&gt;=RAF,"",IF($CU42-EU$103&lt;BeginnAlter,"",ROUND((SUM(DL42:DL$56)+SUM(GD$9:GD$56))/VLOOKUP($CU42,$AH$9:$AI$102,2)/VLOOKUP($CU42-EU$103,Männer!$G$9:$J$102,4),Rundäx)))</f>
        <v>4.9210000000000003</v>
      </c>
      <c r="EV42" s="43">
        <f>IF($CU42&gt;=RAF,"",IF($CU42-EV$103&lt;BeginnAlter,"",ROUND((SUM(DM42:DM$56)+SUM(GE$9:GE$56))/VLOOKUP($CU42,$AH$9:$AI$102,2)/VLOOKUP($CU42-EV$103,Männer!$G$9:$J$102,4),Rundäx)))</f>
        <v>5.1539999999999999</v>
      </c>
      <c r="EW42" s="43">
        <f>IF($CU42&gt;=RAF,"",IF($CU42-EW$103&lt;BeginnAlter,"",ROUND((SUM(DN42:DN$56)+SUM(GF$9:GF$56))/VLOOKUP($CU42,$AH$9:$AI$102,2)/VLOOKUP($CU42-EW$103,Männer!$G$9:$J$102,4),Rundäx)))</f>
        <v>5.3940000000000001</v>
      </c>
      <c r="EX42" s="43">
        <f>IF($CU42&gt;=RAF,"",IF($CU42-EX$103&lt;BeginnAlter,"",ROUND((SUM(DO42:DO$56)+SUM(GG$9:GG$56))/VLOOKUP($CU42,$AH$9:$AI$102,2)/VLOOKUP($CU42-EX$103,Männer!$G$9:$J$102,4),Rundäx)))</f>
        <v>5.6379999999999999</v>
      </c>
      <c r="EY42" s="43">
        <f>IF($CU42&gt;=RAF,"",IF($CU42-EY$103&lt;BeginnAlter,"",ROUND((SUM(DP42:DP$56)+SUM(GH$9:GH$56))/VLOOKUP($CU42,$AH$9:$AI$102,2)/VLOOKUP($CU42-EY$103,Männer!$G$9:$J$102,4),Rundäx)))</f>
        <v>5.8869999999999996</v>
      </c>
      <c r="EZ42" s="43">
        <f>IF($CU42&gt;=RAF,"",IF($CU42-EZ$103&lt;BeginnAlter,"",ROUND((SUM(DQ42:DQ$56)+SUM(GI$9:GI$56))/VLOOKUP($CU42,$AH$9:$AI$102,2)/VLOOKUP($CU42-EZ$103,Männer!$G$9:$J$102,4),Rundäx)))</f>
        <v>6.14</v>
      </c>
      <c r="FA42" s="43">
        <f>IF($CU42&gt;=RAF,"",IF($CU42-FA$103&lt;BeginnAlter,"",ROUND((SUM(DR42:DR$56)+SUM(GJ$9:GJ$56))/VLOOKUP($CU42,$AH$9:$AI$102,2)/VLOOKUP($CU42-FA$103,Männer!$G$9:$J$102,4),Rundäx)))</f>
        <v>6.3959999999999999</v>
      </c>
      <c r="FB42" s="43">
        <f>IF($CU42&gt;=RAF,"",IF($CU42-FB$103&lt;BeginnAlter,"",ROUND((SUM(DS42:DS$56)+SUM(GK$9:GK$56))/VLOOKUP($CU42,$AH$9:$AI$102,2)/VLOOKUP($CU42-FB$103,Männer!$G$9:$J$102,4),Rundäx)))</f>
        <v>6.6559999999999997</v>
      </c>
      <c r="FC42" s="89"/>
      <c r="FD42" s="35">
        <f t="shared" si="63"/>
        <v>50</v>
      </c>
      <c r="FE42" s="43">
        <f>IF($CU42&gt;=RAF,"",IF($CU42-FE$103&lt;BeginnAlter,"",ROUND((SUM(DT42:DT$56)+SUM(GL$9:GL$56))/VLOOKUP($CU42,$AH$9:$AI$102,2)/VLOOKUP($CU42-FE$103,Männer!$G$9:$J$102,4),Rundäx)))</f>
        <v>6.9180000000000001</v>
      </c>
      <c r="FF42" s="43">
        <f>IF($CU42&gt;=RAF,"",IF($CU42-FF$103&lt;BeginnAlter,"",ROUND((SUM(DU42:DU$56)+SUM(GM$9:GM$56))/VLOOKUP($CU42,$AH$9:$AI$102,2)/VLOOKUP($CU42-FF$103,Männer!$G$9:$J$102,4),Rundäx)))</f>
        <v>7.1820000000000004</v>
      </c>
      <c r="FG42" s="43">
        <f>IF($CU42&gt;=RAF,"",IF($CU42-FG$103&lt;BeginnAlter,"",ROUND((SUM(DV42:DV$56)+SUM(GN$9:GN$56))/VLOOKUP($CU42,$AH$9:$AI$102,2)/VLOOKUP($CU42-FG$103,Männer!$G$9:$J$102,4),Rundäx)))</f>
        <v>7.4480000000000004</v>
      </c>
      <c r="FH42" s="43">
        <f>IF($CU42&gt;=RAF,"",IF($CU42-FH$103&lt;BeginnAlter,"",ROUND((SUM(DW42:DW$56)+SUM(GO$9:GO$56))/VLOOKUP($CU42,$AH$9:$AI$102,2)/VLOOKUP($CU42-FH$103,Männer!$G$9:$J$102,4),Rundäx)))</f>
        <v>7.7160000000000002</v>
      </c>
      <c r="FI42" s="43">
        <f>IF($CU42&gt;=RAF,"",IF($CU42-FI$103&lt;BeginnAlter,"",ROUND((SUM(DX42:DX$56)+SUM(GP$9:GP$56))/VLOOKUP($CU42,$AH$9:$AI$102,2)/VLOOKUP($CU42-FI$103,Männer!$G$9:$J$102,4),Rundäx)))</f>
        <v>7.9850000000000003</v>
      </c>
      <c r="FJ42" s="43">
        <f>IF($CU42&gt;=RAF,"",IF($CU42-FJ$103&lt;BeginnAlter,"",ROUND((SUM(DY42:DY$56)+SUM(GQ$9:GQ$56))/VLOOKUP($CU42,$AH$9:$AI$102,2)/VLOOKUP($CU42-FJ$103,Männer!$G$9:$J$102,4),Rundäx)))</f>
        <v>8.2539999999999996</v>
      </c>
      <c r="FK42" s="43">
        <f>IF($CU42&gt;=RAF,"",IF($CU42-FK$103&lt;BeginnAlter,"",ROUND((SUM(DZ42:DZ$56)+SUM(GR$9:GR$56))/VLOOKUP($CU42,$AH$9:$AI$102,2)/VLOOKUP($CU42-FK$103,Männer!$G$9:$J$102,4),Rundäx)))</f>
        <v>8.5239999999999991</v>
      </c>
      <c r="FL42" s="89"/>
      <c r="FM42" s="35">
        <f t="shared" si="64"/>
        <v>97</v>
      </c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>
        <f>ROUND(v^($FM42+FaktorAlter)*VLOOKUP($FM42,$G$9:$J$102,4)*VLOOKUP($FM42,$A$9:$E$102,5)*0.5*(VLOOKUP($FM42-FZ$103,Männer!$G$9:$J$102,4)+VLOOKUP($FM42-FZ$103+1,Männer!$G$9:$J$102,4))*0.5*(VLOOKUP($FM42-FZ$103,Männer!$AZ$9:$BD$102,5)+VLOOKUP($FM42-FZ$103+1,Männer!$AZ$9:$BD$102,5)),RundDx)</f>
        <v>36714</v>
      </c>
      <c r="GA42" s="25">
        <f>ROUND(v^($FM42+FaktorAlter)*VLOOKUP($FM42,$G$9:$J$102,4)*VLOOKUP($FM42,$A$9:$E$102,5)*0.5*(VLOOKUP($FM42-GA$103,Männer!$G$9:$J$102,4)+VLOOKUP($FM42-GA$103+1,Männer!$G$9:$J$102,4))*0.5*(VLOOKUP($FM42-GA$103,Männer!$AZ$9:$BD$102,5)+VLOOKUP($FM42-GA$103+1,Männer!$AZ$9:$BD$102,5)),RundDx)</f>
        <v>96824</v>
      </c>
      <c r="GB42" s="25">
        <f>ROUND(v^($FM42+FaktorAlter)*VLOOKUP($FM42,$G$9:$J$102,4)*VLOOKUP($FM42,$A$9:$E$102,5)*0.5*(VLOOKUP($FM42-GB$103,Männer!$G$9:$J$102,4)+VLOOKUP($FM42-GB$103+1,Männer!$G$9:$J$102,4))*0.5*(VLOOKUP($FM42-GB$103,Männer!$AZ$9:$BD$102,5)+VLOOKUP($FM42-GB$103+1,Männer!$AZ$9:$BD$102,5)),RundDx)</f>
        <v>217813</v>
      </c>
      <c r="GC42" s="25">
        <f>ROUND(v^($FM42+FaktorAlter)*VLOOKUP($FM42,$G$9:$J$102,4)*VLOOKUP($FM42,$A$9:$E$102,5)*0.5*(VLOOKUP($FM42-GC$103,Männer!$G$9:$J$102,4)+VLOOKUP($FM42-GC$103+1,Männer!$G$9:$J$102,4))*0.5*(VLOOKUP($FM42-GC$103,Männer!$AZ$9:$BD$102,5)+VLOOKUP($FM42-GC$103+1,Männer!$AZ$9:$BD$102,5)),RundDx)</f>
        <v>443597</v>
      </c>
      <c r="GD42" s="25">
        <f>ROUND(v^($FM42+FaktorAlter)*VLOOKUP($FM42,$G$9:$J$102,4)*VLOOKUP($FM42,$A$9:$E$102,5)*0.5*(VLOOKUP($FM42-GD$103,Männer!$G$9:$J$102,4)+VLOOKUP($FM42-GD$103+1,Männer!$G$9:$J$102,4))*0.5*(VLOOKUP($FM42-GD$103,Männer!$AZ$9:$BD$102,5)+VLOOKUP($FM42-GD$103+1,Männer!$AZ$9:$BD$102,5)),RundDx)</f>
        <v>827298</v>
      </c>
      <c r="GE42" s="25">
        <f>ROUND(v^($FM42+FaktorAlter)*VLOOKUP($FM42,$G$9:$J$102,4)*VLOOKUP($FM42,$A$9:$E$102,5)*0.5*(VLOOKUP($FM42-GE$103,Männer!$G$9:$J$102,4)+VLOOKUP($FM42-GE$103+1,Männer!$G$9:$J$102,4))*0.5*(VLOOKUP($FM42-GE$103,Männer!$AZ$9:$BD$102,5)+VLOOKUP($FM42-GE$103+1,Männer!$AZ$9:$BD$102,5)),RundDx)</f>
        <v>1431928</v>
      </c>
      <c r="GF42" s="25">
        <f>ROUND(v^($FM42+FaktorAlter)*VLOOKUP($FM42,$G$9:$J$102,4)*VLOOKUP($FM42,$A$9:$E$102,5)*0.5*(VLOOKUP($FM42-GF$103,Männer!$G$9:$J$102,4)+VLOOKUP($FM42-GF$103+1,Männer!$G$9:$J$102,4))*0.5*(VLOOKUP($FM42-GF$103,Männer!$AZ$9:$BD$102,5)+VLOOKUP($FM42-GF$103+1,Männer!$AZ$9:$BD$102,5)),RundDx)</f>
        <v>2327379</v>
      </c>
      <c r="GG42" s="25">
        <f>ROUND(v^($FM42+FaktorAlter)*VLOOKUP($FM42,$G$9:$J$102,4)*VLOOKUP($FM42,$A$9:$E$102,5)*0.5*(VLOOKUP($FM42-GG$103,Männer!$G$9:$J$102,4)+VLOOKUP($FM42-GG$103+1,Männer!$G$9:$J$102,4))*0.5*(VLOOKUP($FM42-GG$103,Männer!$AZ$9:$BD$102,5)+VLOOKUP($FM42-GG$103+1,Männer!$AZ$9:$BD$102,5)),RundDx)</f>
        <v>3581590</v>
      </c>
      <c r="GH42" s="25">
        <f>ROUND(v^($FM42+FaktorAlter)*VLOOKUP($FM42,$G$9:$J$102,4)*VLOOKUP($FM42,$A$9:$E$102,5)*0.5*(VLOOKUP($FM42-GH$103,Männer!$G$9:$J$102,4)+VLOOKUP($FM42-GH$103+1,Männer!$G$9:$J$102,4))*0.5*(VLOOKUP($FM42-GH$103,Männer!$AZ$9:$BD$102,5)+VLOOKUP($FM42-GH$103+1,Männer!$AZ$9:$BD$102,5)),RundDx)</f>
        <v>5266172</v>
      </c>
      <c r="GI42" s="25">
        <f>ROUND(v^($FM42+FaktorAlter)*VLOOKUP($FM42,$G$9:$J$102,4)*VLOOKUP($FM42,$A$9:$E$102,5)*0.5*(VLOOKUP($FM42-GI$103,Männer!$G$9:$J$102,4)+VLOOKUP($FM42-GI$103+1,Männer!$G$9:$J$102,4))*0.5*(VLOOKUP($FM42-GI$103,Männer!$AZ$9:$BD$102,5)+VLOOKUP($FM42-GI$103+1,Männer!$AZ$9:$BD$102,5)),RundDx)</f>
        <v>7446245</v>
      </c>
      <c r="GJ42" s="25">
        <f>ROUND(v^($FM42+FaktorAlter)*VLOOKUP($FM42,$G$9:$J$102,4)*VLOOKUP($FM42,$A$9:$E$102,5)*0.5*(VLOOKUP($FM42-GJ$103,Männer!$G$9:$J$102,4)+VLOOKUP($FM42-GJ$103+1,Männer!$G$9:$J$102,4))*0.5*(VLOOKUP($FM42-GJ$103,Männer!$AZ$9:$BD$102,5)+VLOOKUP($FM42-GJ$103+1,Männer!$AZ$9:$BD$102,5)),RundDx)</f>
        <v>10169584</v>
      </c>
      <c r="GK42" s="25">
        <f>ROUND(v^($FM42+FaktorAlter)*VLOOKUP($FM42,$G$9:$J$102,4)*VLOOKUP($FM42,$A$9:$E$102,5)*0.5*(VLOOKUP($FM42-GK$103,Männer!$G$9:$J$102,4)+VLOOKUP($FM42-GK$103+1,Männer!$G$9:$J$102,4))*0.5*(VLOOKUP($FM42-GK$103,Männer!$AZ$9:$BD$102,5)+VLOOKUP($FM42-GK$103+1,Männer!$AZ$9:$BD$102,5)),RundDx)</f>
        <v>13473031</v>
      </c>
      <c r="GL42" s="25">
        <f>ROUND(v^($FM42+FaktorAlter)*VLOOKUP($FM42,$G$9:$J$102,4)*VLOOKUP($FM42,$A$9:$E$102,5)*0.5*(VLOOKUP($FM42-GL$103,Männer!$G$9:$J$102,4)+VLOOKUP($FM42-GL$103+1,Männer!$G$9:$J$102,4))*0.5*(VLOOKUP($FM42-GL$103,Männer!$AZ$9:$BD$102,5)+VLOOKUP($FM42-GL$103+1,Männer!$AZ$9:$BD$102,5)),RundDx)</f>
        <v>17375598</v>
      </c>
      <c r="GM42" s="25">
        <f>ROUND(v^($FM42+FaktorAlter)*VLOOKUP($FM42,$G$9:$J$102,4)*VLOOKUP($FM42,$A$9:$E$102,5)*0.5*(VLOOKUP($FM42-GM$103,Männer!$G$9:$J$102,4)+VLOOKUP($FM42-GM$103+1,Männer!$G$9:$J$102,4))*0.5*(VLOOKUP($FM42-GM$103,Männer!$AZ$9:$BD$102,5)+VLOOKUP($FM42-GM$103+1,Männer!$AZ$9:$BD$102,5)),RundDx)</f>
        <v>21863018</v>
      </c>
      <c r="GN42" s="25">
        <f>ROUND(v^($FM42+FaktorAlter)*VLOOKUP($FM42,$G$9:$J$102,4)*VLOOKUP($FM42,$A$9:$E$102,5)*0.5*(VLOOKUP($FM42-GN$103,Männer!$G$9:$J$102,4)+VLOOKUP($FM42-GN$103+1,Männer!$G$9:$J$102,4))*0.5*(VLOOKUP($FM42-GN$103,Männer!$AZ$9:$BD$102,5)+VLOOKUP($FM42-GN$103+1,Männer!$AZ$9:$BD$102,5)),RundDx)</f>
        <v>26906926</v>
      </c>
      <c r="GO42" s="25">
        <f>ROUND(v^($FM42+FaktorAlter)*VLOOKUP($FM42,$G$9:$J$102,4)*VLOOKUP($FM42,$A$9:$E$102,5)*0.5*(VLOOKUP($FM42-GO$103,Männer!$G$9:$J$102,4)+VLOOKUP($FM42-GO$103+1,Männer!$G$9:$J$102,4))*0.5*(VLOOKUP($FM42-GO$103,Männer!$AZ$9:$BD$102,5)+VLOOKUP($FM42-GO$103+1,Männer!$AZ$9:$BD$102,5)),RundDx)</f>
        <v>32492945</v>
      </c>
      <c r="GP42" s="25">
        <f>ROUND(v^($FM42+FaktorAlter)*VLOOKUP($FM42,$G$9:$J$102,4)*VLOOKUP($FM42,$A$9:$E$102,5)*0.5*(VLOOKUP($FM42-GP$103,Männer!$G$9:$J$102,4)+VLOOKUP($FM42-GP$103+1,Männer!$G$9:$J$102,4))*0.5*(VLOOKUP($FM42-GP$103,Männer!$AZ$9:$BD$102,5)+VLOOKUP($FM42-GP$103+1,Männer!$AZ$9:$BD$102,5)),RundDx)</f>
        <v>38602192</v>
      </c>
      <c r="GQ42" s="25">
        <f>ROUND(v^($FM42+FaktorAlter)*VLOOKUP($FM42,$G$9:$J$102,4)*VLOOKUP($FM42,$A$9:$E$102,5)*0.5*(VLOOKUP($FM42-GQ$103,Männer!$G$9:$J$102,4)+VLOOKUP($FM42-GQ$103+1,Männer!$G$9:$J$102,4))*0.5*(VLOOKUP($FM42-GQ$103,Männer!$AZ$9:$BD$102,5)+VLOOKUP($FM42-GQ$103+1,Männer!$AZ$9:$BD$102,5)),RundDx)</f>
        <v>45203150</v>
      </c>
      <c r="GR42" s="25">
        <f>ROUND(v^($FM42+FaktorAlter)*VLOOKUP($FM42,$G$9:$J$102,4)*VLOOKUP($FM42,$A$9:$E$102,5)*0.5*(VLOOKUP($FM42-GR$103,Männer!$G$9:$J$102,4)+VLOOKUP($FM42-GR$103+1,Männer!$G$9:$J$102,4))*0.5*(VLOOKUP($FM42-GR$103,Männer!$AZ$9:$BD$102,5)+VLOOKUP($FM42-GR$103+1,Männer!$AZ$9:$BD$102,5)),RundDx)</f>
        <v>52271037</v>
      </c>
      <c r="GS42" s="24"/>
      <c r="GT42" s="24"/>
      <c r="GU42" s="24"/>
      <c r="GV42" s="24"/>
      <c r="GW42" s="24"/>
      <c r="GX42" s="24"/>
      <c r="GY42" s="24"/>
      <c r="GZ42" s="24"/>
      <c r="HA42" s="89"/>
      <c r="HB42" s="35">
        <f t="shared" si="65"/>
        <v>97</v>
      </c>
      <c r="HC42" s="24"/>
      <c r="HD42" s="24"/>
      <c r="HE42" s="24"/>
      <c r="HF42" s="24">
        <f>ROUND(SUM(FY42:FY$56)/VLOOKUP($FM42,$AQ$9:$AR$102,2)/VLOOKUP($FM42-HF$103,Männer!$G$9:$J$102,4),Rundäx)</f>
        <v>0</v>
      </c>
      <c r="HG42" s="24">
        <f>ROUND(SUM(FZ42:FZ$56)/VLOOKUP($FM42,$AQ$9:$AR$102,2)/VLOOKUP($FM42-HG$103,Männer!$G$9:$J$102,4),Rundäx)</f>
        <v>0.215</v>
      </c>
      <c r="HH42" s="24">
        <f>ROUND(SUM(GA42:GA$56)/VLOOKUP($FM42,$AQ$9:$AR$102,2)/VLOOKUP($FM42-HH$103,Männer!$G$9:$J$102,4),Rundäx)</f>
        <v>0.34100000000000003</v>
      </c>
      <c r="HI42" s="24">
        <f>ROUND(SUM(GB42:GB$56)/VLOOKUP($FM42,$AQ$9:$AR$102,2)/VLOOKUP($FM42-HI$103,Männer!$G$9:$J$102,4),Rundäx)</f>
        <v>0.44600000000000001</v>
      </c>
      <c r="HJ42" s="24">
        <f>ROUND(SUM(GC42:GC$56)/VLOOKUP($FM42,$AQ$9:$AR$102,2)/VLOOKUP($FM42-HJ$103,Männer!$G$9:$J$102,4),Rundäx)</f>
        <v>0.55800000000000005</v>
      </c>
      <c r="HK42" s="89"/>
      <c r="HL42" s="35">
        <f t="shared" si="66"/>
        <v>97</v>
      </c>
      <c r="HM42" s="24">
        <f>ROUND(SUM(GD42:GD$56)/VLOOKUP($FM42,$AQ$9:$AR$102,2)/VLOOKUP($FM42-HM$103,Männer!$G$9:$J$102,4),Rundäx)</f>
        <v>0.68300000000000005</v>
      </c>
      <c r="HN42" s="24">
        <f>ROUND(SUM(GE42:GE$56)/VLOOKUP($FM42,$AQ$9:$AR$102,2)/VLOOKUP($FM42-HN$103,Männer!$G$9:$J$102,4),Rundäx)</f>
        <v>0.82399999999999995</v>
      </c>
      <c r="HO42" s="24">
        <f>ROUND(SUM(GF42:GF$56)/VLOOKUP($FM42,$AQ$9:$AR$102,2)/VLOOKUP($FM42-HO$103,Männer!$G$9:$J$102,4),Rundäx)</f>
        <v>0.98299999999999998</v>
      </c>
      <c r="HP42" s="24">
        <f>ROUND(SUM(GG42:GG$56)/VLOOKUP($FM42,$AQ$9:$AR$102,2)/VLOOKUP($FM42-HP$103,Männer!$G$9:$J$102,4),Rundäx)</f>
        <v>1.1599999999999999</v>
      </c>
      <c r="HQ42" s="24">
        <f>ROUND(SUM(GH42:GH$56)/VLOOKUP($FM42,$AQ$9:$AR$102,2)/VLOOKUP($FM42-HQ$103,Männer!$G$9:$J$102,4),Rundäx)</f>
        <v>1.357</v>
      </c>
      <c r="HR42" s="24">
        <f>ROUND(SUM(GI42:GI$56)/VLOOKUP($FM42,$AQ$9:$AR$102,2)/VLOOKUP($FM42-HR$103,Männer!$G$9:$J$102,4),Rundäx)</f>
        <v>1.575</v>
      </c>
      <c r="HS42" s="24">
        <f>ROUND(SUM(GJ42:GJ$56)/VLOOKUP($FM42,$AQ$9:$AR$102,2)/VLOOKUP($FM42-HS$103,Männer!$G$9:$J$102,4),Rundäx)</f>
        <v>1.8129999999999999</v>
      </c>
      <c r="HT42" s="24">
        <f>ROUND(SUM(GK42:GK$56)/VLOOKUP($FM42,$AQ$9:$AR$102,2)/VLOOKUP($FM42-HT$103,Männer!$G$9:$J$102,4),Rundäx)</f>
        <v>2.0720000000000001</v>
      </c>
      <c r="HU42" s="89"/>
      <c r="HV42" s="35">
        <f t="shared" si="67"/>
        <v>97</v>
      </c>
      <c r="HW42" s="24">
        <f>ROUND(SUM(GL42:GL$56)/VLOOKUP($FM42,$AQ$9:$AR$102,2)/VLOOKUP($FM42-HW$103,Männer!$G$9:$J$102,4),Rundäx)</f>
        <v>2.35</v>
      </c>
      <c r="HX42" s="24">
        <f>ROUND(SUM(GM42:GM$56)/VLOOKUP($FM42,$AQ$9:$AR$102,2)/VLOOKUP($FM42-HX$103,Männer!$G$9:$J$102,4),Rundäx)</f>
        <v>2.645</v>
      </c>
      <c r="HY42" s="24">
        <f>ROUND(SUM(GN42:GN$56)/VLOOKUP($FM42,$AQ$9:$AR$102,2)/VLOOKUP($FM42-HY$103,Männer!$G$9:$J$102,4),Rundäx)</f>
        <v>2.9540000000000002</v>
      </c>
      <c r="HZ42" s="24">
        <f>ROUND(SUM(GO42:GO$56)/VLOOKUP($FM42,$AQ$9:$AR$102,2)/VLOOKUP($FM42-HZ$103,Männer!$G$9:$J$102,4),Rundäx)</f>
        <v>3.2749999999999999</v>
      </c>
      <c r="IA42" s="24">
        <f>ROUND(SUM(GP42:GP$56)/VLOOKUP($FM42,$AQ$9:$AR$102,2)/VLOOKUP($FM42-IA$103,Männer!$G$9:$J$102,4),Rundäx)</f>
        <v>3.6059999999999999</v>
      </c>
      <c r="IB42" s="24">
        <f>ROUND(SUM(GQ42:GQ$56)/VLOOKUP($FM42,$AQ$9:$AR$102,2)/VLOOKUP($FM42-IB$103,Männer!$G$9:$J$102,4),Rundäx)</f>
        <v>3.9470000000000001</v>
      </c>
      <c r="IC42" s="24">
        <f>ROUND(SUM(GR42:GR$56)/VLOOKUP($FM42,$AQ$9:$AR$102,2)/VLOOKUP($FM42-IC$103,Männer!$G$9:$J$102,4),Rundäx)</f>
        <v>4.2960000000000003</v>
      </c>
      <c r="ID42" s="89"/>
      <c r="IE42" s="9">
        <f t="shared" si="68"/>
        <v>50</v>
      </c>
      <c r="IF42" s="11">
        <f t="shared" si="25"/>
        <v>64</v>
      </c>
      <c r="IG42" s="11">
        <f>IF($IE42&lt;RAF,IF(S43&lt;=RAK,ROUND(SUM(IF42:INDEX(Daky,RAF-BeginnAlter))+INDEX(Day,RAF-BeginnAlter+1)*INDEX(äky,1),RundDx),0),"")</f>
        <v>238</v>
      </c>
      <c r="IH42" s="11">
        <f>IF($IE42&lt;RAF,IF(S43&lt;=RAK,ROUND(SUM(IG42:INDEX(Naky,RAF-BeginnAlter))+INDEX(Day,RAF-BeginnAlter+1)*INDEX(äky,1),RundDx),0),"")</f>
        <v>785</v>
      </c>
      <c r="II42" s="10">
        <f t="shared" si="26"/>
        <v>8.0000000000000002E-3</v>
      </c>
      <c r="IJ42" s="11">
        <f t="shared" si="27"/>
        <v>892</v>
      </c>
      <c r="IK42" s="11">
        <f>IF($IE42&lt;RAF,IF(S43&lt;=RAK,SUM(IJ42:INDEX(Diky,RAF-BeginnAlter))+INDEX(Diy,RAF-BeginnAlter+1)*INDEX(äky,1),0),"")</f>
        <v>2779</v>
      </c>
      <c r="IL42" s="10">
        <f t="shared" si="28"/>
        <v>7.0000000000000007E-2</v>
      </c>
      <c r="IM42" s="89"/>
      <c r="IN42" s="9">
        <f t="shared" si="29"/>
        <v>97</v>
      </c>
      <c r="IO42" s="11"/>
      <c r="IP42" s="11"/>
      <c r="IQ42" s="10"/>
      <c r="IR42" s="86"/>
    </row>
    <row r="43" spans="1:252" ht="15.75" customHeight="1" x14ac:dyDescent="0.25">
      <c r="A43" s="9">
        <f t="shared" si="4"/>
        <v>51</v>
      </c>
      <c r="B43" s="93">
        <v>1.5466748288494845E-3</v>
      </c>
      <c r="C43" s="93">
        <v>8.5988739291179422E-3</v>
      </c>
      <c r="D43" s="93">
        <v>1.860860214537266E-2</v>
      </c>
      <c r="E43" s="93">
        <v>2.8443052063151786E-3</v>
      </c>
      <c r="F43" s="89"/>
      <c r="G43" s="9">
        <f t="shared" si="5"/>
        <v>51</v>
      </c>
      <c r="H43" s="11">
        <f t="shared" si="30"/>
        <v>90102</v>
      </c>
      <c r="I43" s="25">
        <f t="shared" si="31"/>
        <v>6934</v>
      </c>
      <c r="J43" s="25">
        <f t="shared" si="32"/>
        <v>97036</v>
      </c>
      <c r="K43" s="30">
        <f>IF(J43&gt;0,ROUND(SUM(J43:J$102)/J43-0.5,Rundex),"")</f>
        <v>32.33</v>
      </c>
      <c r="L43" s="25">
        <f t="shared" si="6"/>
        <v>119135</v>
      </c>
      <c r="M43" s="30">
        <f>IF(L43&gt;0,ROUND(SUM(L43:L$102)/L43-0.5,Rundex),"")</f>
        <v>27.49</v>
      </c>
      <c r="N43" s="89"/>
      <c r="O43" s="9">
        <f t="shared" si="49"/>
        <v>51</v>
      </c>
      <c r="P43" s="94">
        <v>0.28638979573484469</v>
      </c>
      <c r="Q43" s="95">
        <v>53.517682090589844</v>
      </c>
      <c r="R43" s="94">
        <v>0.16555160347638914</v>
      </c>
      <c r="S43" s="95">
        <v>18.376927884889255</v>
      </c>
      <c r="T43" s="28">
        <v>1.9347865423653228E-3</v>
      </c>
      <c r="U43" s="11">
        <f t="shared" si="33"/>
        <v>97462</v>
      </c>
      <c r="V43" s="30">
        <f>IF(U43&gt;0,ROUND(SUM(U43:U$102)/U43-0.5,Rundex),"")</f>
        <v>33.49</v>
      </c>
      <c r="W43" s="89"/>
      <c r="X43" s="9">
        <f t="shared" si="50"/>
        <v>51</v>
      </c>
      <c r="Y43" s="11">
        <f t="shared" si="34"/>
        <v>28967</v>
      </c>
      <c r="Z43" s="11">
        <f>IF($X43&lt;RAF,SUM(Y43:INDEX(Day,RAF-BeginnAlter))," ")</f>
        <v>302746</v>
      </c>
      <c r="AA43" s="11">
        <f t="shared" si="0"/>
        <v>44</v>
      </c>
      <c r="AB43" s="11">
        <f>IF($X43&lt;RAF,SUM(AA43:INDEX(Cay,RAF-BeginnAlter))," ")</f>
        <v>797</v>
      </c>
      <c r="AC43" s="11">
        <f t="shared" si="1"/>
        <v>246</v>
      </c>
      <c r="AD43" s="11">
        <f>IF($X43&lt;RAF,SUM(AC43:INDEX(Caiy,RAF-BeginnAlter))," ")</f>
        <v>5200</v>
      </c>
      <c r="AE43" s="10">
        <f t="shared" si="35"/>
        <v>10.451000000000001</v>
      </c>
      <c r="AF43" s="10">
        <f t="shared" si="36"/>
        <v>10.252000000000001</v>
      </c>
      <c r="AG43" s="89"/>
      <c r="AH43" s="9">
        <f t="shared" si="51"/>
        <v>51</v>
      </c>
      <c r="AI43" s="11">
        <f t="shared" si="37"/>
        <v>38301</v>
      </c>
      <c r="AJ43" s="11">
        <f>IF($AH43&gt;RAF," ",IF($AH43&lt;RAF,SUM(AI43:INDEX(Diy,RAF-BeginnAlter))+INDEX(Ny,RAF-BeginnAlter+1),INDEX(Ny,RAF-BeginnAlter+1)))</f>
        <v>757781</v>
      </c>
      <c r="AK43" s="11">
        <f>IF($AH43&lt;RAF,SUM(AI43:INDEX(Diy,RAF-BeginnAlter))," ")</f>
        <v>391687</v>
      </c>
      <c r="AL43" s="10">
        <f t="shared" si="38"/>
        <v>19.785</v>
      </c>
      <c r="AM43" s="10">
        <f t="shared" si="39"/>
        <v>19.327000000000002</v>
      </c>
      <c r="AN43" s="10">
        <f t="shared" si="40"/>
        <v>10.227</v>
      </c>
      <c r="AO43" s="10">
        <f t="shared" si="41"/>
        <v>10.028</v>
      </c>
      <c r="AP43" s="89"/>
      <c r="AQ43" s="9">
        <f t="shared" si="52"/>
        <v>51</v>
      </c>
      <c r="AR43" s="11">
        <f t="shared" si="42"/>
        <v>31196</v>
      </c>
      <c r="AS43" s="11">
        <f>SUM(AR43:AR$96)</f>
        <v>713927</v>
      </c>
      <c r="AT43" s="25">
        <f>IF($AQ43&lt;RAF,SUM(AR43:INDEX(Dy,RAF-BeginnAlter))," ")</f>
        <v>347833</v>
      </c>
      <c r="AU43" s="24">
        <f t="shared" si="43"/>
        <v>22.885000000000002</v>
      </c>
      <c r="AV43" s="24">
        <f t="shared" si="44"/>
        <v>22.427</v>
      </c>
      <c r="AW43" s="24">
        <f t="shared" si="45"/>
        <v>11.15</v>
      </c>
      <c r="AX43" s="24">
        <f t="shared" si="46"/>
        <v>11.010999999999999</v>
      </c>
      <c r="AY43" s="89"/>
      <c r="AZ43" s="9">
        <f t="shared" si="53"/>
        <v>51</v>
      </c>
      <c r="BA43" s="11">
        <f t="shared" si="47"/>
        <v>31333</v>
      </c>
      <c r="BB43" s="11">
        <f>SUM(BA43:BA$96)</f>
        <v>736246</v>
      </c>
      <c r="BC43" s="10">
        <f t="shared" si="48"/>
        <v>23.497</v>
      </c>
      <c r="BD43" s="10">
        <f t="shared" si="7"/>
        <v>23.039000000000001</v>
      </c>
      <c r="BE43" s="89"/>
      <c r="BF43" s="9">
        <f t="shared" si="54"/>
        <v>34</v>
      </c>
      <c r="BG43" s="10" t="str">
        <f t="shared" si="8"/>
        <v/>
      </c>
      <c r="BH43" s="10" t="str">
        <f t="shared" si="9"/>
        <v/>
      </c>
      <c r="BI43" s="89"/>
      <c r="BJ43" s="9">
        <f t="shared" si="55"/>
        <v>51</v>
      </c>
      <c r="BK43" s="11">
        <f t="shared" si="10"/>
        <v>4734</v>
      </c>
      <c r="BL43" s="11">
        <f>IF(BJ43&lt;RAF,SUM(BK43:INDEX(Daiy,RAF-BeginnAlter))," ")</f>
        <v>91628</v>
      </c>
      <c r="BM43" s="11">
        <f>IF(BJ43&lt;RAF,SUM(BL43:INDEX(Naiy,RAF-BeginnAlter))," ")</f>
        <v>715657</v>
      </c>
      <c r="BN43" s="10">
        <f t="shared" si="11"/>
        <v>9.2579999999999991</v>
      </c>
      <c r="BO43" s="10">
        <f t="shared" si="12"/>
        <v>3.1629999999999998</v>
      </c>
      <c r="BP43" s="89"/>
      <c r="BQ43" s="9">
        <f t="shared" si="56"/>
        <v>51</v>
      </c>
      <c r="BR43" s="11">
        <f t="shared" si="13"/>
        <v>2397</v>
      </c>
      <c r="BS43" s="11">
        <f>IF(BQ43&lt;RAF,SUM(BR43:INDEX(Daiys,RAF-BeginnAlter))," ")</f>
        <v>24413</v>
      </c>
      <c r="BT43" s="11">
        <f>IF(BQ43&lt;RAF,SUM(BS43:INDEX(Naiys,RAF-BeginnAlter))," ")</f>
        <v>141944</v>
      </c>
      <c r="BU43" s="10">
        <f t="shared" si="14"/>
        <v>11.579000000000001</v>
      </c>
      <c r="BV43" s="10">
        <f t="shared" si="15"/>
        <v>0.84299999999999997</v>
      </c>
      <c r="BW43" s="89"/>
      <c r="BX43" s="9">
        <f t="shared" si="57"/>
        <v>51</v>
      </c>
      <c r="BY43" s="10">
        <f t="shared" si="16"/>
        <v>5.7101118887932198</v>
      </c>
      <c r="BZ43" s="11">
        <f t="shared" si="17"/>
        <v>207</v>
      </c>
      <c r="CA43" s="11">
        <f>IF(S44&lt;=RAK,IF($BX43&lt;RAF,SUM(BZ43:INDEX(Dazy,RAF-BeginnAlter)),""),"")</f>
        <v>776</v>
      </c>
      <c r="CB43" s="10">
        <f t="shared" si="18"/>
        <v>2.7E-2</v>
      </c>
      <c r="CC43" s="11">
        <f t="shared" si="19"/>
        <v>26268</v>
      </c>
      <c r="CD43" s="10">
        <f t="shared" si="20"/>
        <v>19.391999999999999</v>
      </c>
      <c r="CE43" s="10">
        <f t="shared" si="21"/>
        <v>4.0000000000000001E-3</v>
      </c>
      <c r="CF43" s="89"/>
      <c r="CG43" s="9">
        <f t="shared" si="58"/>
        <v>51</v>
      </c>
      <c r="CH43" s="11">
        <f>IF(CG43&lt;RAF,ROUND(v^($CG43+FaktorAlter)*$H43*($B43*0.5*($P43+$P44)*(VLOOKUP(TRUNC(0.5*($Q43+$Q44),0),Männer!$AZ$9:$BD$95,5)+(0.5*($Q43+$Q44)-TRUNC(0.5*($Q43+$Q44),0))*(VLOOKUP(TRUNC(0.5*($Q43+$Q44)+1,0),Männer!$AZ$9:$BD$95,5)-VLOOKUP(TRUNC(0.5*($Q43+$Q44),0),Männer!$AZ$9:$BD$95,5)))+$C43*0.5*($CN43+$CN44)),RundDx),"")</f>
        <v>407</v>
      </c>
      <c r="CI43" s="11">
        <f>IF(CG43&lt;RAF,ROUND(SUM(CH43:INDEX(Dawy,RAF-BeginnAlter))+INDEX(Day,RAF-BeginnAlter+1)*INDEX(äwy,1),RundDx),"")</f>
        <v>6262</v>
      </c>
      <c r="CJ43" s="11">
        <f>IF(CG43&lt;RAF,ROUND(SUM(CI43:INDEX(Nawy,RAF-BeginnAlter))+INDEX(Day,RAF-BeginnAlter+1)*INDEX(äwy,1),RundDx),"")</f>
        <v>54263</v>
      </c>
      <c r="CK43" s="10">
        <f t="shared" si="22"/>
        <v>0.216</v>
      </c>
      <c r="CL43" s="11">
        <f>IF(CG43&lt;RAF,ROUND(v^($CG43+FaktorAlter)*$L43*$D43*0.5*($P43+$P44)*(VLOOKUP(TRUNC(0.5*($Q43+$Q44),0),Männer!$AZ$9:$BD$95,5)+(0.5*($Q43+$Q44)-TRUNC(0.5*($Q43+$Q44),0))*(VLOOKUP(TRUNC(0.5*($Q43+$Q44)+1,0),Männer!$AZ$9:$BD$95,5)-VLOOKUP(TRUNC(0.5*($Q43+$Q44),0),Männer!$AZ$9:$BD$95,5))),RundDx),"")</f>
        <v>3586</v>
      </c>
      <c r="CM43" s="11">
        <f>IF(CG43&lt;RAF,SUM(CL43:INDEX(Diwy,RAF-BeginnAlter))+INDEX(Diy,RAF-BeginnAlter+1)*INDEX(äwy,1),"")</f>
        <v>29553.304</v>
      </c>
      <c r="CN43" s="10">
        <f t="shared" si="23"/>
        <v>0.77200000000000002</v>
      </c>
      <c r="CO43" s="89"/>
      <c r="CP43" s="9">
        <f t="shared" si="59"/>
        <v>98</v>
      </c>
      <c r="CQ43" s="11">
        <f>ROUND(v^($CP43+FaktorAlter)*VLOOKUP(CP43,G$9:J$102,4)*VLOOKUP(CP43,A$9:E$102,5)*0.5*(VLOOKUP(CP43,O$9:P$102,2)+VLOOKUP(CP43+1,O$9:P$102,2))*(VLOOKUP(TRUNC(0.5*(VLOOKUP(CP43,O$9:Q$102,3)+VLOOKUP(CP43+1,O$9:Q$102,3)),0),Männer!$AZ$9:$BD$95,5)+(0.5*(VLOOKUP(CP43,O$9:Q$102,3)+VLOOKUP(CP43+1,O$9:Q$102,3))-TRUNC(0.5*(VLOOKUP(CP43,O$9:Q$102,3)+VLOOKUP(CP43+1,O$9:Q$102,3)),0))*(VLOOKUP(TRUNC(0.5*(VLOOKUP(CP43,O$9:Q$102,3)+VLOOKUP(CP43+1,O$9:Q$102,3))+1,0),Männer!$AZ$9:$BD$95,5)-VLOOKUP(TRUNC(0.5*(VLOOKUP(CP43,O$9:Q$102,3)+VLOOKUP(CP43+1,O$9:Q$102,3)),0),Männer!$AZ$9:$BD$95,5))),RundDx)</f>
        <v>1</v>
      </c>
      <c r="CR43" s="11">
        <f>SUM(CQ43:CQ$56)</f>
        <v>1</v>
      </c>
      <c r="CS43" s="24">
        <f t="shared" si="24"/>
        <v>2E-3</v>
      </c>
      <c r="CT43" s="89"/>
      <c r="CU43" s="35">
        <f t="shared" si="60"/>
        <v>51</v>
      </c>
      <c r="CV43" s="25">
        <f>IF($CU43&gt;=RAF,"",IF($CU43-CV$103&lt;BeginnAlter,"",ROUND(v^($CU43+FaktorAlter)*$L43*$D43*0.5*(VLOOKUP($CU43-CV$103,Männer!$G$9:$J$102,4)+VLOOKUP($CU43-CV$103+1,Männer!$G$9:$J$102,4))*0.5*(VLOOKUP($CU43-CV$103,Männer!$AZ$9:$BD$102,5)+VLOOKUP($CU43-CV$103+1,Männer!$AZ$9:$BD$102,5)),RundDx)))</f>
        <v>722221905</v>
      </c>
      <c r="CW43" s="25">
        <f>IF($CU43&gt;=RAF,"",IF($CU43-CW$103&lt;BeginnAlter,"",ROUND(v^($CU43+FaktorAlter)*$L43*$D43*0.5*(VLOOKUP($CU43-CW$103,Männer!$G$9:$J$102,4)+VLOOKUP($CU43-CW$103+1,Männer!$G$9:$J$102,4))*0.5*(VLOOKUP($CU43-CW$103,Männer!$AZ$9:$BD$102,5)+VLOOKUP($CU43-CW$103+1,Männer!$AZ$9:$BD$102,5)),RundDx)))</f>
        <v>758110891</v>
      </c>
      <c r="CX43" s="25">
        <f>IF($CU43&gt;=RAF,"",IF($CU43-CX$103&lt;BeginnAlter,"",ROUND(v^($CU43+FaktorAlter)*$L43*$D43*0.5*(VLOOKUP($CU43-CX$103,Männer!$G$9:$J$102,4)+VLOOKUP($CU43-CX$103+1,Männer!$G$9:$J$102,4))*0.5*(VLOOKUP($CU43-CX$103,Männer!$AZ$9:$BD$102,5)+VLOOKUP($CU43-CX$103+1,Männer!$AZ$9:$BD$102,5)),RundDx)))</f>
        <v>794436018</v>
      </c>
      <c r="CY43" s="25">
        <f>IF($CU43&gt;=RAF,"",IF($CU43-CY$103&lt;BeginnAlter,"",ROUND(v^($CU43+FaktorAlter)*$L43*$D43*0.5*(VLOOKUP($CU43-CY$103,Männer!$G$9:$J$102,4)+VLOOKUP($CU43-CY$103+1,Männer!$G$9:$J$102,4))*0.5*(VLOOKUP($CU43-CY$103,Männer!$AZ$9:$BD$102,5)+VLOOKUP($CU43-CY$103+1,Männer!$AZ$9:$BD$102,5)),RundDx)))</f>
        <v>831266144</v>
      </c>
      <c r="CZ43" s="25">
        <f>IF($CU43&gt;=RAF,"",IF($CU43-CZ$103&lt;BeginnAlter,"",ROUND(v^($CU43+FaktorAlter)*$L43*$D43*0.5*(VLOOKUP($CU43-CZ$103,Männer!$G$9:$J$102,4)+VLOOKUP($CU43-CZ$103+1,Männer!$G$9:$J$102,4))*0.5*(VLOOKUP($CU43-CZ$103,Männer!$AZ$9:$BD$102,5)+VLOOKUP($CU43-CZ$103+1,Männer!$AZ$9:$BD$102,5)),RundDx)))</f>
        <v>868690076</v>
      </c>
      <c r="DA43" s="25">
        <f>IF($CU43&gt;=RAF,"",IF($CU43-DA$103&lt;BeginnAlter,"",ROUND(v^($CU43+FaktorAlter)*$L43*$D43*0.5*(VLOOKUP($CU43-DA$103,Männer!$G$9:$J$102,4)+VLOOKUP($CU43-DA$103+1,Männer!$G$9:$J$102,4))*0.5*(VLOOKUP($CU43-DA$103,Männer!$AZ$9:$BD$102,5)+VLOOKUP($CU43-DA$103+1,Männer!$AZ$9:$BD$102,5)),RundDx)))</f>
        <v>906763599</v>
      </c>
      <c r="DB43" s="25">
        <f>IF($CU43&gt;=RAF,"",IF($CU43-DB$103&lt;BeginnAlter,"",ROUND(v^($CU43+FaktorAlter)*$L43*$D43*0.5*(VLOOKUP($CU43-DB$103,Männer!$G$9:$J$102,4)+VLOOKUP($CU43-DB$103+1,Männer!$G$9:$J$102,4))*0.5*(VLOOKUP($CU43-DB$103,Männer!$AZ$9:$BD$102,5)+VLOOKUP($CU43-DB$103+1,Männer!$AZ$9:$BD$102,5)),RundDx)))</f>
        <v>945517361</v>
      </c>
      <c r="DC43" s="25">
        <f>IF($CU43&gt;=RAF,"",IF($CU43-DC$103&lt;BeginnAlter,"",ROUND(v^($CU43+FaktorAlter)*$L43*$D43*0.5*(VLOOKUP($CU43-DC$103,Männer!$G$9:$J$102,4)+VLOOKUP($CU43-DC$103+1,Männer!$G$9:$J$102,4))*0.5*(VLOOKUP($CU43-DC$103,Männer!$AZ$9:$BD$102,5)+VLOOKUP($CU43-DC$103+1,Männer!$AZ$9:$BD$102,5)),RundDx)))</f>
        <v>985020609</v>
      </c>
      <c r="DD43" s="25">
        <f>IF($CU43&gt;=RAF,"",IF($CU43-DD$103&lt;BeginnAlter,"",ROUND(v^($CU43+FaktorAlter)*$L43*$D43*0.5*(VLOOKUP($CU43-DD$103,Männer!$G$9:$J$102,4)+VLOOKUP($CU43-DD$103+1,Männer!$G$9:$J$102,4))*0.5*(VLOOKUP($CU43-DD$103,Männer!$AZ$9:$BD$102,5)+VLOOKUP($CU43-DD$103+1,Männer!$AZ$9:$BD$102,5)),RundDx)))</f>
        <v>1025226604</v>
      </c>
      <c r="DE43" s="25">
        <f>IF($CU43&gt;=RAF,"",IF($CU43-DE$103&lt;BeginnAlter,"",ROUND(v^($CU43+FaktorAlter)*$L43*$D43*0.5*(VLOOKUP($CU43-DE$103,Männer!$G$9:$J$102,4)+VLOOKUP($CU43-DE$103+1,Männer!$G$9:$J$102,4))*0.5*(VLOOKUP($CU43-DE$103,Männer!$AZ$9:$BD$102,5)+VLOOKUP($CU43-DE$103+1,Männer!$AZ$9:$BD$102,5)),RundDx)))</f>
        <v>1066076351</v>
      </c>
      <c r="DF43" s="25">
        <f>IF($CU43&gt;=RAF,"",IF($CU43-DF$103&lt;BeginnAlter,"",ROUND(v^($CU43+FaktorAlter)*$L43*$D43*0.5*(VLOOKUP($CU43-DF$103,Männer!$G$9:$J$102,4)+VLOOKUP($CU43-DF$103+1,Männer!$G$9:$J$102,4))*0.5*(VLOOKUP($CU43-DF$103,Männer!$AZ$9:$BD$102,5)+VLOOKUP($CU43-DF$103+1,Männer!$AZ$9:$BD$102,5)),RundDx)))</f>
        <v>1107558477</v>
      </c>
      <c r="DG43" s="25">
        <f>IF($CU43&gt;=RAF,"",IF($CU43-DG$103&lt;BeginnAlter,"",ROUND(v^($CU43+FaktorAlter)*$L43*$D43*0.5*(VLOOKUP($CU43-DG$103,Männer!$G$9:$J$102,4)+VLOOKUP($CU43-DG$103+1,Männer!$G$9:$J$102,4))*0.5*(VLOOKUP($CU43-DG$103,Männer!$AZ$9:$BD$102,5)+VLOOKUP($CU43-DG$103+1,Männer!$AZ$9:$BD$102,5)),RundDx)))</f>
        <v>1149064658</v>
      </c>
      <c r="DH43" s="25">
        <f>IF($CU43&gt;=RAF,"",IF($CU43-DH$103&lt;BeginnAlter,"",ROUND(v^($CU43+FaktorAlter)*$L43*$D43*0.5*(VLOOKUP($CU43-DH$103,Männer!$G$9:$J$102,4)+VLOOKUP($CU43-DH$103+1,Männer!$G$9:$J$102,4))*0.5*(VLOOKUP($CU43-DH$103,Männer!$AZ$9:$BD$102,5)+VLOOKUP($CU43-DH$103+1,Männer!$AZ$9:$BD$102,5)),RundDx)))</f>
        <v>1189946380</v>
      </c>
      <c r="DI43" s="25">
        <f>IF($CU43&gt;=RAF,"",IF($CU43-DI$103&lt;BeginnAlter,"",ROUND(v^($CU43+FaktorAlter)*$L43*$D43*0.5*(VLOOKUP($CU43-DI$103,Männer!$G$9:$J$102,4)+VLOOKUP($CU43-DI$103+1,Männer!$G$9:$J$102,4))*0.5*(VLOOKUP($CU43-DI$103,Männer!$AZ$9:$BD$102,5)+VLOOKUP($CU43-DI$103+1,Männer!$AZ$9:$BD$102,5)),RundDx)))</f>
        <v>1230210527</v>
      </c>
      <c r="DJ43" s="25">
        <f>IF($CU43&gt;=RAF,"",IF($CU43-DJ$103&lt;BeginnAlter,"",ROUND(v^($CU43+FaktorAlter)*$L43*$D43*0.5*(VLOOKUP($CU43-DJ$103,Männer!$G$9:$J$102,4)+VLOOKUP($CU43-DJ$103+1,Männer!$G$9:$J$102,4))*0.5*(VLOOKUP($CU43-DJ$103,Männer!$AZ$9:$BD$102,5)+VLOOKUP($CU43-DJ$103+1,Männer!$AZ$9:$BD$102,5)),RundDx)))</f>
        <v>1269863178</v>
      </c>
      <c r="DK43" s="25">
        <f>IF($CU43&gt;=RAF,"",IF($CU43-DK$103&lt;BeginnAlter,"",ROUND(v^($CU43+FaktorAlter)*$L43*$D43*0.5*(VLOOKUP($CU43-DK$103,Männer!$G$9:$J$102,4)+VLOOKUP($CU43-DK$103+1,Männer!$G$9:$J$102,4))*0.5*(VLOOKUP($CU43-DK$103,Männer!$AZ$9:$BD$102,5)+VLOOKUP($CU43-DK$103+1,Männer!$AZ$9:$BD$102,5)),RundDx)))</f>
        <v>1308833084</v>
      </c>
      <c r="DL43" s="25">
        <f>IF($CU43&gt;=RAF,"",IF($CU43-DL$103&lt;BeginnAlter,"",ROUND(v^($CU43+FaktorAlter)*$L43*$D43*0.5*(VLOOKUP($CU43-DL$103,Männer!$G$9:$J$102,4)+VLOOKUP($CU43-DL$103+1,Männer!$G$9:$J$102,4))*0.5*(VLOOKUP($CU43-DL$103,Männer!$AZ$9:$BD$102,5)+VLOOKUP($CU43-DL$103+1,Männer!$AZ$9:$BD$102,5)),RundDx)))</f>
        <v>1347124568</v>
      </c>
      <c r="DM43" s="25">
        <f>IF($CU43&gt;=RAF,"",IF($CU43-DM$103&lt;BeginnAlter,"",ROUND(v^($CU43+FaktorAlter)*$L43*$D43*0.5*(VLOOKUP($CU43-DM$103,Männer!$G$9:$J$102,4)+VLOOKUP($CU43-DM$103+1,Männer!$G$9:$J$102,4))*0.5*(VLOOKUP($CU43-DM$103,Männer!$AZ$9:$BD$102,5)+VLOOKUP($CU43-DM$103+1,Männer!$AZ$9:$BD$102,5)),RundDx)))</f>
        <v>1384796907</v>
      </c>
      <c r="DN43" s="25">
        <f>IF($CU43&gt;=RAF,"",IF($CU43-DN$103&lt;BeginnAlter,"",ROUND(v^($CU43+FaktorAlter)*$L43*$D43*0.5*(VLOOKUP($CU43-DN$103,Männer!$G$9:$J$102,4)+VLOOKUP($CU43-DN$103+1,Männer!$G$9:$J$102,4))*0.5*(VLOOKUP($CU43-DN$103,Männer!$AZ$9:$BD$102,5)+VLOOKUP($CU43-DN$103+1,Männer!$AZ$9:$BD$102,5)),RundDx)))</f>
        <v>1421825858</v>
      </c>
      <c r="DO43" s="25">
        <f>IF($CU43&gt;=RAF,"",IF($CU43-DO$103&lt;BeginnAlter,"",ROUND(v^($CU43+FaktorAlter)*$L43*$D43*0.5*(VLOOKUP($CU43-DO$103,Männer!$G$9:$J$102,4)+VLOOKUP($CU43-DO$103+1,Männer!$G$9:$J$102,4))*0.5*(VLOOKUP($CU43-DO$103,Männer!$AZ$9:$BD$102,5)+VLOOKUP($CU43-DO$103+1,Männer!$AZ$9:$BD$102,5)),RundDx)))</f>
        <v>1458171794</v>
      </c>
      <c r="DP43" s="25">
        <f>IF($CU43&gt;=RAF,"",IF($CU43-DP$103&lt;BeginnAlter,"",ROUND(v^($CU43+FaktorAlter)*$L43*$D43*0.5*(VLOOKUP($CU43-DP$103,Männer!$G$9:$J$102,4)+VLOOKUP($CU43-DP$103+1,Männer!$G$9:$J$102,4))*0.5*(VLOOKUP($CU43-DP$103,Männer!$AZ$9:$BD$102,5)+VLOOKUP($CU43-DP$103+1,Männer!$AZ$9:$BD$102,5)),RundDx)))</f>
        <v>1493879619</v>
      </c>
      <c r="DQ43" s="25">
        <f>IF($CU43&gt;=RAF,"",IF($CU43-DQ$103&lt;BeginnAlter,"",ROUND(v^($CU43+FaktorAlter)*$L43*$D43*0.5*(VLOOKUP($CU43-DQ$103,Männer!$G$9:$J$102,4)+VLOOKUP($CU43-DQ$103+1,Männer!$G$9:$J$102,4))*0.5*(VLOOKUP($CU43-DQ$103,Männer!$AZ$9:$BD$102,5)+VLOOKUP($CU43-DQ$103+1,Männer!$AZ$9:$BD$102,5)),RundDx)))</f>
        <v>1528947698</v>
      </c>
      <c r="DR43" s="25">
        <f>IF($CU43&gt;=RAF,"",IF($CU43-DR$103&lt;BeginnAlter,"",ROUND(v^($CU43+FaktorAlter)*$L43*$D43*0.5*(VLOOKUP($CU43-DR$103,Männer!$G$9:$J$102,4)+VLOOKUP($CU43-DR$103+1,Männer!$G$9:$J$102,4))*0.5*(VLOOKUP($CU43-DR$103,Männer!$AZ$9:$BD$102,5)+VLOOKUP($CU43-DR$103+1,Männer!$AZ$9:$BD$102,5)),RundDx)))</f>
        <v>1563376172</v>
      </c>
      <c r="DS43" s="25">
        <f>IF($CU43&gt;=RAF,"",IF($CU43-DS$103&lt;BeginnAlter,"",ROUND(v^($CU43+FaktorAlter)*$L43*$D43*0.5*(VLOOKUP($CU43-DS$103,Männer!$G$9:$J$102,4)+VLOOKUP($CU43-DS$103+1,Männer!$G$9:$J$102,4))*0.5*(VLOOKUP($CU43-DS$103,Männer!$AZ$9:$BD$102,5)+VLOOKUP($CU43-DS$103+1,Männer!$AZ$9:$BD$102,5)),RundDx)))</f>
        <v>1597150571</v>
      </c>
      <c r="DT43" s="25">
        <f>IF($CU43&gt;=RAF,"",IF($CU43-DT$103&lt;BeginnAlter,"",ROUND(v^($CU43+FaktorAlter)*$L43*$D43*0.5*(VLOOKUP($CU43-DT$103,Männer!$G$9:$J$102,4)+VLOOKUP($CU43-DT$103+1,Männer!$G$9:$J$102,4))*0.5*(VLOOKUP($CU43-DT$103,Männer!$AZ$9:$BD$102,5)+VLOOKUP($CU43-DT$103+1,Männer!$AZ$9:$BD$102,5)),RundDx)))</f>
        <v>1630308003</v>
      </c>
      <c r="DU43" s="25">
        <f>IF($CU43&gt;=RAF,"",IF($CU43-DU$103&lt;BeginnAlter,"",ROUND(v^($CU43+FaktorAlter)*$L43*$D43*0.5*(VLOOKUP($CU43-DU$103,Männer!$G$9:$J$102,4)+VLOOKUP($CU43-DU$103+1,Männer!$G$9:$J$102,4))*0.5*(VLOOKUP($CU43-DU$103,Männer!$AZ$9:$BD$102,5)+VLOOKUP($CU43-DU$103+1,Männer!$AZ$9:$BD$102,5)),RundDx)))</f>
        <v>1662878955</v>
      </c>
      <c r="DV43" s="25">
        <f>IF($CU43&gt;=RAF,"",IF($CU43-DV$103&lt;BeginnAlter,"",ROUND(v^($CU43+FaktorAlter)*$L43*$D43*0.5*(VLOOKUP($CU43-DV$103,Männer!$G$9:$J$102,4)+VLOOKUP($CU43-DV$103+1,Männer!$G$9:$J$102,4))*0.5*(VLOOKUP($CU43-DV$103,Männer!$AZ$9:$BD$102,5)+VLOOKUP($CU43-DV$103+1,Männer!$AZ$9:$BD$102,5)),RundDx)))</f>
        <v>1694808561</v>
      </c>
      <c r="DW43" s="25">
        <f>IF($CU43&gt;=RAF,"",IF($CU43-DW$103&lt;BeginnAlter,"",ROUND(v^($CU43+FaktorAlter)*$L43*$D43*0.5*(VLOOKUP($CU43-DW$103,Männer!$G$9:$J$102,4)+VLOOKUP($CU43-DW$103+1,Männer!$G$9:$J$102,4))*0.5*(VLOOKUP($CU43-DW$103,Männer!$AZ$9:$BD$102,5)+VLOOKUP($CU43-DW$103+1,Männer!$AZ$9:$BD$102,5)),RundDx)))</f>
        <v>1726093713</v>
      </c>
      <c r="DX43" s="25">
        <f>IF($CU43&gt;=RAF,"",IF($CU43-DX$103&lt;BeginnAlter,"",ROUND(v^($CU43+FaktorAlter)*$L43*$D43*0.5*(VLOOKUP($CU43-DX$103,Männer!$G$9:$J$102,4)+VLOOKUP($CU43-DX$103+1,Männer!$G$9:$J$102,4))*0.5*(VLOOKUP($CU43-DX$103,Männer!$AZ$9:$BD$102,5)+VLOOKUP($CU43-DX$103+1,Männer!$AZ$9:$BD$102,5)),RundDx)))</f>
        <v>1756827489</v>
      </c>
      <c r="DY43" s="25">
        <f>IF($CU43&gt;=RAF,"",IF($CU43-DY$103&lt;BeginnAlter,"",ROUND(v^($CU43+FaktorAlter)*$L43*$D43*0.5*(VLOOKUP($CU43-DY$103,Männer!$G$9:$J$102,4)+VLOOKUP($CU43-DY$103+1,Männer!$G$9:$J$102,4))*0.5*(VLOOKUP($CU43-DY$103,Männer!$AZ$9:$BD$102,5)+VLOOKUP($CU43-DY$103+1,Männer!$AZ$9:$BD$102,5)),RundDx)))</f>
        <v>1786973793</v>
      </c>
      <c r="DZ43" s="25">
        <f>IF($CU43&gt;=RAF,"",IF($CU43-DZ$103&lt;BeginnAlter,"",ROUND(v^($CU43+FaktorAlter)*$L43*$D43*0.5*(VLOOKUP($CU43-DZ$103,Männer!$G$9:$J$102,4)+VLOOKUP($CU43-DZ$103+1,Männer!$G$9:$J$102,4))*0.5*(VLOOKUP($CU43-DZ$103,Männer!$AZ$9:$BD$102,5)+VLOOKUP($CU43-DZ$103+1,Männer!$AZ$9:$BD$102,5)),RundDx)))</f>
        <v>1816506419</v>
      </c>
      <c r="EA43" s="43">
        <f>IF($CU43&gt;=RAF,"",IF($CU43-EA$103&lt;BeginnAlter,"",ROUND((SUM(CV43:CV$56)+SUM(FN$9:FN$56))/VLOOKUP($CU43,$AH$9:$AI$102,2)/VLOOKUP($CU43-EA$103,Männer!$G$9:$J$102,4),Rundäx)))</f>
        <v>2</v>
      </c>
      <c r="EB43" s="43">
        <f>IF($CU43&gt;=RAF,"",IF($CU43-EB$103&lt;BeginnAlter,"",ROUND((SUM(CW43:CW$56)+SUM(FO$9:FO$56))/VLOOKUP($CU43,$AH$9:$AI$102,2)/VLOOKUP($CU43-EB$103,Männer!$G$9:$J$102,4),Rundäx)))</f>
        <v>2.1240000000000001</v>
      </c>
      <c r="EC43" s="43">
        <f>IF($CU43&gt;=RAF,"",IF($CU43-EC$103&lt;BeginnAlter,"",ROUND((SUM(CX43:CX$56)+SUM(FP$9:FP$56))/VLOOKUP($CU43,$AH$9:$AI$102,2)/VLOOKUP($CU43-EC$103,Männer!$G$9:$J$102,4),Rundäx)))</f>
        <v>2.2530000000000001</v>
      </c>
      <c r="ED43" s="43">
        <f>IF($CU43&gt;=RAF,"",IF($CU43-ED$103&lt;BeginnAlter,"",ROUND((SUM(CY43:CY$56)+SUM(FQ$9:FQ$56))/VLOOKUP($CU43,$AH$9:$AI$102,2)/VLOOKUP($CU43-ED$103,Männer!$G$9:$J$102,4),Rundäx)))</f>
        <v>2.3860000000000001</v>
      </c>
      <c r="EE43" s="43">
        <f>IF($CU43&gt;=RAF,"",IF($CU43-EE$103&lt;BeginnAlter,"",ROUND((SUM(CZ43:CZ$56)+SUM(FR$9:FR$56))/VLOOKUP($CU43,$AH$9:$AI$102,2)/VLOOKUP($CU43-EE$103,Männer!$G$9:$J$102,4),Rundäx)))</f>
        <v>2.5249999999999999</v>
      </c>
      <c r="EF43" s="43">
        <f>IF($CU43&gt;=RAF,"",IF($CU43-EF$103&lt;BeginnAlter,"",ROUND((SUM(DA43:DA$56)+SUM(FS$9:FS$56))/VLOOKUP($CU43,$AH$9:$AI$102,2)/VLOOKUP($CU43-EF$103,Männer!$G$9:$J$102,4),Rundäx)))</f>
        <v>2.669</v>
      </c>
      <c r="EG43" s="43">
        <f>IF($CU43&gt;=RAF,"",IF($CU43-EG$103&lt;BeginnAlter,"",ROUND((SUM(DB43:DB$56)+SUM(FT$9:FT$56))/VLOOKUP($CU43,$AH$9:$AI$102,2)/VLOOKUP($CU43-EG$103,Männer!$G$9:$J$102,4),Rundäx)))</f>
        <v>2.819</v>
      </c>
      <c r="EH43" s="43">
        <f>IF($CU43&gt;=RAF,"",IF($CU43-EH$103&lt;BeginnAlter,"",ROUND((SUM(DC43:DC$56)+SUM(FU$9:FU$56))/VLOOKUP($CU43,$AH$9:$AI$102,2)/VLOOKUP($CU43-EH$103,Männer!$G$9:$J$102,4),Rundäx)))</f>
        <v>2.9769999999999999</v>
      </c>
      <c r="EI43" s="89"/>
      <c r="EJ43" s="35">
        <f t="shared" si="61"/>
        <v>51</v>
      </c>
      <c r="EK43" s="43">
        <f>IF($CU43&gt;=RAF,"",IF($CU43-EK$103&lt;BeginnAlter,"",ROUND((SUM(DD43:DD$56)+SUM(FV$9:FV$56))/VLOOKUP($CU43,$AH$9:$AI$102,2)/VLOOKUP($CU43-EK$103,Männer!$G$9:$J$102,4),Rundäx)))</f>
        <v>3.1419999999999999</v>
      </c>
      <c r="EL43" s="43">
        <f>IF($CU43&gt;=RAF,"",IF($CU43-EL$103&lt;BeginnAlter,"",ROUND((SUM(DE43:DE$56)+SUM(FW$9:FW$56))/VLOOKUP($CU43,$AH$9:$AI$102,2)/VLOOKUP($CU43-EL$103,Männer!$G$9:$J$102,4),Rundäx)))</f>
        <v>3.3149999999999999</v>
      </c>
      <c r="EM43" s="43">
        <f>IF($CU43&gt;=RAF,"",IF($CU43-EM$103&lt;BeginnAlter,"",ROUND((SUM(DF43:DF$56)+SUM(FX$9:FX$56))/VLOOKUP($CU43,$AH$9:$AI$102,2)/VLOOKUP($CU43-EM$103,Männer!$G$9:$J$102,4),Rundäx)))</f>
        <v>3.496</v>
      </c>
      <c r="EN43" s="43">
        <f>IF($CU43&gt;=RAF,"",IF($CU43-EN$103&lt;BeginnAlter,"",ROUND((SUM(DG43:DG$56)+SUM(FY$9:FY$56))/VLOOKUP($CU43,$AH$9:$AI$102,2)/VLOOKUP($CU43-EN$103,Männer!$G$9:$J$102,4),Rundäx)))</f>
        <v>3.6850000000000001</v>
      </c>
      <c r="EO43" s="43">
        <f>IF($CU43&gt;=RAF,"",IF($CU43-EO$103&lt;BeginnAlter,"",ROUND((SUM(DH43:DH$56)+SUM(FZ$9:FZ$56))/VLOOKUP($CU43,$AH$9:$AI$102,2)/VLOOKUP($CU43-EO$103,Männer!$G$9:$J$102,4),Rundäx)))</f>
        <v>3.883</v>
      </c>
      <c r="EP43" s="43">
        <f>IF($CU43&gt;=RAF,"",IF($CU43-EP$103&lt;BeginnAlter,"",ROUND((SUM(DI43:DI$56)+SUM(GA$9:GA$56))/VLOOKUP($CU43,$AH$9:$AI$102,2)/VLOOKUP($CU43-EP$103,Männer!$G$9:$J$102,4),Rundäx)))</f>
        <v>4.0880000000000001</v>
      </c>
      <c r="EQ43" s="43">
        <f>IF($CU43&gt;=RAF,"",IF($CU43-EQ$103&lt;BeginnAlter,"",ROUND((SUM(DJ43:DJ$56)+SUM(GB$9:GB$56))/VLOOKUP($CU43,$AH$9:$AI$102,2)/VLOOKUP($CU43-EQ$103,Männer!$G$9:$J$102,4),Rundäx)))</f>
        <v>4.3010000000000002</v>
      </c>
      <c r="ER43" s="43">
        <f>IF($CU43&gt;=RAF,"",IF($CU43-ER$103&lt;BeginnAlter,"",ROUND((SUM(DK43:DK$56)+SUM(GC$9:GC$56))/VLOOKUP($CU43,$AH$9:$AI$102,2)/VLOOKUP($CU43-ER$103,Männer!$G$9:$J$102,4),Rundäx)))</f>
        <v>4.5220000000000002</v>
      </c>
      <c r="ES43" s="89"/>
      <c r="ET43" s="35">
        <f t="shared" si="62"/>
        <v>51</v>
      </c>
      <c r="EU43" s="43">
        <f>IF($CU43&gt;=RAF,"",IF($CU43-EU$103&lt;BeginnAlter,"",ROUND((SUM(DL43:DL$56)+SUM(GD$9:GD$56))/VLOOKUP($CU43,$AH$9:$AI$102,2)/VLOOKUP($CU43-EU$103,Männer!$G$9:$J$102,4),Rundäx)))</f>
        <v>4.7489999999999997</v>
      </c>
      <c r="EV43" s="43">
        <f>IF($CU43&gt;=RAF,"",IF($CU43-EV$103&lt;BeginnAlter,"",ROUND((SUM(DM43:DM$56)+SUM(GE$9:GE$56))/VLOOKUP($CU43,$AH$9:$AI$102,2)/VLOOKUP($CU43-EV$103,Männer!$G$9:$J$102,4),Rundäx)))</f>
        <v>4.9829999999999997</v>
      </c>
      <c r="EW43" s="43">
        <f>IF($CU43&gt;=RAF,"",IF($CU43-EW$103&lt;BeginnAlter,"",ROUND((SUM(DN43:DN$56)+SUM(GF$9:GF$56))/VLOOKUP($CU43,$AH$9:$AI$102,2)/VLOOKUP($CU43-EW$103,Männer!$G$9:$J$102,4),Rundäx)))</f>
        <v>5.2220000000000004</v>
      </c>
      <c r="EX43" s="43">
        <f>IF($CU43&gt;=RAF,"",IF($CU43-EX$103&lt;BeginnAlter,"",ROUND((SUM(DO43:DO$56)+SUM(GG$9:GG$56))/VLOOKUP($CU43,$AH$9:$AI$102,2)/VLOOKUP($CU43-EX$103,Männer!$G$9:$J$102,4),Rundäx)))</f>
        <v>5.4669999999999996</v>
      </c>
      <c r="EY43" s="43">
        <f>IF($CU43&gt;=RAF,"",IF($CU43-EY$103&lt;BeginnAlter,"",ROUND((SUM(DP43:DP$56)+SUM(GH$9:GH$56))/VLOOKUP($CU43,$AH$9:$AI$102,2)/VLOOKUP($CU43-EY$103,Männer!$G$9:$J$102,4),Rundäx)))</f>
        <v>5.718</v>
      </c>
      <c r="EZ43" s="43">
        <f>IF($CU43&gt;=RAF,"",IF($CU43-EZ$103&lt;BeginnAlter,"",ROUND((SUM(DQ43:DQ$56)+SUM(GI$9:GI$56))/VLOOKUP($CU43,$AH$9:$AI$102,2)/VLOOKUP($CU43-EZ$103,Männer!$G$9:$J$102,4),Rundäx)))</f>
        <v>5.9720000000000004</v>
      </c>
      <c r="FA43" s="43">
        <f>IF($CU43&gt;=RAF,"",IF($CU43-FA$103&lt;BeginnAlter,"",ROUND((SUM(DR43:DR$56)+SUM(GJ$9:GJ$56))/VLOOKUP($CU43,$AH$9:$AI$102,2)/VLOOKUP($CU43-FA$103,Männer!$G$9:$J$102,4),Rundäx)))</f>
        <v>6.23</v>
      </c>
      <c r="FB43" s="43">
        <f>IF($CU43&gt;=RAF,"",IF($CU43-FB$103&lt;BeginnAlter,"",ROUND((SUM(DS43:DS$56)+SUM(GK$9:GK$56))/VLOOKUP($CU43,$AH$9:$AI$102,2)/VLOOKUP($CU43-FB$103,Männer!$G$9:$J$102,4),Rundäx)))</f>
        <v>6.492</v>
      </c>
      <c r="FC43" s="89"/>
      <c r="FD43" s="35">
        <f t="shared" si="63"/>
        <v>51</v>
      </c>
      <c r="FE43" s="43">
        <f>IF($CU43&gt;=RAF,"",IF($CU43-FE$103&lt;BeginnAlter,"",ROUND((SUM(DT43:DT$56)+SUM(GL$9:GL$56))/VLOOKUP($CU43,$AH$9:$AI$102,2)/VLOOKUP($CU43-FE$103,Männer!$G$9:$J$102,4),Rundäx)))</f>
        <v>6.7569999999999997</v>
      </c>
      <c r="FF43" s="43">
        <f>IF($CU43&gt;=RAF,"",IF($CU43-FF$103&lt;BeginnAlter,"",ROUND((SUM(DU43:DU$56)+SUM(GM$9:GM$56))/VLOOKUP($CU43,$AH$9:$AI$102,2)/VLOOKUP($CU43-FF$103,Männer!$G$9:$J$102,4),Rundäx)))</f>
        <v>7.024</v>
      </c>
      <c r="FG43" s="43">
        <f>IF($CU43&gt;=RAF,"",IF($CU43-FG$103&lt;BeginnAlter,"",ROUND((SUM(DV43:DV$56)+SUM(GN$9:GN$56))/VLOOKUP($CU43,$AH$9:$AI$102,2)/VLOOKUP($CU43-FG$103,Männer!$G$9:$J$102,4),Rundäx)))</f>
        <v>7.2919999999999998</v>
      </c>
      <c r="FH43" s="43">
        <f>IF($CU43&gt;=RAF,"",IF($CU43-FH$103&lt;BeginnAlter,"",ROUND((SUM(DW43:DW$56)+SUM(GO$9:GO$56))/VLOOKUP($CU43,$AH$9:$AI$102,2)/VLOOKUP($CU43-FH$103,Männer!$G$9:$J$102,4),Rundäx)))</f>
        <v>7.5629999999999997</v>
      </c>
      <c r="FI43" s="43">
        <f>IF($CU43&gt;=RAF,"",IF($CU43-FI$103&lt;BeginnAlter,"",ROUND((SUM(DX43:DX$56)+SUM(GP$9:GP$56))/VLOOKUP($CU43,$AH$9:$AI$102,2)/VLOOKUP($CU43-FI$103,Männer!$G$9:$J$102,4),Rundäx)))</f>
        <v>7.835</v>
      </c>
      <c r="FJ43" s="43">
        <f>IF($CU43&gt;=RAF,"",IF($CU43-FJ$103&lt;BeginnAlter,"",ROUND((SUM(DY43:DY$56)+SUM(GQ$9:GQ$56))/VLOOKUP($CU43,$AH$9:$AI$102,2)/VLOOKUP($CU43-FJ$103,Männer!$G$9:$J$102,4),Rundäx)))</f>
        <v>8.1069999999999993</v>
      </c>
      <c r="FK43" s="43">
        <f>IF($CU43&gt;=RAF,"",IF($CU43-FK$103&lt;BeginnAlter,"",ROUND((SUM(DZ43:DZ$56)+SUM(GR$9:GR$56))/VLOOKUP($CU43,$AH$9:$AI$102,2)/VLOOKUP($CU43-FK$103,Männer!$G$9:$J$102,4),Rundäx)))</f>
        <v>8.3810000000000002</v>
      </c>
      <c r="FL43" s="89"/>
      <c r="FM43" s="35">
        <f t="shared" si="64"/>
        <v>98</v>
      </c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>
        <f>ROUND(v^($FM43+FaktorAlter)*VLOOKUP($FM43,$G$9:$J$102,4)*VLOOKUP($FM43,$A$9:$E$102,5)*0.5*(VLOOKUP($FM43-GA$103,Männer!$G$9:$J$102,4)+VLOOKUP($FM43-GA$103+1,Männer!$G$9:$J$102,4))*0.5*(VLOOKUP($FM43-GA$103,Männer!$AZ$9:$BD$102,5)+VLOOKUP($FM43-GA$103+1,Männer!$AZ$9:$BD$102,5)),RundDx)</f>
        <v>27623</v>
      </c>
      <c r="GB43" s="25">
        <f>ROUND(v^($FM43+FaktorAlter)*VLOOKUP($FM43,$G$9:$J$102,4)*VLOOKUP($FM43,$A$9:$E$102,5)*0.5*(VLOOKUP($FM43-GB$103,Männer!$G$9:$J$102,4)+VLOOKUP($FM43-GB$103+1,Männer!$G$9:$J$102,4))*0.5*(VLOOKUP($FM43-GB$103,Männer!$AZ$9:$BD$102,5)+VLOOKUP($FM43-GB$103+1,Männer!$AZ$9:$BD$102,5)),RundDx)</f>
        <v>72848</v>
      </c>
      <c r="GC43" s="25">
        <f>ROUND(v^($FM43+FaktorAlter)*VLOOKUP($FM43,$G$9:$J$102,4)*VLOOKUP($FM43,$A$9:$E$102,5)*0.5*(VLOOKUP($FM43-GC$103,Männer!$G$9:$J$102,4)+VLOOKUP($FM43-GC$103+1,Männer!$G$9:$J$102,4))*0.5*(VLOOKUP($FM43-GC$103,Männer!$AZ$9:$BD$102,5)+VLOOKUP($FM43-GC$103+1,Männer!$AZ$9:$BD$102,5)),RundDx)</f>
        <v>163878</v>
      </c>
      <c r="GD43" s="25">
        <f>ROUND(v^($FM43+FaktorAlter)*VLOOKUP($FM43,$G$9:$J$102,4)*VLOOKUP($FM43,$A$9:$E$102,5)*0.5*(VLOOKUP($FM43-GD$103,Männer!$G$9:$J$102,4)+VLOOKUP($FM43-GD$103+1,Männer!$G$9:$J$102,4))*0.5*(VLOOKUP($FM43-GD$103,Männer!$AZ$9:$BD$102,5)+VLOOKUP($FM43-GD$103+1,Männer!$AZ$9:$BD$102,5)),RundDx)</f>
        <v>333752</v>
      </c>
      <c r="GE43" s="25">
        <f>ROUND(v^($FM43+FaktorAlter)*VLOOKUP($FM43,$G$9:$J$102,4)*VLOOKUP($FM43,$A$9:$E$102,5)*0.5*(VLOOKUP($FM43-GE$103,Männer!$G$9:$J$102,4)+VLOOKUP($FM43-GE$103+1,Männer!$G$9:$J$102,4))*0.5*(VLOOKUP($FM43-GE$103,Männer!$AZ$9:$BD$102,5)+VLOOKUP($FM43-GE$103+1,Männer!$AZ$9:$BD$102,5)),RundDx)</f>
        <v>622439</v>
      </c>
      <c r="GF43" s="25">
        <f>ROUND(v^($FM43+FaktorAlter)*VLOOKUP($FM43,$G$9:$J$102,4)*VLOOKUP($FM43,$A$9:$E$102,5)*0.5*(VLOOKUP($FM43-GF$103,Männer!$G$9:$J$102,4)+VLOOKUP($FM43-GF$103+1,Männer!$G$9:$J$102,4))*0.5*(VLOOKUP($FM43-GF$103,Männer!$AZ$9:$BD$102,5)+VLOOKUP($FM43-GF$103+1,Männer!$AZ$9:$BD$102,5)),RundDx)</f>
        <v>1077348</v>
      </c>
      <c r="GG43" s="25">
        <f>ROUND(v^($FM43+FaktorAlter)*VLOOKUP($FM43,$G$9:$J$102,4)*VLOOKUP($FM43,$A$9:$E$102,5)*0.5*(VLOOKUP($FM43-GG$103,Männer!$G$9:$J$102,4)+VLOOKUP($FM43-GG$103+1,Männer!$G$9:$J$102,4))*0.5*(VLOOKUP($FM43-GG$103,Männer!$AZ$9:$BD$102,5)+VLOOKUP($FM43-GG$103+1,Männer!$AZ$9:$BD$102,5)),RundDx)</f>
        <v>1751064</v>
      </c>
      <c r="GH43" s="25">
        <f>ROUND(v^($FM43+FaktorAlter)*VLOOKUP($FM43,$G$9:$J$102,4)*VLOOKUP($FM43,$A$9:$E$102,5)*0.5*(VLOOKUP($FM43-GH$103,Männer!$G$9:$J$102,4)+VLOOKUP($FM43-GH$103+1,Männer!$G$9:$J$102,4))*0.5*(VLOOKUP($FM43-GH$103,Männer!$AZ$9:$BD$102,5)+VLOOKUP($FM43-GH$103+1,Männer!$AZ$9:$BD$102,5)),RundDx)</f>
        <v>2694702</v>
      </c>
      <c r="GI43" s="25">
        <f>ROUND(v^($FM43+FaktorAlter)*VLOOKUP($FM43,$G$9:$J$102,4)*VLOOKUP($FM43,$A$9:$E$102,5)*0.5*(VLOOKUP($FM43-GI$103,Männer!$G$9:$J$102,4)+VLOOKUP($FM43-GI$103+1,Männer!$G$9:$J$102,4))*0.5*(VLOOKUP($FM43-GI$103,Männer!$AZ$9:$BD$102,5)+VLOOKUP($FM43-GI$103+1,Männer!$AZ$9:$BD$102,5)),RundDx)</f>
        <v>3962142</v>
      </c>
      <c r="GJ43" s="25">
        <f>ROUND(v^($FM43+FaktorAlter)*VLOOKUP($FM43,$G$9:$J$102,4)*VLOOKUP($FM43,$A$9:$E$102,5)*0.5*(VLOOKUP($FM43-GJ$103,Männer!$G$9:$J$102,4)+VLOOKUP($FM43-GJ$103+1,Männer!$G$9:$J$102,4))*0.5*(VLOOKUP($FM43-GJ$103,Männer!$AZ$9:$BD$102,5)+VLOOKUP($FM43-GJ$103+1,Männer!$AZ$9:$BD$102,5)),RundDx)</f>
        <v>5602376</v>
      </c>
      <c r="GK43" s="25">
        <f>ROUND(v^($FM43+FaktorAlter)*VLOOKUP($FM43,$G$9:$J$102,4)*VLOOKUP($FM43,$A$9:$E$102,5)*0.5*(VLOOKUP($FM43-GK$103,Männer!$G$9:$J$102,4)+VLOOKUP($FM43-GK$103+1,Männer!$G$9:$J$102,4))*0.5*(VLOOKUP($FM43-GK$103,Männer!$AZ$9:$BD$102,5)+VLOOKUP($FM43-GK$103+1,Männer!$AZ$9:$BD$102,5)),RundDx)</f>
        <v>7651351</v>
      </c>
      <c r="GL43" s="25">
        <f>ROUND(v^($FM43+FaktorAlter)*VLOOKUP($FM43,$G$9:$J$102,4)*VLOOKUP($FM43,$A$9:$E$102,5)*0.5*(VLOOKUP($FM43-GL$103,Männer!$G$9:$J$102,4)+VLOOKUP($FM43-GL$103+1,Männer!$G$9:$J$102,4))*0.5*(VLOOKUP($FM43-GL$103,Männer!$AZ$9:$BD$102,5)+VLOOKUP($FM43-GL$103+1,Männer!$AZ$9:$BD$102,5)),RundDx)</f>
        <v>10136786</v>
      </c>
      <c r="GM43" s="25">
        <f>ROUND(v^($FM43+FaktorAlter)*VLOOKUP($FM43,$G$9:$J$102,4)*VLOOKUP($FM43,$A$9:$E$102,5)*0.5*(VLOOKUP($FM43-GM$103,Männer!$G$9:$J$102,4)+VLOOKUP($FM43-GM$103+1,Männer!$G$9:$J$102,4))*0.5*(VLOOKUP($FM43-GM$103,Männer!$AZ$9:$BD$102,5)+VLOOKUP($FM43-GM$103+1,Männer!$AZ$9:$BD$102,5)),RundDx)</f>
        <v>13072984</v>
      </c>
      <c r="GN43" s="25">
        <f>ROUND(v^($FM43+FaktorAlter)*VLOOKUP($FM43,$G$9:$J$102,4)*VLOOKUP($FM43,$A$9:$E$102,5)*0.5*(VLOOKUP($FM43-GN$103,Männer!$G$9:$J$102,4)+VLOOKUP($FM43-GN$103+1,Männer!$G$9:$J$102,4))*0.5*(VLOOKUP($FM43-GN$103,Männer!$AZ$9:$BD$102,5)+VLOOKUP($FM43-GN$103+1,Männer!$AZ$9:$BD$102,5)),RundDx)</f>
        <v>16449211</v>
      </c>
      <c r="GO43" s="25">
        <f>ROUND(v^($FM43+FaktorAlter)*VLOOKUP($FM43,$G$9:$J$102,4)*VLOOKUP($FM43,$A$9:$E$102,5)*0.5*(VLOOKUP($FM43-GO$103,Männer!$G$9:$J$102,4)+VLOOKUP($FM43-GO$103+1,Männer!$G$9:$J$102,4))*0.5*(VLOOKUP($FM43-GO$103,Männer!$AZ$9:$BD$102,5)+VLOOKUP($FM43-GO$103+1,Männer!$AZ$9:$BD$102,5)),RundDx)</f>
        <v>20244126</v>
      </c>
      <c r="GP43" s="25">
        <f>ROUND(v^($FM43+FaktorAlter)*VLOOKUP($FM43,$G$9:$J$102,4)*VLOOKUP($FM43,$A$9:$E$102,5)*0.5*(VLOOKUP($FM43-GP$103,Männer!$G$9:$J$102,4)+VLOOKUP($FM43-GP$103+1,Männer!$G$9:$J$102,4))*0.5*(VLOOKUP($FM43-GP$103,Männer!$AZ$9:$BD$102,5)+VLOOKUP($FM43-GP$103+1,Männer!$AZ$9:$BD$102,5)),RundDx)</f>
        <v>24446913</v>
      </c>
      <c r="GQ43" s="25">
        <f>ROUND(v^($FM43+FaktorAlter)*VLOOKUP($FM43,$G$9:$J$102,4)*VLOOKUP($FM43,$A$9:$E$102,5)*0.5*(VLOOKUP($FM43-GQ$103,Männer!$G$9:$J$102,4)+VLOOKUP($FM43-GQ$103+1,Männer!$G$9:$J$102,4))*0.5*(VLOOKUP($FM43-GQ$103,Männer!$AZ$9:$BD$102,5)+VLOOKUP($FM43-GQ$103+1,Männer!$AZ$9:$BD$102,5)),RundDx)</f>
        <v>29043365</v>
      </c>
      <c r="GR43" s="25">
        <f>ROUND(v^($FM43+FaktorAlter)*VLOOKUP($FM43,$G$9:$J$102,4)*VLOOKUP($FM43,$A$9:$E$102,5)*0.5*(VLOOKUP($FM43-GR$103,Männer!$G$9:$J$102,4)+VLOOKUP($FM43-GR$103+1,Männer!$G$9:$J$102,4))*0.5*(VLOOKUP($FM43-GR$103,Männer!$AZ$9:$BD$102,5)+VLOOKUP($FM43-GR$103+1,Männer!$AZ$9:$BD$102,5)),RundDx)</f>
        <v>34009767</v>
      </c>
      <c r="GS43" s="24"/>
      <c r="GT43" s="24"/>
      <c r="GU43" s="24"/>
      <c r="GV43" s="24"/>
      <c r="GW43" s="24"/>
      <c r="GX43" s="24"/>
      <c r="GY43" s="24"/>
      <c r="GZ43" s="24"/>
      <c r="HA43" s="89"/>
      <c r="HB43" s="35">
        <f t="shared" si="65"/>
        <v>98</v>
      </c>
      <c r="HC43" s="24"/>
      <c r="HD43" s="24"/>
      <c r="HE43" s="24"/>
      <c r="HF43" s="24"/>
      <c r="HG43" s="24">
        <f>ROUND(SUM(FZ43:FZ$56)/VLOOKUP($FM43,$AQ$9:$AR$102,2)/VLOOKUP($FM43-HG$103,Männer!$G$9:$J$102,4),Rundäx)</f>
        <v>0</v>
      </c>
      <c r="HH43" s="24">
        <f>ROUND(SUM(GA43:GA$56)/VLOOKUP($FM43,$AQ$9:$AR$102,2)/VLOOKUP($FM43-HH$103,Männer!$G$9:$J$102,4),Rundäx)</f>
        <v>0.24099999999999999</v>
      </c>
      <c r="HI43" s="24">
        <f>ROUND(SUM(GB43:GB$56)/VLOOKUP($FM43,$AQ$9:$AR$102,2)/VLOOKUP($FM43-HI$103,Männer!$G$9:$J$102,4),Rundäx)</f>
        <v>0.378</v>
      </c>
      <c r="HJ43" s="24">
        <f>ROUND(SUM(GC43:GC$56)/VLOOKUP($FM43,$AQ$9:$AR$102,2)/VLOOKUP($FM43-HJ$103,Männer!$G$9:$J$102,4),Rundäx)</f>
        <v>0.49199999999999999</v>
      </c>
      <c r="HK43" s="89"/>
      <c r="HL43" s="35">
        <f t="shared" si="66"/>
        <v>98</v>
      </c>
      <c r="HM43" s="24">
        <f>ROUND(SUM(GD43:GD$56)/VLOOKUP($FM43,$AQ$9:$AR$102,2)/VLOOKUP($FM43-HM$103,Männer!$G$9:$J$102,4),Rundäx)</f>
        <v>0.61099999999999999</v>
      </c>
      <c r="HN43" s="24">
        <f>ROUND(SUM(GE43:GE$56)/VLOOKUP($FM43,$AQ$9:$AR$102,2)/VLOOKUP($FM43-HN$103,Männer!$G$9:$J$102,4),Rundäx)</f>
        <v>0.74399999999999999</v>
      </c>
      <c r="HO43" s="24">
        <f>ROUND(SUM(GF43:GF$56)/VLOOKUP($FM43,$AQ$9:$AR$102,2)/VLOOKUP($FM43-HO$103,Männer!$G$9:$J$102,4),Rundäx)</f>
        <v>0.89300000000000002</v>
      </c>
      <c r="HP43" s="24">
        <f>ROUND(SUM(GG43:GG$56)/VLOOKUP($FM43,$AQ$9:$AR$102,2)/VLOOKUP($FM43-HP$103,Männer!$G$9:$J$102,4),Rundäx)</f>
        <v>1.0609999999999999</v>
      </c>
      <c r="HQ43" s="24">
        <f>ROUND(SUM(GH43:GH$56)/VLOOKUP($FM43,$AQ$9:$AR$102,2)/VLOOKUP($FM43-HQ$103,Männer!$G$9:$J$102,4),Rundäx)</f>
        <v>1.246</v>
      </c>
      <c r="HR43" s="24">
        <f>ROUND(SUM(GI43:GI$56)/VLOOKUP($FM43,$AQ$9:$AR$102,2)/VLOOKUP($FM43-HR$103,Männer!$G$9:$J$102,4),Rundäx)</f>
        <v>1.4510000000000001</v>
      </c>
      <c r="HS43" s="24">
        <f>ROUND(SUM(GJ43:GJ$56)/VLOOKUP($FM43,$AQ$9:$AR$102,2)/VLOOKUP($FM43-HS$103,Männer!$G$9:$J$102,4),Rundäx)</f>
        <v>1.677</v>
      </c>
      <c r="HT43" s="24">
        <f>ROUND(SUM(GK43:GK$56)/VLOOKUP($FM43,$AQ$9:$AR$102,2)/VLOOKUP($FM43-HT$103,Männer!$G$9:$J$102,4),Rundäx)</f>
        <v>1.9219999999999999</v>
      </c>
      <c r="HU43" s="89"/>
      <c r="HV43" s="35">
        <f t="shared" si="67"/>
        <v>98</v>
      </c>
      <c r="HW43" s="24">
        <f>ROUND(SUM(GL43:GL$56)/VLOOKUP($FM43,$AQ$9:$AR$102,2)/VLOOKUP($FM43-HW$103,Männer!$G$9:$J$102,4),Rundäx)</f>
        <v>2.1869999999999998</v>
      </c>
      <c r="HX43" s="24">
        <f>ROUND(SUM(GM43:GM$56)/VLOOKUP($FM43,$AQ$9:$AR$102,2)/VLOOKUP($FM43-HX$103,Männer!$G$9:$J$102,4),Rundäx)</f>
        <v>2.4710000000000001</v>
      </c>
      <c r="HY43" s="24">
        <f>ROUND(SUM(GN43:GN$56)/VLOOKUP($FM43,$AQ$9:$AR$102,2)/VLOOKUP($FM43-HY$103,Männer!$G$9:$J$102,4),Rundäx)</f>
        <v>2.77</v>
      </c>
      <c r="HZ43" s="24">
        <f>ROUND(SUM(GO43:GO$56)/VLOOKUP($FM43,$AQ$9:$AR$102,2)/VLOOKUP($FM43-HZ$103,Männer!$G$9:$J$102,4),Rundäx)</f>
        <v>3.0830000000000002</v>
      </c>
      <c r="IA43" s="24">
        <f>ROUND(SUM(GP43:GP$56)/VLOOKUP($FM43,$AQ$9:$AR$102,2)/VLOOKUP($FM43-IA$103,Männer!$G$9:$J$102,4),Rundäx)</f>
        <v>3.4060000000000001</v>
      </c>
      <c r="IB43" s="24">
        <f>ROUND(SUM(GQ43:GQ$56)/VLOOKUP($FM43,$AQ$9:$AR$102,2)/VLOOKUP($FM43-IB$103,Männer!$G$9:$J$102,4),Rundäx)</f>
        <v>3.738</v>
      </c>
      <c r="IC43" s="24">
        <f>ROUND(SUM(GR43:GR$56)/VLOOKUP($FM43,$AQ$9:$AR$102,2)/VLOOKUP($FM43-IC$103,Männer!$G$9:$J$102,4),Rundäx)</f>
        <v>4.0789999999999997</v>
      </c>
      <c r="ID43" s="89"/>
      <c r="IE43" s="9">
        <f t="shared" si="68"/>
        <v>51</v>
      </c>
      <c r="IF43" s="11">
        <f t="shared" si="25"/>
        <v>49</v>
      </c>
      <c r="IG43" s="11">
        <f>IF($IE43&lt;RAF,IF(S44&lt;=RAK,ROUND(SUM(IF43:INDEX(Daky,RAF-BeginnAlter))+INDEX(Day,RAF-BeginnAlter+1)*INDEX(äky,1),RundDx),0),"")</f>
        <v>174</v>
      </c>
      <c r="IH43" s="11">
        <f>IF($IE43&lt;RAF,IF(S44&lt;=RAK,ROUND(SUM(IG43:INDEX(Naky,RAF-BeginnAlter))+INDEX(Day,RAF-BeginnAlter+1)*INDEX(äky,1),RundDx),0),"")</f>
        <v>547</v>
      </c>
      <c r="II43" s="10">
        <f t="shared" si="26"/>
        <v>6.0000000000000001E-3</v>
      </c>
      <c r="IJ43" s="11">
        <f t="shared" si="27"/>
        <v>621</v>
      </c>
      <c r="IK43" s="11">
        <f>IF($IE43&lt;RAF,IF(S44&lt;=RAK,SUM(IJ43:INDEX(Diky,RAF-BeginnAlter))+INDEX(Diy,RAF-BeginnAlter+1)*INDEX(äky,1),0),"")</f>
        <v>1887</v>
      </c>
      <c r="IL43" s="10">
        <f t="shared" si="28"/>
        <v>4.9000000000000002E-2</v>
      </c>
      <c r="IM43" s="89"/>
      <c r="IN43" s="9">
        <f t="shared" si="29"/>
        <v>98</v>
      </c>
      <c r="IO43" s="11"/>
      <c r="IP43" s="11"/>
      <c r="IQ43" s="10"/>
      <c r="IR43" s="86"/>
    </row>
    <row r="44" spans="1:252" ht="15.75" customHeight="1" x14ac:dyDescent="0.25">
      <c r="A44" s="9">
        <f t="shared" si="4"/>
        <v>52</v>
      </c>
      <c r="B44" s="93">
        <v>1.6847176569763597E-3</v>
      </c>
      <c r="C44" s="93">
        <v>9.5199500754291743E-3</v>
      </c>
      <c r="D44" s="93">
        <v>1.864944648557193E-2</v>
      </c>
      <c r="E44" s="93">
        <v>3.0901198842496758E-3</v>
      </c>
      <c r="F44" s="89"/>
      <c r="G44" s="9">
        <f t="shared" si="5"/>
        <v>52</v>
      </c>
      <c r="H44" s="11">
        <f t="shared" si="30"/>
        <v>89188</v>
      </c>
      <c r="I44" s="25">
        <f t="shared" si="31"/>
        <v>7572</v>
      </c>
      <c r="J44" s="25">
        <f t="shared" si="32"/>
        <v>96760</v>
      </c>
      <c r="K44" s="30">
        <f>IF(J44&gt;0,ROUND(SUM(J44:J$102)/J44-0.5,Rundex),"")</f>
        <v>31.42</v>
      </c>
      <c r="L44" s="25">
        <f t="shared" si="6"/>
        <v>116918</v>
      </c>
      <c r="M44" s="30">
        <f>IF(L44&gt;0,ROUND(SUM(L44:L$102)/L44-0.5,Rundex),"")</f>
        <v>27</v>
      </c>
      <c r="N44" s="89"/>
      <c r="O44" s="9">
        <f t="shared" si="49"/>
        <v>52</v>
      </c>
      <c r="P44" s="94">
        <v>0.27763613530624442</v>
      </c>
      <c r="Q44" s="95">
        <v>54.455213171329717</v>
      </c>
      <c r="R44" s="94">
        <v>0.12932622741689453</v>
      </c>
      <c r="S44" s="95">
        <v>18.8</v>
      </c>
      <c r="T44" s="28">
        <v>2.2272415357065074E-3</v>
      </c>
      <c r="U44" s="11">
        <f t="shared" si="33"/>
        <v>97273</v>
      </c>
      <c r="V44" s="30">
        <f>IF(U44&gt;0,ROUND(SUM(U44:U$102)/U44-0.5,Rundex),"")</f>
        <v>32.56</v>
      </c>
      <c r="W44" s="89"/>
      <c r="X44" s="9">
        <f t="shared" si="50"/>
        <v>52</v>
      </c>
      <c r="Y44" s="11">
        <f t="shared" si="34"/>
        <v>28042</v>
      </c>
      <c r="Z44" s="11">
        <f>IF($X44&lt;RAF,SUM(Y44:INDEX(Day,RAF-BeginnAlter))," ")</f>
        <v>273779</v>
      </c>
      <c r="AA44" s="11">
        <f t="shared" si="0"/>
        <v>47</v>
      </c>
      <c r="AB44" s="11">
        <f>IF($X44&lt;RAF,SUM(AA44:INDEX(Cay,RAF-BeginnAlter))," ")</f>
        <v>753</v>
      </c>
      <c r="AC44" s="11">
        <f t="shared" si="1"/>
        <v>264</v>
      </c>
      <c r="AD44" s="11">
        <f>IF($X44&lt;RAF,SUM(AC44:INDEX(Caiy,RAF-BeginnAlter))," ")</f>
        <v>4954</v>
      </c>
      <c r="AE44" s="10">
        <f t="shared" si="35"/>
        <v>9.7629999999999999</v>
      </c>
      <c r="AF44" s="10">
        <f t="shared" si="36"/>
        <v>9.5719999999999992</v>
      </c>
      <c r="AG44" s="89"/>
      <c r="AH44" s="9">
        <f t="shared" si="51"/>
        <v>52</v>
      </c>
      <c r="AI44" s="11">
        <f t="shared" si="37"/>
        <v>36761</v>
      </c>
      <c r="AJ44" s="11">
        <f>IF($AH44&gt;RAF," ",IF($AH44&lt;RAF,SUM(AI44:INDEX(Diy,RAF-BeginnAlter))+INDEX(Ny,RAF-BeginnAlter+1),INDEX(Ny,RAF-BeginnAlter+1)))</f>
        <v>719480</v>
      </c>
      <c r="AK44" s="11">
        <f>IF($AH44&lt;RAF,SUM(AI44:INDEX(Diy,RAF-BeginnAlter))," ")</f>
        <v>353386</v>
      </c>
      <c r="AL44" s="10">
        <f t="shared" si="38"/>
        <v>19.571999999999999</v>
      </c>
      <c r="AM44" s="10">
        <f t="shared" si="39"/>
        <v>19.113</v>
      </c>
      <c r="AN44" s="10">
        <f t="shared" si="40"/>
        <v>9.6129999999999995</v>
      </c>
      <c r="AO44" s="10">
        <f t="shared" si="41"/>
        <v>9.4260000000000002</v>
      </c>
      <c r="AP44" s="89"/>
      <c r="AQ44" s="9">
        <f t="shared" si="52"/>
        <v>52</v>
      </c>
      <c r="AR44" s="11">
        <f t="shared" si="42"/>
        <v>30423</v>
      </c>
      <c r="AS44" s="11">
        <f>SUM(AR44:AR$96)</f>
        <v>682731</v>
      </c>
      <c r="AT44" s="25">
        <f>IF($AQ44&lt;RAF,SUM(AR44:INDEX(Dy,RAF-BeginnAlter))," ")</f>
        <v>316637</v>
      </c>
      <c r="AU44" s="24">
        <f t="shared" si="43"/>
        <v>22.440999999999999</v>
      </c>
      <c r="AV44" s="24">
        <f t="shared" si="44"/>
        <v>21.983000000000001</v>
      </c>
      <c r="AW44" s="24">
        <f t="shared" si="45"/>
        <v>10.407999999999999</v>
      </c>
      <c r="AX44" s="24">
        <f t="shared" si="46"/>
        <v>10.276999999999999</v>
      </c>
      <c r="AY44" s="89"/>
      <c r="AZ44" s="9">
        <f t="shared" si="53"/>
        <v>52</v>
      </c>
      <c r="BA44" s="11">
        <f t="shared" si="47"/>
        <v>30584</v>
      </c>
      <c r="BB44" s="11">
        <f>SUM(BA44:BA$96)</f>
        <v>704913</v>
      </c>
      <c r="BC44" s="10">
        <f t="shared" si="48"/>
        <v>23.047999999999998</v>
      </c>
      <c r="BD44" s="10">
        <f t="shared" si="7"/>
        <v>22.59</v>
      </c>
      <c r="BE44" s="89"/>
      <c r="BF44" s="9">
        <f t="shared" si="54"/>
        <v>35</v>
      </c>
      <c r="BG44" s="10" t="str">
        <f t="shared" si="8"/>
        <v/>
      </c>
      <c r="BH44" s="10" t="str">
        <f t="shared" si="9"/>
        <v/>
      </c>
      <c r="BI44" s="89"/>
      <c r="BJ44" s="9">
        <f t="shared" si="55"/>
        <v>52</v>
      </c>
      <c r="BK44" s="11">
        <f t="shared" si="10"/>
        <v>5017</v>
      </c>
      <c r="BL44" s="11">
        <f>IF(BJ44&lt;RAF,SUM(BK44:INDEX(Daiy,RAF-BeginnAlter))," ")</f>
        <v>86894</v>
      </c>
      <c r="BM44" s="11">
        <f>IF(BJ44&lt;RAF,SUM(BL44:INDEX(Naiy,RAF-BeginnAlter))," ")</f>
        <v>624029</v>
      </c>
      <c r="BN44" s="10">
        <f t="shared" si="11"/>
        <v>9.5630000000000006</v>
      </c>
      <c r="BO44" s="10">
        <f t="shared" si="12"/>
        <v>3.0990000000000002</v>
      </c>
      <c r="BP44" s="89"/>
      <c r="BQ44" s="9">
        <f t="shared" si="56"/>
        <v>52</v>
      </c>
      <c r="BR44" s="11">
        <f t="shared" si="13"/>
        <v>2406</v>
      </c>
      <c r="BS44" s="11">
        <f>IF(BQ44&lt;RAF,SUM(BR44:INDEX(Daiys,RAF-BeginnAlter))," ")</f>
        <v>22016</v>
      </c>
      <c r="BT44" s="11">
        <f>IF(BQ44&lt;RAF,SUM(BS44:INDEX(Naiys,RAF-BeginnAlter))," ")</f>
        <v>117531</v>
      </c>
      <c r="BU44" s="10">
        <f t="shared" si="14"/>
        <v>11.877000000000001</v>
      </c>
      <c r="BV44" s="10">
        <f t="shared" si="15"/>
        <v>0.78500000000000003</v>
      </c>
      <c r="BW44" s="89"/>
      <c r="BX44" s="9">
        <f t="shared" si="57"/>
        <v>52</v>
      </c>
      <c r="BY44" s="10">
        <f t="shared" si="16"/>
        <v>5.7049873062265686</v>
      </c>
      <c r="BZ44" s="11">
        <f t="shared" si="17"/>
        <v>171</v>
      </c>
      <c r="CA44" s="11">
        <f>IF(S45&lt;=RAK,IF($BX44&lt;RAF,SUM(BZ44:INDEX(Dazy,RAF-BeginnAlter)),""),"")</f>
        <v>569</v>
      </c>
      <c r="CB44" s="10">
        <f t="shared" si="18"/>
        <v>0.02</v>
      </c>
      <c r="CC44" s="11">
        <f t="shared" si="19"/>
        <v>25854</v>
      </c>
      <c r="CD44" s="10">
        <f t="shared" si="20"/>
        <v>19.119</v>
      </c>
      <c r="CE44" s="10">
        <f t="shared" si="21"/>
        <v>4.0000000000000001E-3</v>
      </c>
      <c r="CF44" s="89"/>
      <c r="CG44" s="9">
        <f t="shared" si="58"/>
        <v>52</v>
      </c>
      <c r="CH44" s="11">
        <f>IF(CG44&lt;RAF,ROUND(v^($CG44+FaktorAlter)*$H44*($B44*0.5*($P44+$P45)*(VLOOKUP(TRUNC(0.5*($Q44+$Q45),0),Männer!$AZ$9:$BD$95,5)+(0.5*($Q44+$Q45)-TRUNC(0.5*($Q44+$Q45),0))*(VLOOKUP(TRUNC(0.5*($Q44+$Q45)+1,0),Männer!$AZ$9:$BD$95,5)-VLOOKUP(TRUNC(0.5*($Q44+$Q45),0),Männer!$AZ$9:$BD$95,5)))+$C44*0.5*($CN44+$CN45)),RundDx),"")</f>
        <v>402</v>
      </c>
      <c r="CI44" s="11">
        <f>IF(CG44&lt;RAF,ROUND(SUM(CH44:INDEX(Dawy,RAF-BeginnAlter))+INDEX(Day,RAF-BeginnAlter+1)*INDEX(äwy,1),RundDx),"")</f>
        <v>5855</v>
      </c>
      <c r="CJ44" s="11">
        <f>IF(CG44&lt;RAF,ROUND(SUM(CI44:INDEX(Nawy,RAF-BeginnAlter))+INDEX(Day,RAF-BeginnAlter+1)*INDEX(äwy,1),RundDx),"")</f>
        <v>48001</v>
      </c>
      <c r="CK44" s="10">
        <f t="shared" si="22"/>
        <v>0.20899999999999999</v>
      </c>
      <c r="CL44" s="11">
        <f>IF(CG44&lt;RAF,ROUND(v^($CG44+FaktorAlter)*$L44*$D44*0.5*($P44+$P45)*(VLOOKUP(TRUNC(0.5*($Q44+$Q45),0),Männer!$AZ$9:$BD$95,5)+(0.5*($Q44+$Q45)-TRUNC(0.5*($Q44+$Q45),0))*(VLOOKUP(TRUNC(0.5*($Q44+$Q45)+1,0),Männer!$AZ$9:$BD$95,5)-VLOOKUP(TRUNC(0.5*($Q44+$Q45),0),Männer!$AZ$9:$BD$95,5))),RundDx),"")</f>
        <v>3243</v>
      </c>
      <c r="CM44" s="11">
        <f>IF(CG44&lt;RAF,SUM(CL44:INDEX(Diwy,RAF-BeginnAlter))+INDEX(Diy,RAF-BeginnAlter+1)*INDEX(äwy,1),"")</f>
        <v>25967.304</v>
      </c>
      <c r="CN44" s="10">
        <f t="shared" si="23"/>
        <v>0.70599999999999996</v>
      </c>
      <c r="CO44" s="89"/>
      <c r="CP44" s="9">
        <f t="shared" si="59"/>
        <v>99</v>
      </c>
      <c r="CQ44" s="11"/>
      <c r="CR44" s="11"/>
      <c r="CS44" s="24"/>
      <c r="CT44" s="89"/>
      <c r="CU44" s="35">
        <f t="shared" si="60"/>
        <v>52</v>
      </c>
      <c r="CV44" s="25">
        <f>IF($CU44&gt;=RAF,"",IF($CU44-CV$103&lt;BeginnAlter,"",ROUND(v^($CU44+FaktorAlter)*$L44*$D44*0.5*(VLOOKUP($CU44-CV$103,Männer!$G$9:$J$102,4)+VLOOKUP($CU44-CV$103+1,Männer!$G$9:$J$102,4))*0.5*(VLOOKUP($CU44-CV$103,Männer!$AZ$9:$BD$102,5)+VLOOKUP($CU44-CV$103+1,Männer!$AZ$9:$BD$102,5)),RundDx)))</f>
        <v>660428425</v>
      </c>
      <c r="CW44" s="25">
        <f>IF($CU44&gt;=RAF,"",IF($CU44-CW$103&lt;BeginnAlter,"",ROUND(v^($CU44+FaktorAlter)*$L44*$D44*0.5*(VLOOKUP($CU44-CW$103,Männer!$G$9:$J$102,4)+VLOOKUP($CU44-CW$103+1,Männer!$G$9:$J$102,4))*0.5*(VLOOKUP($CU44-CW$103,Männer!$AZ$9:$BD$102,5)+VLOOKUP($CU44-CW$103+1,Männer!$AZ$9:$BD$102,5)),RundDx)))</f>
        <v>694706791</v>
      </c>
      <c r="CX44" s="25">
        <f>IF($CU44&gt;=RAF,"",IF($CU44-CX$103&lt;BeginnAlter,"",ROUND(v^($CU44+FaktorAlter)*$L44*$D44*0.5*(VLOOKUP($CU44-CX$103,Männer!$G$9:$J$102,4)+VLOOKUP($CU44-CX$103+1,Männer!$G$9:$J$102,4))*0.5*(VLOOKUP($CU44-CX$103,Männer!$AZ$9:$BD$102,5)+VLOOKUP($CU44-CX$103+1,Männer!$AZ$9:$BD$102,5)),RundDx)))</f>
        <v>729228483</v>
      </c>
      <c r="CY44" s="25">
        <f>IF($CU44&gt;=RAF,"",IF($CU44-CY$103&lt;BeginnAlter,"",ROUND(v^($CU44+FaktorAlter)*$L44*$D44*0.5*(VLOOKUP($CU44-CY$103,Männer!$G$9:$J$102,4)+VLOOKUP($CU44-CY$103+1,Männer!$G$9:$J$102,4))*0.5*(VLOOKUP($CU44-CY$103,Männer!$AZ$9:$BD$102,5)+VLOOKUP($CU44-CY$103+1,Männer!$AZ$9:$BD$102,5)),RundDx)))</f>
        <v>764169700</v>
      </c>
      <c r="CZ44" s="25">
        <f>IF($CU44&gt;=RAF,"",IF($CU44-CZ$103&lt;BeginnAlter,"",ROUND(v^($CU44+FaktorAlter)*$L44*$D44*0.5*(VLOOKUP($CU44-CZ$103,Männer!$G$9:$J$102,4)+VLOOKUP($CU44-CZ$103+1,Männer!$G$9:$J$102,4))*0.5*(VLOOKUP($CU44-CZ$103,Männer!$AZ$9:$BD$102,5)+VLOOKUP($CU44-CZ$103+1,Männer!$AZ$9:$BD$102,5)),RundDx)))</f>
        <v>799596677</v>
      </c>
      <c r="DA44" s="25">
        <f>IF($CU44&gt;=RAF,"",IF($CU44-DA$103&lt;BeginnAlter,"",ROUND(v^($CU44+FaktorAlter)*$L44*$D44*0.5*(VLOOKUP($CU44-DA$103,Männer!$G$9:$J$102,4)+VLOOKUP($CU44-DA$103+1,Männer!$G$9:$J$102,4))*0.5*(VLOOKUP($CU44-DA$103,Männer!$AZ$9:$BD$102,5)+VLOOKUP($CU44-DA$103+1,Männer!$AZ$9:$BD$102,5)),RundDx)))</f>
        <v>835594837</v>
      </c>
      <c r="DB44" s="25">
        <f>IF($CU44&gt;=RAF,"",IF($CU44-DB$103&lt;BeginnAlter,"",ROUND(v^($CU44+FaktorAlter)*$L44*$D44*0.5*(VLOOKUP($CU44-DB$103,Männer!$G$9:$J$102,4)+VLOOKUP($CU44-DB$103+1,Männer!$G$9:$J$102,4))*0.5*(VLOOKUP($CU44-DB$103,Männer!$AZ$9:$BD$102,5)+VLOOKUP($CU44-DB$103+1,Männer!$AZ$9:$BD$102,5)),RundDx)))</f>
        <v>872217839</v>
      </c>
      <c r="DC44" s="25">
        <f>IF($CU44&gt;=RAF,"",IF($CU44-DC$103&lt;BeginnAlter,"",ROUND(v^($CU44+FaktorAlter)*$L44*$D44*0.5*(VLOOKUP($CU44-DC$103,Männer!$G$9:$J$102,4)+VLOOKUP($CU44-DC$103+1,Männer!$G$9:$J$102,4))*0.5*(VLOOKUP($CU44-DC$103,Männer!$AZ$9:$BD$102,5)+VLOOKUP($CU44-DC$103+1,Männer!$AZ$9:$BD$102,5)),RundDx)))</f>
        <v>909495166</v>
      </c>
      <c r="DD44" s="25">
        <f>IF($CU44&gt;=RAF,"",IF($CU44-DD$103&lt;BeginnAlter,"",ROUND(v^($CU44+FaktorAlter)*$L44*$D44*0.5*(VLOOKUP($CU44-DD$103,Männer!$G$9:$J$102,4)+VLOOKUP($CU44-DD$103+1,Männer!$G$9:$J$102,4))*0.5*(VLOOKUP($CU44-DD$103,Männer!$AZ$9:$BD$102,5)+VLOOKUP($CU44-DD$103+1,Männer!$AZ$9:$BD$102,5)),RundDx)))</f>
        <v>947493425</v>
      </c>
      <c r="DE44" s="25">
        <f>IF($CU44&gt;=RAF,"",IF($CU44-DE$103&lt;BeginnAlter,"",ROUND(v^($CU44+FaktorAlter)*$L44*$D44*0.5*(VLOOKUP($CU44-DE$103,Männer!$G$9:$J$102,4)+VLOOKUP($CU44-DE$103+1,Männer!$G$9:$J$102,4))*0.5*(VLOOKUP($CU44-DE$103,Männer!$AZ$9:$BD$102,5)+VLOOKUP($CU44-DE$103+1,Männer!$AZ$9:$BD$102,5)),RundDx)))</f>
        <v>986167657</v>
      </c>
      <c r="DF44" s="25">
        <f>IF($CU44&gt;=RAF,"",IF($CU44-DF$103&lt;BeginnAlter,"",ROUND(v^($CU44+FaktorAlter)*$L44*$D44*0.5*(VLOOKUP($CU44-DF$103,Männer!$G$9:$J$102,4)+VLOOKUP($CU44-DF$103+1,Männer!$G$9:$J$102,4))*0.5*(VLOOKUP($CU44-DF$103,Männer!$AZ$9:$BD$102,5)+VLOOKUP($CU44-DF$103+1,Männer!$AZ$9:$BD$102,5)),RundDx)))</f>
        <v>1025461116</v>
      </c>
      <c r="DG44" s="25">
        <f>IF($CU44&gt;=RAF,"",IF($CU44-DG$103&lt;BeginnAlter,"",ROUND(v^($CU44+FaktorAlter)*$L44*$D44*0.5*(VLOOKUP($CU44-DG$103,Männer!$G$9:$J$102,4)+VLOOKUP($CU44-DG$103+1,Männer!$G$9:$J$102,4))*0.5*(VLOOKUP($CU44-DG$103,Männer!$AZ$9:$BD$102,5)+VLOOKUP($CU44-DG$103+1,Männer!$AZ$9:$BD$102,5)),RundDx)))</f>
        <v>1065362861</v>
      </c>
      <c r="DH44" s="25">
        <f>IF($CU44&gt;=RAF,"",IF($CU44-DH$103&lt;BeginnAlter,"",ROUND(v^($CU44+FaktorAlter)*$L44*$D44*0.5*(VLOOKUP($CU44-DH$103,Männer!$G$9:$J$102,4)+VLOOKUP($CU44-DH$103+1,Männer!$G$9:$J$102,4))*0.5*(VLOOKUP($CU44-DH$103,Männer!$AZ$9:$BD$102,5)+VLOOKUP($CU44-DH$103+1,Männer!$AZ$9:$BD$102,5)),RundDx)))</f>
        <v>1105287745</v>
      </c>
      <c r="DI44" s="25">
        <f>IF($CU44&gt;=RAF,"",IF($CU44-DI$103&lt;BeginnAlter,"",ROUND(v^($CU44+FaktorAlter)*$L44*$D44*0.5*(VLOOKUP($CU44-DI$103,Männer!$G$9:$J$102,4)+VLOOKUP($CU44-DI$103+1,Männer!$G$9:$J$102,4))*0.5*(VLOOKUP($CU44-DI$103,Männer!$AZ$9:$BD$102,5)+VLOOKUP($CU44-DI$103+1,Männer!$AZ$9:$BD$102,5)),RundDx)))</f>
        <v>1144611960</v>
      </c>
      <c r="DJ44" s="25">
        <f>IF($CU44&gt;=RAF,"",IF($CU44-DJ$103&lt;BeginnAlter,"",ROUND(v^($CU44+FaktorAlter)*$L44*$D44*0.5*(VLOOKUP($CU44-DJ$103,Männer!$G$9:$J$102,4)+VLOOKUP($CU44-DJ$103+1,Männer!$G$9:$J$102,4))*0.5*(VLOOKUP($CU44-DJ$103,Männer!$AZ$9:$BD$102,5)+VLOOKUP($CU44-DJ$103+1,Männer!$AZ$9:$BD$102,5)),RundDx)))</f>
        <v>1183342130</v>
      </c>
      <c r="DK44" s="25">
        <f>IF($CU44&gt;=RAF,"",IF($CU44-DK$103&lt;BeginnAlter,"",ROUND(v^($CU44+FaktorAlter)*$L44*$D44*0.5*(VLOOKUP($CU44-DK$103,Männer!$G$9:$J$102,4)+VLOOKUP($CU44-DK$103+1,Männer!$G$9:$J$102,4))*0.5*(VLOOKUP($CU44-DK$103,Männer!$AZ$9:$BD$102,5)+VLOOKUP($CU44-DK$103+1,Männer!$AZ$9:$BD$102,5)),RundDx)))</f>
        <v>1221484099</v>
      </c>
      <c r="DL44" s="25">
        <f>IF($CU44&gt;=RAF,"",IF($CU44-DL$103&lt;BeginnAlter,"",ROUND(v^($CU44+FaktorAlter)*$L44*$D44*0.5*(VLOOKUP($CU44-DL$103,Männer!$G$9:$J$102,4)+VLOOKUP($CU44-DL$103+1,Männer!$G$9:$J$102,4))*0.5*(VLOOKUP($CU44-DL$103,Männer!$AZ$9:$BD$102,5)+VLOOKUP($CU44-DL$103+1,Männer!$AZ$9:$BD$102,5)),RundDx)))</f>
        <v>1258969335</v>
      </c>
      <c r="DM44" s="25">
        <f>IF($CU44&gt;=RAF,"",IF($CU44-DM$103&lt;BeginnAlter,"",ROUND(v^($CU44+FaktorAlter)*$L44*$D44*0.5*(VLOOKUP($CU44-DM$103,Männer!$G$9:$J$102,4)+VLOOKUP($CU44-DM$103+1,Männer!$G$9:$J$102,4))*0.5*(VLOOKUP($CU44-DM$103,Männer!$AZ$9:$BD$102,5)+VLOOKUP($CU44-DM$103+1,Männer!$AZ$9:$BD$102,5)),RundDx)))</f>
        <v>1295801995</v>
      </c>
      <c r="DN44" s="25">
        <f>IF($CU44&gt;=RAF,"",IF($CU44-DN$103&lt;BeginnAlter,"",ROUND(v^($CU44+FaktorAlter)*$L44*$D44*0.5*(VLOOKUP($CU44-DN$103,Männer!$G$9:$J$102,4)+VLOOKUP($CU44-DN$103+1,Männer!$G$9:$J$102,4))*0.5*(VLOOKUP($CU44-DN$103,Männer!$AZ$9:$BD$102,5)+VLOOKUP($CU44-DN$103+1,Männer!$AZ$9:$BD$102,5)),RundDx)))</f>
        <v>1332039099</v>
      </c>
      <c r="DO44" s="25">
        <f>IF($CU44&gt;=RAF,"",IF($CU44-DO$103&lt;BeginnAlter,"",ROUND(v^($CU44+FaktorAlter)*$L44*$D44*0.5*(VLOOKUP($CU44-DO$103,Männer!$G$9:$J$102,4)+VLOOKUP($CU44-DO$103+1,Männer!$G$9:$J$102,4))*0.5*(VLOOKUP($CU44-DO$103,Männer!$AZ$9:$BD$102,5)+VLOOKUP($CU44-DO$103+1,Männer!$AZ$9:$BD$102,5)),RundDx)))</f>
        <v>1367657326</v>
      </c>
      <c r="DP44" s="25">
        <f>IF($CU44&gt;=RAF,"",IF($CU44-DP$103&lt;BeginnAlter,"",ROUND(v^($CU44+FaktorAlter)*$L44*$D44*0.5*(VLOOKUP($CU44-DP$103,Männer!$G$9:$J$102,4)+VLOOKUP($CU44-DP$103+1,Männer!$G$9:$J$102,4))*0.5*(VLOOKUP($CU44-DP$103,Männer!$AZ$9:$BD$102,5)+VLOOKUP($CU44-DP$103+1,Männer!$AZ$9:$BD$102,5)),RundDx)))</f>
        <v>1402618559</v>
      </c>
      <c r="DQ44" s="25">
        <f>IF($CU44&gt;=RAF,"",IF($CU44-DQ$103&lt;BeginnAlter,"",ROUND(v^($CU44+FaktorAlter)*$L44*$D44*0.5*(VLOOKUP($CU44-DQ$103,Männer!$G$9:$J$102,4)+VLOOKUP($CU44-DQ$103+1,Männer!$G$9:$J$102,4))*0.5*(VLOOKUP($CU44-DQ$103,Männer!$AZ$9:$BD$102,5)+VLOOKUP($CU44-DQ$103+1,Männer!$AZ$9:$BD$102,5)),RundDx)))</f>
        <v>1436965992</v>
      </c>
      <c r="DR44" s="25">
        <f>IF($CU44&gt;=RAF,"",IF($CU44-DR$103&lt;BeginnAlter,"",ROUND(v^($CU44+FaktorAlter)*$L44*$D44*0.5*(VLOOKUP($CU44-DR$103,Männer!$G$9:$J$102,4)+VLOOKUP($CU44-DR$103+1,Männer!$G$9:$J$102,4))*0.5*(VLOOKUP($CU44-DR$103,Männer!$AZ$9:$BD$102,5)+VLOOKUP($CU44-DR$103+1,Männer!$AZ$9:$BD$102,5)),RundDx)))</f>
        <v>1470698052</v>
      </c>
      <c r="DS44" s="25">
        <f>IF($CU44&gt;=RAF,"",IF($CU44-DS$103&lt;BeginnAlter,"",ROUND(v^($CU44+FaktorAlter)*$L44*$D44*0.5*(VLOOKUP($CU44-DS$103,Männer!$G$9:$J$102,4)+VLOOKUP($CU44-DS$103+1,Männer!$G$9:$J$102,4))*0.5*(VLOOKUP($CU44-DS$103,Männer!$AZ$9:$BD$102,5)+VLOOKUP($CU44-DS$103+1,Männer!$AZ$9:$BD$102,5)),RundDx)))</f>
        <v>1503814874</v>
      </c>
      <c r="DT44" s="25">
        <f>IF($CU44&gt;=RAF,"",IF($CU44-DT$103&lt;BeginnAlter,"",ROUND(v^($CU44+FaktorAlter)*$L44*$D44*0.5*(VLOOKUP($CU44-DT$103,Männer!$G$9:$J$102,4)+VLOOKUP($CU44-DT$103+1,Männer!$G$9:$J$102,4))*0.5*(VLOOKUP($CU44-DT$103,Männer!$AZ$9:$BD$102,5)+VLOOKUP($CU44-DT$103+1,Männer!$AZ$9:$BD$102,5)),RundDx)))</f>
        <v>1536302540</v>
      </c>
      <c r="DU44" s="25">
        <f>IF($CU44&gt;=RAF,"",IF($CU44-DU$103&lt;BeginnAlter,"",ROUND(v^($CU44+FaktorAlter)*$L44*$D44*0.5*(VLOOKUP($CU44-DU$103,Männer!$G$9:$J$102,4)+VLOOKUP($CU44-DU$103+1,Männer!$G$9:$J$102,4))*0.5*(VLOOKUP($CU44-DU$103,Männer!$AZ$9:$BD$102,5)+VLOOKUP($CU44-DU$103+1,Männer!$AZ$9:$BD$102,5)),RundDx)))</f>
        <v>1568196745</v>
      </c>
      <c r="DV44" s="25">
        <f>IF($CU44&gt;=RAF,"",IF($CU44-DV$103&lt;BeginnAlter,"",ROUND(v^($CU44+FaktorAlter)*$L44*$D44*0.5*(VLOOKUP($CU44-DV$103,Männer!$G$9:$J$102,4)+VLOOKUP($CU44-DV$103+1,Männer!$G$9:$J$102,4))*0.5*(VLOOKUP($CU44-DV$103,Männer!$AZ$9:$BD$102,5)+VLOOKUP($CU44-DV$103+1,Männer!$AZ$9:$BD$102,5)),RundDx)))</f>
        <v>1599526813</v>
      </c>
      <c r="DW44" s="25">
        <f>IF($CU44&gt;=RAF,"",IF($CU44-DW$103&lt;BeginnAlter,"",ROUND(v^($CU44+FaktorAlter)*$L44*$D44*0.5*(VLOOKUP($CU44-DW$103,Männer!$G$9:$J$102,4)+VLOOKUP($CU44-DW$103+1,Männer!$G$9:$J$102,4))*0.5*(VLOOKUP($CU44-DW$103,Männer!$AZ$9:$BD$102,5)+VLOOKUP($CU44-DW$103+1,Männer!$AZ$9:$BD$102,5)),RundDx)))</f>
        <v>1630239969</v>
      </c>
      <c r="DX44" s="25">
        <f>IF($CU44&gt;=RAF,"",IF($CU44-DX$103&lt;BeginnAlter,"",ROUND(v^($CU44+FaktorAlter)*$L44*$D44*0.5*(VLOOKUP($CU44-DX$103,Männer!$G$9:$J$102,4)+VLOOKUP($CU44-DX$103+1,Männer!$G$9:$J$102,4))*0.5*(VLOOKUP($CU44-DX$103,Männer!$AZ$9:$BD$102,5)+VLOOKUP($CU44-DX$103+1,Männer!$AZ$9:$BD$102,5)),RundDx)))</f>
        <v>1660333224</v>
      </c>
      <c r="DY44" s="25">
        <f>IF($CU44&gt;=RAF,"",IF($CU44-DY$103&lt;BeginnAlter,"",ROUND(v^($CU44+FaktorAlter)*$L44*$D44*0.5*(VLOOKUP($CU44-DY$103,Männer!$G$9:$J$102,4)+VLOOKUP($CU44-DY$103+1,Männer!$G$9:$J$102,4))*0.5*(VLOOKUP($CU44-DY$103,Männer!$AZ$9:$BD$102,5)+VLOOKUP($CU44-DY$103+1,Männer!$AZ$9:$BD$102,5)),RundDx)))</f>
        <v>1689896108</v>
      </c>
      <c r="DZ44" s="25">
        <f>IF($CU44&gt;=RAF,"",IF($CU44-DZ$103&lt;BeginnAlter,"",ROUND(v^($CU44+FaktorAlter)*$L44*$D44*0.5*(VLOOKUP($CU44-DZ$103,Männer!$G$9:$J$102,4)+VLOOKUP($CU44-DZ$103+1,Männer!$G$9:$J$102,4))*0.5*(VLOOKUP($CU44-DZ$103,Männer!$AZ$9:$BD$102,5)+VLOOKUP($CU44-DZ$103+1,Männer!$AZ$9:$BD$102,5)),RundDx)))</f>
        <v>1718893903</v>
      </c>
      <c r="EA44" s="43">
        <f>IF($CU44&gt;=RAF,"",IF($CU44-EA$103&lt;BeginnAlter,"",ROUND((SUM(CV44:CV$56)+SUM(FN$9:FN$56))/VLOOKUP($CU44,$AH$9:$AI$102,2)/VLOOKUP($CU44-EA$103,Männer!$G$9:$J$102,4),Rundäx)))</f>
        <v>1.885</v>
      </c>
      <c r="EB44" s="43">
        <f>IF($CU44&gt;=RAF,"",IF($CU44-EB$103&lt;BeginnAlter,"",ROUND((SUM(CW44:CW$56)+SUM(FO$9:FO$56))/VLOOKUP($CU44,$AH$9:$AI$102,2)/VLOOKUP($CU44-EB$103,Männer!$G$9:$J$102,4),Rundäx)))</f>
        <v>2.0059999999999998</v>
      </c>
      <c r="EC44" s="43">
        <f>IF($CU44&gt;=RAF,"",IF($CU44-EC$103&lt;BeginnAlter,"",ROUND((SUM(CX44:CX$56)+SUM(FP$9:FP$56))/VLOOKUP($CU44,$AH$9:$AI$102,2)/VLOOKUP($CU44-EC$103,Männer!$G$9:$J$102,4),Rundäx)))</f>
        <v>2.1309999999999998</v>
      </c>
      <c r="ED44" s="43">
        <f>IF($CU44&gt;=RAF,"",IF($CU44-ED$103&lt;BeginnAlter,"",ROUND((SUM(CY44:CY$56)+SUM(FQ$9:FQ$56))/VLOOKUP($CU44,$AH$9:$AI$102,2)/VLOOKUP($CU44-ED$103,Männer!$G$9:$J$102,4),Rundäx)))</f>
        <v>2.2610000000000001</v>
      </c>
      <c r="EE44" s="43">
        <f>IF($CU44&gt;=RAF,"",IF($CU44-EE$103&lt;BeginnAlter,"",ROUND((SUM(CZ44:CZ$56)+SUM(FR$9:FR$56))/VLOOKUP($CU44,$AH$9:$AI$102,2)/VLOOKUP($CU44-EE$103,Männer!$G$9:$J$102,4),Rundäx)))</f>
        <v>2.395</v>
      </c>
      <c r="EF44" s="43">
        <f>IF($CU44&gt;=RAF,"",IF($CU44-EF$103&lt;BeginnAlter,"",ROUND((SUM(DA44:DA$56)+SUM(FS$9:FS$56))/VLOOKUP($CU44,$AH$9:$AI$102,2)/VLOOKUP($CU44-EF$103,Männer!$G$9:$J$102,4),Rundäx)))</f>
        <v>2.5350000000000001</v>
      </c>
      <c r="EG44" s="43">
        <f>IF($CU44&gt;=RAF,"",IF($CU44-EG$103&lt;BeginnAlter,"",ROUND((SUM(DB44:DB$56)+SUM(FT$9:FT$56))/VLOOKUP($CU44,$AH$9:$AI$102,2)/VLOOKUP($CU44-EG$103,Männer!$G$9:$J$102,4),Rundäx)))</f>
        <v>2.681</v>
      </c>
      <c r="EH44" s="43">
        <f>IF($CU44&gt;=RAF,"",IF($CU44-EH$103&lt;BeginnAlter,"",ROUND((SUM(DC44:DC$56)+SUM(FU$9:FU$56))/VLOOKUP($CU44,$AH$9:$AI$102,2)/VLOOKUP($CU44-EH$103,Männer!$G$9:$J$102,4),Rundäx)))</f>
        <v>2.835</v>
      </c>
      <c r="EI44" s="89"/>
      <c r="EJ44" s="35">
        <f t="shared" si="61"/>
        <v>52</v>
      </c>
      <c r="EK44" s="43">
        <f>IF($CU44&gt;=RAF,"",IF($CU44-EK$103&lt;BeginnAlter,"",ROUND((SUM(DD44:DD$56)+SUM(FV$9:FV$56))/VLOOKUP($CU44,$AH$9:$AI$102,2)/VLOOKUP($CU44-EK$103,Männer!$G$9:$J$102,4),Rundäx)))</f>
        <v>2.9950000000000001</v>
      </c>
      <c r="EL44" s="43">
        <f>IF($CU44&gt;=RAF,"",IF($CU44-EL$103&lt;BeginnAlter,"",ROUND((SUM(DE44:DE$56)+SUM(FW$9:FW$56))/VLOOKUP($CU44,$AH$9:$AI$102,2)/VLOOKUP($CU44-EL$103,Männer!$G$9:$J$102,4),Rundäx)))</f>
        <v>3.1640000000000001</v>
      </c>
      <c r="EM44" s="43">
        <f>IF($CU44&gt;=RAF,"",IF($CU44-EM$103&lt;BeginnAlter,"",ROUND((SUM(DF44:DF$56)+SUM(FX$9:FX$56))/VLOOKUP($CU44,$AH$9:$AI$102,2)/VLOOKUP($CU44-EM$103,Männer!$G$9:$J$102,4),Rundäx)))</f>
        <v>3.3410000000000002</v>
      </c>
      <c r="EN44" s="43">
        <f>IF($CU44&gt;=RAF,"",IF($CU44-EN$103&lt;BeginnAlter,"",ROUND((SUM(DG44:DG$56)+SUM(FY$9:FY$56))/VLOOKUP($CU44,$AH$9:$AI$102,2)/VLOOKUP($CU44-EN$103,Männer!$G$9:$J$102,4),Rundäx)))</f>
        <v>3.5270000000000001</v>
      </c>
      <c r="EO44" s="43">
        <f>IF($CU44&gt;=RAF,"",IF($CU44-EO$103&lt;BeginnAlter,"",ROUND((SUM(DH44:DH$56)+SUM(FZ$9:FZ$56))/VLOOKUP($CU44,$AH$9:$AI$102,2)/VLOOKUP($CU44-EO$103,Männer!$G$9:$J$102,4),Rundäx)))</f>
        <v>3.7210000000000001</v>
      </c>
      <c r="EP44" s="43">
        <f>IF($CU44&gt;=RAF,"",IF($CU44-EP$103&lt;BeginnAlter,"",ROUND((SUM(DI44:DI$56)+SUM(GA$9:GA$56))/VLOOKUP($CU44,$AH$9:$AI$102,2)/VLOOKUP($CU44-EP$103,Männer!$G$9:$J$102,4),Rundäx)))</f>
        <v>3.9239999999999999</v>
      </c>
      <c r="EQ44" s="43">
        <f>IF($CU44&gt;=RAF,"",IF($CU44-EQ$103&lt;BeginnAlter,"",ROUND((SUM(DJ44:DJ$56)+SUM(GB$9:GB$56))/VLOOKUP($CU44,$AH$9:$AI$102,2)/VLOOKUP($CU44-EQ$103,Männer!$G$9:$J$102,4),Rundäx)))</f>
        <v>4.1349999999999998</v>
      </c>
      <c r="ER44" s="43">
        <f>IF($CU44&gt;=RAF,"",IF($CU44-ER$103&lt;BeginnAlter,"",ROUND((SUM(DK44:DK$56)+SUM(GC$9:GC$56))/VLOOKUP($CU44,$AH$9:$AI$102,2)/VLOOKUP($CU44-ER$103,Männer!$G$9:$J$102,4),Rundäx)))</f>
        <v>4.3540000000000001</v>
      </c>
      <c r="ES44" s="89"/>
      <c r="ET44" s="35">
        <f t="shared" si="62"/>
        <v>52</v>
      </c>
      <c r="EU44" s="43">
        <f>IF($CU44&gt;=RAF,"",IF($CU44-EU$103&lt;BeginnAlter,"",ROUND((SUM(DL44:DL$56)+SUM(GD$9:GD$56))/VLOOKUP($CU44,$AH$9:$AI$102,2)/VLOOKUP($CU44-EU$103,Männer!$G$9:$J$102,4),Rundäx)))</f>
        <v>4.5810000000000004</v>
      </c>
      <c r="EV44" s="43">
        <f>IF($CU44&gt;=RAF,"",IF($CU44-EV$103&lt;BeginnAlter,"",ROUND((SUM(DM44:DM$56)+SUM(GE$9:GE$56))/VLOOKUP($CU44,$AH$9:$AI$102,2)/VLOOKUP($CU44-EV$103,Männer!$G$9:$J$102,4),Rundäx)))</f>
        <v>4.8140000000000001</v>
      </c>
      <c r="EW44" s="43">
        <f>IF($CU44&gt;=RAF,"",IF($CU44-EW$103&lt;BeginnAlter,"",ROUND((SUM(DN44:DN$56)+SUM(GF$9:GF$56))/VLOOKUP($CU44,$AH$9:$AI$102,2)/VLOOKUP($CU44-EW$103,Männer!$G$9:$J$102,4),Rundäx)))</f>
        <v>5.0540000000000003</v>
      </c>
      <c r="EX44" s="43">
        <f>IF($CU44&gt;=RAF,"",IF($CU44-EX$103&lt;BeginnAlter,"",ROUND((SUM(DO44:DO$56)+SUM(GG$9:GG$56))/VLOOKUP($CU44,$AH$9:$AI$102,2)/VLOOKUP($CU44-EX$103,Männer!$G$9:$J$102,4),Rundäx)))</f>
        <v>5.3</v>
      </c>
      <c r="EY44" s="43">
        <f>IF($CU44&gt;=RAF,"",IF($CU44-EY$103&lt;BeginnAlter,"",ROUND((SUM(DP44:DP$56)+SUM(GH$9:GH$56))/VLOOKUP($CU44,$AH$9:$AI$102,2)/VLOOKUP($CU44-EY$103,Männer!$G$9:$J$102,4),Rundäx)))</f>
        <v>5.5510000000000002</v>
      </c>
      <c r="EZ44" s="43">
        <f>IF($CU44&gt;=RAF,"",IF($CU44-EZ$103&lt;BeginnAlter,"",ROUND((SUM(DQ44:DQ$56)+SUM(GI$9:GI$56))/VLOOKUP($CU44,$AH$9:$AI$102,2)/VLOOKUP($CU44-EZ$103,Männer!$G$9:$J$102,4),Rundäx)))</f>
        <v>5.8070000000000004</v>
      </c>
      <c r="FA44" s="43">
        <f>IF($CU44&gt;=RAF,"",IF($CU44-FA$103&lt;BeginnAlter,"",ROUND((SUM(DR44:DR$56)+SUM(GJ$9:GJ$56))/VLOOKUP($CU44,$AH$9:$AI$102,2)/VLOOKUP($CU44-FA$103,Männer!$G$9:$J$102,4),Rundäx)))</f>
        <v>6.0670000000000002</v>
      </c>
      <c r="FB44" s="43">
        <f>IF($CU44&gt;=RAF,"",IF($CU44-FB$103&lt;BeginnAlter,"",ROUND((SUM(DS44:DS$56)+SUM(GK$9:GK$56))/VLOOKUP($CU44,$AH$9:$AI$102,2)/VLOOKUP($CU44-FB$103,Männer!$G$9:$J$102,4),Rundäx)))</f>
        <v>6.3310000000000004</v>
      </c>
      <c r="FC44" s="89"/>
      <c r="FD44" s="35">
        <f t="shared" si="63"/>
        <v>52</v>
      </c>
      <c r="FE44" s="43">
        <f>IF($CU44&gt;=RAF,"",IF($CU44-FE$103&lt;BeginnAlter,"",ROUND((SUM(DT44:DT$56)+SUM(GL$9:GL$56))/VLOOKUP($CU44,$AH$9:$AI$102,2)/VLOOKUP($CU44-FE$103,Männer!$G$9:$J$102,4),Rundäx)))</f>
        <v>6.5979999999999999</v>
      </c>
      <c r="FF44" s="43">
        <f>IF($CU44&gt;=RAF,"",IF($CU44-FF$103&lt;BeginnAlter,"",ROUND((SUM(DU44:DU$56)+SUM(GM$9:GM$56))/VLOOKUP($CU44,$AH$9:$AI$102,2)/VLOOKUP($CU44-FF$103,Männer!$G$9:$J$102,4),Rundäx)))</f>
        <v>6.867</v>
      </c>
      <c r="FG44" s="43">
        <f>IF($CU44&gt;=RAF,"",IF($CU44-FG$103&lt;BeginnAlter,"",ROUND((SUM(DV44:DV$56)+SUM(GN$9:GN$56))/VLOOKUP($CU44,$AH$9:$AI$102,2)/VLOOKUP($CU44-FG$103,Männer!$G$9:$J$102,4),Rundäx)))</f>
        <v>7.1390000000000002</v>
      </c>
      <c r="FH44" s="43">
        <f>IF($CU44&gt;=RAF,"",IF($CU44-FH$103&lt;BeginnAlter,"",ROUND((SUM(DW44:DW$56)+SUM(GO$9:GO$56))/VLOOKUP($CU44,$AH$9:$AI$102,2)/VLOOKUP($CU44-FH$103,Männer!$G$9:$J$102,4),Rundäx)))</f>
        <v>7.4130000000000003</v>
      </c>
      <c r="FI44" s="43">
        <f>IF($CU44&gt;=RAF,"",IF($CU44-FI$103&lt;BeginnAlter,"",ROUND((SUM(DX44:DX$56)+SUM(GP$9:GP$56))/VLOOKUP($CU44,$AH$9:$AI$102,2)/VLOOKUP($CU44-FI$103,Männer!$G$9:$J$102,4),Rundäx)))</f>
        <v>7.6870000000000003</v>
      </c>
      <c r="FJ44" s="43">
        <f>IF($CU44&gt;=RAF,"",IF($CU44-FJ$103&lt;BeginnAlter,"",ROUND((SUM(DY44:DY$56)+SUM(GQ$9:GQ$56))/VLOOKUP($CU44,$AH$9:$AI$102,2)/VLOOKUP($CU44-FJ$103,Männer!$G$9:$J$102,4),Rundäx)))</f>
        <v>7.9630000000000001</v>
      </c>
      <c r="FK44" s="43">
        <f>IF($CU44&gt;=RAF,"",IF($CU44-FK$103&lt;BeginnAlter,"",ROUND((SUM(DZ44:DZ$56)+SUM(GR$9:GR$56))/VLOOKUP($CU44,$AH$9:$AI$102,2)/VLOOKUP($CU44-FK$103,Männer!$G$9:$J$102,4),Rundäx)))</f>
        <v>8.24</v>
      </c>
      <c r="FL44" s="89"/>
      <c r="FM44" s="35">
        <f t="shared" si="64"/>
        <v>99</v>
      </c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>
        <f>ROUND(v^($FM44+FaktorAlter)*VLOOKUP($FM44,$G$9:$J$102,4)*VLOOKUP($FM44,$A$9:$E$102,5)*0.5*(VLOOKUP($FM44-GB$103,Männer!$G$9:$J$102,4)+VLOOKUP($FM44-GB$103+1,Männer!$G$9:$J$102,4))*0.5*(VLOOKUP($FM44-GB$103,Männer!$AZ$9:$BD$102,5)+VLOOKUP($FM44-GB$103+1,Männer!$AZ$9:$BD$102,5)),RundDx)</f>
        <v>19766</v>
      </c>
      <c r="GC44" s="25">
        <f>ROUND(v^($FM44+FaktorAlter)*VLOOKUP($FM44,$G$9:$J$102,4)*VLOOKUP($FM44,$A$9:$E$102,5)*0.5*(VLOOKUP($FM44-GC$103,Männer!$G$9:$J$102,4)+VLOOKUP($FM44-GC$103+1,Männer!$G$9:$J$102,4))*0.5*(VLOOKUP($FM44-GC$103,Männer!$AZ$9:$BD$102,5)+VLOOKUP($FM44-GC$103+1,Männer!$AZ$9:$BD$102,5)),RundDx)</f>
        <v>52129</v>
      </c>
      <c r="GD44" s="25">
        <f>ROUND(v^($FM44+FaktorAlter)*VLOOKUP($FM44,$G$9:$J$102,4)*VLOOKUP($FM44,$A$9:$E$102,5)*0.5*(VLOOKUP($FM44-GD$103,Männer!$G$9:$J$102,4)+VLOOKUP($FM44-GD$103+1,Männer!$G$9:$J$102,4))*0.5*(VLOOKUP($FM44-GD$103,Männer!$AZ$9:$BD$102,5)+VLOOKUP($FM44-GD$103+1,Männer!$AZ$9:$BD$102,5)),RundDx)</f>
        <v>117267</v>
      </c>
      <c r="GE44" s="25">
        <f>ROUND(v^($FM44+FaktorAlter)*VLOOKUP($FM44,$G$9:$J$102,4)*VLOOKUP($FM44,$A$9:$E$102,5)*0.5*(VLOOKUP($FM44-GE$103,Männer!$G$9:$J$102,4)+VLOOKUP($FM44-GE$103+1,Männer!$G$9:$J$102,4))*0.5*(VLOOKUP($FM44-GE$103,Männer!$AZ$9:$BD$102,5)+VLOOKUP($FM44-GE$103+1,Männer!$AZ$9:$BD$102,5)),RundDx)</f>
        <v>238825</v>
      </c>
      <c r="GF44" s="25">
        <f>ROUND(v^($FM44+FaktorAlter)*VLOOKUP($FM44,$G$9:$J$102,4)*VLOOKUP($FM44,$A$9:$E$102,5)*0.5*(VLOOKUP($FM44-GF$103,Männer!$G$9:$J$102,4)+VLOOKUP($FM44-GF$103+1,Männer!$G$9:$J$102,4))*0.5*(VLOOKUP($FM44-GF$103,Männer!$AZ$9:$BD$102,5)+VLOOKUP($FM44-GF$103+1,Männer!$AZ$9:$BD$102,5)),RundDx)</f>
        <v>445404</v>
      </c>
      <c r="GG44" s="25">
        <f>ROUND(v^($FM44+FaktorAlter)*VLOOKUP($FM44,$G$9:$J$102,4)*VLOOKUP($FM44,$A$9:$E$102,5)*0.5*(VLOOKUP($FM44-GG$103,Männer!$G$9:$J$102,4)+VLOOKUP($FM44-GG$103+1,Männer!$G$9:$J$102,4))*0.5*(VLOOKUP($FM44-GG$103,Männer!$AZ$9:$BD$102,5)+VLOOKUP($FM44-GG$103+1,Männer!$AZ$9:$BD$102,5)),RundDx)</f>
        <v>770927</v>
      </c>
      <c r="GH44" s="25">
        <f>ROUND(v^($FM44+FaktorAlter)*VLOOKUP($FM44,$G$9:$J$102,4)*VLOOKUP($FM44,$A$9:$E$102,5)*0.5*(VLOOKUP($FM44-GH$103,Männer!$G$9:$J$102,4)+VLOOKUP($FM44-GH$103+1,Männer!$G$9:$J$102,4))*0.5*(VLOOKUP($FM44-GH$103,Männer!$AZ$9:$BD$102,5)+VLOOKUP($FM44-GH$103+1,Männer!$AZ$9:$BD$102,5)),RundDx)</f>
        <v>1253023</v>
      </c>
      <c r="GI44" s="25">
        <f>ROUND(v^($FM44+FaktorAlter)*VLOOKUP($FM44,$G$9:$J$102,4)*VLOOKUP($FM44,$A$9:$E$102,5)*0.5*(VLOOKUP($FM44-GI$103,Männer!$G$9:$J$102,4)+VLOOKUP($FM44-GI$103+1,Männer!$G$9:$J$102,4))*0.5*(VLOOKUP($FM44-GI$103,Männer!$AZ$9:$BD$102,5)+VLOOKUP($FM44-GI$103+1,Männer!$AZ$9:$BD$102,5)),RundDx)</f>
        <v>1928269</v>
      </c>
      <c r="GJ44" s="25">
        <f>ROUND(v^($FM44+FaktorAlter)*VLOOKUP($FM44,$G$9:$J$102,4)*VLOOKUP($FM44,$A$9:$E$102,5)*0.5*(VLOOKUP($FM44-GJ$103,Männer!$G$9:$J$102,4)+VLOOKUP($FM44-GJ$103+1,Männer!$G$9:$J$102,4))*0.5*(VLOOKUP($FM44-GJ$103,Männer!$AZ$9:$BD$102,5)+VLOOKUP($FM44-GJ$103+1,Männer!$AZ$9:$BD$102,5)),RundDx)</f>
        <v>2835221</v>
      </c>
      <c r="GK44" s="25">
        <f>ROUND(v^($FM44+FaktorAlter)*VLOOKUP($FM44,$G$9:$J$102,4)*VLOOKUP($FM44,$A$9:$E$102,5)*0.5*(VLOOKUP($FM44-GK$103,Männer!$G$9:$J$102,4)+VLOOKUP($FM44-GK$103+1,Männer!$G$9:$J$102,4))*0.5*(VLOOKUP($FM44-GK$103,Männer!$AZ$9:$BD$102,5)+VLOOKUP($FM44-GK$103+1,Männer!$AZ$9:$BD$102,5)),RundDx)</f>
        <v>4008937</v>
      </c>
      <c r="GL44" s="25">
        <f>ROUND(v^($FM44+FaktorAlter)*VLOOKUP($FM44,$G$9:$J$102,4)*VLOOKUP($FM44,$A$9:$E$102,5)*0.5*(VLOOKUP($FM44-GL$103,Männer!$G$9:$J$102,4)+VLOOKUP($FM44-GL$103+1,Männer!$G$9:$J$102,4))*0.5*(VLOOKUP($FM44-GL$103,Männer!$AZ$9:$BD$102,5)+VLOOKUP($FM44-GL$103+1,Männer!$AZ$9:$BD$102,5)),RundDx)</f>
        <v>5475138</v>
      </c>
      <c r="GM44" s="25">
        <f>ROUND(v^($FM44+FaktorAlter)*VLOOKUP($FM44,$G$9:$J$102,4)*VLOOKUP($FM44,$A$9:$E$102,5)*0.5*(VLOOKUP($FM44-GM$103,Männer!$G$9:$J$102,4)+VLOOKUP($FM44-GM$103+1,Männer!$G$9:$J$102,4))*0.5*(VLOOKUP($FM44-GM$103,Männer!$AZ$9:$BD$102,5)+VLOOKUP($FM44-GM$103+1,Männer!$AZ$9:$BD$102,5)),RundDx)</f>
        <v>7253660</v>
      </c>
      <c r="GN44" s="25">
        <f>ROUND(v^($FM44+FaktorAlter)*VLOOKUP($FM44,$G$9:$J$102,4)*VLOOKUP($FM44,$A$9:$E$102,5)*0.5*(VLOOKUP($FM44-GN$103,Männer!$G$9:$J$102,4)+VLOOKUP($FM44-GN$103+1,Männer!$G$9:$J$102,4))*0.5*(VLOOKUP($FM44-GN$103,Männer!$AZ$9:$BD$102,5)+VLOOKUP($FM44-GN$103+1,Männer!$AZ$9:$BD$102,5)),RundDx)</f>
        <v>9354739</v>
      </c>
      <c r="GO44" s="25">
        <f>ROUND(v^($FM44+FaktorAlter)*VLOOKUP($FM44,$G$9:$J$102,4)*VLOOKUP($FM44,$A$9:$E$102,5)*0.5*(VLOOKUP($FM44-GO$103,Männer!$G$9:$J$102,4)+VLOOKUP($FM44-GO$103+1,Männer!$G$9:$J$102,4))*0.5*(VLOOKUP($FM44-GO$103,Männer!$AZ$9:$BD$102,5)+VLOOKUP($FM44-GO$103+1,Männer!$AZ$9:$BD$102,5)),RundDx)</f>
        <v>11770692</v>
      </c>
      <c r="GP44" s="25">
        <f>ROUND(v^($FM44+FaktorAlter)*VLOOKUP($FM44,$G$9:$J$102,4)*VLOOKUP($FM44,$A$9:$E$102,5)*0.5*(VLOOKUP($FM44-GP$103,Männer!$G$9:$J$102,4)+VLOOKUP($FM44-GP$103+1,Männer!$G$9:$J$102,4))*0.5*(VLOOKUP($FM44-GP$103,Männer!$AZ$9:$BD$102,5)+VLOOKUP($FM44-GP$103+1,Männer!$AZ$9:$BD$102,5)),RundDx)</f>
        <v>14486250</v>
      </c>
      <c r="GQ44" s="25">
        <f>ROUND(v^($FM44+FaktorAlter)*VLOOKUP($FM44,$G$9:$J$102,4)*VLOOKUP($FM44,$A$9:$E$102,5)*0.5*(VLOOKUP($FM44-GQ$103,Männer!$G$9:$J$102,4)+VLOOKUP($FM44-GQ$103+1,Männer!$G$9:$J$102,4))*0.5*(VLOOKUP($FM44-GQ$103,Männer!$AZ$9:$BD$102,5)+VLOOKUP($FM44-GQ$103+1,Männer!$AZ$9:$BD$102,5)),RundDx)</f>
        <v>17493671</v>
      </c>
      <c r="GR44" s="25">
        <f>ROUND(v^($FM44+FaktorAlter)*VLOOKUP($FM44,$G$9:$J$102,4)*VLOOKUP($FM44,$A$9:$E$102,5)*0.5*(VLOOKUP($FM44-GR$103,Männer!$G$9:$J$102,4)+VLOOKUP($FM44-GR$103+1,Männer!$G$9:$J$102,4))*0.5*(VLOOKUP($FM44-GR$103,Männer!$AZ$9:$BD$102,5)+VLOOKUP($FM44-GR$103+1,Männer!$AZ$9:$BD$102,5)),RundDx)</f>
        <v>20782790</v>
      </c>
      <c r="GS44" s="24"/>
      <c r="GT44" s="24"/>
      <c r="GU44" s="24"/>
      <c r="GV44" s="24"/>
      <c r="GW44" s="24"/>
      <c r="GX44" s="24"/>
      <c r="GY44" s="24"/>
      <c r="GZ44" s="24"/>
      <c r="HA44" s="89"/>
      <c r="HB44" s="35">
        <f t="shared" si="65"/>
        <v>99</v>
      </c>
      <c r="HC44" s="24"/>
      <c r="HD44" s="24"/>
      <c r="HE44" s="24"/>
      <c r="HF44" s="24"/>
      <c r="HG44" s="24"/>
      <c r="HH44" s="24">
        <f>ROUND(SUM(GA44:GA$56)/VLOOKUP($FM44,$AQ$9:$AR$102,2)/VLOOKUP($FM44-HH$103,Männer!$G$9:$J$102,4),Rundäx)</f>
        <v>0</v>
      </c>
      <c r="HI44" s="24">
        <f>ROUND(SUM(GB44:GB$56)/VLOOKUP($FM44,$AQ$9:$AR$102,2)/VLOOKUP($FM44-HI$103,Männer!$G$9:$J$102,4),Rundäx)</f>
        <v>0.27200000000000002</v>
      </c>
      <c r="HJ44" s="24">
        <f>ROUND(SUM(GC44:GC$56)/VLOOKUP($FM44,$AQ$9:$AR$102,2)/VLOOKUP($FM44-HJ$103,Männer!$G$9:$J$102,4),Rundäx)</f>
        <v>0.42199999999999999</v>
      </c>
      <c r="HK44" s="89"/>
      <c r="HL44" s="35">
        <f t="shared" si="66"/>
        <v>99</v>
      </c>
      <c r="HM44" s="24">
        <f>ROUND(SUM(GD44:GD$56)/VLOOKUP($FM44,$AQ$9:$AR$102,2)/VLOOKUP($FM44-HM$103,Männer!$G$9:$J$102,4),Rundäx)</f>
        <v>0.54300000000000004</v>
      </c>
      <c r="HN44" s="24">
        <f>ROUND(SUM(GE44:GE$56)/VLOOKUP($FM44,$AQ$9:$AR$102,2)/VLOOKUP($FM44-HN$103,Männer!$G$9:$J$102,4),Rundäx)</f>
        <v>0.67</v>
      </c>
      <c r="HO44" s="24">
        <f>ROUND(SUM(GF44:GF$56)/VLOOKUP($FM44,$AQ$9:$AR$102,2)/VLOOKUP($FM44-HO$103,Männer!$G$9:$J$102,4),Rundäx)</f>
        <v>0.81</v>
      </c>
      <c r="HP44" s="24">
        <f>ROUND(SUM(GG44:GG$56)/VLOOKUP($FM44,$AQ$9:$AR$102,2)/VLOOKUP($FM44-HP$103,Männer!$G$9:$J$102,4),Rundäx)</f>
        <v>0.96599999999999997</v>
      </c>
      <c r="HQ44" s="24">
        <f>ROUND(SUM(GH44:GH$56)/VLOOKUP($FM44,$AQ$9:$AR$102,2)/VLOOKUP($FM44-HQ$103,Männer!$G$9:$J$102,4),Rundäx)</f>
        <v>1.141</v>
      </c>
      <c r="HR44" s="24">
        <f>ROUND(SUM(GI44:GI$56)/VLOOKUP($FM44,$AQ$9:$AR$102,2)/VLOOKUP($FM44-HR$103,Männer!$G$9:$J$102,4),Rundäx)</f>
        <v>1.333</v>
      </c>
      <c r="HS44" s="24">
        <f>ROUND(SUM(GJ44:GJ$56)/VLOOKUP($FM44,$AQ$9:$AR$102,2)/VLOOKUP($FM44-HS$103,Männer!$G$9:$J$102,4),Rundäx)</f>
        <v>1.544</v>
      </c>
      <c r="HT44" s="24">
        <f>ROUND(SUM(GK44:GK$56)/VLOOKUP($FM44,$AQ$9:$AR$102,2)/VLOOKUP($FM44-HT$103,Männer!$G$9:$J$102,4),Rundäx)</f>
        <v>1.774</v>
      </c>
      <c r="HU44" s="89"/>
      <c r="HV44" s="35">
        <f t="shared" si="67"/>
        <v>99</v>
      </c>
      <c r="HW44" s="24">
        <f>ROUND(SUM(GL44:GL$56)/VLOOKUP($FM44,$AQ$9:$AR$102,2)/VLOOKUP($FM44-HW$103,Männer!$G$9:$J$102,4),Rundäx)</f>
        <v>2.024</v>
      </c>
      <c r="HX44" s="24">
        <f>ROUND(SUM(GM44:GM$56)/VLOOKUP($FM44,$AQ$9:$AR$102,2)/VLOOKUP($FM44-HX$103,Männer!$G$9:$J$102,4),Rundäx)</f>
        <v>2.2919999999999998</v>
      </c>
      <c r="HY44" s="24">
        <f>ROUND(SUM(GN44:GN$56)/VLOOKUP($FM44,$AQ$9:$AR$102,2)/VLOOKUP($FM44-HY$103,Männer!$G$9:$J$102,4),Rundäx)</f>
        <v>2.5779999999999998</v>
      </c>
      <c r="HZ44" s="24">
        <f>ROUND(SUM(GO44:GO$56)/VLOOKUP($FM44,$AQ$9:$AR$102,2)/VLOOKUP($FM44-HZ$103,Männer!$G$9:$J$102,4),Rundäx)</f>
        <v>2.8780000000000001</v>
      </c>
      <c r="IA44" s="24">
        <f>ROUND(SUM(GP44:GP$56)/VLOOKUP($FM44,$AQ$9:$AR$102,2)/VLOOKUP($FM44-IA$103,Männer!$G$9:$J$102,4),Rundäx)</f>
        <v>3.1890000000000001</v>
      </c>
      <c r="IB44" s="24">
        <f>ROUND(SUM(GQ44:GQ$56)/VLOOKUP($FM44,$AQ$9:$AR$102,2)/VLOOKUP($FM44-IB$103,Männer!$G$9:$J$102,4),Rundäx)</f>
        <v>3.51</v>
      </c>
      <c r="IC44" s="24">
        <f>ROUND(SUM(GR44:GR$56)/VLOOKUP($FM44,$AQ$9:$AR$102,2)/VLOOKUP($FM44-IC$103,Männer!$G$9:$J$102,4),Rundäx)</f>
        <v>3.839</v>
      </c>
      <c r="ID44" s="89"/>
      <c r="IE44" s="9">
        <f t="shared" si="68"/>
        <v>52</v>
      </c>
      <c r="IF44" s="11">
        <f t="shared" si="25"/>
        <v>38</v>
      </c>
      <c r="IG44" s="11">
        <f>IF($IE44&lt;RAF,IF(S45&lt;=RAK,ROUND(SUM(IF44:INDEX(Daky,RAF-BeginnAlter))+INDEX(Day,RAF-BeginnAlter+1)*INDEX(äky,1),RundDx),0),"")</f>
        <v>125</v>
      </c>
      <c r="IH44" s="11">
        <f>IF($IE44&lt;RAF,IF(S45&lt;=RAK,ROUND(SUM(IG44:INDEX(Naky,RAF-BeginnAlter))+INDEX(Day,RAF-BeginnAlter+1)*INDEX(äky,1),RundDx),0),"")</f>
        <v>373</v>
      </c>
      <c r="II44" s="10">
        <f t="shared" si="26"/>
        <v>4.0000000000000001E-3</v>
      </c>
      <c r="IJ44" s="11">
        <f t="shared" si="27"/>
        <v>438</v>
      </c>
      <c r="IK44" s="11">
        <f>IF($IE44&lt;RAF,IF(S45&lt;=RAK,SUM(IJ44:INDEX(Diky,RAF-BeginnAlter))+INDEX(Diy,RAF-BeginnAlter+1)*INDEX(äky,1),0),"")</f>
        <v>1266</v>
      </c>
      <c r="IL44" s="10">
        <f t="shared" si="28"/>
        <v>3.4000000000000002E-2</v>
      </c>
      <c r="IM44" s="89"/>
      <c r="IN44" s="9">
        <f t="shared" si="29"/>
        <v>99</v>
      </c>
      <c r="IO44" s="11"/>
      <c r="IP44" s="11"/>
      <c r="IQ44" s="10"/>
      <c r="IR44" s="86"/>
    </row>
    <row r="45" spans="1:252" ht="15.75" customHeight="1" x14ac:dyDescent="0.25">
      <c r="A45" s="9">
        <f t="shared" ref="A45:A76" si="69">1+A44</f>
        <v>53</v>
      </c>
      <c r="B45" s="93">
        <v>1.8328539467736325E-3</v>
      </c>
      <c r="C45" s="93">
        <v>1.0587365508444796E-2</v>
      </c>
      <c r="D45" s="93">
        <v>1.8778117493748719E-2</v>
      </c>
      <c r="E45" s="93">
        <v>3.3692373083422655E-3</v>
      </c>
      <c r="F45" s="89"/>
      <c r="G45" s="9">
        <f t="shared" ref="G45:G76" si="70">1+G44</f>
        <v>53</v>
      </c>
      <c r="H45" s="11">
        <f t="shared" si="30"/>
        <v>88189</v>
      </c>
      <c r="I45" s="25">
        <f t="shared" si="31"/>
        <v>8272</v>
      </c>
      <c r="J45" s="25">
        <f t="shared" si="32"/>
        <v>96461</v>
      </c>
      <c r="K45" s="30">
        <f>IF(J45&gt;0,ROUND(SUM(J45:J$102)/J45-0.5,Rundex),"")</f>
        <v>30.52</v>
      </c>
      <c r="L45" s="25">
        <f t="shared" si="6"/>
        <v>114738</v>
      </c>
      <c r="M45" s="30">
        <f>IF(L45&gt;0,ROUND(SUM(L45:L$102)/L45-0.5,Rundex),"")</f>
        <v>26.5</v>
      </c>
      <c r="N45" s="89"/>
      <c r="O45" s="9">
        <f t="shared" ref="O45:O76" si="71">1+O44</f>
        <v>53</v>
      </c>
      <c r="P45" s="94">
        <v>0.26787154904445809</v>
      </c>
      <c r="Q45" s="95">
        <v>55.392744252069591</v>
      </c>
      <c r="R45" s="94">
        <v>9.771024025945034E-2</v>
      </c>
      <c r="S45" s="95">
        <v>19.05</v>
      </c>
      <c r="T45" s="28">
        <v>2.6080573182515982E-3</v>
      </c>
      <c r="U45" s="11">
        <f t="shared" si="33"/>
        <v>97056</v>
      </c>
      <c r="V45" s="30">
        <f>IF(U45&gt;0,ROUND(SUM(U45:U$102)/U45-0.5,Rundex),"")</f>
        <v>31.63</v>
      </c>
      <c r="W45" s="89"/>
      <c r="X45" s="9">
        <f t="shared" ref="X45:X76" si="72">1+X44</f>
        <v>53</v>
      </c>
      <c r="Y45" s="11">
        <f t="shared" si="34"/>
        <v>27118</v>
      </c>
      <c r="Z45" s="11">
        <f>IF($X45&lt;RAF,SUM(Y45:INDEX(Day,RAF-BeginnAlter))," ")</f>
        <v>245737</v>
      </c>
      <c r="AA45" s="11">
        <f t="shared" si="0"/>
        <v>49</v>
      </c>
      <c r="AB45" s="11">
        <f>IF($X45&lt;RAF,SUM(AA45:INDEX(Cay,RAF-BeginnAlter))," ")</f>
        <v>706</v>
      </c>
      <c r="AC45" s="11">
        <f t="shared" si="1"/>
        <v>284</v>
      </c>
      <c r="AD45" s="11">
        <f>IF($X45&lt;RAF,SUM(AC45:INDEX(Caiy,RAF-BeginnAlter))," ")</f>
        <v>4690</v>
      </c>
      <c r="AE45" s="10">
        <f t="shared" si="35"/>
        <v>9.0619999999999994</v>
      </c>
      <c r="AF45" s="10">
        <f t="shared" si="36"/>
        <v>8.8800000000000008</v>
      </c>
      <c r="AG45" s="89"/>
      <c r="AH45" s="9">
        <f t="shared" ref="AH45:AH76" si="73">1+AH44</f>
        <v>53</v>
      </c>
      <c r="AI45" s="11">
        <f t="shared" si="37"/>
        <v>35282</v>
      </c>
      <c r="AJ45" s="11">
        <f>IF($AH45&gt;RAF," ",IF($AH45&lt;RAF,SUM(AI45:INDEX(Diy,RAF-BeginnAlter))+INDEX(Ny,RAF-BeginnAlter+1),INDEX(Ny,RAF-BeginnAlter+1)))</f>
        <v>682719</v>
      </c>
      <c r="AK45" s="11">
        <f>IF($AH45&lt;RAF,SUM(AI45:INDEX(Diy,RAF-BeginnAlter))," ")</f>
        <v>316625</v>
      </c>
      <c r="AL45" s="10">
        <f t="shared" si="38"/>
        <v>19.350000000000001</v>
      </c>
      <c r="AM45" s="10">
        <f t="shared" si="39"/>
        <v>18.891999999999999</v>
      </c>
      <c r="AN45" s="10">
        <f t="shared" si="40"/>
        <v>8.9740000000000002</v>
      </c>
      <c r="AO45" s="10">
        <f t="shared" si="41"/>
        <v>8.798</v>
      </c>
      <c r="AP45" s="89"/>
      <c r="AQ45" s="9">
        <f t="shared" ref="AQ45:AQ76" si="74">1+AQ44</f>
        <v>53</v>
      </c>
      <c r="AR45" s="11">
        <f t="shared" si="42"/>
        <v>29662</v>
      </c>
      <c r="AS45" s="11">
        <f>SUM(AR45:AR$96)</f>
        <v>652308</v>
      </c>
      <c r="AT45" s="25">
        <f>IF($AQ45&lt;RAF,SUM(AR45:INDEX(Dy,RAF-BeginnAlter))," ")</f>
        <v>286214</v>
      </c>
      <c r="AU45" s="24">
        <f t="shared" si="43"/>
        <v>21.991</v>
      </c>
      <c r="AV45" s="24">
        <f t="shared" si="44"/>
        <v>21.533000000000001</v>
      </c>
      <c r="AW45" s="24">
        <f t="shared" si="45"/>
        <v>9.6489999999999991</v>
      </c>
      <c r="AX45" s="24">
        <f t="shared" si="46"/>
        <v>9.5269999999999992</v>
      </c>
      <c r="AY45" s="89"/>
      <c r="AZ45" s="9">
        <f t="shared" ref="AZ45:AZ76" si="75">1+AZ44</f>
        <v>53</v>
      </c>
      <c r="BA45" s="11">
        <f t="shared" si="47"/>
        <v>29845</v>
      </c>
      <c r="BB45" s="11">
        <f>SUM(BA45:BA$96)</f>
        <v>674329</v>
      </c>
      <c r="BC45" s="10">
        <f t="shared" si="48"/>
        <v>22.594000000000001</v>
      </c>
      <c r="BD45" s="10">
        <f t="shared" si="7"/>
        <v>22.135999999999999</v>
      </c>
      <c r="BE45" s="89"/>
      <c r="BF45" s="9">
        <f t="shared" si="54"/>
        <v>36</v>
      </c>
      <c r="BG45" s="10" t="str">
        <f t="shared" si="8"/>
        <v/>
      </c>
      <c r="BH45" s="10" t="str">
        <f t="shared" si="9"/>
        <v/>
      </c>
      <c r="BI45" s="89"/>
      <c r="BJ45" s="9">
        <f t="shared" ref="BJ45:BJ76" si="76">1+BJ44</f>
        <v>53</v>
      </c>
      <c r="BK45" s="11">
        <f t="shared" si="10"/>
        <v>5332</v>
      </c>
      <c r="BL45" s="11">
        <f>IF(BJ45&lt;RAF,SUM(BK45:INDEX(Daiy,RAF-BeginnAlter))," ")</f>
        <v>81877</v>
      </c>
      <c r="BM45" s="11">
        <f>IF(BJ45&lt;RAF,SUM(BL45:INDEX(Naiy,RAF-BeginnAlter))," ")</f>
        <v>537135</v>
      </c>
      <c r="BN45" s="10">
        <f t="shared" si="11"/>
        <v>9.8889999999999993</v>
      </c>
      <c r="BO45" s="10">
        <f t="shared" si="12"/>
        <v>3.0190000000000001</v>
      </c>
      <c r="BP45" s="89"/>
      <c r="BQ45" s="9">
        <f t="shared" ref="BQ45:BQ76" si="77">1+BQ44</f>
        <v>53</v>
      </c>
      <c r="BR45" s="11">
        <f t="shared" si="13"/>
        <v>2406</v>
      </c>
      <c r="BS45" s="11">
        <f>IF(BQ45&lt;RAF,SUM(BR45:INDEX(Daiys,RAF-BeginnAlter))," ")</f>
        <v>19610</v>
      </c>
      <c r="BT45" s="11">
        <f>IF(BQ45&lt;RAF,SUM(BS45:INDEX(Naiys,RAF-BeginnAlter))," ")</f>
        <v>95515</v>
      </c>
      <c r="BU45" s="10">
        <f t="shared" si="14"/>
        <v>12.186</v>
      </c>
      <c r="BV45" s="10">
        <f t="shared" si="15"/>
        <v>0.72299999999999998</v>
      </c>
      <c r="BW45" s="89"/>
      <c r="BX45" s="9">
        <f t="shared" ref="BX45:BX76" si="78">1+BX44</f>
        <v>53</v>
      </c>
      <c r="BY45" s="10">
        <f t="shared" si="16"/>
        <v>4.9217282126575554</v>
      </c>
      <c r="BZ45" s="11">
        <f t="shared" si="17"/>
        <v>118</v>
      </c>
      <c r="CA45" s="11">
        <f>IF(S46&lt;=RAK,IF($BX45&lt;RAF,SUM(BZ45:INDEX(Dazy,RAF-BeginnAlter)),""),"")</f>
        <v>398</v>
      </c>
      <c r="CB45" s="10">
        <f t="shared" si="18"/>
        <v>1.4999999999999999E-2</v>
      </c>
      <c r="CC45" s="11">
        <f t="shared" si="19"/>
        <v>25319</v>
      </c>
      <c r="CD45" s="10">
        <f t="shared" si="20"/>
        <v>18.765000000000001</v>
      </c>
      <c r="CE45" s="10">
        <f t="shared" si="21"/>
        <v>5.0000000000000001E-3</v>
      </c>
      <c r="CF45" s="89"/>
      <c r="CG45" s="9">
        <f t="shared" ref="CG45:CG76" si="79">1+CG44</f>
        <v>53</v>
      </c>
      <c r="CH45" s="11">
        <f>IF(CG45&lt;RAF,ROUND(v^($CG45+FaktorAlter)*$H45*($B45*0.5*($P45+$P46)*(VLOOKUP(TRUNC(0.5*($Q45+$Q46),0),Männer!$AZ$9:$BD$95,5)+(0.5*($Q45+$Q46)-TRUNC(0.5*($Q45+$Q46),0))*(VLOOKUP(TRUNC(0.5*($Q45+$Q46)+1,0),Männer!$AZ$9:$BD$95,5)-VLOOKUP(TRUNC(0.5*($Q45+$Q46),0),Männer!$AZ$9:$BD$95,5)))+$C45*0.5*($CN45+$CN46)),RundDx),"")</f>
        <v>394</v>
      </c>
      <c r="CI45" s="11">
        <f>IF(CG45&lt;RAF,ROUND(SUM(CH45:INDEX(Dawy,RAF-BeginnAlter))+INDEX(Day,RAF-BeginnAlter+1)*INDEX(äwy,1),RundDx),"")</f>
        <v>5453</v>
      </c>
      <c r="CJ45" s="11">
        <f>IF(CG45&lt;RAF,ROUND(SUM(CI45:INDEX(Nawy,RAF-BeginnAlter))+INDEX(Day,RAF-BeginnAlter+1)*INDEX(äwy,1),RundDx),"")</f>
        <v>42146</v>
      </c>
      <c r="CK45" s="10">
        <f t="shared" si="22"/>
        <v>0.20100000000000001</v>
      </c>
      <c r="CL45" s="11">
        <f>IF(CG45&lt;RAF,ROUND(v^($CG45+FaktorAlter)*$L45*$D45*0.5*($P45+$P46)*(VLOOKUP(TRUNC(0.5*($Q45+$Q46),0),Männer!$AZ$9:$BD$95,5)+(0.5*($Q45+$Q46)-TRUNC(0.5*($Q45+$Q46),0))*(VLOOKUP(TRUNC(0.5*($Q45+$Q46)+1,0),Männer!$AZ$9:$BD$95,5)-VLOOKUP(TRUNC(0.5*($Q45+$Q46),0),Männer!$AZ$9:$BD$95,5))),RundDx),"")</f>
        <v>2930</v>
      </c>
      <c r="CM45" s="11">
        <f>IF(CG45&lt;RAF,SUM(CL45:INDEX(Diwy,RAF-BeginnAlter))+INDEX(Diy,RAF-BeginnAlter+1)*INDEX(äwy,1),"")</f>
        <v>22724.304</v>
      </c>
      <c r="CN45" s="10">
        <f t="shared" si="23"/>
        <v>0.64400000000000002</v>
      </c>
      <c r="CO45" s="89"/>
      <c r="CP45" s="9">
        <f t="shared" si="59"/>
        <v>100</v>
      </c>
      <c r="CQ45" s="11"/>
      <c r="CR45" s="11"/>
      <c r="CS45" s="24"/>
      <c r="CT45" s="89"/>
      <c r="CU45" s="35">
        <f t="shared" si="60"/>
        <v>53</v>
      </c>
      <c r="CV45" s="25">
        <f>IF($CU45&gt;=RAF,"",IF($CU45-CV$103&lt;BeginnAlter,"",ROUND(v^($CU45+FaktorAlter)*$L45*$D45*0.5*(VLOOKUP($CU45-CV$103,Männer!$G$9:$J$102,4)+VLOOKUP($CU45-CV$103+1,Männer!$G$9:$J$102,4))*0.5*(VLOOKUP($CU45-CV$103,Männer!$AZ$9:$BD$102,5)+VLOOKUP($CU45-CV$103+1,Männer!$AZ$9:$BD$102,5)),RundDx)))</f>
        <v>605254409</v>
      </c>
      <c r="CW45" s="25">
        <f>IF($CU45&gt;=RAF,"",IF($CU45-CW$103&lt;BeginnAlter,"",ROUND(v^($CU45+FaktorAlter)*$L45*$D45*0.5*(VLOOKUP($CU45-CW$103,Männer!$G$9:$J$102,4)+VLOOKUP($CU45-CW$103+1,Männer!$G$9:$J$102,4))*0.5*(VLOOKUP($CU45-CW$103,Männer!$AZ$9:$BD$102,5)+VLOOKUP($CU45-CW$103+1,Männer!$AZ$9:$BD$102,5)),RundDx)))</f>
        <v>638225928</v>
      </c>
      <c r="CX45" s="25">
        <f>IF($CU45&gt;=RAF,"",IF($CU45-CX$103&lt;BeginnAlter,"",ROUND(v^($CU45+FaktorAlter)*$L45*$D45*0.5*(VLOOKUP($CU45-CX$103,Männer!$G$9:$J$102,4)+VLOOKUP($CU45-CX$103+1,Männer!$G$9:$J$102,4))*0.5*(VLOOKUP($CU45-CX$103,Männer!$AZ$9:$BD$102,5)+VLOOKUP($CU45-CX$103+1,Männer!$AZ$9:$BD$102,5)),RundDx)))</f>
        <v>671351913</v>
      </c>
      <c r="CY45" s="25">
        <f>IF($CU45&gt;=RAF,"",IF($CU45-CY$103&lt;BeginnAlter,"",ROUND(v^($CU45+FaktorAlter)*$L45*$D45*0.5*(VLOOKUP($CU45-CY$103,Männer!$G$9:$J$102,4)+VLOOKUP($CU45-CY$103+1,Männer!$G$9:$J$102,4))*0.5*(VLOOKUP($CU45-CY$103,Männer!$AZ$9:$BD$102,5)+VLOOKUP($CU45-CY$103+1,Männer!$AZ$9:$BD$102,5)),RundDx)))</f>
        <v>704713044</v>
      </c>
      <c r="CZ45" s="25">
        <f>IF($CU45&gt;=RAF,"",IF($CU45-CZ$103&lt;BeginnAlter,"",ROUND(v^($CU45+FaktorAlter)*$L45*$D45*0.5*(VLOOKUP($CU45-CZ$103,Männer!$G$9:$J$102,4)+VLOOKUP($CU45-CZ$103+1,Männer!$G$9:$J$102,4))*0.5*(VLOOKUP($CU45-CZ$103,Männer!$AZ$9:$BD$102,5)+VLOOKUP($CU45-CZ$103+1,Männer!$AZ$9:$BD$102,5)),RundDx)))</f>
        <v>738479596</v>
      </c>
      <c r="DA45" s="25">
        <f>IF($CU45&gt;=RAF,"",IF($CU45-DA$103&lt;BeginnAlter,"",ROUND(v^($CU45+FaktorAlter)*$L45*$D45*0.5*(VLOOKUP($CU45-DA$103,Männer!$G$9:$J$102,4)+VLOOKUP($CU45-DA$103+1,Männer!$G$9:$J$102,4))*0.5*(VLOOKUP($CU45-DA$103,Männer!$AZ$9:$BD$102,5)+VLOOKUP($CU45-DA$103+1,Männer!$AZ$9:$BD$102,5)),RundDx)))</f>
        <v>772715577</v>
      </c>
      <c r="DB45" s="25">
        <f>IF($CU45&gt;=RAF,"",IF($CU45-DB$103&lt;BeginnAlter,"",ROUND(v^($CU45+FaktorAlter)*$L45*$D45*0.5*(VLOOKUP($CU45-DB$103,Männer!$G$9:$J$102,4)+VLOOKUP($CU45-DB$103+1,Männer!$G$9:$J$102,4))*0.5*(VLOOKUP($CU45-DB$103,Männer!$AZ$9:$BD$102,5)+VLOOKUP($CU45-DB$103+1,Männer!$AZ$9:$BD$102,5)),RundDx)))</f>
        <v>807503539</v>
      </c>
      <c r="DC45" s="25">
        <f>IF($CU45&gt;=RAF,"",IF($CU45-DC$103&lt;BeginnAlter,"",ROUND(v^($CU45+FaktorAlter)*$L45*$D45*0.5*(VLOOKUP($CU45-DC$103,Männer!$G$9:$J$102,4)+VLOOKUP($CU45-DC$103+1,Männer!$G$9:$J$102,4))*0.5*(VLOOKUP($CU45-DC$103,Männer!$AZ$9:$BD$102,5)+VLOOKUP($CU45-DC$103+1,Männer!$AZ$9:$BD$102,5)),RundDx)))</f>
        <v>842895338</v>
      </c>
      <c r="DD45" s="25">
        <f>IF($CU45&gt;=RAF,"",IF($CU45-DD$103&lt;BeginnAlter,"",ROUND(v^($CU45+FaktorAlter)*$L45*$D45*0.5*(VLOOKUP($CU45-DD$103,Männer!$G$9:$J$102,4)+VLOOKUP($CU45-DD$103+1,Männer!$G$9:$J$102,4))*0.5*(VLOOKUP($CU45-DD$103,Männer!$AZ$9:$BD$102,5)+VLOOKUP($CU45-DD$103+1,Männer!$AZ$9:$BD$102,5)),RundDx)))</f>
        <v>878919463</v>
      </c>
      <c r="DE45" s="25">
        <f>IF($CU45&gt;=RAF,"",IF($CU45-DE$103&lt;BeginnAlter,"",ROUND(v^($CU45+FaktorAlter)*$L45*$D45*0.5*(VLOOKUP($CU45-DE$103,Männer!$G$9:$J$102,4)+VLOOKUP($CU45-DE$103+1,Männer!$G$9:$J$102,4))*0.5*(VLOOKUP($CU45-DE$103,Männer!$AZ$9:$BD$102,5)+VLOOKUP($CU45-DE$103+1,Männer!$AZ$9:$BD$102,5)),RundDx)))</f>
        <v>915640284</v>
      </c>
      <c r="DF45" s="25">
        <f>IF($CU45&gt;=RAF,"",IF($CU45-DF$103&lt;BeginnAlter,"",ROUND(v^($CU45+FaktorAlter)*$L45*$D45*0.5*(VLOOKUP($CU45-DF$103,Männer!$G$9:$J$102,4)+VLOOKUP($CU45-DF$103+1,Männer!$G$9:$J$102,4))*0.5*(VLOOKUP($CU45-DF$103,Männer!$AZ$9:$BD$102,5)+VLOOKUP($CU45-DF$103+1,Männer!$AZ$9:$BD$102,5)),RundDx)))</f>
        <v>953014353</v>
      </c>
      <c r="DG45" s="25">
        <f>IF($CU45&gt;=RAF,"",IF($CU45-DG$103&lt;BeginnAlter,"",ROUND(v^($CU45+FaktorAlter)*$L45*$D45*0.5*(VLOOKUP($CU45-DG$103,Männer!$G$9:$J$102,4)+VLOOKUP($CU45-DG$103+1,Männer!$G$9:$J$102,4))*0.5*(VLOOKUP($CU45-DG$103,Männer!$AZ$9:$BD$102,5)+VLOOKUP($CU45-DG$103+1,Männer!$AZ$9:$BD$102,5)),RundDx)))</f>
        <v>990986832</v>
      </c>
      <c r="DH45" s="25">
        <f>IF($CU45&gt;=RAF,"",IF($CU45-DH$103&lt;BeginnAlter,"",ROUND(v^($CU45+FaktorAlter)*$L45*$D45*0.5*(VLOOKUP($CU45-DH$103,Männer!$G$9:$J$102,4)+VLOOKUP($CU45-DH$103+1,Männer!$G$9:$J$102,4))*0.5*(VLOOKUP($CU45-DH$103,Männer!$AZ$9:$BD$102,5)+VLOOKUP($CU45-DH$103+1,Männer!$AZ$9:$BD$102,5)),RundDx)))</f>
        <v>1029547148</v>
      </c>
      <c r="DI45" s="25">
        <f>IF($CU45&gt;=RAF,"",IF($CU45-DI$103&lt;BeginnAlter,"",ROUND(v^($CU45+FaktorAlter)*$L45*$D45*0.5*(VLOOKUP($CU45-DI$103,Männer!$G$9:$J$102,4)+VLOOKUP($CU45-DI$103+1,Männer!$G$9:$J$102,4))*0.5*(VLOOKUP($CU45-DI$103,Männer!$AZ$9:$BD$102,5)+VLOOKUP($CU45-DI$103+1,Männer!$AZ$9:$BD$102,5)),RundDx)))</f>
        <v>1068129824</v>
      </c>
      <c r="DJ45" s="25">
        <f>IF($CU45&gt;=RAF,"",IF($CU45-DJ$103&lt;BeginnAlter,"",ROUND(v^($CU45+FaktorAlter)*$L45*$D45*0.5*(VLOOKUP($CU45-DJ$103,Männer!$G$9:$J$102,4)+VLOOKUP($CU45-DJ$103+1,Männer!$G$9:$J$102,4))*0.5*(VLOOKUP($CU45-DJ$103,Männer!$AZ$9:$BD$102,5)+VLOOKUP($CU45-DJ$103+1,Männer!$AZ$9:$BD$102,5)),RundDx)))</f>
        <v>1106132025</v>
      </c>
      <c r="DK45" s="25">
        <f>IF($CU45&gt;=RAF,"",IF($CU45-DK$103&lt;BeginnAlter,"",ROUND(v^($CU45+FaktorAlter)*$L45*$D45*0.5*(VLOOKUP($CU45-DK$103,Männer!$G$9:$J$102,4)+VLOOKUP($CU45-DK$103+1,Männer!$G$9:$J$102,4))*0.5*(VLOOKUP($CU45-DK$103,Männer!$AZ$9:$BD$102,5)+VLOOKUP($CU45-DK$103+1,Männer!$AZ$9:$BD$102,5)),RundDx)))</f>
        <v>1143560151</v>
      </c>
      <c r="DL45" s="25">
        <f>IF($CU45&gt;=RAF,"",IF($CU45-DL$103&lt;BeginnAlter,"",ROUND(v^($CU45+FaktorAlter)*$L45*$D45*0.5*(VLOOKUP($CU45-DL$103,Männer!$G$9:$J$102,4)+VLOOKUP($CU45-DL$103+1,Männer!$G$9:$J$102,4))*0.5*(VLOOKUP($CU45-DL$103,Männer!$AZ$9:$BD$102,5)+VLOOKUP($CU45-DL$103+1,Männer!$AZ$9:$BD$102,5)),RundDx)))</f>
        <v>1180419851</v>
      </c>
      <c r="DM45" s="25">
        <f>IF($CU45&gt;=RAF,"",IF($CU45-DM$103&lt;BeginnAlter,"",ROUND(v^($CU45+FaktorAlter)*$L45*$D45*0.5*(VLOOKUP($CU45-DM$103,Männer!$G$9:$J$102,4)+VLOOKUP($CU45-DM$103+1,Männer!$G$9:$J$102,4))*0.5*(VLOOKUP($CU45-DM$103,Männer!$AZ$9:$BD$102,5)+VLOOKUP($CU45-DM$103+1,Männer!$AZ$9:$BD$102,5)),RundDx)))</f>
        <v>1216644896</v>
      </c>
      <c r="DN45" s="25">
        <f>IF($CU45&gt;=RAF,"",IF($CU45-DN$103&lt;BeginnAlter,"",ROUND(v^($CU45+FaktorAlter)*$L45*$D45*0.5*(VLOOKUP($CU45-DN$103,Männer!$G$9:$J$102,4)+VLOOKUP($CU45-DN$103+1,Männer!$G$9:$J$102,4))*0.5*(VLOOKUP($CU45-DN$103,Männer!$AZ$9:$BD$102,5)+VLOOKUP($CU45-DN$103+1,Männer!$AZ$9:$BD$102,5)),RundDx)))</f>
        <v>1252239304</v>
      </c>
      <c r="DO45" s="25">
        <f>IF($CU45&gt;=RAF,"",IF($CU45-DO$103&lt;BeginnAlter,"",ROUND(v^($CU45+FaktorAlter)*$L45*$D45*0.5*(VLOOKUP($CU45-DO$103,Männer!$G$9:$J$102,4)+VLOOKUP($CU45-DO$103+1,Männer!$G$9:$J$102,4))*0.5*(VLOOKUP($CU45-DO$103,Männer!$AZ$9:$BD$102,5)+VLOOKUP($CU45-DO$103+1,Männer!$AZ$9:$BD$102,5)),RundDx)))</f>
        <v>1287258177</v>
      </c>
      <c r="DP45" s="25">
        <f>IF($CU45&gt;=RAF,"",IF($CU45-DP$103&lt;BeginnAlter,"",ROUND(v^($CU45+FaktorAlter)*$L45*$D45*0.5*(VLOOKUP($CU45-DP$103,Männer!$G$9:$J$102,4)+VLOOKUP($CU45-DP$103+1,Männer!$G$9:$J$102,4))*0.5*(VLOOKUP($CU45-DP$103,Männer!$AZ$9:$BD$102,5)+VLOOKUP($CU45-DP$103+1,Männer!$AZ$9:$BD$102,5)),RundDx)))</f>
        <v>1321678979</v>
      </c>
      <c r="DQ45" s="25">
        <f>IF($CU45&gt;=RAF,"",IF($CU45-DQ$103&lt;BeginnAlter,"",ROUND(v^($CU45+FaktorAlter)*$L45*$D45*0.5*(VLOOKUP($CU45-DQ$103,Männer!$G$9:$J$102,4)+VLOOKUP($CU45-DQ$103+1,Männer!$G$9:$J$102,4))*0.5*(VLOOKUP($CU45-DQ$103,Männer!$AZ$9:$BD$102,5)+VLOOKUP($CU45-DQ$103+1,Männer!$AZ$9:$BD$102,5)),RundDx)))</f>
        <v>1355464874</v>
      </c>
      <c r="DR45" s="25">
        <f>IF($CU45&gt;=RAF,"",IF($CU45-DR$103&lt;BeginnAlter,"",ROUND(v^($CU45+FaktorAlter)*$L45*$D45*0.5*(VLOOKUP($CU45-DR$103,Männer!$G$9:$J$102,4)+VLOOKUP($CU45-DR$103+1,Männer!$G$9:$J$102,4))*0.5*(VLOOKUP($CU45-DR$103,Männer!$AZ$9:$BD$102,5)+VLOOKUP($CU45-DR$103+1,Männer!$AZ$9:$BD$102,5)),RundDx)))</f>
        <v>1388657604</v>
      </c>
      <c r="DS45" s="25">
        <f>IF($CU45&gt;=RAF,"",IF($CU45-DS$103&lt;BeginnAlter,"",ROUND(v^($CU45+FaktorAlter)*$L45*$D45*0.5*(VLOOKUP($CU45-DS$103,Männer!$G$9:$J$102,4)+VLOOKUP($CU45-DS$103+1,Männer!$G$9:$J$102,4))*0.5*(VLOOKUP($CU45-DS$103,Männer!$AZ$9:$BD$102,5)+VLOOKUP($CU45-DS$103+1,Männer!$AZ$9:$BD$102,5)),RundDx)))</f>
        <v>1421255648</v>
      </c>
      <c r="DT45" s="25">
        <f>IF($CU45&gt;=RAF,"",IF($CU45-DT$103&lt;BeginnAlter,"",ROUND(v^($CU45+FaktorAlter)*$L45*$D45*0.5*(VLOOKUP($CU45-DT$103,Männer!$G$9:$J$102,4)+VLOOKUP($CU45-DT$103+1,Männer!$G$9:$J$102,4))*0.5*(VLOOKUP($CU45-DT$103,Männer!$AZ$9:$BD$102,5)+VLOOKUP($CU45-DT$103+1,Männer!$AZ$9:$BD$102,5)),RundDx)))</f>
        <v>1453259139</v>
      </c>
      <c r="DU45" s="25">
        <f>IF($CU45&gt;=RAF,"",IF($CU45-DU$103&lt;BeginnAlter,"",ROUND(v^($CU45+FaktorAlter)*$L45*$D45*0.5*(VLOOKUP($CU45-DU$103,Männer!$G$9:$J$102,4)+VLOOKUP($CU45-DU$103+1,Männer!$G$9:$J$102,4))*0.5*(VLOOKUP($CU45-DU$103,Männer!$AZ$9:$BD$102,5)+VLOOKUP($CU45-DU$103+1,Männer!$AZ$9:$BD$102,5)),RundDx)))</f>
        <v>1484654624</v>
      </c>
      <c r="DV45" s="25">
        <f>IF($CU45&gt;=RAF,"",IF($CU45-DV$103&lt;BeginnAlter,"",ROUND(v^($CU45+FaktorAlter)*$L45*$D45*0.5*(VLOOKUP($CU45-DV$103,Männer!$G$9:$J$102,4)+VLOOKUP($CU45-DV$103+1,Männer!$G$9:$J$102,4))*0.5*(VLOOKUP($CU45-DV$103,Männer!$AZ$9:$BD$102,5)+VLOOKUP($CU45-DV$103+1,Männer!$AZ$9:$BD$102,5)),RundDx)))</f>
        <v>1515476599</v>
      </c>
      <c r="DW45" s="25">
        <f>IF($CU45&gt;=RAF,"",IF($CU45-DW$103&lt;BeginnAlter,"",ROUND(v^($CU45+FaktorAlter)*$L45*$D45*0.5*(VLOOKUP($CU45-DW$103,Männer!$G$9:$J$102,4)+VLOOKUP($CU45-DW$103+1,Männer!$G$9:$J$102,4))*0.5*(VLOOKUP($CU45-DW$103,Männer!$AZ$9:$BD$102,5)+VLOOKUP($CU45-DW$103+1,Männer!$AZ$9:$BD$102,5)),RundDx)))</f>
        <v>1545753403</v>
      </c>
      <c r="DX45" s="25">
        <f>IF($CU45&gt;=RAF,"",IF($CU45-DX$103&lt;BeginnAlter,"",ROUND(v^($CU45+FaktorAlter)*$L45*$D45*0.5*(VLOOKUP($CU45-DX$103,Männer!$G$9:$J$102,4)+VLOOKUP($CU45-DX$103+1,Männer!$G$9:$J$102,4))*0.5*(VLOOKUP($CU45-DX$103,Männer!$AZ$9:$BD$102,5)+VLOOKUP($CU45-DX$103+1,Männer!$AZ$9:$BD$102,5)),RundDx)))</f>
        <v>1575434034</v>
      </c>
      <c r="DY45" s="25">
        <f>IF($CU45&gt;=RAF,"",IF($CU45-DY$103&lt;BeginnAlter,"",ROUND(v^($CU45+FaktorAlter)*$L45*$D45*0.5*(VLOOKUP($CU45-DY$103,Männer!$G$9:$J$102,4)+VLOOKUP($CU45-DY$103+1,Männer!$G$9:$J$102,4))*0.5*(VLOOKUP($CU45-DY$103,Männer!$AZ$9:$BD$102,5)+VLOOKUP($CU45-DY$103+1,Männer!$AZ$9:$BD$102,5)),RundDx)))</f>
        <v>1604515604</v>
      </c>
      <c r="DZ45" s="25">
        <f>IF($CU45&gt;=RAF,"",IF($CU45-DZ$103&lt;BeginnAlter,"",ROUND(v^($CU45+FaktorAlter)*$L45*$D45*0.5*(VLOOKUP($CU45-DZ$103,Männer!$G$9:$J$102,4)+VLOOKUP($CU45-DZ$103+1,Männer!$G$9:$J$102,4))*0.5*(VLOOKUP($CU45-DZ$103,Männer!$AZ$9:$BD$102,5)+VLOOKUP($CU45-DZ$103+1,Männer!$AZ$9:$BD$102,5)),RundDx)))</f>
        <v>1633084634</v>
      </c>
      <c r="EA45" s="43">
        <f>IF($CU45&gt;=RAF,"",IF($CU45-EA$103&lt;BeginnAlter,"",ROUND((SUM(CV45:CV$56)+SUM(FN$9:FN$56))/VLOOKUP($CU45,$AH$9:$AI$102,2)/VLOOKUP($CU45-EA$103,Männer!$G$9:$J$102,4),Rundäx)))</f>
        <v>1.774</v>
      </c>
      <c r="EB45" s="43">
        <f>IF($CU45&gt;=RAF,"",IF($CU45-EB$103&lt;BeginnAlter,"",ROUND((SUM(CW45:CW$56)+SUM(FO$9:FO$56))/VLOOKUP($CU45,$AH$9:$AI$102,2)/VLOOKUP($CU45-EB$103,Männer!$G$9:$J$102,4),Rundäx)))</f>
        <v>1.891</v>
      </c>
      <c r="EC45" s="43">
        <f>IF($CU45&gt;=RAF,"",IF($CU45-EC$103&lt;BeginnAlter,"",ROUND((SUM(CX45:CX$56)+SUM(FP$9:FP$56))/VLOOKUP($CU45,$AH$9:$AI$102,2)/VLOOKUP($CU45-EC$103,Männer!$G$9:$J$102,4),Rundäx)))</f>
        <v>2.0129999999999999</v>
      </c>
      <c r="ED45" s="43">
        <f>IF($CU45&gt;=RAF,"",IF($CU45-ED$103&lt;BeginnAlter,"",ROUND((SUM(CY45:CY$56)+SUM(FQ$9:FQ$56))/VLOOKUP($CU45,$AH$9:$AI$102,2)/VLOOKUP($CU45-ED$103,Männer!$G$9:$J$102,4),Rundäx)))</f>
        <v>2.1389999999999998</v>
      </c>
      <c r="EE45" s="43">
        <f>IF($CU45&gt;=RAF,"",IF($CU45-EE$103&lt;BeginnAlter,"",ROUND((SUM(CZ45:CZ$56)+SUM(FR$9:FR$56))/VLOOKUP($CU45,$AH$9:$AI$102,2)/VLOOKUP($CU45-EE$103,Männer!$G$9:$J$102,4),Rundäx)))</f>
        <v>2.2690000000000001</v>
      </c>
      <c r="EF45" s="43">
        <f>IF($CU45&gt;=RAF,"",IF($CU45-EF$103&lt;BeginnAlter,"",ROUND((SUM(DA45:DA$56)+SUM(FS$9:FS$56))/VLOOKUP($CU45,$AH$9:$AI$102,2)/VLOOKUP($CU45-EF$103,Männer!$G$9:$J$102,4),Rundäx)))</f>
        <v>2.4060000000000001</v>
      </c>
      <c r="EG45" s="43">
        <f>IF($CU45&gt;=RAF,"",IF($CU45-EG$103&lt;BeginnAlter,"",ROUND((SUM(DB45:DB$56)+SUM(FT$9:FT$56))/VLOOKUP($CU45,$AH$9:$AI$102,2)/VLOOKUP($CU45-EG$103,Männer!$G$9:$J$102,4),Rundäx)))</f>
        <v>2.548</v>
      </c>
      <c r="EH45" s="43">
        <f>IF($CU45&gt;=RAF,"",IF($CU45-EH$103&lt;BeginnAlter,"",ROUND((SUM(DC45:DC$56)+SUM(FU$9:FU$56))/VLOOKUP($CU45,$AH$9:$AI$102,2)/VLOOKUP($CU45-EH$103,Männer!$G$9:$J$102,4),Rundäx)))</f>
        <v>2.6970000000000001</v>
      </c>
      <c r="EI45" s="89"/>
      <c r="EJ45" s="35">
        <f t="shared" si="61"/>
        <v>53</v>
      </c>
      <c r="EK45" s="43">
        <f>IF($CU45&gt;=RAF,"",IF($CU45-EK$103&lt;BeginnAlter,"",ROUND((SUM(DD45:DD$56)+SUM(FV$9:FV$56))/VLOOKUP($CU45,$AH$9:$AI$102,2)/VLOOKUP($CU45-EK$103,Männer!$G$9:$J$102,4),Rundäx)))</f>
        <v>2.8530000000000002</v>
      </c>
      <c r="EL45" s="43">
        <f>IF($CU45&gt;=RAF,"",IF($CU45-EL$103&lt;BeginnAlter,"",ROUND((SUM(DE45:DE$56)+SUM(FW$9:FW$56))/VLOOKUP($CU45,$AH$9:$AI$102,2)/VLOOKUP($CU45-EL$103,Männer!$G$9:$J$102,4),Rundäx)))</f>
        <v>3.0169999999999999</v>
      </c>
      <c r="EM45" s="43">
        <f>IF($CU45&gt;=RAF,"",IF($CU45-EM$103&lt;BeginnAlter,"",ROUND((SUM(DF45:DF$56)+SUM(FX$9:FX$56))/VLOOKUP($CU45,$AH$9:$AI$102,2)/VLOOKUP($CU45-EM$103,Männer!$G$9:$J$102,4),Rundäx)))</f>
        <v>3.19</v>
      </c>
      <c r="EN45" s="43">
        <f>IF($CU45&gt;=RAF,"",IF($CU45-EN$103&lt;BeginnAlter,"",ROUND((SUM(DG45:DG$56)+SUM(FY$9:FY$56))/VLOOKUP($CU45,$AH$9:$AI$102,2)/VLOOKUP($CU45-EN$103,Männer!$G$9:$J$102,4),Rundäx)))</f>
        <v>3.3719999999999999</v>
      </c>
      <c r="EO45" s="43">
        <f>IF($CU45&gt;=RAF,"",IF($CU45-EO$103&lt;BeginnAlter,"",ROUND((SUM(DH45:DH$56)+SUM(FZ$9:FZ$56))/VLOOKUP($CU45,$AH$9:$AI$102,2)/VLOOKUP($CU45-EO$103,Männer!$G$9:$J$102,4),Rundäx)))</f>
        <v>3.5630000000000002</v>
      </c>
      <c r="EP45" s="43">
        <f>IF($CU45&gt;=RAF,"",IF($CU45-EP$103&lt;BeginnAlter,"",ROUND((SUM(DI45:DI$56)+SUM(GA$9:GA$56))/VLOOKUP($CU45,$AH$9:$AI$102,2)/VLOOKUP($CU45-EP$103,Männer!$G$9:$J$102,4),Rundäx)))</f>
        <v>3.7629999999999999</v>
      </c>
      <c r="EQ45" s="43">
        <f>IF($CU45&gt;=RAF,"",IF($CU45-EQ$103&lt;BeginnAlter,"",ROUND((SUM(DJ45:DJ$56)+SUM(GB$9:GB$56))/VLOOKUP($CU45,$AH$9:$AI$102,2)/VLOOKUP($CU45-EQ$103,Männer!$G$9:$J$102,4),Rundäx)))</f>
        <v>3.972</v>
      </c>
      <c r="ER45" s="43">
        <f>IF($CU45&gt;=RAF,"",IF($CU45-ER$103&lt;BeginnAlter,"",ROUND((SUM(DK45:DK$56)+SUM(GC$9:GC$56))/VLOOKUP($CU45,$AH$9:$AI$102,2)/VLOOKUP($CU45-ER$103,Männer!$G$9:$J$102,4),Rundäx)))</f>
        <v>4.1900000000000004</v>
      </c>
      <c r="ES45" s="89"/>
      <c r="ET45" s="35">
        <f t="shared" si="62"/>
        <v>53</v>
      </c>
      <c r="EU45" s="43">
        <f>IF($CU45&gt;=RAF,"",IF($CU45-EU$103&lt;BeginnAlter,"",ROUND((SUM(DL45:DL$56)+SUM(GD$9:GD$56))/VLOOKUP($CU45,$AH$9:$AI$102,2)/VLOOKUP($CU45-EU$103,Männer!$G$9:$J$102,4),Rundäx)))</f>
        <v>4.415</v>
      </c>
      <c r="EV45" s="43">
        <f>IF($CU45&gt;=RAF,"",IF($CU45-EV$103&lt;BeginnAlter,"",ROUND((SUM(DM45:DM$56)+SUM(GE$9:GE$56))/VLOOKUP($CU45,$AH$9:$AI$102,2)/VLOOKUP($CU45-EV$103,Männer!$G$9:$J$102,4),Rundäx)))</f>
        <v>4.6479999999999997</v>
      </c>
      <c r="EW45" s="43">
        <f>IF($CU45&gt;=RAF,"",IF($CU45-EW$103&lt;BeginnAlter,"",ROUND((SUM(DN45:DN$56)+SUM(GF$9:GF$56))/VLOOKUP($CU45,$AH$9:$AI$102,2)/VLOOKUP($CU45-EW$103,Männer!$G$9:$J$102,4),Rundäx)))</f>
        <v>4.8879999999999999</v>
      </c>
      <c r="EX45" s="43">
        <f>IF($CU45&gt;=RAF,"",IF($CU45-EX$103&lt;BeginnAlter,"",ROUND((SUM(DO45:DO$56)+SUM(GG$9:GG$56))/VLOOKUP($CU45,$AH$9:$AI$102,2)/VLOOKUP($CU45-EX$103,Männer!$G$9:$J$102,4),Rundäx)))</f>
        <v>5.1340000000000003</v>
      </c>
      <c r="EY45" s="43">
        <f>IF($CU45&gt;=RAF,"",IF($CU45-EY$103&lt;BeginnAlter,"",ROUND((SUM(DP45:DP$56)+SUM(GH$9:GH$56))/VLOOKUP($CU45,$AH$9:$AI$102,2)/VLOOKUP($CU45-EY$103,Männer!$G$9:$J$102,4),Rundäx)))</f>
        <v>5.3869999999999996</v>
      </c>
      <c r="EZ45" s="43">
        <f>IF($CU45&gt;=RAF,"",IF($CU45-EZ$103&lt;BeginnAlter,"",ROUND((SUM(DQ45:DQ$56)+SUM(GI$9:GI$56))/VLOOKUP($CU45,$AH$9:$AI$102,2)/VLOOKUP($CU45-EZ$103,Männer!$G$9:$J$102,4),Rundäx)))</f>
        <v>5.6440000000000001</v>
      </c>
      <c r="FA45" s="43">
        <f>IF($CU45&gt;=RAF,"",IF($CU45-FA$103&lt;BeginnAlter,"",ROUND((SUM(DR45:DR$56)+SUM(GJ$9:GJ$56))/VLOOKUP($CU45,$AH$9:$AI$102,2)/VLOOKUP($CU45-FA$103,Männer!$G$9:$J$102,4),Rundäx)))</f>
        <v>5.9059999999999997</v>
      </c>
      <c r="FB45" s="43">
        <f>IF($CU45&gt;=RAF,"",IF($CU45-FB$103&lt;BeginnAlter,"",ROUND((SUM(DS45:DS$56)+SUM(GK$9:GK$56))/VLOOKUP($CU45,$AH$9:$AI$102,2)/VLOOKUP($CU45-FB$103,Männer!$G$9:$J$102,4),Rundäx)))</f>
        <v>6.1719999999999997</v>
      </c>
      <c r="FC45" s="89"/>
      <c r="FD45" s="35">
        <f t="shared" si="63"/>
        <v>53</v>
      </c>
      <c r="FE45" s="43">
        <f>IF($CU45&gt;=RAF,"",IF($CU45-FE$103&lt;BeginnAlter,"",ROUND((SUM(DT45:DT$56)+SUM(GL$9:GL$56))/VLOOKUP($CU45,$AH$9:$AI$102,2)/VLOOKUP($CU45-FE$103,Männer!$G$9:$J$102,4),Rundäx)))</f>
        <v>6.4409999999999998</v>
      </c>
      <c r="FF45" s="43">
        <f>IF($CU45&gt;=RAF,"",IF($CU45-FF$103&lt;BeginnAlter,"",ROUND((SUM(DU45:DU$56)+SUM(GM$9:GM$56))/VLOOKUP($CU45,$AH$9:$AI$102,2)/VLOOKUP($CU45-FF$103,Männer!$G$9:$J$102,4),Rundäx)))</f>
        <v>6.7130000000000001</v>
      </c>
      <c r="FG45" s="43">
        <f>IF($CU45&gt;=RAF,"",IF($CU45-FG$103&lt;BeginnAlter,"",ROUND((SUM(DV45:DV$56)+SUM(GN$9:GN$56))/VLOOKUP($CU45,$AH$9:$AI$102,2)/VLOOKUP($CU45-FG$103,Männer!$G$9:$J$102,4),Rundäx)))</f>
        <v>6.9870000000000001</v>
      </c>
      <c r="FH45" s="43">
        <f>IF($CU45&gt;=RAF,"",IF($CU45-FH$103&lt;BeginnAlter,"",ROUND((SUM(DW45:DW$56)+SUM(GO$9:GO$56))/VLOOKUP($CU45,$AH$9:$AI$102,2)/VLOOKUP($CU45-FH$103,Männer!$G$9:$J$102,4),Rundäx)))</f>
        <v>7.2640000000000002</v>
      </c>
      <c r="FI45" s="43">
        <f>IF($CU45&gt;=RAF,"",IF($CU45-FI$103&lt;BeginnAlter,"",ROUND((SUM(DX45:DX$56)+SUM(GP$9:GP$56))/VLOOKUP($CU45,$AH$9:$AI$102,2)/VLOOKUP($CU45-FI$103,Männer!$G$9:$J$102,4),Rundäx)))</f>
        <v>7.5410000000000004</v>
      </c>
      <c r="FJ45" s="43">
        <f>IF($CU45&gt;=RAF,"",IF($CU45-FJ$103&lt;BeginnAlter,"",ROUND((SUM(DY45:DY$56)+SUM(GQ$9:GQ$56))/VLOOKUP($CU45,$AH$9:$AI$102,2)/VLOOKUP($CU45-FJ$103,Männer!$G$9:$J$102,4),Rundäx)))</f>
        <v>7.8209999999999997</v>
      </c>
      <c r="FK45" s="43">
        <f>IF($CU45&gt;=RAF,"",IF($CU45-FK$103&lt;BeginnAlter,"",ROUND((SUM(DZ45:DZ$56)+SUM(GR$9:GR$56))/VLOOKUP($CU45,$AH$9:$AI$102,2)/VLOOKUP($CU45-FK$103,Männer!$G$9:$J$102,4),Rundäx)))</f>
        <v>8.1010000000000009</v>
      </c>
      <c r="FL45" s="89"/>
      <c r="FM45" s="35">
        <f t="shared" si="64"/>
        <v>100</v>
      </c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>
        <f>ROUND(v^($FM45+FaktorAlter)*VLOOKUP($FM45,$G$9:$J$102,4)*VLOOKUP($FM45,$A$9:$E$102,5)*0.5*(VLOOKUP($FM45-GC$103,Männer!$G$9:$J$102,4)+VLOOKUP($FM45-GC$103+1,Männer!$G$9:$J$102,4))*0.5*(VLOOKUP($FM45-GC$103,Männer!$AZ$9:$BD$102,5)+VLOOKUP($FM45-GC$103+1,Männer!$AZ$9:$BD$102,5)),RundDx)</f>
        <v>13241</v>
      </c>
      <c r="GD45" s="25">
        <f>ROUND(v^($FM45+FaktorAlter)*VLOOKUP($FM45,$G$9:$J$102,4)*VLOOKUP($FM45,$A$9:$E$102,5)*0.5*(VLOOKUP($FM45-GD$103,Männer!$G$9:$J$102,4)+VLOOKUP($FM45-GD$103+1,Männer!$G$9:$J$102,4))*0.5*(VLOOKUP($FM45-GD$103,Männer!$AZ$9:$BD$102,5)+VLOOKUP($FM45-GD$103+1,Männer!$AZ$9:$BD$102,5)),RundDx)</f>
        <v>34920</v>
      </c>
      <c r="GE45" s="25">
        <f>ROUND(v^($FM45+FaktorAlter)*VLOOKUP($FM45,$G$9:$J$102,4)*VLOOKUP($FM45,$A$9:$E$102,5)*0.5*(VLOOKUP($FM45-GE$103,Männer!$G$9:$J$102,4)+VLOOKUP($FM45-GE$103+1,Männer!$G$9:$J$102,4))*0.5*(VLOOKUP($FM45-GE$103,Männer!$AZ$9:$BD$102,5)+VLOOKUP($FM45-GE$103+1,Männer!$AZ$9:$BD$102,5)),RundDx)</f>
        <v>78556</v>
      </c>
      <c r="GF45" s="25">
        <f>ROUND(v^($FM45+FaktorAlter)*VLOOKUP($FM45,$G$9:$J$102,4)*VLOOKUP($FM45,$A$9:$E$102,5)*0.5*(VLOOKUP($FM45-GF$103,Männer!$G$9:$J$102,4)+VLOOKUP($FM45-GF$103+1,Männer!$G$9:$J$102,4))*0.5*(VLOOKUP($FM45-GF$103,Männer!$AZ$9:$BD$102,5)+VLOOKUP($FM45-GF$103+1,Männer!$AZ$9:$BD$102,5)),RundDx)</f>
        <v>159987</v>
      </c>
      <c r="GG45" s="25">
        <f>ROUND(v^($FM45+FaktorAlter)*VLOOKUP($FM45,$G$9:$J$102,4)*VLOOKUP($FM45,$A$9:$E$102,5)*0.5*(VLOOKUP($FM45-GG$103,Männer!$G$9:$J$102,4)+VLOOKUP($FM45-GG$103+1,Männer!$G$9:$J$102,4))*0.5*(VLOOKUP($FM45-GG$103,Männer!$AZ$9:$BD$102,5)+VLOOKUP($FM45-GG$103+1,Männer!$AZ$9:$BD$102,5)),RundDx)</f>
        <v>298371</v>
      </c>
      <c r="GH45" s="25">
        <f>ROUND(v^($FM45+FaktorAlter)*VLOOKUP($FM45,$G$9:$J$102,4)*VLOOKUP($FM45,$A$9:$E$102,5)*0.5*(VLOOKUP($FM45-GH$103,Männer!$G$9:$J$102,4)+VLOOKUP($FM45-GH$103+1,Männer!$G$9:$J$102,4))*0.5*(VLOOKUP($FM45-GH$103,Männer!$AZ$9:$BD$102,5)+VLOOKUP($FM45-GH$103+1,Männer!$AZ$9:$BD$102,5)),RundDx)</f>
        <v>516435</v>
      </c>
      <c r="GI45" s="25">
        <f>ROUND(v^($FM45+FaktorAlter)*VLOOKUP($FM45,$G$9:$J$102,4)*VLOOKUP($FM45,$A$9:$E$102,5)*0.5*(VLOOKUP($FM45-GI$103,Männer!$G$9:$J$102,4)+VLOOKUP($FM45-GI$103+1,Männer!$G$9:$J$102,4))*0.5*(VLOOKUP($FM45-GI$103,Männer!$AZ$9:$BD$102,5)+VLOOKUP($FM45-GI$103+1,Männer!$AZ$9:$BD$102,5)),RundDx)</f>
        <v>839386</v>
      </c>
      <c r="GJ45" s="25">
        <f>ROUND(v^($FM45+FaktorAlter)*VLOOKUP($FM45,$G$9:$J$102,4)*VLOOKUP($FM45,$A$9:$E$102,5)*0.5*(VLOOKUP($FM45-GJ$103,Männer!$G$9:$J$102,4)+VLOOKUP($FM45-GJ$103+1,Männer!$G$9:$J$102,4))*0.5*(VLOOKUP($FM45-GJ$103,Männer!$AZ$9:$BD$102,5)+VLOOKUP($FM45-GJ$103+1,Männer!$AZ$9:$BD$102,5)),RundDx)</f>
        <v>1291727</v>
      </c>
      <c r="GK45" s="25">
        <f>ROUND(v^($FM45+FaktorAlter)*VLOOKUP($FM45,$G$9:$J$102,4)*VLOOKUP($FM45,$A$9:$E$102,5)*0.5*(VLOOKUP($FM45-GK$103,Männer!$G$9:$J$102,4)+VLOOKUP($FM45-GK$103+1,Männer!$G$9:$J$102,4))*0.5*(VLOOKUP($FM45-GK$103,Männer!$AZ$9:$BD$102,5)+VLOOKUP($FM45-GK$103+1,Männer!$AZ$9:$BD$102,5)),RundDx)</f>
        <v>1899284</v>
      </c>
      <c r="GL45" s="25">
        <f>ROUND(v^($FM45+FaktorAlter)*VLOOKUP($FM45,$G$9:$J$102,4)*VLOOKUP($FM45,$A$9:$E$102,5)*0.5*(VLOOKUP($FM45-GL$103,Männer!$G$9:$J$102,4)+VLOOKUP($FM45-GL$103+1,Männer!$G$9:$J$102,4))*0.5*(VLOOKUP($FM45-GL$103,Männer!$AZ$9:$BD$102,5)+VLOOKUP($FM45-GL$103+1,Männer!$AZ$9:$BD$102,5)),RundDx)</f>
        <v>2685543</v>
      </c>
      <c r="GM45" s="25">
        <f>ROUND(v^($FM45+FaktorAlter)*VLOOKUP($FM45,$G$9:$J$102,4)*VLOOKUP($FM45,$A$9:$E$102,5)*0.5*(VLOOKUP($FM45-GM$103,Männer!$G$9:$J$102,4)+VLOOKUP($FM45-GM$103+1,Männer!$G$9:$J$102,4))*0.5*(VLOOKUP($FM45-GM$103,Männer!$AZ$9:$BD$102,5)+VLOOKUP($FM45-GM$103+1,Männer!$AZ$9:$BD$102,5)),RundDx)</f>
        <v>3667735</v>
      </c>
      <c r="GN45" s="25">
        <f>ROUND(v^($FM45+FaktorAlter)*VLOOKUP($FM45,$G$9:$J$102,4)*VLOOKUP($FM45,$A$9:$E$102,5)*0.5*(VLOOKUP($FM45-GN$103,Männer!$G$9:$J$102,4)+VLOOKUP($FM45-GN$103+1,Männer!$G$9:$J$102,4))*0.5*(VLOOKUP($FM45-GN$103,Männer!$AZ$9:$BD$102,5)+VLOOKUP($FM45-GN$103+1,Männer!$AZ$9:$BD$102,5)),RundDx)</f>
        <v>4859148</v>
      </c>
      <c r="GO45" s="25">
        <f>ROUND(v^($FM45+FaktorAlter)*VLOOKUP($FM45,$G$9:$J$102,4)*VLOOKUP($FM45,$A$9:$E$102,5)*0.5*(VLOOKUP($FM45-GO$103,Männer!$G$9:$J$102,4)+VLOOKUP($FM45-GO$103+1,Männer!$G$9:$J$102,4))*0.5*(VLOOKUP($FM45-GO$103,Männer!$AZ$9:$BD$102,5)+VLOOKUP($FM45-GO$103+1,Männer!$AZ$9:$BD$102,5)),RundDx)</f>
        <v>6266638</v>
      </c>
      <c r="GP45" s="25">
        <f>ROUND(v^($FM45+FaktorAlter)*VLOOKUP($FM45,$G$9:$J$102,4)*VLOOKUP($FM45,$A$9:$E$102,5)*0.5*(VLOOKUP($FM45-GP$103,Männer!$G$9:$J$102,4)+VLOOKUP($FM45-GP$103+1,Männer!$G$9:$J$102,4))*0.5*(VLOOKUP($FM45-GP$103,Männer!$AZ$9:$BD$102,5)+VLOOKUP($FM45-GP$103+1,Männer!$AZ$9:$BD$102,5)),RundDx)</f>
        <v>7885059</v>
      </c>
      <c r="GQ45" s="25">
        <f>ROUND(v^($FM45+FaktorAlter)*VLOOKUP($FM45,$G$9:$J$102,4)*VLOOKUP($FM45,$A$9:$E$102,5)*0.5*(VLOOKUP($FM45-GQ$103,Männer!$G$9:$J$102,4)+VLOOKUP($FM45-GQ$103+1,Männer!$G$9:$J$102,4))*0.5*(VLOOKUP($FM45-GQ$103,Männer!$AZ$9:$BD$102,5)+VLOOKUP($FM45-GQ$103+1,Männer!$AZ$9:$BD$102,5)),RundDx)</f>
        <v>9704181</v>
      </c>
      <c r="GR45" s="25">
        <f>ROUND(v^($FM45+FaktorAlter)*VLOOKUP($FM45,$G$9:$J$102,4)*VLOOKUP($FM45,$A$9:$E$102,5)*0.5*(VLOOKUP($FM45-GR$103,Männer!$G$9:$J$102,4)+VLOOKUP($FM45-GR$103+1,Männer!$G$9:$J$102,4))*0.5*(VLOOKUP($FM45-GR$103,Männer!$AZ$9:$BD$102,5)+VLOOKUP($FM45-GR$103+1,Männer!$AZ$9:$BD$102,5)),RundDx)</f>
        <v>11718820</v>
      </c>
      <c r="GS45" s="24"/>
      <c r="GT45" s="24"/>
      <c r="GU45" s="24"/>
      <c r="GV45" s="24"/>
      <c r="GW45" s="24"/>
      <c r="GX45" s="24"/>
      <c r="GY45" s="24"/>
      <c r="GZ45" s="24"/>
      <c r="HA45" s="89"/>
      <c r="HB45" s="35">
        <f t="shared" si="65"/>
        <v>100</v>
      </c>
      <c r="HC45" s="24"/>
      <c r="HD45" s="24"/>
      <c r="HE45" s="24"/>
      <c r="HF45" s="24"/>
      <c r="HG45" s="24"/>
      <c r="HH45" s="24"/>
      <c r="HI45" s="24">
        <f>ROUND(SUM(GB45:GB$56)/VLOOKUP($FM45,$AQ$9:$AR$102,2)/VLOOKUP($FM45-HI$103,Männer!$G$9:$J$102,4),Rundäx)</f>
        <v>0</v>
      </c>
      <c r="HJ45" s="24">
        <f>ROUND(SUM(GC45:GC$56)/VLOOKUP($FM45,$AQ$9:$AR$102,2)/VLOOKUP($FM45-HJ$103,Männer!$G$9:$J$102,4),Rundäx)</f>
        <v>0.311</v>
      </c>
      <c r="HK45" s="89"/>
      <c r="HL45" s="35">
        <f t="shared" si="66"/>
        <v>100</v>
      </c>
      <c r="HM45" s="24">
        <f>ROUND(SUM(GD45:GD$56)/VLOOKUP($FM45,$AQ$9:$AR$102,2)/VLOOKUP($FM45-HM$103,Männer!$G$9:$J$102,4),Rundäx)</f>
        <v>0.47299999999999998</v>
      </c>
      <c r="HN45" s="24">
        <f>ROUND(SUM(GE45:GE$56)/VLOOKUP($FM45,$AQ$9:$AR$102,2)/VLOOKUP($FM45-HN$103,Männer!$G$9:$J$102,4),Rundäx)</f>
        <v>0.60199999999999998</v>
      </c>
      <c r="HO45" s="24">
        <f>ROUND(SUM(GF45:GF$56)/VLOOKUP($FM45,$AQ$9:$AR$102,2)/VLOOKUP($FM45-HO$103,Männer!$G$9:$J$102,4),Rundäx)</f>
        <v>0.73099999999999998</v>
      </c>
      <c r="HP45" s="24">
        <f>ROUND(SUM(GG45:GG$56)/VLOOKUP($FM45,$AQ$9:$AR$102,2)/VLOOKUP($FM45-HP$103,Männer!$G$9:$J$102,4),Rundäx)</f>
        <v>0.876</v>
      </c>
      <c r="HQ45" s="24">
        <f>ROUND(SUM(GH45:GH$56)/VLOOKUP($FM45,$AQ$9:$AR$102,2)/VLOOKUP($FM45-HQ$103,Männer!$G$9:$J$102,4),Rundäx)</f>
        <v>1.0369999999999999</v>
      </c>
      <c r="HR45" s="24">
        <f>ROUND(SUM(GI45:GI$56)/VLOOKUP($FM45,$AQ$9:$AR$102,2)/VLOOKUP($FM45-HR$103,Männer!$G$9:$J$102,4),Rundäx)</f>
        <v>1.216</v>
      </c>
      <c r="HS45" s="24">
        <f>ROUND(SUM(GJ45:GJ$56)/VLOOKUP($FM45,$AQ$9:$AR$102,2)/VLOOKUP($FM45-HS$103,Männer!$G$9:$J$102,4),Rundäx)</f>
        <v>1.41</v>
      </c>
      <c r="HT45" s="24">
        <f>ROUND(SUM(GK45:GK$56)/VLOOKUP($FM45,$AQ$9:$AR$102,2)/VLOOKUP($FM45-HT$103,Männer!$G$9:$J$102,4),Rundäx)</f>
        <v>1.6220000000000001</v>
      </c>
      <c r="HU45" s="89"/>
      <c r="HV45" s="35">
        <f t="shared" si="67"/>
        <v>100</v>
      </c>
      <c r="HW45" s="24">
        <f>ROUND(SUM(GL45:GL$56)/VLOOKUP($FM45,$AQ$9:$AR$102,2)/VLOOKUP($FM45-HW$103,Männer!$G$9:$J$102,4),Rundäx)</f>
        <v>1.853</v>
      </c>
      <c r="HX45" s="24">
        <f>ROUND(SUM(GM45:GM$56)/VLOOKUP($FM45,$AQ$9:$AR$102,2)/VLOOKUP($FM45-HX$103,Männer!$G$9:$J$102,4),Rundäx)</f>
        <v>2.101</v>
      </c>
      <c r="HY45" s="24">
        <f>ROUND(SUM(GN45:GN$56)/VLOOKUP($FM45,$AQ$9:$AR$102,2)/VLOOKUP($FM45-HY$103,Männer!$G$9:$J$102,4),Rundäx)</f>
        <v>2.3660000000000001</v>
      </c>
      <c r="HZ45" s="24">
        <f>ROUND(SUM(GO45:GO$56)/VLOOKUP($FM45,$AQ$9:$AR$102,2)/VLOOKUP($FM45-HZ$103,Männer!$G$9:$J$102,4),Rundäx)</f>
        <v>2.6469999999999998</v>
      </c>
      <c r="IA45" s="24">
        <f>ROUND(SUM(GP45:GP$56)/VLOOKUP($FM45,$AQ$9:$AR$102,2)/VLOOKUP($FM45-IA$103,Männer!$G$9:$J$102,4),Rundäx)</f>
        <v>2.9409999999999998</v>
      </c>
      <c r="IB45" s="24">
        <f>ROUND(SUM(GQ45:GQ$56)/VLOOKUP($FM45,$AQ$9:$AR$102,2)/VLOOKUP($FM45-IB$103,Männer!$G$9:$J$102,4),Rundäx)</f>
        <v>3.2440000000000002</v>
      </c>
      <c r="IC45" s="24">
        <f>ROUND(SUM(GR45:GR$56)/VLOOKUP($FM45,$AQ$9:$AR$102,2)/VLOOKUP($FM45-IC$103,Männer!$G$9:$J$102,4),Rundäx)</f>
        <v>3.5550000000000002</v>
      </c>
      <c r="ID45" s="89"/>
      <c r="IE45" s="9">
        <f t="shared" ref="IE45:IE76" si="80">1+IE44</f>
        <v>53</v>
      </c>
      <c r="IF45" s="11">
        <f t="shared" si="25"/>
        <v>28</v>
      </c>
      <c r="IG45" s="11">
        <f>IF($IE45&lt;RAF,IF(S46&lt;=RAK,ROUND(SUM(IF45:INDEX(Daky,RAF-BeginnAlter))+INDEX(Day,RAF-BeginnAlter+1)*INDEX(äky,1),RundDx),0),"")</f>
        <v>87</v>
      </c>
      <c r="IH45" s="11">
        <f>IF($IE45&lt;RAF,IF(S46&lt;=RAK,ROUND(SUM(IG45:INDEX(Naky,RAF-BeginnAlter))+INDEX(Day,RAF-BeginnAlter+1)*INDEX(äky,1),RundDx),0),"")</f>
        <v>248</v>
      </c>
      <c r="II45" s="10">
        <f t="shared" si="26"/>
        <v>3.0000000000000001E-3</v>
      </c>
      <c r="IJ45" s="11">
        <f t="shared" si="27"/>
        <v>303</v>
      </c>
      <c r="IK45" s="11">
        <f>IF($IE45&lt;RAF,IF(S46&lt;=RAK,SUM(IJ45:INDEX(Diky,RAF-BeginnAlter))+INDEX(Diy,RAF-BeginnAlter+1)*INDEX(äky,1),0),"")</f>
        <v>828</v>
      </c>
      <c r="IL45" s="10">
        <f t="shared" si="28"/>
        <v>2.3E-2</v>
      </c>
      <c r="IM45" s="89"/>
      <c r="IN45" s="9">
        <f t="shared" si="29"/>
        <v>100</v>
      </c>
      <c r="IO45" s="11"/>
      <c r="IP45" s="11"/>
      <c r="IQ45" s="10"/>
      <c r="IR45" s="86"/>
    </row>
    <row r="46" spans="1:252" ht="15.75" customHeight="1" x14ac:dyDescent="0.25">
      <c r="A46" s="9">
        <f t="shared" si="69"/>
        <v>54</v>
      </c>
      <c r="B46" s="93">
        <v>1.9942883179643934E-3</v>
      </c>
      <c r="C46" s="93">
        <v>1.1830395127666716E-2</v>
      </c>
      <c r="D46" s="93">
        <v>1.9003670269482131E-2</v>
      </c>
      <c r="E46" s="93">
        <v>3.6926853624033029E-3</v>
      </c>
      <c r="F46" s="89"/>
      <c r="G46" s="9">
        <f t="shared" si="70"/>
        <v>54</v>
      </c>
      <c r="H46" s="11">
        <f t="shared" si="30"/>
        <v>87094</v>
      </c>
      <c r="I46" s="25">
        <f t="shared" si="31"/>
        <v>9042</v>
      </c>
      <c r="J46" s="25">
        <f t="shared" si="32"/>
        <v>96136</v>
      </c>
      <c r="K46" s="30">
        <f>IF(J46&gt;0,ROUND(SUM(J46:J$102)/J46-0.5,Rundex),"")</f>
        <v>29.62</v>
      </c>
      <c r="L46" s="25">
        <f t="shared" si="6"/>
        <v>112583</v>
      </c>
      <c r="M46" s="30">
        <f>IF(L46&gt;0,ROUND(SUM(L46:L$102)/L46-0.5,Rundex),"")</f>
        <v>26</v>
      </c>
      <c r="N46" s="89"/>
      <c r="O46" s="9">
        <f t="shared" si="71"/>
        <v>54</v>
      </c>
      <c r="P46" s="94">
        <v>0.25722243589419747</v>
      </c>
      <c r="Q46" s="95">
        <v>56.330275332809464</v>
      </c>
      <c r="R46" s="94">
        <v>7.0971699051843681E-2</v>
      </c>
      <c r="S46" s="95">
        <v>19.25</v>
      </c>
      <c r="T46" s="28">
        <v>3.0609484222805057E-3</v>
      </c>
      <c r="U46" s="11">
        <f t="shared" si="33"/>
        <v>96803</v>
      </c>
      <c r="V46" s="30">
        <f>IF(U46&gt;0,ROUND(SUM(U46:U$102)/U46-0.5,Rundex),"")</f>
        <v>30.71</v>
      </c>
      <c r="W46" s="89"/>
      <c r="X46" s="9">
        <f t="shared" si="72"/>
        <v>54</v>
      </c>
      <c r="Y46" s="11">
        <f t="shared" si="34"/>
        <v>26192</v>
      </c>
      <c r="Z46" s="11">
        <f>IF($X46&lt;RAF,SUM(Y46:INDEX(Day,RAF-BeginnAlter))," ")</f>
        <v>218619</v>
      </c>
      <c r="AA46" s="11">
        <f t="shared" si="0"/>
        <v>52</v>
      </c>
      <c r="AB46" s="11">
        <f>IF($X46&lt;RAF,SUM(AA46:INDEX(Cay,RAF-BeginnAlter))," ")</f>
        <v>657</v>
      </c>
      <c r="AC46" s="11">
        <f t="shared" si="1"/>
        <v>306</v>
      </c>
      <c r="AD46" s="11">
        <f>IF($X46&lt;RAF,SUM(AC46:INDEX(Caiy,RAF-BeginnAlter))," ")</f>
        <v>4406</v>
      </c>
      <c r="AE46" s="10">
        <f t="shared" si="35"/>
        <v>8.3469999999999995</v>
      </c>
      <c r="AF46" s="10">
        <f t="shared" si="36"/>
        <v>8.1750000000000007</v>
      </c>
      <c r="AG46" s="89"/>
      <c r="AH46" s="9">
        <f t="shared" si="73"/>
        <v>54</v>
      </c>
      <c r="AI46" s="11">
        <f t="shared" si="37"/>
        <v>33857</v>
      </c>
      <c r="AJ46" s="11">
        <f>IF($AH46&gt;RAF," ",IF($AH46&lt;RAF,SUM(AI46:INDEX(Diy,RAF-BeginnAlter))+INDEX(Ny,RAF-BeginnAlter+1),INDEX(Ny,RAF-BeginnAlter+1)))</f>
        <v>647437</v>
      </c>
      <c r="AK46" s="11">
        <f>IF($AH46&lt;RAF,SUM(AI46:INDEX(Diy,RAF-BeginnAlter))," ")</f>
        <v>281343</v>
      </c>
      <c r="AL46" s="10">
        <f t="shared" si="38"/>
        <v>19.123000000000001</v>
      </c>
      <c r="AM46" s="10">
        <f t="shared" si="39"/>
        <v>18.664000000000001</v>
      </c>
      <c r="AN46" s="10">
        <f t="shared" si="40"/>
        <v>8.31</v>
      </c>
      <c r="AO46" s="10">
        <f t="shared" si="41"/>
        <v>8.1460000000000008</v>
      </c>
      <c r="AP46" s="89"/>
      <c r="AQ46" s="9">
        <f t="shared" si="74"/>
        <v>54</v>
      </c>
      <c r="AR46" s="11">
        <f t="shared" si="42"/>
        <v>28911</v>
      </c>
      <c r="AS46" s="11">
        <f>SUM(AR46:AR$96)</f>
        <v>622646</v>
      </c>
      <c r="AT46" s="25">
        <f>IF($AQ46&lt;RAF,SUM(AR46:INDEX(Dy,RAF-BeginnAlter))," ")</f>
        <v>256552</v>
      </c>
      <c r="AU46" s="24">
        <f t="shared" si="43"/>
        <v>21.536999999999999</v>
      </c>
      <c r="AV46" s="24">
        <f t="shared" si="44"/>
        <v>21.077999999999999</v>
      </c>
      <c r="AW46" s="24">
        <f t="shared" si="45"/>
        <v>8.8740000000000006</v>
      </c>
      <c r="AX46" s="24">
        <f t="shared" si="46"/>
        <v>8.76</v>
      </c>
      <c r="AY46" s="89"/>
      <c r="AZ46" s="9">
        <f t="shared" si="75"/>
        <v>54</v>
      </c>
      <c r="BA46" s="11">
        <f t="shared" si="47"/>
        <v>29112</v>
      </c>
      <c r="BB46" s="11">
        <f>SUM(BA46:BA$96)</f>
        <v>644484</v>
      </c>
      <c r="BC46" s="10">
        <f t="shared" si="48"/>
        <v>22.138000000000002</v>
      </c>
      <c r="BD46" s="10">
        <f t="shared" si="7"/>
        <v>21.68</v>
      </c>
      <c r="BE46" s="89"/>
      <c r="BF46" s="9">
        <f t="shared" si="54"/>
        <v>37</v>
      </c>
      <c r="BG46" s="10" t="str">
        <f t="shared" si="8"/>
        <v/>
      </c>
      <c r="BH46" s="10" t="str">
        <f t="shared" si="9"/>
        <v/>
      </c>
      <c r="BI46" s="89"/>
      <c r="BJ46" s="9">
        <f t="shared" si="76"/>
        <v>54</v>
      </c>
      <c r="BK46" s="11">
        <f t="shared" si="10"/>
        <v>5684</v>
      </c>
      <c r="BL46" s="11">
        <f>IF(BJ46&lt;RAF,SUM(BK46:INDEX(Daiy,RAF-BeginnAlter))," ")</f>
        <v>76545</v>
      </c>
      <c r="BM46" s="11">
        <f>IF(BJ46&lt;RAF,SUM(BL46:INDEX(Naiy,RAF-BeginnAlter))," ")</f>
        <v>455258</v>
      </c>
      <c r="BN46" s="10">
        <f t="shared" si="11"/>
        <v>10.239000000000001</v>
      </c>
      <c r="BO46" s="10">
        <f t="shared" si="12"/>
        <v>2.9220000000000002</v>
      </c>
      <c r="BP46" s="89"/>
      <c r="BQ46" s="9">
        <f t="shared" si="77"/>
        <v>54</v>
      </c>
      <c r="BR46" s="11">
        <f t="shared" si="13"/>
        <v>2393</v>
      </c>
      <c r="BS46" s="11">
        <f>IF(BQ46&lt;RAF,SUM(BR46:INDEX(Daiys,RAF-BeginnAlter))," ")</f>
        <v>17204</v>
      </c>
      <c r="BT46" s="11">
        <f>IF(BQ46&lt;RAF,SUM(BS46:INDEX(Naiys,RAF-BeginnAlter))," ")</f>
        <v>75905</v>
      </c>
      <c r="BU46" s="10">
        <f t="shared" si="14"/>
        <v>12.505000000000001</v>
      </c>
      <c r="BV46" s="10">
        <f t="shared" si="15"/>
        <v>0.65700000000000003</v>
      </c>
      <c r="BW46" s="89"/>
      <c r="BX46" s="9">
        <f t="shared" si="78"/>
        <v>54</v>
      </c>
      <c r="BY46" s="10">
        <f t="shared" si="16"/>
        <v>4.916875530983484</v>
      </c>
      <c r="BZ46" s="11">
        <f t="shared" si="17"/>
        <v>91</v>
      </c>
      <c r="CA46" s="11">
        <f>IF(S47&lt;=RAK,IF($BX46&lt;RAF,SUM(BZ46:INDEX(Dazy,RAF-BeginnAlter)),""),"")</f>
        <v>280</v>
      </c>
      <c r="CB46" s="10">
        <f t="shared" si="18"/>
        <v>1.0999999999999999E-2</v>
      </c>
      <c r="CC46" s="11">
        <f t="shared" si="19"/>
        <v>24750</v>
      </c>
      <c r="CD46" s="10">
        <f t="shared" si="20"/>
        <v>18.385999999999999</v>
      </c>
      <c r="CE46" s="10">
        <f t="shared" si="21"/>
        <v>5.0000000000000001E-3</v>
      </c>
      <c r="CF46" s="89"/>
      <c r="CG46" s="9">
        <f t="shared" si="79"/>
        <v>54</v>
      </c>
      <c r="CH46" s="11">
        <f>IF(CG46&lt;RAF,ROUND(v^($CG46+FaktorAlter)*$H46*($B46*0.5*($P46+$P47)*(VLOOKUP(TRUNC(0.5*($Q46+$Q47),0),Männer!$AZ$9:$BD$95,5)+(0.5*($Q46+$Q47)-TRUNC(0.5*($Q46+$Q47),0))*(VLOOKUP(TRUNC(0.5*($Q46+$Q47)+1,0),Männer!$AZ$9:$BD$95,5)-VLOOKUP(TRUNC(0.5*($Q46+$Q47),0),Männer!$AZ$9:$BD$95,5)))+$C46*0.5*($CN46+$CN47)),RundDx),"")</f>
        <v>385</v>
      </c>
      <c r="CI46" s="11">
        <f>IF(CG46&lt;RAF,ROUND(SUM(CH46:INDEX(Dawy,RAF-BeginnAlter))+INDEX(Day,RAF-BeginnAlter+1)*INDEX(äwy,1),RundDx),"")</f>
        <v>5059</v>
      </c>
      <c r="CJ46" s="11">
        <f>IF(CG46&lt;RAF,ROUND(SUM(CI46:INDEX(Nawy,RAF-BeginnAlter))+INDEX(Day,RAF-BeginnAlter+1)*INDEX(äwy,1),RundDx),"")</f>
        <v>36693</v>
      </c>
      <c r="CK46" s="10">
        <f t="shared" si="22"/>
        <v>0.193</v>
      </c>
      <c r="CL46" s="11">
        <f>IF(CG46&lt;RAF,ROUND(v^($CG46+FaktorAlter)*$L46*$D46*0.5*($P46+$P47)*(VLOOKUP(TRUNC(0.5*($Q46+$Q47),0),Männer!$AZ$9:$BD$95,5)+(0.5*($Q46+$Q47)-TRUNC(0.5*($Q46+$Q47),0))*(VLOOKUP(TRUNC(0.5*($Q46+$Q47)+1,0),Männer!$AZ$9:$BD$95,5)-VLOOKUP(TRUNC(0.5*($Q46+$Q47),0),Männer!$AZ$9:$BD$95,5))),RundDx),"")</f>
        <v>2645</v>
      </c>
      <c r="CM46" s="11">
        <f>IF(CG46&lt;RAF,SUM(CL46:INDEX(Diwy,RAF-BeginnAlter))+INDEX(Diy,RAF-BeginnAlter+1)*INDEX(äwy,1),"")</f>
        <v>19794.304</v>
      </c>
      <c r="CN46" s="10">
        <f t="shared" si="23"/>
        <v>0.58499999999999996</v>
      </c>
      <c r="CO46" s="89"/>
      <c r="CP46" s="9">
        <f t="shared" si="59"/>
        <v>101</v>
      </c>
      <c r="CQ46" s="11"/>
      <c r="CR46" s="11"/>
      <c r="CS46" s="24"/>
      <c r="CT46" s="89"/>
      <c r="CU46" s="35">
        <f t="shared" si="60"/>
        <v>54</v>
      </c>
      <c r="CV46" s="25">
        <f>IF($CU46&gt;=RAF,"",IF($CU46-CV$103&lt;BeginnAlter,"",ROUND(v^($CU46+FaktorAlter)*$L46*$D46*0.5*(VLOOKUP($CU46-CV$103,Männer!$G$9:$J$102,4)+VLOOKUP($CU46-CV$103+1,Männer!$G$9:$J$102,4))*0.5*(VLOOKUP($CU46-CV$103,Männer!$AZ$9:$BD$102,5)+VLOOKUP($CU46-CV$103+1,Männer!$AZ$9:$BD$102,5)),RundDx)))</f>
        <v>556003310</v>
      </c>
      <c r="CW46" s="25">
        <f>IF($CU46&gt;=RAF,"",IF($CU46-CW$103&lt;BeginnAlter,"",ROUND(v^($CU46+FaktorAlter)*$L46*$D46*0.5*(VLOOKUP($CU46-CW$103,Männer!$G$9:$J$102,4)+VLOOKUP($CU46-CW$103+1,Männer!$G$9:$J$102,4))*0.5*(VLOOKUP($CU46-CW$103,Männer!$AZ$9:$BD$102,5)+VLOOKUP($CU46-CW$103+1,Männer!$AZ$9:$BD$102,5)),RundDx)))</f>
        <v>587794639</v>
      </c>
      <c r="CX46" s="25">
        <f>IF($CU46&gt;=RAF,"",IF($CU46-CX$103&lt;BeginnAlter,"",ROUND(v^($CU46+FaktorAlter)*$L46*$D46*0.5*(VLOOKUP($CU46-CX$103,Männer!$G$9:$J$102,4)+VLOOKUP($CU46-CX$103+1,Männer!$G$9:$J$102,4))*0.5*(VLOOKUP($CU46-CX$103,Männer!$AZ$9:$BD$102,5)+VLOOKUP($CU46-CX$103+1,Männer!$AZ$9:$BD$102,5)),RundDx)))</f>
        <v>619815030</v>
      </c>
      <c r="CY46" s="25">
        <f>IF($CU46&gt;=RAF,"",IF($CU46-CY$103&lt;BeginnAlter,"",ROUND(v^($CU46+FaktorAlter)*$L46*$D46*0.5*(VLOOKUP($CU46-CY$103,Männer!$G$9:$J$102,4)+VLOOKUP($CU46-CY$103+1,Männer!$G$9:$J$102,4))*0.5*(VLOOKUP($CU46-CY$103,Männer!$AZ$9:$BD$102,5)+VLOOKUP($CU46-CY$103+1,Männer!$AZ$9:$BD$102,5)),RundDx)))</f>
        <v>651985429</v>
      </c>
      <c r="CZ46" s="25">
        <f>IF($CU46&gt;=RAF,"",IF($CU46-CZ$103&lt;BeginnAlter,"",ROUND(v^($CU46+FaktorAlter)*$L46*$D46*0.5*(VLOOKUP($CU46-CZ$103,Männer!$G$9:$J$102,4)+VLOOKUP($CU46-CZ$103+1,Männer!$G$9:$J$102,4))*0.5*(VLOOKUP($CU46-CZ$103,Männer!$AZ$9:$BD$102,5)+VLOOKUP($CU46-CZ$103+1,Männer!$AZ$9:$BD$102,5)),RundDx)))</f>
        <v>684384192</v>
      </c>
      <c r="DA46" s="25">
        <f>IF($CU46&gt;=RAF,"",IF($CU46-DA$103&lt;BeginnAlter,"",ROUND(v^($CU46+FaktorAlter)*$L46*$D46*0.5*(VLOOKUP($CU46-DA$103,Männer!$G$9:$J$102,4)+VLOOKUP($CU46-DA$103+1,Männer!$G$9:$J$102,4))*0.5*(VLOOKUP($CU46-DA$103,Männer!$AZ$9:$BD$102,5)+VLOOKUP($CU46-DA$103+1,Männer!$AZ$9:$BD$102,5)),RundDx)))</f>
        <v>717176680</v>
      </c>
      <c r="DB46" s="25">
        <f>IF($CU46&gt;=RAF,"",IF($CU46-DB$103&lt;BeginnAlter,"",ROUND(v^($CU46+FaktorAlter)*$L46*$D46*0.5*(VLOOKUP($CU46-DB$103,Männer!$G$9:$J$102,4)+VLOOKUP($CU46-DB$103+1,Männer!$G$9:$J$102,4))*0.5*(VLOOKUP($CU46-DB$103,Männer!$AZ$9:$BD$102,5)+VLOOKUP($CU46-DB$103+1,Männer!$AZ$9:$BD$102,5)),RundDx)))</f>
        <v>750425057</v>
      </c>
      <c r="DC46" s="25">
        <f>IF($CU46&gt;=RAF,"",IF($CU46-DC$103&lt;BeginnAlter,"",ROUND(v^($CU46+FaktorAlter)*$L46*$D46*0.5*(VLOOKUP($CU46-DC$103,Männer!$G$9:$J$102,4)+VLOOKUP($CU46-DC$103+1,Männer!$G$9:$J$102,4))*0.5*(VLOOKUP($CU46-DC$103,Männer!$AZ$9:$BD$102,5)+VLOOKUP($CU46-DC$103+1,Männer!$AZ$9:$BD$102,5)),RundDx)))</f>
        <v>784209490</v>
      </c>
      <c r="DD46" s="25">
        <f>IF($CU46&gt;=RAF,"",IF($CU46-DD$103&lt;BeginnAlter,"",ROUND(v^($CU46+FaktorAlter)*$L46*$D46*0.5*(VLOOKUP($CU46-DD$103,Männer!$G$9:$J$102,4)+VLOOKUP($CU46-DD$103+1,Männer!$G$9:$J$102,4))*0.5*(VLOOKUP($CU46-DD$103,Männer!$AZ$9:$BD$102,5)+VLOOKUP($CU46-DD$103+1,Männer!$AZ$9:$BD$102,5)),RundDx)))</f>
        <v>818580342</v>
      </c>
      <c r="DE46" s="25">
        <f>IF($CU46&gt;=RAF,"",IF($CU46-DE$103&lt;BeginnAlter,"",ROUND(v^($CU46+FaktorAlter)*$L46*$D46*0.5*(VLOOKUP($CU46-DE$103,Männer!$G$9:$J$102,4)+VLOOKUP($CU46-DE$103+1,Männer!$G$9:$J$102,4))*0.5*(VLOOKUP($CU46-DE$103,Männer!$AZ$9:$BD$102,5)+VLOOKUP($CU46-DE$103+1,Männer!$AZ$9:$BD$102,5)),RundDx)))</f>
        <v>853565279</v>
      </c>
      <c r="DF46" s="25">
        <f>IF($CU46&gt;=RAF,"",IF($CU46-DF$103&lt;BeginnAlter,"",ROUND(v^($CU46+FaktorAlter)*$L46*$D46*0.5*(VLOOKUP($CU46-DF$103,Männer!$G$9:$J$102,4)+VLOOKUP($CU46-DF$103+1,Männer!$G$9:$J$102,4))*0.5*(VLOOKUP($CU46-DF$103,Männer!$AZ$9:$BD$102,5)+VLOOKUP($CU46-DF$103+1,Männer!$AZ$9:$BD$102,5)),RundDx)))</f>
        <v>889226815</v>
      </c>
      <c r="DG46" s="25">
        <f>IF($CU46&gt;=RAF,"",IF($CU46-DG$103&lt;BeginnAlter,"",ROUND(v^($CU46+FaktorAlter)*$L46*$D46*0.5*(VLOOKUP($CU46-DG$103,Männer!$G$9:$J$102,4)+VLOOKUP($CU46-DG$103+1,Männer!$G$9:$J$102,4))*0.5*(VLOOKUP($CU46-DG$103,Männer!$AZ$9:$BD$102,5)+VLOOKUP($CU46-DG$103+1,Männer!$AZ$9:$BD$102,5)),RundDx)))</f>
        <v>925522755</v>
      </c>
      <c r="DH46" s="25">
        <f>IF($CU46&gt;=RAF,"",IF($CU46-DH$103&lt;BeginnAlter,"",ROUND(v^($CU46+FaktorAlter)*$L46*$D46*0.5*(VLOOKUP($CU46-DH$103,Männer!$G$9:$J$102,4)+VLOOKUP($CU46-DH$103+1,Männer!$G$9:$J$102,4))*0.5*(VLOOKUP($CU46-DH$103,Männer!$AZ$9:$BD$102,5)+VLOOKUP($CU46-DH$103+1,Männer!$AZ$9:$BD$102,5)),RundDx)))</f>
        <v>962399842</v>
      </c>
      <c r="DI46" s="25">
        <f>IF($CU46&gt;=RAF,"",IF($CU46-DI$103&lt;BeginnAlter,"",ROUND(v^($CU46+FaktorAlter)*$L46*$D46*0.5*(VLOOKUP($CU46-DI$103,Männer!$G$9:$J$102,4)+VLOOKUP($CU46-DI$103+1,Männer!$G$9:$J$102,4))*0.5*(VLOOKUP($CU46-DI$103,Männer!$AZ$9:$BD$102,5)+VLOOKUP($CU46-DI$103+1,Männer!$AZ$9:$BD$102,5)),RundDx)))</f>
        <v>999847809</v>
      </c>
      <c r="DJ46" s="25">
        <f>IF($CU46&gt;=RAF,"",IF($CU46-DJ$103&lt;BeginnAlter,"",ROUND(v^($CU46+FaktorAlter)*$L46*$D46*0.5*(VLOOKUP($CU46-DJ$103,Männer!$G$9:$J$102,4)+VLOOKUP($CU46-DJ$103+1,Männer!$G$9:$J$102,4))*0.5*(VLOOKUP($CU46-DJ$103,Männer!$AZ$9:$BD$102,5)+VLOOKUP($CU46-DJ$103+1,Männer!$AZ$9:$BD$102,5)),RundDx)))</f>
        <v>1037317491</v>
      </c>
      <c r="DK46" s="25">
        <f>IF($CU46&gt;=RAF,"",IF($CU46-DK$103&lt;BeginnAlter,"",ROUND(v^($CU46+FaktorAlter)*$L46*$D46*0.5*(VLOOKUP($CU46-DK$103,Männer!$G$9:$J$102,4)+VLOOKUP($CU46-DK$103+1,Männer!$G$9:$J$102,4))*0.5*(VLOOKUP($CU46-DK$103,Männer!$AZ$9:$BD$102,5)+VLOOKUP($CU46-DK$103+1,Männer!$AZ$9:$BD$102,5)),RundDx)))</f>
        <v>1074223443</v>
      </c>
      <c r="DL46" s="25">
        <f>IF($CU46&gt;=RAF,"",IF($CU46-DL$103&lt;BeginnAlter,"",ROUND(v^($CU46+FaktorAlter)*$L46*$D46*0.5*(VLOOKUP($CU46-DL$103,Männer!$G$9:$J$102,4)+VLOOKUP($CU46-DL$103+1,Männer!$G$9:$J$102,4))*0.5*(VLOOKUP($CU46-DL$103,Männer!$AZ$9:$BD$102,5)+VLOOKUP($CU46-DL$103+1,Männer!$AZ$9:$BD$102,5)),RundDx)))</f>
        <v>1110571880</v>
      </c>
      <c r="DM46" s="25">
        <f>IF($CU46&gt;=RAF,"",IF($CU46-DM$103&lt;BeginnAlter,"",ROUND(v^($CU46+FaktorAlter)*$L46*$D46*0.5*(VLOOKUP($CU46-DM$103,Männer!$G$9:$J$102,4)+VLOOKUP($CU46-DM$103+1,Männer!$G$9:$J$102,4))*0.5*(VLOOKUP($CU46-DM$103,Männer!$AZ$9:$BD$102,5)+VLOOKUP($CU46-DM$103+1,Männer!$AZ$9:$BD$102,5)),RundDx)))</f>
        <v>1146368288</v>
      </c>
      <c r="DN46" s="25">
        <f>IF($CU46&gt;=RAF,"",IF($CU46-DN$103&lt;BeginnAlter,"",ROUND(v^($CU46+FaktorAlter)*$L46*$D46*0.5*(VLOOKUP($CU46-DN$103,Männer!$G$9:$J$102,4)+VLOOKUP($CU46-DN$103+1,Männer!$G$9:$J$102,4))*0.5*(VLOOKUP($CU46-DN$103,Männer!$AZ$9:$BD$102,5)+VLOOKUP($CU46-DN$103+1,Männer!$AZ$9:$BD$102,5)),RundDx)))</f>
        <v>1181548349</v>
      </c>
      <c r="DO46" s="25">
        <f>IF($CU46&gt;=RAF,"",IF($CU46-DO$103&lt;BeginnAlter,"",ROUND(v^($CU46+FaktorAlter)*$L46*$D46*0.5*(VLOOKUP($CU46-DO$103,Männer!$G$9:$J$102,4)+VLOOKUP($CU46-DO$103+1,Männer!$G$9:$J$102,4))*0.5*(VLOOKUP($CU46-DO$103,Männer!$AZ$9:$BD$102,5)+VLOOKUP($CU46-DO$103+1,Männer!$AZ$9:$BD$102,5)),RundDx)))</f>
        <v>1216115966</v>
      </c>
      <c r="DP46" s="25">
        <f>IF($CU46&gt;=RAF,"",IF($CU46-DP$103&lt;BeginnAlter,"",ROUND(v^($CU46+FaktorAlter)*$L46*$D46*0.5*(VLOOKUP($CU46-DP$103,Männer!$G$9:$J$102,4)+VLOOKUP($CU46-DP$103+1,Männer!$G$9:$J$102,4))*0.5*(VLOOKUP($CU46-DP$103,Männer!$AZ$9:$BD$102,5)+VLOOKUP($CU46-DP$103+1,Männer!$AZ$9:$BD$102,5)),RundDx)))</f>
        <v>1250124650</v>
      </c>
      <c r="DQ46" s="25">
        <f>IF($CU46&gt;=RAF,"",IF($CU46-DQ$103&lt;BeginnAlter,"",ROUND(v^($CU46+FaktorAlter)*$L46*$D46*0.5*(VLOOKUP($CU46-DQ$103,Männer!$G$9:$J$102,4)+VLOOKUP($CU46-DQ$103+1,Männer!$G$9:$J$102,4))*0.5*(VLOOKUP($CU46-DQ$103,Männer!$AZ$9:$BD$102,5)+VLOOKUP($CU46-DQ$103+1,Männer!$AZ$9:$BD$102,5)),RundDx)))</f>
        <v>1283552515</v>
      </c>
      <c r="DR46" s="25">
        <f>IF($CU46&gt;=RAF,"",IF($CU46-DR$103&lt;BeginnAlter,"",ROUND(v^($CU46+FaktorAlter)*$L46*$D46*0.5*(VLOOKUP($CU46-DR$103,Männer!$G$9:$J$102,4)+VLOOKUP($CU46-DR$103+1,Männer!$G$9:$J$102,4))*0.5*(VLOOKUP($CU46-DR$103,Männer!$AZ$9:$BD$102,5)+VLOOKUP($CU46-DR$103+1,Männer!$AZ$9:$BD$102,5)),RundDx)))</f>
        <v>1316363789</v>
      </c>
      <c r="DS46" s="25">
        <f>IF($CU46&gt;=RAF,"",IF($CU46-DS$103&lt;BeginnAlter,"",ROUND(v^($CU46+FaktorAlter)*$L46*$D46*0.5*(VLOOKUP($CU46-DS$103,Männer!$G$9:$J$102,4)+VLOOKUP($CU46-DS$103+1,Männer!$G$9:$J$102,4))*0.5*(VLOOKUP($CU46-DS$103,Männer!$AZ$9:$BD$102,5)+VLOOKUP($CU46-DS$103+1,Männer!$AZ$9:$BD$102,5)),RundDx)))</f>
        <v>1348599008</v>
      </c>
      <c r="DT46" s="25">
        <f>IF($CU46&gt;=RAF,"",IF($CU46-DT$103&lt;BeginnAlter,"",ROUND(v^($CU46+FaktorAlter)*$L46*$D46*0.5*(VLOOKUP($CU46-DT$103,Männer!$G$9:$J$102,4)+VLOOKUP($CU46-DT$103+1,Männer!$G$9:$J$102,4))*0.5*(VLOOKUP($CU46-DT$103,Männer!$AZ$9:$BD$102,5)+VLOOKUP($CU46-DT$103+1,Männer!$AZ$9:$BD$102,5)),RundDx)))</f>
        <v>1380256697</v>
      </c>
      <c r="DU46" s="25">
        <f>IF($CU46&gt;=RAF,"",IF($CU46-DU$103&lt;BeginnAlter,"",ROUND(v^($CU46+FaktorAlter)*$L46*$D46*0.5*(VLOOKUP($CU46-DU$103,Männer!$G$9:$J$102,4)+VLOOKUP($CU46-DU$103+1,Männer!$G$9:$J$102,4))*0.5*(VLOOKUP($CU46-DU$103,Männer!$AZ$9:$BD$102,5)+VLOOKUP($CU46-DU$103+1,Männer!$AZ$9:$BD$102,5)),RundDx)))</f>
        <v>1411336983</v>
      </c>
      <c r="DV46" s="25">
        <f>IF($CU46&gt;=RAF,"",IF($CU46-DV$103&lt;BeginnAlter,"",ROUND(v^($CU46+FaktorAlter)*$L46*$D46*0.5*(VLOOKUP($CU46-DV$103,Männer!$G$9:$J$102,4)+VLOOKUP($CU46-DV$103+1,Männer!$G$9:$J$102,4))*0.5*(VLOOKUP($CU46-DV$103,Männer!$AZ$9:$BD$102,5)+VLOOKUP($CU46-DV$103+1,Männer!$AZ$9:$BD$102,5)),RundDx)))</f>
        <v>1441826803</v>
      </c>
      <c r="DW46" s="25">
        <f>IF($CU46&gt;=RAF,"",IF($CU46-DW$103&lt;BeginnAlter,"",ROUND(v^($CU46+FaktorAlter)*$L46*$D46*0.5*(VLOOKUP($CU46-DW$103,Männer!$G$9:$J$102,4)+VLOOKUP($CU46-DW$103+1,Männer!$G$9:$J$102,4))*0.5*(VLOOKUP($CU46-DW$103,Männer!$AZ$9:$BD$102,5)+VLOOKUP($CU46-DW$103+1,Männer!$AZ$9:$BD$102,5)),RundDx)))</f>
        <v>1471759657</v>
      </c>
      <c r="DX46" s="25">
        <f>IF($CU46&gt;=RAF,"",IF($CU46-DX$103&lt;BeginnAlter,"",ROUND(v^($CU46+FaktorAlter)*$L46*$D46*0.5*(VLOOKUP($CU46-DX$103,Männer!$G$9:$J$102,4)+VLOOKUP($CU46-DX$103+1,Männer!$G$9:$J$102,4))*0.5*(VLOOKUP($CU46-DX$103,Männer!$AZ$9:$BD$102,5)+VLOOKUP($CU46-DX$103+1,Männer!$AZ$9:$BD$102,5)),RundDx)))</f>
        <v>1501163066</v>
      </c>
      <c r="DY46" s="25">
        <f>IF($CU46&gt;=RAF,"",IF($CU46-DY$103&lt;BeginnAlter,"",ROUND(v^($CU46+FaktorAlter)*$L46*$D46*0.5*(VLOOKUP($CU46-DY$103,Männer!$G$9:$J$102,4)+VLOOKUP($CU46-DY$103+1,Männer!$G$9:$J$102,4))*0.5*(VLOOKUP($CU46-DY$103,Männer!$AZ$9:$BD$102,5)+VLOOKUP($CU46-DY$103+1,Männer!$AZ$9:$BD$102,5)),RundDx)))</f>
        <v>1529987500</v>
      </c>
      <c r="DZ46" s="25">
        <f>IF($CU46&gt;=RAF,"",IF($CU46-DZ$103&lt;BeginnAlter,"",ROUND(v^($CU46+FaktorAlter)*$L46*$D46*0.5*(VLOOKUP($CU46-DZ$103,Männer!$G$9:$J$102,4)+VLOOKUP($CU46-DZ$103+1,Männer!$G$9:$J$102,4))*0.5*(VLOOKUP($CU46-DZ$103,Männer!$AZ$9:$BD$102,5)+VLOOKUP($CU46-DZ$103+1,Männer!$AZ$9:$BD$102,5)),RundDx)))</f>
        <v>1558230154</v>
      </c>
      <c r="EA46" s="43">
        <f>IF($CU46&gt;=RAF,"",IF($CU46-EA$103&lt;BeginnAlter,"",ROUND((SUM(CV46:CV$56)+SUM(FN$9:FN$56))/VLOOKUP($CU46,$AH$9:$AI$102,2)/VLOOKUP($CU46-EA$103,Männer!$G$9:$J$102,4),Rundäx)))</f>
        <v>1.665</v>
      </c>
      <c r="EB46" s="43">
        <f>IF($CU46&gt;=RAF,"",IF($CU46-EB$103&lt;BeginnAlter,"",ROUND((SUM(CW46:CW$56)+SUM(FO$9:FO$56))/VLOOKUP($CU46,$AH$9:$AI$102,2)/VLOOKUP($CU46-EB$103,Männer!$G$9:$J$102,4),Rundäx)))</f>
        <v>1.7789999999999999</v>
      </c>
      <c r="EC46" s="43">
        <f>IF($CU46&gt;=RAF,"",IF($CU46-EC$103&lt;BeginnAlter,"",ROUND((SUM(CX46:CX$56)+SUM(FP$9:FP$56))/VLOOKUP($CU46,$AH$9:$AI$102,2)/VLOOKUP($CU46-EC$103,Männer!$G$9:$J$102,4),Rundäx)))</f>
        <v>1.897</v>
      </c>
      <c r="ED46" s="43">
        <f>IF($CU46&gt;=RAF,"",IF($CU46-ED$103&lt;BeginnAlter,"",ROUND((SUM(CY46:CY$56)+SUM(FQ$9:FQ$56))/VLOOKUP($CU46,$AH$9:$AI$102,2)/VLOOKUP($CU46-ED$103,Männer!$G$9:$J$102,4),Rundäx)))</f>
        <v>2.0190000000000001</v>
      </c>
      <c r="EE46" s="43">
        <f>IF($CU46&gt;=RAF,"",IF($CU46-EE$103&lt;BeginnAlter,"",ROUND((SUM(CZ46:CZ$56)+SUM(FR$9:FR$56))/VLOOKUP($CU46,$AH$9:$AI$102,2)/VLOOKUP($CU46-EE$103,Männer!$G$9:$J$102,4),Rundäx)))</f>
        <v>2.1469999999999998</v>
      </c>
      <c r="EF46" s="43">
        <f>IF($CU46&gt;=RAF,"",IF($CU46-EF$103&lt;BeginnAlter,"",ROUND((SUM(DA46:DA$56)+SUM(FS$9:FS$56))/VLOOKUP($CU46,$AH$9:$AI$102,2)/VLOOKUP($CU46-EF$103,Männer!$G$9:$J$102,4),Rundäx)))</f>
        <v>2.2789999999999999</v>
      </c>
      <c r="EG46" s="43">
        <f>IF($CU46&gt;=RAF,"",IF($CU46-EG$103&lt;BeginnAlter,"",ROUND((SUM(DB46:DB$56)+SUM(FT$9:FT$56))/VLOOKUP($CU46,$AH$9:$AI$102,2)/VLOOKUP($CU46-EG$103,Männer!$G$9:$J$102,4),Rundäx)))</f>
        <v>2.4180000000000001</v>
      </c>
      <c r="EH46" s="43">
        <f>IF($CU46&gt;=RAF,"",IF($CU46-EH$103&lt;BeginnAlter,"",ROUND((SUM(DC46:DC$56)+SUM(FU$9:FU$56))/VLOOKUP($CU46,$AH$9:$AI$102,2)/VLOOKUP($CU46-EH$103,Männer!$G$9:$J$102,4),Rundäx)))</f>
        <v>2.5630000000000002</v>
      </c>
      <c r="EI46" s="89"/>
      <c r="EJ46" s="35">
        <f t="shared" si="61"/>
        <v>54</v>
      </c>
      <c r="EK46" s="43">
        <f>IF($CU46&gt;=RAF,"",IF($CU46-EK$103&lt;BeginnAlter,"",ROUND((SUM(DD46:DD$56)+SUM(FV$9:FV$56))/VLOOKUP($CU46,$AH$9:$AI$102,2)/VLOOKUP($CU46-EK$103,Männer!$G$9:$J$102,4),Rundäx)))</f>
        <v>2.7149999999999999</v>
      </c>
      <c r="EL46" s="43">
        <f>IF($CU46&gt;=RAF,"",IF($CU46-EL$103&lt;BeginnAlter,"",ROUND((SUM(DE46:DE$56)+SUM(FW$9:FW$56))/VLOOKUP($CU46,$AH$9:$AI$102,2)/VLOOKUP($CU46-EL$103,Männer!$G$9:$J$102,4),Rundäx)))</f>
        <v>2.875</v>
      </c>
      <c r="EM46" s="43">
        <f>IF($CU46&gt;=RAF,"",IF($CU46-EM$103&lt;BeginnAlter,"",ROUND((SUM(DF46:DF$56)+SUM(FX$9:FX$56))/VLOOKUP($CU46,$AH$9:$AI$102,2)/VLOOKUP($CU46-EM$103,Männer!$G$9:$J$102,4),Rundäx)))</f>
        <v>3.044</v>
      </c>
      <c r="EN46" s="43">
        <f>IF($CU46&gt;=RAF,"",IF($CU46-EN$103&lt;BeginnAlter,"",ROUND((SUM(DG46:DG$56)+SUM(FY$9:FY$56))/VLOOKUP($CU46,$AH$9:$AI$102,2)/VLOOKUP($CU46-EN$103,Männer!$G$9:$J$102,4),Rundäx)))</f>
        <v>3.222</v>
      </c>
      <c r="EO46" s="43">
        <f>IF($CU46&gt;=RAF,"",IF($CU46-EO$103&lt;BeginnAlter,"",ROUND((SUM(DH46:DH$56)+SUM(FZ$9:FZ$56))/VLOOKUP($CU46,$AH$9:$AI$102,2)/VLOOKUP($CU46-EO$103,Männer!$G$9:$J$102,4),Rundäx)))</f>
        <v>3.4089999999999998</v>
      </c>
      <c r="EP46" s="43">
        <f>IF($CU46&gt;=RAF,"",IF($CU46-EP$103&lt;BeginnAlter,"",ROUND((SUM(DI46:DI$56)+SUM(GA$9:GA$56))/VLOOKUP($CU46,$AH$9:$AI$102,2)/VLOOKUP($CU46-EP$103,Männer!$G$9:$J$102,4),Rundäx)))</f>
        <v>3.6059999999999999</v>
      </c>
      <c r="EQ46" s="43">
        <f>IF($CU46&gt;=RAF,"",IF($CU46-EQ$103&lt;BeginnAlter,"",ROUND((SUM(DJ46:DJ$56)+SUM(GB$9:GB$56))/VLOOKUP($CU46,$AH$9:$AI$102,2)/VLOOKUP($CU46-EQ$103,Männer!$G$9:$J$102,4),Rundäx)))</f>
        <v>3.8119999999999998</v>
      </c>
      <c r="ER46" s="43">
        <f>IF($CU46&gt;=RAF,"",IF($CU46-ER$103&lt;BeginnAlter,"",ROUND((SUM(DK46:DK$56)+SUM(GC$9:GC$56))/VLOOKUP($CU46,$AH$9:$AI$102,2)/VLOOKUP($CU46-ER$103,Männer!$G$9:$J$102,4),Rundäx)))</f>
        <v>4.0270000000000001</v>
      </c>
      <c r="ES46" s="89"/>
      <c r="ET46" s="35">
        <f t="shared" si="62"/>
        <v>54</v>
      </c>
      <c r="EU46" s="43">
        <f>IF($CU46&gt;=RAF,"",IF($CU46-EU$103&lt;BeginnAlter,"",ROUND((SUM(DL46:DL$56)+SUM(GD$9:GD$56))/VLOOKUP($CU46,$AH$9:$AI$102,2)/VLOOKUP($CU46-EU$103,Männer!$G$9:$J$102,4),Rundäx)))</f>
        <v>4.2510000000000003</v>
      </c>
      <c r="EV46" s="43">
        <f>IF($CU46&gt;=RAF,"",IF($CU46-EV$103&lt;BeginnAlter,"",ROUND((SUM(DM46:DM$56)+SUM(GE$9:GE$56))/VLOOKUP($CU46,$AH$9:$AI$102,2)/VLOOKUP($CU46-EV$103,Männer!$G$9:$J$102,4),Rundäx)))</f>
        <v>4.484</v>
      </c>
      <c r="EW46" s="43">
        <f>IF($CU46&gt;=RAF,"",IF($CU46-EW$103&lt;BeginnAlter,"",ROUND((SUM(DN46:DN$56)+SUM(GF$9:GF$56))/VLOOKUP($CU46,$AH$9:$AI$102,2)/VLOOKUP($CU46-EW$103,Männer!$G$9:$J$102,4),Rundäx)))</f>
        <v>4.7229999999999999</v>
      </c>
      <c r="EX46" s="43">
        <f>IF($CU46&gt;=RAF,"",IF($CU46-EX$103&lt;BeginnAlter,"",ROUND((SUM(DO46:DO$56)+SUM(GG$9:GG$56))/VLOOKUP($CU46,$AH$9:$AI$102,2)/VLOOKUP($CU46-EX$103,Männer!$G$9:$J$102,4),Rundäx)))</f>
        <v>4.97</v>
      </c>
      <c r="EY46" s="43">
        <f>IF($CU46&gt;=RAF,"",IF($CU46-EY$103&lt;BeginnAlter,"",ROUND((SUM(DP46:DP$56)+SUM(GH$9:GH$56))/VLOOKUP($CU46,$AH$9:$AI$102,2)/VLOOKUP($CU46-EY$103,Männer!$G$9:$J$102,4),Rundäx)))</f>
        <v>5.2229999999999999</v>
      </c>
      <c r="EZ46" s="43">
        <f>IF($CU46&gt;=RAF,"",IF($CU46-EZ$103&lt;BeginnAlter,"",ROUND((SUM(DQ46:DQ$56)+SUM(GI$9:GI$56))/VLOOKUP($CU46,$AH$9:$AI$102,2)/VLOOKUP($CU46-EZ$103,Männer!$G$9:$J$102,4),Rundäx)))</f>
        <v>5.4820000000000002</v>
      </c>
      <c r="FA46" s="43">
        <f>IF($CU46&gt;=RAF,"",IF($CU46-FA$103&lt;BeginnAlter,"",ROUND((SUM(DR46:DR$56)+SUM(GJ$9:GJ$56))/VLOOKUP($CU46,$AH$9:$AI$102,2)/VLOOKUP($CU46-FA$103,Männer!$G$9:$J$102,4),Rundäx)))</f>
        <v>5.7450000000000001</v>
      </c>
      <c r="FB46" s="43">
        <f>IF($CU46&gt;=RAF,"",IF($CU46-FB$103&lt;BeginnAlter,"",ROUND((SUM(DS46:DS$56)+SUM(GK$9:GK$56))/VLOOKUP($CU46,$AH$9:$AI$102,2)/VLOOKUP($CU46-FB$103,Männer!$G$9:$J$102,4),Rundäx)))</f>
        <v>6.0129999999999999</v>
      </c>
      <c r="FC46" s="89"/>
      <c r="FD46" s="35">
        <f t="shared" si="63"/>
        <v>54</v>
      </c>
      <c r="FE46" s="43">
        <f>IF($CU46&gt;=RAF,"",IF($CU46-FE$103&lt;BeginnAlter,"",ROUND((SUM(DT46:DT$56)+SUM(GL$9:GL$56))/VLOOKUP($CU46,$AH$9:$AI$102,2)/VLOOKUP($CU46-FE$103,Männer!$G$9:$J$102,4),Rundäx)))</f>
        <v>6.2839999999999998</v>
      </c>
      <c r="FF46" s="43">
        <f>IF($CU46&gt;=RAF,"",IF($CU46-FF$103&lt;BeginnAlter,"",ROUND((SUM(DU46:DU$56)+SUM(GM$9:GM$56))/VLOOKUP($CU46,$AH$9:$AI$102,2)/VLOOKUP($CU46-FF$103,Männer!$G$9:$J$102,4),Rundäx)))</f>
        <v>6.5590000000000002</v>
      </c>
      <c r="FG46" s="43">
        <f>IF($CU46&gt;=RAF,"",IF($CU46-FG$103&lt;BeginnAlter,"",ROUND((SUM(DV46:DV$56)+SUM(GN$9:GN$56))/VLOOKUP($CU46,$AH$9:$AI$102,2)/VLOOKUP($CU46-FG$103,Männer!$G$9:$J$102,4),Rundäx)))</f>
        <v>6.8360000000000003</v>
      </c>
      <c r="FH46" s="43">
        <f>IF($CU46&gt;=RAF,"",IF($CU46-FH$103&lt;BeginnAlter,"",ROUND((SUM(DW46:DW$56)+SUM(GO$9:GO$56))/VLOOKUP($CU46,$AH$9:$AI$102,2)/VLOOKUP($CU46-FH$103,Männer!$G$9:$J$102,4),Rundäx)))</f>
        <v>7.1150000000000002</v>
      </c>
      <c r="FI46" s="43">
        <f>IF($CU46&gt;=RAF,"",IF($CU46-FI$103&lt;BeginnAlter,"",ROUND((SUM(DX46:DX$56)+SUM(GP$9:GP$56))/VLOOKUP($CU46,$AH$9:$AI$102,2)/VLOOKUP($CU46-FI$103,Männer!$G$9:$J$102,4),Rundäx)))</f>
        <v>7.3959999999999999</v>
      </c>
      <c r="FJ46" s="43">
        <f>IF($CU46&gt;=RAF,"",IF($CU46-FJ$103&lt;BeginnAlter,"",ROUND((SUM(DY46:DY$56)+SUM(GQ$9:GQ$56))/VLOOKUP($CU46,$AH$9:$AI$102,2)/VLOOKUP($CU46-FJ$103,Männer!$G$9:$J$102,4),Rundäx)))</f>
        <v>7.6779999999999999</v>
      </c>
      <c r="FK46" s="43">
        <f>IF($CU46&gt;=RAF,"",IF($CU46-FK$103&lt;BeginnAlter,"",ROUND((SUM(DZ46:DZ$56)+SUM(GR$9:GR$56))/VLOOKUP($CU46,$AH$9:$AI$102,2)/VLOOKUP($CU46-FK$103,Männer!$G$9:$J$102,4),Rundäx)))</f>
        <v>7.9619999999999997</v>
      </c>
      <c r="FL46" s="89"/>
      <c r="FM46" s="35">
        <f t="shared" si="64"/>
        <v>101</v>
      </c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>
        <f>ROUND(v^($FM46+FaktorAlter)*VLOOKUP($FM46,$G$9:$J$102,4)*VLOOKUP($FM46,$A$9:$E$102,5)*0.5*(VLOOKUP($FM46-GD$103,Männer!$G$9:$J$102,4)+VLOOKUP($FM46-GD$103+1,Männer!$G$9:$J$102,4))*0.5*(VLOOKUP($FM46-GD$103,Männer!$AZ$9:$BD$102,5)+VLOOKUP($FM46-GD$103+1,Männer!$AZ$9:$BD$102,5)),RundDx)</f>
        <v>8113</v>
      </c>
      <c r="GE46" s="25">
        <f>ROUND(v^($FM46+FaktorAlter)*VLOOKUP($FM46,$G$9:$J$102,4)*VLOOKUP($FM46,$A$9:$E$102,5)*0.5*(VLOOKUP($FM46-GE$103,Männer!$G$9:$J$102,4)+VLOOKUP($FM46-GE$103+1,Männer!$G$9:$J$102,4))*0.5*(VLOOKUP($FM46-GE$103,Männer!$AZ$9:$BD$102,5)+VLOOKUP($FM46-GE$103+1,Männer!$AZ$9:$BD$102,5)),RundDx)</f>
        <v>21395</v>
      </c>
      <c r="GF46" s="25">
        <f>ROUND(v^($FM46+FaktorAlter)*VLOOKUP($FM46,$G$9:$J$102,4)*VLOOKUP($FM46,$A$9:$E$102,5)*0.5*(VLOOKUP($FM46-GF$103,Männer!$G$9:$J$102,4)+VLOOKUP($FM46-GF$103+1,Männer!$G$9:$J$102,4))*0.5*(VLOOKUP($FM46-GF$103,Männer!$AZ$9:$BD$102,5)+VLOOKUP($FM46-GF$103+1,Männer!$AZ$9:$BD$102,5)),RundDx)</f>
        <v>48131</v>
      </c>
      <c r="GG46" s="25">
        <f>ROUND(v^($FM46+FaktorAlter)*VLOOKUP($FM46,$G$9:$J$102,4)*VLOOKUP($FM46,$A$9:$E$102,5)*0.5*(VLOOKUP($FM46-GG$103,Männer!$G$9:$J$102,4)+VLOOKUP($FM46-GG$103+1,Männer!$G$9:$J$102,4))*0.5*(VLOOKUP($FM46-GG$103,Männer!$AZ$9:$BD$102,5)+VLOOKUP($FM46-GG$103+1,Männer!$AZ$9:$BD$102,5)),RundDx)</f>
        <v>98023</v>
      </c>
      <c r="GH46" s="25">
        <f>ROUND(v^($FM46+FaktorAlter)*VLOOKUP($FM46,$G$9:$J$102,4)*VLOOKUP($FM46,$A$9:$E$102,5)*0.5*(VLOOKUP($FM46-GH$103,Männer!$G$9:$J$102,4)+VLOOKUP($FM46-GH$103+1,Männer!$G$9:$J$102,4))*0.5*(VLOOKUP($FM46-GH$103,Männer!$AZ$9:$BD$102,5)+VLOOKUP($FM46-GH$103+1,Männer!$AZ$9:$BD$102,5)),RundDx)</f>
        <v>182810</v>
      </c>
      <c r="GI46" s="25">
        <f>ROUND(v^($FM46+FaktorAlter)*VLOOKUP($FM46,$G$9:$J$102,4)*VLOOKUP($FM46,$A$9:$E$102,5)*0.5*(VLOOKUP($FM46-GI$103,Männer!$G$9:$J$102,4)+VLOOKUP($FM46-GI$103+1,Männer!$G$9:$J$102,4))*0.5*(VLOOKUP($FM46-GI$103,Männer!$AZ$9:$BD$102,5)+VLOOKUP($FM46-GI$103+1,Männer!$AZ$9:$BD$102,5)),RundDx)</f>
        <v>316417</v>
      </c>
      <c r="GJ46" s="25">
        <f>ROUND(v^($FM46+FaktorAlter)*VLOOKUP($FM46,$G$9:$J$102,4)*VLOOKUP($FM46,$A$9:$E$102,5)*0.5*(VLOOKUP($FM46-GJ$103,Männer!$G$9:$J$102,4)+VLOOKUP($FM46-GJ$103+1,Männer!$G$9:$J$102,4))*0.5*(VLOOKUP($FM46-GJ$103,Männer!$AZ$9:$BD$102,5)+VLOOKUP($FM46-GJ$103+1,Männer!$AZ$9:$BD$102,5)),RundDx)</f>
        <v>514287</v>
      </c>
      <c r="GK46" s="25">
        <f>ROUND(v^($FM46+FaktorAlter)*VLOOKUP($FM46,$G$9:$J$102,4)*VLOOKUP($FM46,$A$9:$E$102,5)*0.5*(VLOOKUP($FM46-GK$103,Männer!$G$9:$J$102,4)+VLOOKUP($FM46-GK$103+1,Männer!$G$9:$J$102,4))*0.5*(VLOOKUP($FM46-GK$103,Männer!$AZ$9:$BD$102,5)+VLOOKUP($FM46-GK$103+1,Männer!$AZ$9:$BD$102,5)),RundDx)</f>
        <v>791433</v>
      </c>
      <c r="GL46" s="25">
        <f>ROUND(v^($FM46+FaktorAlter)*VLOOKUP($FM46,$G$9:$J$102,4)*VLOOKUP($FM46,$A$9:$E$102,5)*0.5*(VLOOKUP($FM46-GL$103,Männer!$G$9:$J$102,4)+VLOOKUP($FM46-GL$103+1,Männer!$G$9:$J$102,4))*0.5*(VLOOKUP($FM46-GL$103,Männer!$AZ$9:$BD$102,5)+VLOOKUP($FM46-GL$103+1,Männer!$AZ$9:$BD$102,5)),RundDx)</f>
        <v>1163680</v>
      </c>
      <c r="GM46" s="25">
        <f>ROUND(v^($FM46+FaktorAlter)*VLOOKUP($FM46,$G$9:$J$102,4)*VLOOKUP($FM46,$A$9:$E$102,5)*0.5*(VLOOKUP($FM46-GM$103,Männer!$G$9:$J$102,4)+VLOOKUP($FM46-GM$103+1,Männer!$G$9:$J$102,4))*0.5*(VLOOKUP($FM46-GM$103,Männer!$AZ$9:$BD$102,5)+VLOOKUP($FM46-GM$103+1,Männer!$AZ$9:$BD$102,5)),RundDx)</f>
        <v>1645416</v>
      </c>
      <c r="GN46" s="25">
        <f>ROUND(v^($FM46+FaktorAlter)*VLOOKUP($FM46,$G$9:$J$102,4)*VLOOKUP($FM46,$A$9:$E$102,5)*0.5*(VLOOKUP($FM46-GN$103,Männer!$G$9:$J$102,4)+VLOOKUP($FM46-GN$103+1,Männer!$G$9:$J$102,4))*0.5*(VLOOKUP($FM46-GN$103,Männer!$AZ$9:$BD$102,5)+VLOOKUP($FM46-GN$103+1,Männer!$AZ$9:$BD$102,5)),RundDx)</f>
        <v>2247199</v>
      </c>
      <c r="GO46" s="25">
        <f>ROUND(v^($FM46+FaktorAlter)*VLOOKUP($FM46,$G$9:$J$102,4)*VLOOKUP($FM46,$A$9:$E$102,5)*0.5*(VLOOKUP($FM46-GO$103,Männer!$G$9:$J$102,4)+VLOOKUP($FM46-GO$103+1,Männer!$G$9:$J$102,4))*0.5*(VLOOKUP($FM46-GO$103,Männer!$AZ$9:$BD$102,5)+VLOOKUP($FM46-GO$103+1,Männer!$AZ$9:$BD$102,5)),RundDx)</f>
        <v>2977171</v>
      </c>
      <c r="GP46" s="25">
        <f>ROUND(v^($FM46+FaktorAlter)*VLOOKUP($FM46,$G$9:$J$102,4)*VLOOKUP($FM46,$A$9:$E$102,5)*0.5*(VLOOKUP($FM46-GP$103,Männer!$G$9:$J$102,4)+VLOOKUP($FM46-GP$103+1,Männer!$G$9:$J$102,4))*0.5*(VLOOKUP($FM46-GP$103,Männer!$AZ$9:$BD$102,5)+VLOOKUP($FM46-GP$103+1,Männer!$AZ$9:$BD$102,5)),RundDx)</f>
        <v>3839531</v>
      </c>
      <c r="GQ46" s="25">
        <f>ROUND(v^($FM46+FaktorAlter)*VLOOKUP($FM46,$G$9:$J$102,4)*VLOOKUP($FM46,$A$9:$E$102,5)*0.5*(VLOOKUP($FM46-GQ$103,Männer!$G$9:$J$102,4)+VLOOKUP($FM46-GQ$103+1,Männer!$G$9:$J$102,4))*0.5*(VLOOKUP($FM46-GQ$103,Männer!$AZ$9:$BD$102,5)+VLOOKUP($FM46-GQ$103+1,Männer!$AZ$9:$BD$102,5)),RundDx)</f>
        <v>4831128</v>
      </c>
      <c r="GR46" s="25">
        <f>ROUND(v^($FM46+FaktorAlter)*VLOOKUP($FM46,$G$9:$J$102,4)*VLOOKUP($FM46,$A$9:$E$102,5)*0.5*(VLOOKUP($FM46-GR$103,Männer!$G$9:$J$102,4)+VLOOKUP($FM46-GR$103+1,Männer!$G$9:$J$102,4))*0.5*(VLOOKUP($FM46-GR$103,Männer!$AZ$9:$BD$102,5)+VLOOKUP($FM46-GR$103+1,Männer!$AZ$9:$BD$102,5)),RundDx)</f>
        <v>5945693</v>
      </c>
      <c r="GS46" s="24"/>
      <c r="GT46" s="24"/>
      <c r="GU46" s="24"/>
      <c r="GV46" s="24"/>
      <c r="GW46" s="24"/>
      <c r="GX46" s="24"/>
      <c r="GY46" s="24"/>
      <c r="GZ46" s="24"/>
      <c r="HA46" s="89"/>
      <c r="HB46" s="35">
        <f t="shared" si="65"/>
        <v>101</v>
      </c>
      <c r="HC46" s="24"/>
      <c r="HD46" s="24"/>
      <c r="HE46" s="24"/>
      <c r="HF46" s="24"/>
      <c r="HG46" s="24"/>
      <c r="HH46" s="24"/>
      <c r="HI46" s="24"/>
      <c r="HJ46" s="24">
        <f>ROUND(SUM(GC46:GC$56)/VLOOKUP($FM46,$AQ$9:$AR$102,2)/VLOOKUP($FM46-HJ$103,Männer!$G$9:$J$102,4),Rundäx)</f>
        <v>0</v>
      </c>
      <c r="HK46" s="89"/>
      <c r="HL46" s="35">
        <f t="shared" si="66"/>
        <v>101</v>
      </c>
      <c r="HM46" s="24">
        <f>ROUND(SUM(GD46:GD$56)/VLOOKUP($FM46,$AQ$9:$AR$102,2)/VLOOKUP($FM46-HM$103,Männer!$G$9:$J$102,4),Rundäx)</f>
        <v>0.35499999999999998</v>
      </c>
      <c r="HN46" s="24">
        <f>ROUND(SUM(GE46:GE$56)/VLOOKUP($FM46,$AQ$9:$AR$102,2)/VLOOKUP($FM46-HN$103,Männer!$G$9:$J$102,4),Rundäx)</f>
        <v>0.52900000000000003</v>
      </c>
      <c r="HO46" s="24">
        <f>ROUND(SUM(GF46:GF$56)/VLOOKUP($FM46,$AQ$9:$AR$102,2)/VLOOKUP($FM46-HO$103,Männer!$G$9:$J$102,4),Rundäx)</f>
        <v>0.64300000000000002</v>
      </c>
      <c r="HP46" s="24">
        <f>ROUND(SUM(GG46:GG$56)/VLOOKUP($FM46,$AQ$9:$AR$102,2)/VLOOKUP($FM46-HP$103,Männer!$G$9:$J$102,4),Rundäx)</f>
        <v>0.77100000000000002</v>
      </c>
      <c r="HQ46" s="24">
        <f>ROUND(SUM(GH46:GH$56)/VLOOKUP($FM46,$AQ$9:$AR$102,2)/VLOOKUP($FM46-HQ$103,Männer!$G$9:$J$102,4),Rundäx)</f>
        <v>0.91300000000000003</v>
      </c>
      <c r="HR46" s="24">
        <f>ROUND(SUM(GI46:GI$56)/VLOOKUP($FM46,$AQ$9:$AR$102,2)/VLOOKUP($FM46-HR$103,Männer!$G$9:$J$102,4),Rundäx)</f>
        <v>1.07</v>
      </c>
      <c r="HS46" s="24">
        <f>ROUND(SUM(GJ46:GJ$56)/VLOOKUP($FM46,$AQ$9:$AR$102,2)/VLOOKUP($FM46-HS$103,Männer!$G$9:$J$102,4),Rundäx)</f>
        <v>1.24</v>
      </c>
      <c r="HT46" s="24">
        <f>ROUND(SUM(GK46:GK$56)/VLOOKUP($FM46,$AQ$9:$AR$102,2)/VLOOKUP($FM46-HT$103,Männer!$G$9:$J$102,4),Rundäx)</f>
        <v>1.425</v>
      </c>
      <c r="HU46" s="89"/>
      <c r="HV46" s="35">
        <f t="shared" si="67"/>
        <v>101</v>
      </c>
      <c r="HW46" s="24">
        <f>ROUND(SUM(GL46:GL$56)/VLOOKUP($FM46,$AQ$9:$AR$102,2)/VLOOKUP($FM46-HW$103,Männer!$G$9:$J$102,4),Rundäx)</f>
        <v>1.6240000000000001</v>
      </c>
      <c r="HX46" s="24">
        <f>ROUND(SUM(GM46:GM$56)/VLOOKUP($FM46,$AQ$9:$AR$102,2)/VLOOKUP($FM46-HX$103,Männer!$G$9:$J$102,4),Rundäx)</f>
        <v>1.84</v>
      </c>
      <c r="HY46" s="24">
        <f>ROUND(SUM(GN46:GN$56)/VLOOKUP($FM46,$AQ$9:$AR$102,2)/VLOOKUP($FM46-HY$103,Männer!$G$9:$J$102,4),Rundäx)</f>
        <v>2.0710000000000002</v>
      </c>
      <c r="HZ46" s="24">
        <f>ROUND(SUM(GO46:GO$56)/VLOOKUP($FM46,$AQ$9:$AR$102,2)/VLOOKUP($FM46-HZ$103,Männer!$G$9:$J$102,4),Rundäx)</f>
        <v>2.3170000000000002</v>
      </c>
      <c r="IA46" s="24">
        <f>ROUND(SUM(GP46:GP$56)/VLOOKUP($FM46,$AQ$9:$AR$102,2)/VLOOKUP($FM46-IA$103,Männer!$G$9:$J$102,4),Rundäx)</f>
        <v>2.5760000000000001</v>
      </c>
      <c r="IB46" s="24">
        <f>ROUND(SUM(GQ46:GQ$56)/VLOOKUP($FM46,$AQ$9:$AR$102,2)/VLOOKUP($FM46-IB$103,Männer!$G$9:$J$102,4),Rundäx)</f>
        <v>2.8450000000000002</v>
      </c>
      <c r="IC46" s="24">
        <f>ROUND(SUM(GR46:GR$56)/VLOOKUP($FM46,$AQ$9:$AR$102,2)/VLOOKUP($FM46-IC$103,Männer!$G$9:$J$102,4),Rundäx)</f>
        <v>3.121</v>
      </c>
      <c r="ID46" s="89"/>
      <c r="IE46" s="9">
        <f t="shared" si="80"/>
        <v>54</v>
      </c>
      <c r="IF46" s="11">
        <f t="shared" si="25"/>
        <v>21</v>
      </c>
      <c r="IG46" s="11">
        <f>IF($IE46&lt;RAF,IF(S47&lt;=RAK,ROUND(SUM(IF46:INDEX(Daky,RAF-BeginnAlter))+INDEX(Day,RAF-BeginnAlter+1)*INDEX(äky,1),RundDx),0),"")</f>
        <v>59</v>
      </c>
      <c r="IH46" s="11">
        <f>IF($IE46&lt;RAF,IF(S47&lt;=RAK,ROUND(SUM(IG46:INDEX(Naky,RAF-BeginnAlter))+INDEX(Day,RAF-BeginnAlter+1)*INDEX(äky,1),RundDx),0),"")</f>
        <v>161</v>
      </c>
      <c r="II46" s="10">
        <f t="shared" si="26"/>
        <v>2E-3</v>
      </c>
      <c r="IJ46" s="11">
        <f t="shared" si="27"/>
        <v>204</v>
      </c>
      <c r="IK46" s="11">
        <f>IF($IE46&lt;RAF,IF(S47&lt;=RAK,SUM(IJ46:INDEX(Diky,RAF-BeginnAlter))+INDEX(Diy,RAF-BeginnAlter+1)*INDEX(äky,1),0),"")</f>
        <v>525</v>
      </c>
      <c r="IL46" s="10">
        <f t="shared" si="28"/>
        <v>1.6E-2</v>
      </c>
      <c r="IM46" s="89"/>
      <c r="IN46" s="9">
        <f t="shared" si="29"/>
        <v>101</v>
      </c>
      <c r="IO46" s="11"/>
      <c r="IP46" s="11"/>
      <c r="IQ46" s="10"/>
      <c r="IR46" s="86"/>
    </row>
    <row r="47" spans="1:252" ht="15.75" customHeight="1" x14ac:dyDescent="0.25">
      <c r="A47" s="9">
        <f t="shared" si="69"/>
        <v>55</v>
      </c>
      <c r="B47" s="93">
        <v>2.1734244054505631E-3</v>
      </c>
      <c r="C47" s="93">
        <v>1.3283402391783439E-2</v>
      </c>
      <c r="D47" s="93">
        <v>1.9335159912351463E-2</v>
      </c>
      <c r="E47" s="93">
        <v>4.0613482841064252E-3</v>
      </c>
      <c r="F47" s="89"/>
      <c r="G47" s="9">
        <f t="shared" si="70"/>
        <v>55</v>
      </c>
      <c r="H47" s="11">
        <f t="shared" si="30"/>
        <v>85890</v>
      </c>
      <c r="I47" s="25">
        <f t="shared" si="31"/>
        <v>9891</v>
      </c>
      <c r="J47" s="25">
        <f t="shared" si="32"/>
        <v>95781</v>
      </c>
      <c r="K47" s="30">
        <f>IF(J47&gt;0,ROUND(SUM(J47:J$102)/J47-0.5,Rundex),"")</f>
        <v>28.73</v>
      </c>
      <c r="L47" s="25">
        <f t="shared" si="6"/>
        <v>110444</v>
      </c>
      <c r="M47" s="30">
        <f>IF(L47&gt;0,ROUND(SUM(L47:L$102)/L47-0.5,Rundex),"")</f>
        <v>25.5</v>
      </c>
      <c r="N47" s="89"/>
      <c r="O47" s="9">
        <f t="shared" si="71"/>
        <v>55</v>
      </c>
      <c r="P47" s="94">
        <v>0.24581662349075706</v>
      </c>
      <c r="Q47" s="95">
        <v>57.267806413549337</v>
      </c>
      <c r="R47" s="94">
        <v>4.9163804789573537E-2</v>
      </c>
      <c r="S47" s="95">
        <v>19.399999999999999</v>
      </c>
      <c r="T47" s="28">
        <v>3.5683039156224712E-3</v>
      </c>
      <c r="U47" s="11">
        <f t="shared" si="33"/>
        <v>96507</v>
      </c>
      <c r="V47" s="30">
        <f>IF(U47&gt;0,ROUND(SUM(U47:U$102)/U47-0.5,Rundex),"")</f>
        <v>29.8</v>
      </c>
      <c r="W47" s="89"/>
      <c r="X47" s="9">
        <f t="shared" si="72"/>
        <v>55</v>
      </c>
      <c r="Y47" s="11">
        <f t="shared" si="34"/>
        <v>25262</v>
      </c>
      <c r="Z47" s="11">
        <f>IF($X47&lt;RAF,SUM(Y47:INDEX(Day,RAF-BeginnAlter))," ")</f>
        <v>192427</v>
      </c>
      <c r="AA47" s="11">
        <f t="shared" si="0"/>
        <v>54</v>
      </c>
      <c r="AB47" s="11">
        <f>IF($X47&lt;RAF,SUM(AA47:INDEX(Cay,RAF-BeginnAlter))," ")</f>
        <v>605</v>
      </c>
      <c r="AC47" s="11">
        <f t="shared" si="1"/>
        <v>332</v>
      </c>
      <c r="AD47" s="11">
        <f>IF($X47&lt;RAF,SUM(AC47:INDEX(Caiy,RAF-BeginnAlter))," ")</f>
        <v>4100</v>
      </c>
      <c r="AE47" s="10">
        <f t="shared" si="35"/>
        <v>7.617</v>
      </c>
      <c r="AF47" s="10">
        <f t="shared" si="36"/>
        <v>7.4560000000000004</v>
      </c>
      <c r="AG47" s="89"/>
      <c r="AH47" s="9">
        <f t="shared" si="73"/>
        <v>55</v>
      </c>
      <c r="AI47" s="11">
        <f t="shared" si="37"/>
        <v>32483</v>
      </c>
      <c r="AJ47" s="11">
        <f>IF($AH47&gt;RAF," ",IF($AH47&lt;RAF,SUM(AI47:INDEX(Diy,RAF-BeginnAlter))+INDEX(Ny,RAF-BeginnAlter+1),INDEX(Ny,RAF-BeginnAlter+1)))</f>
        <v>613580</v>
      </c>
      <c r="AK47" s="11">
        <f>IF($AH47&lt;RAF,SUM(AI47:INDEX(Diy,RAF-BeginnAlter))," ")</f>
        <v>247486</v>
      </c>
      <c r="AL47" s="10">
        <f t="shared" si="38"/>
        <v>18.888999999999999</v>
      </c>
      <c r="AM47" s="10">
        <f t="shared" si="39"/>
        <v>18.431000000000001</v>
      </c>
      <c r="AN47" s="10">
        <f t="shared" si="40"/>
        <v>7.6189999999999998</v>
      </c>
      <c r="AO47" s="10">
        <f t="shared" si="41"/>
        <v>7.4669999999999996</v>
      </c>
      <c r="AP47" s="89"/>
      <c r="AQ47" s="9">
        <f t="shared" si="74"/>
        <v>55</v>
      </c>
      <c r="AR47" s="11">
        <f t="shared" si="42"/>
        <v>28171</v>
      </c>
      <c r="AS47" s="11">
        <f>SUM(AR47:AR$96)</f>
        <v>593735</v>
      </c>
      <c r="AT47" s="25">
        <f>IF($AQ47&lt;RAF,SUM(AR47:INDEX(Dy,RAF-BeginnAlter))," ")</f>
        <v>227641</v>
      </c>
      <c r="AU47" s="24">
        <f t="shared" si="43"/>
        <v>21.076000000000001</v>
      </c>
      <c r="AV47" s="24">
        <f t="shared" si="44"/>
        <v>20.617999999999999</v>
      </c>
      <c r="AW47" s="24">
        <f t="shared" si="45"/>
        <v>8.0809999999999995</v>
      </c>
      <c r="AX47" s="24">
        <f t="shared" si="46"/>
        <v>7.976</v>
      </c>
      <c r="AY47" s="89"/>
      <c r="AZ47" s="9">
        <f t="shared" si="75"/>
        <v>55</v>
      </c>
      <c r="BA47" s="11">
        <f t="shared" si="47"/>
        <v>28384</v>
      </c>
      <c r="BB47" s="11">
        <f>SUM(BA47:BA$96)</f>
        <v>615372</v>
      </c>
      <c r="BC47" s="10">
        <f t="shared" si="48"/>
        <v>21.68</v>
      </c>
      <c r="BD47" s="10">
        <f t="shared" si="7"/>
        <v>21.222000000000001</v>
      </c>
      <c r="BE47" s="89"/>
      <c r="BF47" s="9">
        <f t="shared" si="54"/>
        <v>38</v>
      </c>
      <c r="BG47" s="10" t="str">
        <f t="shared" si="8"/>
        <v/>
      </c>
      <c r="BH47" s="10" t="str">
        <f t="shared" si="9"/>
        <v/>
      </c>
      <c r="BI47" s="89"/>
      <c r="BJ47" s="9">
        <f t="shared" si="76"/>
        <v>55</v>
      </c>
      <c r="BK47" s="11">
        <f t="shared" si="10"/>
        <v>6077</v>
      </c>
      <c r="BL47" s="11">
        <f>IF(BJ47&lt;RAF,SUM(BK47:INDEX(Daiy,RAF-BeginnAlter))," ")</f>
        <v>70861</v>
      </c>
      <c r="BM47" s="11">
        <f>IF(BJ47&lt;RAF,SUM(BL47:INDEX(Naiy,RAF-BeginnAlter))," ")</f>
        <v>378713</v>
      </c>
      <c r="BN47" s="10">
        <f t="shared" si="11"/>
        <v>10.616</v>
      </c>
      <c r="BO47" s="10">
        <f t="shared" si="12"/>
        <v>2.8050000000000002</v>
      </c>
      <c r="BP47" s="89"/>
      <c r="BQ47" s="9">
        <f t="shared" si="77"/>
        <v>55</v>
      </c>
      <c r="BR47" s="11">
        <f t="shared" si="13"/>
        <v>2362</v>
      </c>
      <c r="BS47" s="11">
        <f>IF(BQ47&lt;RAF,SUM(BR47:INDEX(Daiys,RAF-BeginnAlter))," ")</f>
        <v>14811</v>
      </c>
      <c r="BT47" s="11">
        <f>IF(BQ47&lt;RAF,SUM(BS47:INDEX(Naiys,RAF-BeginnAlter))," ")</f>
        <v>58701</v>
      </c>
      <c r="BU47" s="10">
        <f t="shared" si="14"/>
        <v>12.835000000000001</v>
      </c>
      <c r="BV47" s="10">
        <f t="shared" si="15"/>
        <v>0.58599999999999997</v>
      </c>
      <c r="BW47" s="89"/>
      <c r="BX47" s="9">
        <f t="shared" si="78"/>
        <v>55</v>
      </c>
      <c r="BY47" s="10">
        <f t="shared" si="16"/>
        <v>4.909774688072952</v>
      </c>
      <c r="BZ47" s="11">
        <f t="shared" si="17"/>
        <v>66</v>
      </c>
      <c r="CA47" s="11">
        <f>IF(S48&lt;=RAK,IF($BX47&lt;RAF,SUM(BZ47:INDEX(Dazy,RAF-BeginnAlter)),""),"")</f>
        <v>189</v>
      </c>
      <c r="CB47" s="10">
        <f t="shared" si="18"/>
        <v>7.0000000000000001E-3</v>
      </c>
      <c r="CC47" s="11">
        <f t="shared" si="19"/>
        <v>24146</v>
      </c>
      <c r="CD47" s="10">
        <f t="shared" si="20"/>
        <v>17.984000000000002</v>
      </c>
      <c r="CE47" s="10">
        <f t="shared" si="21"/>
        <v>5.0000000000000001E-3</v>
      </c>
      <c r="CF47" s="89"/>
      <c r="CG47" s="9">
        <f t="shared" si="79"/>
        <v>55</v>
      </c>
      <c r="CH47" s="11">
        <f>IF(CG47&lt;RAF,ROUND(v^($CG47+FaktorAlter)*$H47*($B47*0.5*($P47+$P48)*(VLOOKUP(TRUNC(0.5*($Q47+$Q48),0),Männer!$AZ$9:$BD$95,5)+(0.5*($Q47+$Q48)-TRUNC(0.5*($Q47+$Q48),0))*(VLOOKUP(TRUNC(0.5*($Q47+$Q48)+1,0),Männer!$AZ$9:$BD$95,5)-VLOOKUP(TRUNC(0.5*($Q47+$Q48),0),Männer!$AZ$9:$BD$95,5)))+$C47*0.5*($CN47+$CN48)),RundDx),"")</f>
        <v>375</v>
      </c>
      <c r="CI47" s="11">
        <f>IF(CG47&lt;RAF,ROUND(SUM(CH47:INDEX(Dawy,RAF-BeginnAlter))+INDEX(Day,RAF-BeginnAlter+1)*INDEX(äwy,1),RundDx),"")</f>
        <v>4674</v>
      </c>
      <c r="CJ47" s="11">
        <f>IF(CG47&lt;RAF,ROUND(SUM(CI47:INDEX(Nawy,RAF-BeginnAlter))+INDEX(Day,RAF-BeginnAlter+1)*INDEX(äwy,1),RundDx),"")</f>
        <v>31634</v>
      </c>
      <c r="CK47" s="10">
        <f t="shared" si="22"/>
        <v>0.185</v>
      </c>
      <c r="CL47" s="11">
        <f>IF(CG47&lt;RAF,ROUND(v^($CG47+FaktorAlter)*$L47*$D47*0.5*($P47+$P48)*(VLOOKUP(TRUNC(0.5*($Q47+$Q48),0),Männer!$AZ$9:$BD$95,5)+(0.5*($Q47+$Q48)-TRUNC(0.5*($Q47+$Q48),0))*(VLOOKUP(TRUNC(0.5*($Q47+$Q48)+1,0),Männer!$AZ$9:$BD$95,5)-VLOOKUP(TRUNC(0.5*($Q47+$Q48),0),Männer!$AZ$9:$BD$95,5))),RundDx),"")</f>
        <v>2388</v>
      </c>
      <c r="CM47" s="11">
        <f>IF(CG47&lt;RAF,SUM(CL47:INDEX(Diwy,RAF-BeginnAlter))+INDEX(Diy,RAF-BeginnAlter+1)*INDEX(äwy,1),"")</f>
        <v>17149.304</v>
      </c>
      <c r="CN47" s="10">
        <f t="shared" si="23"/>
        <v>0.52800000000000002</v>
      </c>
      <c r="CO47" s="89"/>
      <c r="CP47" s="9">
        <f t="shared" si="59"/>
        <v>102</v>
      </c>
      <c r="CQ47" s="11"/>
      <c r="CR47" s="11"/>
      <c r="CS47" s="24"/>
      <c r="CT47" s="89"/>
      <c r="CU47" s="35">
        <f t="shared" si="60"/>
        <v>55</v>
      </c>
      <c r="CV47" s="25">
        <f>IF($CU47&gt;=RAF,"",IF($CU47-CV$103&lt;BeginnAlter,"",ROUND(v^($CU47+FaktorAlter)*$L47*$D47*0.5*(VLOOKUP($CU47-CV$103,Männer!$G$9:$J$102,4)+VLOOKUP($CU47-CV$103+1,Männer!$G$9:$J$102,4))*0.5*(VLOOKUP($CU47-CV$103,Männer!$AZ$9:$BD$102,5)+VLOOKUP($CU47-CV$103+1,Männer!$AZ$9:$BD$102,5)),RundDx)))</f>
        <v>511843285</v>
      </c>
      <c r="CW47" s="25">
        <f>IF($CU47&gt;=RAF,"",IF($CU47-CW$103&lt;BeginnAlter,"",ROUND(v^($CU47+FaktorAlter)*$L47*$D47*0.5*(VLOOKUP($CU47-CW$103,Männer!$G$9:$J$102,4)+VLOOKUP($CU47-CW$103+1,Männer!$G$9:$J$102,4))*0.5*(VLOOKUP($CU47-CW$103,Männer!$AZ$9:$BD$102,5)+VLOOKUP($CU47-CW$103+1,Männer!$AZ$9:$BD$102,5)),RundDx)))</f>
        <v>542742277</v>
      </c>
      <c r="CX47" s="25">
        <f>IF($CU47&gt;=RAF,"",IF($CU47-CX$103&lt;BeginnAlter,"",ROUND(v^($CU47+FaktorAlter)*$L47*$D47*0.5*(VLOOKUP($CU47-CX$103,Männer!$G$9:$J$102,4)+VLOOKUP($CU47-CX$103+1,Männer!$G$9:$J$102,4))*0.5*(VLOOKUP($CU47-CX$103,Männer!$AZ$9:$BD$102,5)+VLOOKUP($CU47-CX$103+1,Männer!$AZ$9:$BD$102,5)),RundDx)))</f>
        <v>573775363</v>
      </c>
      <c r="CY47" s="25">
        <f>IF($CU47&gt;=RAF,"",IF($CU47-CY$103&lt;BeginnAlter,"",ROUND(v^($CU47+FaktorAlter)*$L47*$D47*0.5*(VLOOKUP($CU47-CY$103,Männer!$G$9:$J$102,4)+VLOOKUP($CU47-CY$103+1,Männer!$G$9:$J$102,4))*0.5*(VLOOKUP($CU47-CY$103,Männer!$AZ$9:$BD$102,5)+VLOOKUP($CU47-CY$103+1,Männer!$AZ$9:$BD$102,5)),RundDx)))</f>
        <v>605032046</v>
      </c>
      <c r="CZ47" s="25">
        <f>IF($CU47&gt;=RAF,"",IF($CU47-CZ$103&lt;BeginnAlter,"",ROUND(v^($CU47+FaktorAlter)*$L47*$D47*0.5*(VLOOKUP($CU47-CZ$103,Männer!$G$9:$J$102,4)+VLOOKUP($CU47-CZ$103+1,Männer!$G$9:$J$102,4))*0.5*(VLOOKUP($CU47-CZ$103,Männer!$AZ$9:$BD$102,5)+VLOOKUP($CU47-CZ$103+1,Männer!$AZ$9:$BD$102,5)),RundDx)))</f>
        <v>636435162</v>
      </c>
      <c r="DA47" s="25">
        <f>IF($CU47&gt;=RAF,"",IF($CU47-DA$103&lt;BeginnAlter,"",ROUND(v^($CU47+FaktorAlter)*$L47*$D47*0.5*(VLOOKUP($CU47-DA$103,Männer!$G$9:$J$102,4)+VLOOKUP($CU47-DA$103+1,Männer!$G$9:$J$102,4))*0.5*(VLOOKUP($CU47-DA$103,Männer!$AZ$9:$BD$102,5)+VLOOKUP($CU47-DA$103+1,Männer!$AZ$9:$BD$102,5)),RundDx)))</f>
        <v>668061193</v>
      </c>
      <c r="DB47" s="25">
        <f>IF($CU47&gt;=RAF,"",IF($CU47-DB$103&lt;BeginnAlter,"",ROUND(v^($CU47+FaktorAlter)*$L47*$D47*0.5*(VLOOKUP($CU47-DB$103,Männer!$G$9:$J$102,4)+VLOOKUP($CU47-DB$103+1,Männer!$G$9:$J$102,4))*0.5*(VLOOKUP($CU47-DB$103,Männer!$AZ$9:$BD$102,5)+VLOOKUP($CU47-DB$103+1,Männer!$AZ$9:$BD$102,5)),RundDx)))</f>
        <v>700071560</v>
      </c>
      <c r="DC47" s="25">
        <f>IF($CU47&gt;=RAF,"",IF($CU47-DC$103&lt;BeginnAlter,"",ROUND(v^($CU47+FaktorAlter)*$L47*$D47*0.5*(VLOOKUP($CU47-DC$103,Männer!$G$9:$J$102,4)+VLOOKUP($CU47-DC$103+1,Männer!$G$9:$J$102,4))*0.5*(VLOOKUP($CU47-DC$103,Männer!$AZ$9:$BD$102,5)+VLOOKUP($CU47-DC$103+1,Männer!$AZ$9:$BD$102,5)),RundDx)))</f>
        <v>732526941</v>
      </c>
      <c r="DD47" s="25">
        <f>IF($CU47&gt;=RAF,"",IF($CU47-DD$103&lt;BeginnAlter,"",ROUND(v^($CU47+FaktorAlter)*$L47*$D47*0.5*(VLOOKUP($CU47-DD$103,Männer!$G$9:$J$102,4)+VLOOKUP($CU47-DD$103+1,Männer!$G$9:$J$102,4))*0.5*(VLOOKUP($CU47-DD$103,Männer!$AZ$9:$BD$102,5)+VLOOKUP($CU47-DD$103+1,Männer!$AZ$9:$BD$102,5)),RundDx)))</f>
        <v>765505595</v>
      </c>
      <c r="DE47" s="25">
        <f>IF($CU47&gt;=RAF,"",IF($CU47-DE$103&lt;BeginnAlter,"",ROUND(v^($CU47+FaktorAlter)*$L47*$D47*0.5*(VLOOKUP($CU47-DE$103,Männer!$G$9:$J$102,4)+VLOOKUP($CU47-DE$103+1,Männer!$G$9:$J$102,4))*0.5*(VLOOKUP($CU47-DE$103,Männer!$AZ$9:$BD$102,5)+VLOOKUP($CU47-DE$103+1,Männer!$AZ$9:$BD$102,5)),RundDx)))</f>
        <v>799056680</v>
      </c>
      <c r="DF47" s="25">
        <f>IF($CU47&gt;=RAF,"",IF($CU47-DF$103&lt;BeginnAlter,"",ROUND(v^($CU47+FaktorAlter)*$L47*$D47*0.5*(VLOOKUP($CU47-DF$103,Männer!$G$9:$J$102,4)+VLOOKUP($CU47-DF$103+1,Männer!$G$9:$J$102,4))*0.5*(VLOOKUP($CU47-DF$103,Männer!$AZ$9:$BD$102,5)+VLOOKUP($CU47-DF$103+1,Männer!$AZ$9:$BD$102,5)),RundDx)))</f>
        <v>833207204</v>
      </c>
      <c r="DG47" s="25">
        <f>IF($CU47&gt;=RAF,"",IF($CU47-DG$103&lt;BeginnAlter,"",ROUND(v^($CU47+FaktorAlter)*$L47*$D47*0.5*(VLOOKUP($CU47-DG$103,Männer!$G$9:$J$102,4)+VLOOKUP($CU47-DG$103+1,Männer!$G$9:$J$102,4))*0.5*(VLOOKUP($CU47-DG$103,Männer!$AZ$9:$BD$102,5)+VLOOKUP($CU47-DG$103+1,Männer!$AZ$9:$BD$102,5)),RundDx)))</f>
        <v>868018190</v>
      </c>
      <c r="DH47" s="25">
        <f>IF($CU47&gt;=RAF,"",IF($CU47-DH$103&lt;BeginnAlter,"",ROUND(v^($CU47+FaktorAlter)*$L47*$D47*0.5*(VLOOKUP($CU47-DH$103,Männer!$G$9:$J$102,4)+VLOOKUP($CU47-DH$103+1,Männer!$G$9:$J$102,4))*0.5*(VLOOKUP($CU47-DH$103,Männer!$AZ$9:$BD$102,5)+VLOOKUP($CU47-DH$103+1,Männer!$AZ$9:$BD$102,5)),RundDx)))</f>
        <v>903448448</v>
      </c>
      <c r="DI47" s="25">
        <f>IF($CU47&gt;=RAF,"",IF($CU47-DI$103&lt;BeginnAlter,"",ROUND(v^($CU47+FaktorAlter)*$L47*$D47*0.5*(VLOOKUP($CU47-DI$103,Männer!$G$9:$J$102,4)+VLOOKUP($CU47-DI$103+1,Männer!$G$9:$J$102,4))*0.5*(VLOOKUP($CU47-DI$103,Männer!$AZ$9:$BD$102,5)+VLOOKUP($CU47-DI$103+1,Männer!$AZ$9:$BD$102,5)),RundDx)))</f>
        <v>939445993</v>
      </c>
      <c r="DJ47" s="25">
        <f>IF($CU47&gt;=RAF,"",IF($CU47-DJ$103&lt;BeginnAlter,"",ROUND(v^($CU47+FaktorAlter)*$L47*$D47*0.5*(VLOOKUP($CU47-DJ$103,Männer!$G$9:$J$102,4)+VLOOKUP($CU47-DJ$103+1,Männer!$G$9:$J$102,4))*0.5*(VLOOKUP($CU47-DJ$103,Männer!$AZ$9:$BD$102,5)+VLOOKUP($CU47-DJ$103+1,Männer!$AZ$9:$BD$102,5)),RundDx)))</f>
        <v>976000802</v>
      </c>
      <c r="DK47" s="25">
        <f>IF($CU47&gt;=RAF,"",IF($CU47-DK$103&lt;BeginnAlter,"",ROUND(v^($CU47+FaktorAlter)*$L47*$D47*0.5*(VLOOKUP($CU47-DK$103,Männer!$G$9:$J$102,4)+VLOOKUP($CU47-DK$103+1,Männer!$G$9:$J$102,4))*0.5*(VLOOKUP($CU47-DK$103,Männer!$AZ$9:$BD$102,5)+VLOOKUP($CU47-DK$103+1,Männer!$AZ$9:$BD$102,5)),RundDx)))</f>
        <v>1012576808</v>
      </c>
      <c r="DL47" s="25">
        <f>IF($CU47&gt;=RAF,"",IF($CU47-DL$103&lt;BeginnAlter,"",ROUND(v^($CU47+FaktorAlter)*$L47*$D47*0.5*(VLOOKUP($CU47-DL$103,Männer!$G$9:$J$102,4)+VLOOKUP($CU47-DL$103+1,Männer!$G$9:$J$102,4))*0.5*(VLOOKUP($CU47-DL$103,Männer!$AZ$9:$BD$102,5)+VLOOKUP($CU47-DL$103+1,Männer!$AZ$9:$BD$102,5)),RundDx)))</f>
        <v>1048602530</v>
      </c>
      <c r="DM47" s="25">
        <f>IF($CU47&gt;=RAF,"",IF($CU47-DM$103&lt;BeginnAlter,"",ROUND(v^($CU47+FaktorAlter)*$L47*$D47*0.5*(VLOOKUP($CU47-DM$103,Männer!$G$9:$J$102,4)+VLOOKUP($CU47-DM$103+1,Männer!$G$9:$J$102,4))*0.5*(VLOOKUP($CU47-DM$103,Männer!$AZ$9:$BD$102,5)+VLOOKUP($CU47-DM$103+1,Männer!$AZ$9:$BD$102,5)),RundDx)))</f>
        <v>1084084033</v>
      </c>
      <c r="DN47" s="25">
        <f>IF($CU47&gt;=RAF,"",IF($CU47-DN$103&lt;BeginnAlter,"",ROUND(v^($CU47+FaktorAlter)*$L47*$D47*0.5*(VLOOKUP($CU47-DN$103,Männer!$G$9:$J$102,4)+VLOOKUP($CU47-DN$103+1,Männer!$G$9:$J$102,4))*0.5*(VLOOKUP($CU47-DN$103,Männer!$AZ$9:$BD$102,5)+VLOOKUP($CU47-DN$103+1,Männer!$AZ$9:$BD$102,5)),RundDx)))</f>
        <v>1119026675</v>
      </c>
      <c r="DO47" s="25">
        <f>IF($CU47&gt;=RAF,"",IF($CU47-DO$103&lt;BeginnAlter,"",ROUND(v^($CU47+FaktorAlter)*$L47*$D47*0.5*(VLOOKUP($CU47-DO$103,Männer!$G$9:$J$102,4)+VLOOKUP($CU47-DO$103+1,Männer!$G$9:$J$102,4))*0.5*(VLOOKUP($CU47-DO$103,Männer!$AZ$9:$BD$102,5)+VLOOKUP($CU47-DO$103+1,Männer!$AZ$9:$BD$102,5)),RundDx)))</f>
        <v>1153367669</v>
      </c>
      <c r="DP47" s="25">
        <f>IF($CU47&gt;=RAF,"",IF($CU47-DP$103&lt;BeginnAlter,"",ROUND(v^($CU47+FaktorAlter)*$L47*$D47*0.5*(VLOOKUP($CU47-DP$103,Männer!$G$9:$J$102,4)+VLOOKUP($CU47-DP$103+1,Männer!$G$9:$J$102,4))*0.5*(VLOOKUP($CU47-DP$103,Männer!$AZ$9:$BD$102,5)+VLOOKUP($CU47-DP$103+1,Männer!$AZ$9:$BD$102,5)),RundDx)))</f>
        <v>1187110826</v>
      </c>
      <c r="DQ47" s="25">
        <f>IF($CU47&gt;=RAF,"",IF($CU47-DQ$103&lt;BeginnAlter,"",ROUND(v^($CU47+FaktorAlter)*$L47*$D47*0.5*(VLOOKUP($CU47-DQ$103,Männer!$G$9:$J$102,4)+VLOOKUP($CU47-DQ$103+1,Männer!$G$9:$J$102,4))*0.5*(VLOOKUP($CU47-DQ$103,Männer!$AZ$9:$BD$102,5)+VLOOKUP($CU47-DQ$103+1,Männer!$AZ$9:$BD$102,5)),RundDx)))</f>
        <v>1220308381</v>
      </c>
      <c r="DR47" s="25">
        <f>IF($CU47&gt;=RAF,"",IF($CU47-DR$103&lt;BeginnAlter,"",ROUND(v^($CU47+FaktorAlter)*$L47*$D47*0.5*(VLOOKUP($CU47-DR$103,Männer!$G$9:$J$102,4)+VLOOKUP($CU47-DR$103+1,Männer!$G$9:$J$102,4))*0.5*(VLOOKUP($CU47-DR$103,Männer!$AZ$9:$BD$102,5)+VLOOKUP($CU47-DR$103+1,Männer!$AZ$9:$BD$102,5)),RundDx)))</f>
        <v>1252938970</v>
      </c>
      <c r="DS47" s="25">
        <f>IF($CU47&gt;=RAF,"",IF($CU47-DS$103&lt;BeginnAlter,"",ROUND(v^($CU47+FaktorAlter)*$L47*$D47*0.5*(VLOOKUP($CU47-DS$103,Männer!$G$9:$J$102,4)+VLOOKUP($CU47-DS$103+1,Männer!$G$9:$J$102,4))*0.5*(VLOOKUP($CU47-DS$103,Männer!$AZ$9:$BD$102,5)+VLOOKUP($CU47-DS$103+1,Männer!$AZ$9:$BD$102,5)),RundDx)))</f>
        <v>1284967674</v>
      </c>
      <c r="DT47" s="25">
        <f>IF($CU47&gt;=RAF,"",IF($CU47-DT$103&lt;BeginnAlter,"",ROUND(v^($CU47+FaktorAlter)*$L47*$D47*0.5*(VLOOKUP($CU47-DT$103,Männer!$G$9:$J$102,4)+VLOOKUP($CU47-DT$103+1,Männer!$G$9:$J$102,4))*0.5*(VLOOKUP($CU47-DT$103,Männer!$AZ$9:$BD$102,5)+VLOOKUP($CU47-DT$103+1,Männer!$AZ$9:$BD$102,5)),RundDx)))</f>
        <v>1316434063</v>
      </c>
      <c r="DU47" s="25">
        <f>IF($CU47&gt;=RAF,"",IF($CU47-DU$103&lt;BeginnAlter,"",ROUND(v^($CU47+FaktorAlter)*$L47*$D47*0.5*(VLOOKUP($CU47-DU$103,Männer!$G$9:$J$102,4)+VLOOKUP($CU47-DU$103+1,Männer!$G$9:$J$102,4))*0.5*(VLOOKUP($CU47-DU$103,Männer!$AZ$9:$BD$102,5)+VLOOKUP($CU47-DU$103+1,Männer!$AZ$9:$BD$102,5)),RundDx)))</f>
        <v>1347336696</v>
      </c>
      <c r="DV47" s="25">
        <f>IF($CU47&gt;=RAF,"",IF($CU47-DV$103&lt;BeginnAlter,"",ROUND(v^($CU47+FaktorAlter)*$L47*$D47*0.5*(VLOOKUP($CU47-DV$103,Männer!$G$9:$J$102,4)+VLOOKUP($CU47-DV$103+1,Männer!$G$9:$J$102,4))*0.5*(VLOOKUP($CU47-DV$103,Männer!$AZ$9:$BD$102,5)+VLOOKUP($CU47-DV$103+1,Männer!$AZ$9:$BD$102,5)),RundDx)))</f>
        <v>1377675698</v>
      </c>
      <c r="DW47" s="25">
        <f>IF($CU47&gt;=RAF,"",IF($CU47-DW$103&lt;BeginnAlter,"",ROUND(v^($CU47+FaktorAlter)*$L47*$D47*0.5*(VLOOKUP($CU47-DW$103,Männer!$G$9:$J$102,4)+VLOOKUP($CU47-DW$103+1,Männer!$G$9:$J$102,4))*0.5*(VLOOKUP($CU47-DW$103,Männer!$AZ$9:$BD$102,5)+VLOOKUP($CU47-DW$103+1,Männer!$AZ$9:$BD$102,5)),RundDx)))</f>
        <v>1407438316</v>
      </c>
      <c r="DX47" s="25">
        <f>IF($CU47&gt;=RAF,"",IF($CU47-DX$103&lt;BeginnAlter,"",ROUND(v^($CU47+FaktorAlter)*$L47*$D47*0.5*(VLOOKUP($CU47-DX$103,Männer!$G$9:$J$102,4)+VLOOKUP($CU47-DX$103+1,Männer!$G$9:$J$102,4))*0.5*(VLOOKUP($CU47-DX$103,Männer!$AZ$9:$BD$102,5)+VLOOKUP($CU47-DX$103+1,Männer!$AZ$9:$BD$102,5)),RundDx)))</f>
        <v>1436657252</v>
      </c>
      <c r="DY47" s="25">
        <f>IF($CU47&gt;=RAF,"",IF($CU47-DY$103&lt;BeginnAlter,"",ROUND(v^($CU47+FaktorAlter)*$L47*$D47*0.5*(VLOOKUP($CU47-DY$103,Männer!$G$9:$J$102,4)+VLOOKUP($CU47-DY$103+1,Männer!$G$9:$J$102,4))*0.5*(VLOOKUP($CU47-DY$103,Männer!$AZ$9:$BD$102,5)+VLOOKUP($CU47-DY$103+1,Männer!$AZ$9:$BD$102,5)),RundDx)))</f>
        <v>1465359371</v>
      </c>
      <c r="DZ47" s="25">
        <f>IF($CU47&gt;=RAF,"",IF($CU47-DZ$103&lt;BeginnAlter,"",ROUND(v^($CU47+FaktorAlter)*$L47*$D47*0.5*(VLOOKUP($CU47-DZ$103,Männer!$G$9:$J$102,4)+VLOOKUP($CU47-DZ$103+1,Männer!$G$9:$J$102,4))*0.5*(VLOOKUP($CU47-DZ$103,Männer!$AZ$9:$BD$102,5)+VLOOKUP($CU47-DZ$103+1,Männer!$AZ$9:$BD$102,5)),RundDx)))</f>
        <v>1493496324</v>
      </c>
      <c r="EA47" s="43">
        <f>IF($CU47&gt;=RAF,"",IF($CU47-EA$103&lt;BeginnAlter,"",ROUND((SUM(CV47:CV$56)+SUM(FN$9:FN$56))/VLOOKUP($CU47,$AH$9:$AI$102,2)/VLOOKUP($CU47-EA$103,Männer!$G$9:$J$102,4),Rundäx)))</f>
        <v>1.5580000000000001</v>
      </c>
      <c r="EB47" s="43">
        <f>IF($CU47&gt;=RAF,"",IF($CU47-EB$103&lt;BeginnAlter,"",ROUND((SUM(CW47:CW$56)+SUM(FO$9:FO$56))/VLOOKUP($CU47,$AH$9:$AI$102,2)/VLOOKUP($CU47-EB$103,Männer!$G$9:$J$102,4),Rundäx)))</f>
        <v>1.6679999999999999</v>
      </c>
      <c r="EC47" s="43">
        <f>IF($CU47&gt;=RAF,"",IF($CU47-EC$103&lt;BeginnAlter,"",ROUND((SUM(CX47:CX$56)+SUM(FP$9:FP$56))/VLOOKUP($CU47,$AH$9:$AI$102,2)/VLOOKUP($CU47-EC$103,Männer!$G$9:$J$102,4),Rundäx)))</f>
        <v>1.7829999999999999</v>
      </c>
      <c r="ED47" s="43">
        <f>IF($CU47&gt;=RAF,"",IF($CU47-ED$103&lt;BeginnAlter,"",ROUND((SUM(CY47:CY$56)+SUM(FQ$9:FQ$56))/VLOOKUP($CU47,$AH$9:$AI$102,2)/VLOOKUP($CU47-ED$103,Männer!$G$9:$J$102,4),Rundäx)))</f>
        <v>1.901</v>
      </c>
      <c r="EE47" s="43">
        <f>IF($CU47&gt;=RAF,"",IF($CU47-EE$103&lt;BeginnAlter,"",ROUND((SUM(CZ47:CZ$56)+SUM(FR$9:FR$56))/VLOOKUP($CU47,$AH$9:$AI$102,2)/VLOOKUP($CU47-EE$103,Männer!$G$9:$J$102,4),Rundäx)))</f>
        <v>2.0249999999999999</v>
      </c>
      <c r="EF47" s="43">
        <f>IF($CU47&gt;=RAF,"",IF($CU47-EF$103&lt;BeginnAlter,"",ROUND((SUM(DA47:DA$56)+SUM(FS$9:FS$56))/VLOOKUP($CU47,$AH$9:$AI$102,2)/VLOOKUP($CU47-EF$103,Männer!$G$9:$J$102,4),Rundäx)))</f>
        <v>2.1539999999999999</v>
      </c>
      <c r="EG47" s="43">
        <f>IF($CU47&gt;=RAF,"",IF($CU47-EG$103&lt;BeginnAlter,"",ROUND((SUM(DB47:DB$56)+SUM(FT$9:FT$56))/VLOOKUP($CU47,$AH$9:$AI$102,2)/VLOOKUP($CU47-EG$103,Männer!$G$9:$J$102,4),Rundäx)))</f>
        <v>2.2890000000000001</v>
      </c>
      <c r="EH47" s="43">
        <f>IF($CU47&gt;=RAF,"",IF($CU47-EH$103&lt;BeginnAlter,"",ROUND((SUM(DC47:DC$56)+SUM(FU$9:FU$56))/VLOOKUP($CU47,$AH$9:$AI$102,2)/VLOOKUP($CU47-EH$103,Männer!$G$9:$J$102,4),Rundäx)))</f>
        <v>2.4300000000000002</v>
      </c>
      <c r="EI47" s="89"/>
      <c r="EJ47" s="35">
        <f t="shared" si="61"/>
        <v>55</v>
      </c>
      <c r="EK47" s="43">
        <f>IF($CU47&gt;=RAF,"",IF($CU47-EK$103&lt;BeginnAlter,"",ROUND((SUM(DD47:DD$56)+SUM(FV$9:FV$56))/VLOOKUP($CU47,$AH$9:$AI$102,2)/VLOOKUP($CU47-EK$103,Männer!$G$9:$J$102,4),Rundäx)))</f>
        <v>2.5790000000000002</v>
      </c>
      <c r="EL47" s="43">
        <f>IF($CU47&gt;=RAF,"",IF($CU47-EL$103&lt;BeginnAlter,"",ROUND((SUM(DE47:DE$56)+SUM(FW$9:FW$56))/VLOOKUP($CU47,$AH$9:$AI$102,2)/VLOOKUP($CU47-EL$103,Männer!$G$9:$J$102,4),Rundäx)))</f>
        <v>2.7349999999999999</v>
      </c>
      <c r="EM47" s="43">
        <f>IF($CU47&gt;=RAF,"",IF($CU47-EM$103&lt;BeginnAlter,"",ROUND((SUM(DF47:DF$56)+SUM(FX$9:FX$56))/VLOOKUP($CU47,$AH$9:$AI$102,2)/VLOOKUP($CU47-EM$103,Männer!$G$9:$J$102,4),Rundäx)))</f>
        <v>2.9</v>
      </c>
      <c r="EN47" s="43">
        <f>IF($CU47&gt;=RAF,"",IF($CU47-EN$103&lt;BeginnAlter,"",ROUND((SUM(DG47:DG$56)+SUM(FY$9:FY$56))/VLOOKUP($CU47,$AH$9:$AI$102,2)/VLOOKUP($CU47-EN$103,Männer!$G$9:$J$102,4),Rundäx)))</f>
        <v>3.0739999999999998</v>
      </c>
      <c r="EO47" s="43">
        <f>IF($CU47&gt;=RAF,"",IF($CU47-EO$103&lt;BeginnAlter,"",ROUND((SUM(DH47:DH$56)+SUM(FZ$9:FZ$56))/VLOOKUP($CU47,$AH$9:$AI$102,2)/VLOOKUP($CU47-EO$103,Männer!$G$9:$J$102,4),Rundäx)))</f>
        <v>3.2570000000000001</v>
      </c>
      <c r="EP47" s="43">
        <f>IF($CU47&gt;=RAF,"",IF($CU47-EP$103&lt;BeginnAlter,"",ROUND((SUM(DI47:DI$56)+SUM(GA$9:GA$56))/VLOOKUP($CU47,$AH$9:$AI$102,2)/VLOOKUP($CU47-EP$103,Männer!$G$9:$J$102,4),Rundäx)))</f>
        <v>3.45</v>
      </c>
      <c r="EQ47" s="43">
        <f>IF($CU47&gt;=RAF,"",IF($CU47-EQ$103&lt;BeginnAlter,"",ROUND((SUM(DJ47:DJ$56)+SUM(GB$9:GB$56))/VLOOKUP($CU47,$AH$9:$AI$102,2)/VLOOKUP($CU47-EQ$103,Männer!$G$9:$J$102,4),Rundäx)))</f>
        <v>3.653</v>
      </c>
      <c r="ER47" s="43">
        <f>IF($CU47&gt;=RAF,"",IF($CU47-ER$103&lt;BeginnAlter,"",ROUND((SUM(DK47:DK$56)+SUM(GC$9:GC$56))/VLOOKUP($CU47,$AH$9:$AI$102,2)/VLOOKUP($CU47-ER$103,Männer!$G$9:$J$102,4),Rundäx)))</f>
        <v>3.8660000000000001</v>
      </c>
      <c r="ES47" s="89"/>
      <c r="ET47" s="35">
        <f t="shared" si="62"/>
        <v>55</v>
      </c>
      <c r="EU47" s="43">
        <f>IF($CU47&gt;=RAF,"",IF($CU47-EU$103&lt;BeginnAlter,"",ROUND((SUM(DL47:DL$56)+SUM(GD$9:GD$56))/VLOOKUP($CU47,$AH$9:$AI$102,2)/VLOOKUP($CU47-EU$103,Männer!$G$9:$J$102,4),Rundäx)))</f>
        <v>4.0890000000000004</v>
      </c>
      <c r="EV47" s="43">
        <f>IF($CU47&gt;=RAF,"",IF($CU47-EV$103&lt;BeginnAlter,"",ROUND((SUM(DM47:DM$56)+SUM(GE$9:GE$56))/VLOOKUP($CU47,$AH$9:$AI$102,2)/VLOOKUP($CU47-EV$103,Männer!$G$9:$J$102,4),Rundäx)))</f>
        <v>4.32</v>
      </c>
      <c r="EW47" s="43">
        <f>IF($CU47&gt;=RAF,"",IF($CU47-EW$103&lt;BeginnAlter,"",ROUND((SUM(DN47:DN$56)+SUM(GF$9:GF$56))/VLOOKUP($CU47,$AH$9:$AI$102,2)/VLOOKUP($CU47-EW$103,Männer!$G$9:$J$102,4),Rundäx)))</f>
        <v>4.5590000000000002</v>
      </c>
      <c r="EX47" s="43">
        <f>IF($CU47&gt;=RAF,"",IF($CU47-EX$103&lt;BeginnAlter,"",ROUND((SUM(DO47:DO$56)+SUM(GG$9:GG$56))/VLOOKUP($CU47,$AH$9:$AI$102,2)/VLOOKUP($CU47-EX$103,Männer!$G$9:$J$102,4),Rundäx)))</f>
        <v>4.8049999999999997</v>
      </c>
      <c r="EY47" s="43">
        <f>IF($CU47&gt;=RAF,"",IF($CU47-EY$103&lt;BeginnAlter,"",ROUND((SUM(DP47:DP$56)+SUM(GH$9:GH$56))/VLOOKUP($CU47,$AH$9:$AI$102,2)/VLOOKUP($CU47-EY$103,Männer!$G$9:$J$102,4),Rundäx)))</f>
        <v>5.0590000000000002</v>
      </c>
      <c r="EZ47" s="43">
        <f>IF($CU47&gt;=RAF,"",IF($CU47-EZ$103&lt;BeginnAlter,"",ROUND((SUM(DQ47:DQ$56)+SUM(GI$9:GI$56))/VLOOKUP($CU47,$AH$9:$AI$102,2)/VLOOKUP($CU47-EZ$103,Männer!$G$9:$J$102,4),Rundäx)))</f>
        <v>5.319</v>
      </c>
      <c r="FA47" s="43">
        <f>IF($CU47&gt;=RAF,"",IF($CU47-FA$103&lt;BeginnAlter,"",ROUND((SUM(DR47:DR$56)+SUM(GJ$9:GJ$56))/VLOOKUP($CU47,$AH$9:$AI$102,2)/VLOOKUP($CU47-FA$103,Männer!$G$9:$J$102,4),Rundäx)))</f>
        <v>5.5839999999999996</v>
      </c>
      <c r="FB47" s="43">
        <f>IF($CU47&gt;=RAF,"",IF($CU47-FB$103&lt;BeginnAlter,"",ROUND((SUM(DS47:DS$56)+SUM(GK$9:GK$56))/VLOOKUP($CU47,$AH$9:$AI$102,2)/VLOOKUP($CU47-FB$103,Männer!$G$9:$J$102,4),Rundäx)))</f>
        <v>5.8529999999999998</v>
      </c>
      <c r="FC47" s="89"/>
      <c r="FD47" s="35">
        <f t="shared" si="63"/>
        <v>55</v>
      </c>
      <c r="FE47" s="43">
        <f>IF($CU47&gt;=RAF,"",IF($CU47-FE$103&lt;BeginnAlter,"",ROUND((SUM(DT47:DT$56)+SUM(GL$9:GL$56))/VLOOKUP($CU47,$AH$9:$AI$102,2)/VLOOKUP($CU47-FE$103,Männer!$G$9:$J$102,4),Rundäx)))</f>
        <v>6.1269999999999998</v>
      </c>
      <c r="FF47" s="43">
        <f>IF($CU47&gt;=RAF,"",IF($CU47-FF$103&lt;BeginnAlter,"",ROUND((SUM(DU47:DU$56)+SUM(GM$9:GM$56))/VLOOKUP($CU47,$AH$9:$AI$102,2)/VLOOKUP($CU47-FF$103,Männer!$G$9:$J$102,4),Rundäx)))</f>
        <v>6.4029999999999996</v>
      </c>
      <c r="FG47" s="43">
        <f>IF($CU47&gt;=RAF,"",IF($CU47-FG$103&lt;BeginnAlter,"",ROUND((SUM(DV47:DV$56)+SUM(GN$9:GN$56))/VLOOKUP($CU47,$AH$9:$AI$102,2)/VLOOKUP($CU47-FG$103,Männer!$G$9:$J$102,4),Rundäx)))</f>
        <v>6.6829999999999998</v>
      </c>
      <c r="FH47" s="43">
        <f>IF($CU47&gt;=RAF,"",IF($CU47-FH$103&lt;BeginnAlter,"",ROUND((SUM(DW47:DW$56)+SUM(GO$9:GO$56))/VLOOKUP($CU47,$AH$9:$AI$102,2)/VLOOKUP($CU47-FH$103,Männer!$G$9:$J$102,4),Rundäx)))</f>
        <v>6.9649999999999999</v>
      </c>
      <c r="FI47" s="43">
        <f>IF($CU47&gt;=RAF,"",IF($CU47-FI$103&lt;BeginnAlter,"",ROUND((SUM(DX47:DX$56)+SUM(GP$9:GP$56))/VLOOKUP($CU47,$AH$9:$AI$102,2)/VLOOKUP($CU47-FI$103,Männer!$G$9:$J$102,4),Rundäx)))</f>
        <v>7.2489999999999997</v>
      </c>
      <c r="FJ47" s="43">
        <f>IF($CU47&gt;=RAF,"",IF($CU47-FJ$103&lt;BeginnAlter,"",ROUND((SUM(DY47:DY$56)+SUM(GQ$9:GQ$56))/VLOOKUP($CU47,$AH$9:$AI$102,2)/VLOOKUP($CU47-FJ$103,Männer!$G$9:$J$102,4),Rundäx)))</f>
        <v>7.5350000000000001</v>
      </c>
      <c r="FK47" s="43">
        <f>IF($CU47&gt;=RAF,"",IF($CU47-FK$103&lt;BeginnAlter,"",ROUND((SUM(DZ47:DZ$56)+SUM(GR$9:GR$56))/VLOOKUP($CU47,$AH$9:$AI$102,2)/VLOOKUP($CU47-FK$103,Männer!$G$9:$J$102,4),Rundäx)))</f>
        <v>7.8220000000000001</v>
      </c>
      <c r="FL47" s="89"/>
      <c r="FM47" s="35">
        <f t="shared" si="64"/>
        <v>102</v>
      </c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>
        <f>ROUND(v^($FM47+FaktorAlter)*VLOOKUP($FM47,$G$9:$J$102,4)*VLOOKUP($FM47,$A$9:$E$102,5)*0.5*(VLOOKUP($FM47-GE$103,Männer!$G$9:$J$102,4)+VLOOKUP($FM47-GE$103+1,Männer!$G$9:$J$102,4))*0.5*(VLOOKUP($FM47-GE$103,Männer!$AZ$9:$BD$102,5)+VLOOKUP($FM47-GE$103+1,Männer!$AZ$9:$BD$102,5)),RundDx)</f>
        <v>4389</v>
      </c>
      <c r="GF47" s="25">
        <f>ROUND(v^($FM47+FaktorAlter)*VLOOKUP($FM47,$G$9:$J$102,4)*VLOOKUP($FM47,$A$9:$E$102,5)*0.5*(VLOOKUP($FM47-GF$103,Männer!$G$9:$J$102,4)+VLOOKUP($FM47-GF$103+1,Männer!$G$9:$J$102,4))*0.5*(VLOOKUP($FM47-GF$103,Männer!$AZ$9:$BD$102,5)+VLOOKUP($FM47-GF$103+1,Männer!$AZ$9:$BD$102,5)),RundDx)</f>
        <v>11575</v>
      </c>
      <c r="GG47" s="25">
        <f>ROUND(v^($FM47+FaktorAlter)*VLOOKUP($FM47,$G$9:$J$102,4)*VLOOKUP($FM47,$A$9:$E$102,5)*0.5*(VLOOKUP($FM47-GG$103,Männer!$G$9:$J$102,4)+VLOOKUP($FM47-GG$103+1,Männer!$G$9:$J$102,4))*0.5*(VLOOKUP($FM47-GG$103,Männer!$AZ$9:$BD$102,5)+VLOOKUP($FM47-GG$103+1,Männer!$AZ$9:$BD$102,5)),RundDx)</f>
        <v>26040</v>
      </c>
      <c r="GH47" s="25">
        <f>ROUND(v^($FM47+FaktorAlter)*VLOOKUP($FM47,$G$9:$J$102,4)*VLOOKUP($FM47,$A$9:$E$102,5)*0.5*(VLOOKUP($FM47-GH$103,Männer!$G$9:$J$102,4)+VLOOKUP($FM47-GH$103+1,Männer!$G$9:$J$102,4))*0.5*(VLOOKUP($FM47-GH$103,Männer!$AZ$9:$BD$102,5)+VLOOKUP($FM47-GH$103+1,Männer!$AZ$9:$BD$102,5)),RundDx)</f>
        <v>53032</v>
      </c>
      <c r="GI47" s="25">
        <f>ROUND(v^($FM47+FaktorAlter)*VLOOKUP($FM47,$G$9:$J$102,4)*VLOOKUP($FM47,$A$9:$E$102,5)*0.5*(VLOOKUP($FM47-GI$103,Männer!$G$9:$J$102,4)+VLOOKUP($FM47-GI$103+1,Männer!$G$9:$J$102,4))*0.5*(VLOOKUP($FM47-GI$103,Männer!$AZ$9:$BD$102,5)+VLOOKUP($FM47-GI$103+1,Männer!$AZ$9:$BD$102,5)),RundDx)</f>
        <v>98904</v>
      </c>
      <c r="GJ47" s="25">
        <f>ROUND(v^($FM47+FaktorAlter)*VLOOKUP($FM47,$G$9:$J$102,4)*VLOOKUP($FM47,$A$9:$E$102,5)*0.5*(VLOOKUP($FM47-GJ$103,Männer!$G$9:$J$102,4)+VLOOKUP($FM47-GJ$103+1,Männer!$G$9:$J$102,4))*0.5*(VLOOKUP($FM47-GJ$103,Männer!$AZ$9:$BD$102,5)+VLOOKUP($FM47-GJ$103+1,Männer!$AZ$9:$BD$102,5)),RundDx)</f>
        <v>171187</v>
      </c>
      <c r="GK47" s="25">
        <f>ROUND(v^($FM47+FaktorAlter)*VLOOKUP($FM47,$G$9:$J$102,4)*VLOOKUP($FM47,$A$9:$E$102,5)*0.5*(VLOOKUP($FM47-GK$103,Männer!$G$9:$J$102,4)+VLOOKUP($FM47-GK$103+1,Männer!$G$9:$J$102,4))*0.5*(VLOOKUP($FM47-GK$103,Männer!$AZ$9:$BD$102,5)+VLOOKUP($FM47-GK$103+1,Männer!$AZ$9:$BD$102,5)),RundDx)</f>
        <v>278239</v>
      </c>
      <c r="GL47" s="25">
        <f>ROUND(v^($FM47+FaktorAlter)*VLOOKUP($FM47,$G$9:$J$102,4)*VLOOKUP($FM47,$A$9:$E$102,5)*0.5*(VLOOKUP($FM47-GL$103,Männer!$G$9:$J$102,4)+VLOOKUP($FM47-GL$103+1,Männer!$G$9:$J$102,4))*0.5*(VLOOKUP($FM47-GL$103,Männer!$AZ$9:$BD$102,5)+VLOOKUP($FM47-GL$103+1,Männer!$AZ$9:$BD$102,5)),RundDx)</f>
        <v>428180</v>
      </c>
      <c r="GM47" s="25">
        <f>ROUND(v^($FM47+FaktorAlter)*VLOOKUP($FM47,$G$9:$J$102,4)*VLOOKUP($FM47,$A$9:$E$102,5)*0.5*(VLOOKUP($FM47-GM$103,Männer!$G$9:$J$102,4)+VLOOKUP($FM47-GM$103+1,Männer!$G$9:$J$102,4))*0.5*(VLOOKUP($FM47-GM$103,Männer!$AZ$9:$BD$102,5)+VLOOKUP($FM47-GM$103+1,Männer!$AZ$9:$BD$102,5)),RundDx)</f>
        <v>629573</v>
      </c>
      <c r="GN47" s="25">
        <f>ROUND(v^($FM47+FaktorAlter)*VLOOKUP($FM47,$G$9:$J$102,4)*VLOOKUP($FM47,$A$9:$E$102,5)*0.5*(VLOOKUP($FM47-GN$103,Männer!$G$9:$J$102,4)+VLOOKUP($FM47-GN$103+1,Männer!$G$9:$J$102,4))*0.5*(VLOOKUP($FM47-GN$103,Männer!$AZ$9:$BD$102,5)+VLOOKUP($FM47-GN$103+1,Männer!$AZ$9:$BD$102,5)),RundDx)</f>
        <v>890201</v>
      </c>
      <c r="GO47" s="25">
        <f>ROUND(v^($FM47+FaktorAlter)*VLOOKUP($FM47,$G$9:$J$102,4)*VLOOKUP($FM47,$A$9:$E$102,5)*0.5*(VLOOKUP($FM47-GO$103,Männer!$G$9:$J$102,4)+VLOOKUP($FM47-GO$103+1,Männer!$G$9:$J$102,4))*0.5*(VLOOKUP($FM47-GO$103,Männer!$AZ$9:$BD$102,5)+VLOOKUP($FM47-GO$103+1,Männer!$AZ$9:$BD$102,5)),RundDx)</f>
        <v>1215777</v>
      </c>
      <c r="GP47" s="25">
        <f>ROUND(v^($FM47+FaktorAlter)*VLOOKUP($FM47,$G$9:$J$102,4)*VLOOKUP($FM47,$A$9:$E$102,5)*0.5*(VLOOKUP($FM47-GP$103,Männer!$G$9:$J$102,4)+VLOOKUP($FM47-GP$103+1,Männer!$G$9:$J$102,4))*0.5*(VLOOKUP($FM47-GP$103,Männer!$AZ$9:$BD$102,5)+VLOOKUP($FM47-GP$103+1,Männer!$AZ$9:$BD$102,5)),RundDx)</f>
        <v>1610705</v>
      </c>
      <c r="GQ47" s="25">
        <f>ROUND(v^($FM47+FaktorAlter)*VLOOKUP($FM47,$G$9:$J$102,4)*VLOOKUP($FM47,$A$9:$E$102,5)*0.5*(VLOOKUP($FM47-GQ$103,Männer!$G$9:$J$102,4)+VLOOKUP($FM47-GQ$103+1,Männer!$G$9:$J$102,4))*0.5*(VLOOKUP($FM47-GQ$103,Männer!$AZ$9:$BD$102,5)+VLOOKUP($FM47-GQ$103+1,Männer!$AZ$9:$BD$102,5)),RundDx)</f>
        <v>2077258</v>
      </c>
      <c r="GR47" s="25">
        <f>ROUND(v^($FM47+FaktorAlter)*VLOOKUP($FM47,$G$9:$J$102,4)*VLOOKUP($FM47,$A$9:$E$102,5)*0.5*(VLOOKUP($FM47-GR$103,Männer!$G$9:$J$102,4)+VLOOKUP($FM47-GR$103+1,Männer!$G$9:$J$102,4))*0.5*(VLOOKUP($FM47-GR$103,Männer!$AZ$9:$BD$102,5)+VLOOKUP($FM47-GR$103+1,Männer!$AZ$9:$BD$102,5)),RundDx)</f>
        <v>2613731</v>
      </c>
      <c r="GS47" s="24"/>
      <c r="GT47" s="24"/>
      <c r="GU47" s="24"/>
      <c r="GV47" s="24"/>
      <c r="GW47" s="24"/>
      <c r="GX47" s="24"/>
      <c r="GY47" s="24"/>
      <c r="GZ47" s="24"/>
      <c r="HA47" s="89"/>
      <c r="HB47" s="35">
        <f t="shared" si="65"/>
        <v>102</v>
      </c>
      <c r="HC47" s="24"/>
      <c r="HD47" s="24"/>
      <c r="HE47" s="24"/>
      <c r="HF47" s="24"/>
      <c r="HG47" s="24"/>
      <c r="HH47" s="24"/>
      <c r="HI47" s="24"/>
      <c r="HJ47" s="24"/>
      <c r="HK47" s="89"/>
      <c r="HL47" s="35">
        <f t="shared" si="66"/>
        <v>102</v>
      </c>
      <c r="HM47" s="24">
        <f>ROUND(SUM(GD47:GD$56)/VLOOKUP($FM47,$AQ$9:$AR$102,2)/VLOOKUP($FM47-HM$103,Männer!$G$9:$J$102,4),Rundäx)</f>
        <v>0</v>
      </c>
      <c r="HN47" s="24">
        <f>ROUND(SUM(GE47:GE$56)/VLOOKUP($FM47,$AQ$9:$AR$102,2)/VLOOKUP($FM47-HN$103,Männer!$G$9:$J$102,4),Rundäx)</f>
        <v>0.40899999999999997</v>
      </c>
      <c r="HO47" s="24">
        <f>ROUND(SUM(GF47:GF$56)/VLOOKUP($FM47,$AQ$9:$AR$102,2)/VLOOKUP($FM47-HO$103,Männer!$G$9:$J$102,4),Rundäx)</f>
        <v>0.50600000000000001</v>
      </c>
      <c r="HP47" s="24">
        <f>ROUND(SUM(GG47:GG$56)/VLOOKUP($FM47,$AQ$9:$AR$102,2)/VLOOKUP($FM47-HP$103,Männer!$G$9:$J$102,4),Rundäx)</f>
        <v>0.59699999999999998</v>
      </c>
      <c r="HQ47" s="24">
        <f>ROUND(SUM(GH47:GH$56)/VLOOKUP($FM47,$AQ$9:$AR$102,2)/VLOOKUP($FM47-HQ$103,Männer!$G$9:$J$102,4),Rundäx)</f>
        <v>0.70099999999999996</v>
      </c>
      <c r="HR47" s="24">
        <f>ROUND(SUM(GI47:GI$56)/VLOOKUP($FM47,$AQ$9:$AR$102,2)/VLOOKUP($FM47-HR$103,Männer!$G$9:$J$102,4),Rundäx)</f>
        <v>0.81499999999999995</v>
      </c>
      <c r="HS47" s="24">
        <f>ROUND(SUM(GJ47:GJ$56)/VLOOKUP($FM47,$AQ$9:$AR$102,2)/VLOOKUP($FM47-HS$103,Männer!$G$9:$J$102,4),Rundäx)</f>
        <v>0.93799999999999994</v>
      </c>
      <c r="HT47" s="24">
        <f>ROUND(SUM(GK47:GK$56)/VLOOKUP($FM47,$AQ$9:$AR$102,2)/VLOOKUP($FM47-HT$103,Männer!$G$9:$J$102,4),Rundäx)</f>
        <v>1.0720000000000001</v>
      </c>
      <c r="HU47" s="89"/>
      <c r="HV47" s="35">
        <f t="shared" si="67"/>
        <v>102</v>
      </c>
      <c r="HW47" s="24">
        <f>ROUND(SUM(GL47:GL$56)/VLOOKUP($FM47,$AQ$9:$AR$102,2)/VLOOKUP($FM47-HW$103,Männer!$G$9:$J$102,4),Rundäx)</f>
        <v>1.214</v>
      </c>
      <c r="HX47" s="24">
        <f>ROUND(SUM(GM47:GM$56)/VLOOKUP($FM47,$AQ$9:$AR$102,2)/VLOOKUP($FM47-HX$103,Männer!$G$9:$J$102,4),Rundäx)</f>
        <v>1.367</v>
      </c>
      <c r="HY47" s="24">
        <f>ROUND(SUM(GN47:GN$56)/VLOOKUP($FM47,$AQ$9:$AR$102,2)/VLOOKUP($FM47-HY$103,Männer!$G$9:$J$102,4),Rundäx)</f>
        <v>1.532</v>
      </c>
      <c r="HZ47" s="24">
        <f>ROUND(SUM(GO47:GO$56)/VLOOKUP($FM47,$AQ$9:$AR$102,2)/VLOOKUP($FM47-HZ$103,Männer!$G$9:$J$102,4),Rundäx)</f>
        <v>1.708</v>
      </c>
      <c r="IA47" s="24">
        <f>ROUND(SUM(GP47:GP$56)/VLOOKUP($FM47,$AQ$9:$AR$102,2)/VLOOKUP($FM47-IA$103,Männer!$G$9:$J$102,4),Rundäx)</f>
        <v>1.8939999999999999</v>
      </c>
      <c r="IB47" s="24">
        <f>ROUND(SUM(GQ47:GQ$56)/VLOOKUP($FM47,$AQ$9:$AR$102,2)/VLOOKUP($FM47-IB$103,Männer!$G$9:$J$102,4),Rundäx)</f>
        <v>2.089</v>
      </c>
      <c r="IC47" s="24">
        <f>ROUND(SUM(GR47:GR$56)/VLOOKUP($FM47,$AQ$9:$AR$102,2)/VLOOKUP($FM47-IC$103,Männer!$G$9:$J$102,4),Rundäx)</f>
        <v>2.2909999999999999</v>
      </c>
      <c r="ID47" s="89"/>
      <c r="IE47" s="9">
        <f t="shared" si="80"/>
        <v>55</v>
      </c>
      <c r="IF47" s="11">
        <f t="shared" si="25"/>
        <v>14</v>
      </c>
      <c r="IG47" s="11">
        <f>IF($IE47&lt;RAF,IF(S48&lt;=RAK,ROUND(SUM(IF47:INDEX(Daky,RAF-BeginnAlter))+INDEX(Day,RAF-BeginnAlter+1)*INDEX(äky,1),RundDx),0),"")</f>
        <v>38</v>
      </c>
      <c r="IH47" s="11">
        <f>IF($IE47&lt;RAF,IF(S48&lt;=RAK,ROUND(SUM(IG47:INDEX(Naky,RAF-BeginnAlter))+INDEX(Day,RAF-BeginnAlter+1)*INDEX(äky,1),RundDx),0),"")</f>
        <v>102</v>
      </c>
      <c r="II47" s="10">
        <f t="shared" si="26"/>
        <v>2E-3</v>
      </c>
      <c r="IJ47" s="11">
        <f t="shared" si="27"/>
        <v>132</v>
      </c>
      <c r="IK47" s="11">
        <f>IF($IE47&lt;RAF,IF(S48&lt;=RAK,SUM(IJ47:INDEX(Diky,RAF-BeginnAlter))+INDEX(Diy,RAF-BeginnAlter+1)*INDEX(äky,1),0),"")</f>
        <v>321</v>
      </c>
      <c r="IL47" s="10">
        <f t="shared" si="28"/>
        <v>0.01</v>
      </c>
      <c r="IM47" s="89"/>
      <c r="IN47" s="9">
        <f t="shared" si="29"/>
        <v>102</v>
      </c>
      <c r="IO47" s="11"/>
      <c r="IP47" s="11"/>
      <c r="IQ47" s="10"/>
      <c r="IR47" s="86"/>
    </row>
    <row r="48" spans="1:252" ht="15.75" customHeight="1" x14ac:dyDescent="0.25">
      <c r="A48" s="9">
        <f t="shared" si="69"/>
        <v>56</v>
      </c>
      <c r="B48" s="93">
        <v>2.3760552770854797E-3</v>
      </c>
      <c r="C48" s="93">
        <v>1.4986413555233839E-2</v>
      </c>
      <c r="D48" s="93">
        <v>1.9781641521935789E-2</v>
      </c>
      <c r="E48" s="93">
        <v>4.4867494129486873E-3</v>
      </c>
      <c r="F48" s="89"/>
      <c r="G48" s="9">
        <f t="shared" si="70"/>
        <v>56</v>
      </c>
      <c r="H48" s="11">
        <f t="shared" si="30"/>
        <v>84562</v>
      </c>
      <c r="I48" s="25">
        <f t="shared" si="31"/>
        <v>10830</v>
      </c>
      <c r="J48" s="25">
        <f t="shared" si="32"/>
        <v>95392</v>
      </c>
      <c r="K48" s="30">
        <f>IF(J48&gt;0,ROUND(SUM(J48:J$102)/J48-0.5,Rundex),"")</f>
        <v>27.84</v>
      </c>
      <c r="L48" s="25">
        <f t="shared" si="6"/>
        <v>108309</v>
      </c>
      <c r="M48" s="30">
        <f>IF(L48&gt;0,ROUND(SUM(L48:L$102)/L48-0.5,Rundex),"")</f>
        <v>24.99</v>
      </c>
      <c r="N48" s="89"/>
      <c r="O48" s="9">
        <f t="shared" si="71"/>
        <v>56</v>
      </c>
      <c r="P48" s="94">
        <v>0.23378213690902072</v>
      </c>
      <c r="Q48" s="95">
        <v>58.205337494289211</v>
      </c>
      <c r="R48" s="94">
        <v>3.2135514478776092E-2</v>
      </c>
      <c r="S48" s="95">
        <v>19.52</v>
      </c>
      <c r="T48" s="28">
        <v>4.1121841819625844E-3</v>
      </c>
      <c r="U48" s="11">
        <f t="shared" si="33"/>
        <v>96163</v>
      </c>
      <c r="V48" s="30">
        <f>IF(U48&gt;0,ROUND(SUM(U48:U$102)/U48-0.5,Rundex),"")</f>
        <v>28.91</v>
      </c>
      <c r="W48" s="89"/>
      <c r="X48" s="9">
        <f t="shared" si="72"/>
        <v>56</v>
      </c>
      <c r="Y48" s="11">
        <f t="shared" si="34"/>
        <v>24324</v>
      </c>
      <c r="Z48" s="11">
        <f>IF($X48&lt;RAF,SUM(Y48:INDEX(Day,RAF-BeginnAlter))," ")</f>
        <v>167165</v>
      </c>
      <c r="AA48" s="11">
        <f t="shared" si="0"/>
        <v>57</v>
      </c>
      <c r="AB48" s="11">
        <f>IF($X48&lt;RAF,SUM(AA48:INDEX(Cay,RAF-BeginnAlter))," ")</f>
        <v>551</v>
      </c>
      <c r="AC48" s="11">
        <f t="shared" si="1"/>
        <v>360</v>
      </c>
      <c r="AD48" s="11">
        <f>IF($X48&lt;RAF,SUM(AC48:INDEX(Caiy,RAF-BeginnAlter))," ")</f>
        <v>3768</v>
      </c>
      <c r="AE48" s="10">
        <f t="shared" si="35"/>
        <v>6.8719999999999999</v>
      </c>
      <c r="AF48" s="10">
        <f t="shared" si="36"/>
        <v>6.7220000000000004</v>
      </c>
      <c r="AG48" s="89"/>
      <c r="AH48" s="9">
        <f t="shared" si="73"/>
        <v>56</v>
      </c>
      <c r="AI48" s="11">
        <f t="shared" si="37"/>
        <v>31154</v>
      </c>
      <c r="AJ48" s="11">
        <f>IF($AH48&gt;RAF," ",IF($AH48&lt;RAF,SUM(AI48:INDEX(Diy,RAF-BeginnAlter))+INDEX(Ny,RAF-BeginnAlter+1),INDEX(Ny,RAF-BeginnAlter+1)))</f>
        <v>581097</v>
      </c>
      <c r="AK48" s="11">
        <f>IF($AH48&lt;RAF,SUM(AI48:INDEX(Diy,RAF-BeginnAlter))," ")</f>
        <v>215003</v>
      </c>
      <c r="AL48" s="10">
        <f t="shared" si="38"/>
        <v>18.652000000000001</v>
      </c>
      <c r="AM48" s="10">
        <f t="shared" si="39"/>
        <v>18.193999999999999</v>
      </c>
      <c r="AN48" s="10">
        <f t="shared" si="40"/>
        <v>6.9009999999999998</v>
      </c>
      <c r="AO48" s="10">
        <f t="shared" si="41"/>
        <v>6.7629999999999999</v>
      </c>
      <c r="AP48" s="89"/>
      <c r="AQ48" s="9">
        <f t="shared" si="74"/>
        <v>56</v>
      </c>
      <c r="AR48" s="11">
        <f t="shared" si="42"/>
        <v>27439</v>
      </c>
      <c r="AS48" s="11">
        <f>SUM(AR48:AR$96)</f>
        <v>565564</v>
      </c>
      <c r="AT48" s="25">
        <f>IF($AQ48&lt;RAF,SUM(AR48:INDEX(Dy,RAF-BeginnAlter))," ")</f>
        <v>199470</v>
      </c>
      <c r="AU48" s="24">
        <f t="shared" si="43"/>
        <v>20.611999999999998</v>
      </c>
      <c r="AV48" s="24">
        <f t="shared" si="44"/>
        <v>20.152999999999999</v>
      </c>
      <c r="AW48" s="24">
        <f t="shared" si="45"/>
        <v>7.27</v>
      </c>
      <c r="AX48" s="24">
        <f t="shared" si="46"/>
        <v>7.1740000000000004</v>
      </c>
      <c r="AY48" s="89"/>
      <c r="AZ48" s="9">
        <f t="shared" si="75"/>
        <v>56</v>
      </c>
      <c r="BA48" s="11">
        <f t="shared" si="47"/>
        <v>27661</v>
      </c>
      <c r="BB48" s="11">
        <f>SUM(BA48:BA$96)</f>
        <v>586988</v>
      </c>
      <c r="BC48" s="10">
        <f t="shared" si="48"/>
        <v>21.221</v>
      </c>
      <c r="BD48" s="10">
        <f t="shared" si="7"/>
        <v>20.762</v>
      </c>
      <c r="BE48" s="89"/>
      <c r="BF48" s="9">
        <f t="shared" si="54"/>
        <v>39</v>
      </c>
      <c r="BG48" s="10" t="str">
        <f t="shared" si="8"/>
        <v/>
      </c>
      <c r="BH48" s="10" t="str">
        <f t="shared" si="9"/>
        <v/>
      </c>
      <c r="BI48" s="89"/>
      <c r="BJ48" s="9">
        <f t="shared" si="76"/>
        <v>56</v>
      </c>
      <c r="BK48" s="11">
        <f t="shared" si="10"/>
        <v>6516</v>
      </c>
      <c r="BL48" s="11">
        <f>IF(BJ48&lt;RAF,SUM(BK48:INDEX(Daiy,RAF-BeginnAlter))," ")</f>
        <v>64784</v>
      </c>
      <c r="BM48" s="11">
        <f>IF(BJ48&lt;RAF,SUM(BL48:INDEX(Naiy,RAF-BeginnAlter))," ")</f>
        <v>307852</v>
      </c>
      <c r="BN48" s="10">
        <f t="shared" si="11"/>
        <v>11.025</v>
      </c>
      <c r="BO48" s="10">
        <f t="shared" si="12"/>
        <v>2.6629999999999998</v>
      </c>
      <c r="BP48" s="89"/>
      <c r="BQ48" s="9">
        <f t="shared" si="77"/>
        <v>56</v>
      </c>
      <c r="BR48" s="11">
        <f t="shared" si="13"/>
        <v>2307</v>
      </c>
      <c r="BS48" s="11">
        <f>IF(BQ48&lt;RAF,SUM(BR48:INDEX(Daiys,RAF-BeginnAlter))," ")</f>
        <v>12449</v>
      </c>
      <c r="BT48" s="11">
        <f>IF(BQ48&lt;RAF,SUM(BS48:INDEX(Naiys,RAF-BeginnAlter))," ")</f>
        <v>43890</v>
      </c>
      <c r="BU48" s="10">
        <f t="shared" si="14"/>
        <v>13.177</v>
      </c>
      <c r="BV48" s="10">
        <f t="shared" si="15"/>
        <v>0.51200000000000001</v>
      </c>
      <c r="BW48" s="89"/>
      <c r="BX48" s="9">
        <f t="shared" si="78"/>
        <v>56</v>
      </c>
      <c r="BY48" s="10">
        <f t="shared" si="16"/>
        <v>4.9006932785827022</v>
      </c>
      <c r="BZ48" s="11">
        <f t="shared" si="17"/>
        <v>46</v>
      </c>
      <c r="CA48" s="11">
        <f>IF(S49&lt;=RAK,IF($BX48&lt;RAF,SUM(BZ48:INDEX(Dazy,RAF-BeginnAlter)),""),"")</f>
        <v>123</v>
      </c>
      <c r="CB48" s="10">
        <f t="shared" si="18"/>
        <v>5.0000000000000001E-3</v>
      </c>
      <c r="CC48" s="11">
        <f t="shared" si="19"/>
        <v>23522</v>
      </c>
      <c r="CD48" s="10">
        <f t="shared" si="20"/>
        <v>17.568000000000001</v>
      </c>
      <c r="CE48" s="10">
        <f t="shared" si="21"/>
        <v>5.0000000000000001E-3</v>
      </c>
      <c r="CF48" s="89"/>
      <c r="CG48" s="9">
        <f t="shared" si="79"/>
        <v>56</v>
      </c>
      <c r="CH48" s="11">
        <f>IF(CG48&lt;RAF,ROUND(v^($CG48+FaktorAlter)*$H48*($B48*0.5*($P48+$P49)*(VLOOKUP(TRUNC(0.5*($Q48+$Q49),0),Männer!$AZ$9:$BD$95,5)+(0.5*($Q48+$Q49)-TRUNC(0.5*($Q48+$Q49),0))*(VLOOKUP(TRUNC(0.5*($Q48+$Q49)+1,0),Männer!$AZ$9:$BD$95,5)-VLOOKUP(TRUNC(0.5*($Q48+$Q49),0),Männer!$AZ$9:$BD$95,5)))+$C48*0.5*($CN48+$CN49)),RundDx),"")</f>
        <v>364</v>
      </c>
      <c r="CI48" s="11">
        <f>IF(CG48&lt;RAF,ROUND(SUM(CH48:INDEX(Dawy,RAF-BeginnAlter))+INDEX(Day,RAF-BeginnAlter+1)*INDEX(äwy,1),RundDx),"")</f>
        <v>4299</v>
      </c>
      <c r="CJ48" s="11">
        <f>IF(CG48&lt;RAF,ROUND(SUM(CI48:INDEX(Nawy,RAF-BeginnAlter))+INDEX(Day,RAF-BeginnAlter+1)*INDEX(äwy,1),RundDx),"")</f>
        <v>26960</v>
      </c>
      <c r="CK48" s="10">
        <f t="shared" si="22"/>
        <v>0.17699999999999999</v>
      </c>
      <c r="CL48" s="11">
        <f>IF(CG48&lt;RAF,ROUND(v^($CG48+FaktorAlter)*$L48*$D48*0.5*($P48+$P49)*(VLOOKUP(TRUNC(0.5*($Q48+$Q49),0),Männer!$AZ$9:$BD$95,5)+(0.5*($Q48+$Q49)-TRUNC(0.5*($Q48+$Q49),0))*(VLOOKUP(TRUNC(0.5*($Q48+$Q49)+1,0),Männer!$AZ$9:$BD$95,5)-VLOOKUP(TRUNC(0.5*($Q48+$Q49),0),Männer!$AZ$9:$BD$95,5))),RundDx),"")</f>
        <v>2156</v>
      </c>
      <c r="CM48" s="11">
        <f>IF(CG48&lt;RAF,SUM(CL48:INDEX(Diwy,RAF-BeginnAlter))+INDEX(Diy,RAF-BeginnAlter+1)*INDEX(äwy,1),"")</f>
        <v>14761.304</v>
      </c>
      <c r="CN48" s="10">
        <f t="shared" si="23"/>
        <v>0.47399999999999998</v>
      </c>
      <c r="CO48" s="89"/>
      <c r="CP48" s="9">
        <f t="shared" si="59"/>
        <v>103</v>
      </c>
      <c r="CQ48" s="11"/>
      <c r="CR48" s="11"/>
      <c r="CS48" s="10"/>
      <c r="CT48" s="89"/>
      <c r="CU48" s="35">
        <f t="shared" si="60"/>
        <v>56</v>
      </c>
      <c r="CV48" s="25">
        <f>IF($CU48&gt;=RAF,"",IF($CU48-CV$103&lt;BeginnAlter,"",ROUND(v^($CU48+FaktorAlter)*$L48*$D48*0.5*(VLOOKUP($CU48-CV$103,Männer!$G$9:$J$102,4)+VLOOKUP($CU48-CV$103+1,Männer!$G$9:$J$102,4))*0.5*(VLOOKUP($CU48-CV$103,Männer!$AZ$9:$BD$102,5)+VLOOKUP($CU48-CV$103+1,Männer!$AZ$9:$BD$102,5)),RundDx)))</f>
        <v>471944101</v>
      </c>
      <c r="CW48" s="25">
        <f>IF($CU48&gt;=RAF,"",IF($CU48-CW$103&lt;BeginnAlter,"",ROUND(v^($CU48+FaktorAlter)*$L48*$D48*0.5*(VLOOKUP($CU48-CW$103,Männer!$G$9:$J$102,4)+VLOOKUP($CU48-CW$103+1,Männer!$G$9:$J$102,4))*0.5*(VLOOKUP($CU48-CW$103,Männer!$AZ$9:$BD$102,5)+VLOOKUP($CU48-CW$103+1,Männer!$AZ$9:$BD$102,5)),RundDx)))</f>
        <v>502239274</v>
      </c>
      <c r="CX48" s="25">
        <f>IF($CU48&gt;=RAF,"",IF($CU48-CX$103&lt;BeginnAlter,"",ROUND(v^($CU48+FaktorAlter)*$L48*$D48*0.5*(VLOOKUP($CU48-CX$103,Männer!$G$9:$J$102,4)+VLOOKUP($CU48-CX$103+1,Männer!$G$9:$J$102,4))*0.5*(VLOOKUP($CU48-CX$103,Männer!$AZ$9:$BD$102,5)+VLOOKUP($CU48-CX$103+1,Männer!$AZ$9:$BD$102,5)),RundDx)))</f>
        <v>532558491</v>
      </c>
      <c r="CY48" s="25">
        <f>IF($CU48&gt;=RAF,"",IF($CU48-CY$103&lt;BeginnAlter,"",ROUND(v^($CU48+FaktorAlter)*$L48*$D48*0.5*(VLOOKUP($CU48-CY$103,Männer!$G$9:$J$102,4)+VLOOKUP($CU48-CY$103+1,Männer!$G$9:$J$102,4))*0.5*(VLOOKUP($CU48-CY$103,Männer!$AZ$9:$BD$102,5)+VLOOKUP($CU48-CY$103+1,Männer!$AZ$9:$BD$102,5)),RundDx)))</f>
        <v>563009286</v>
      </c>
      <c r="CZ48" s="25">
        <f>IF($CU48&gt;=RAF,"",IF($CU48-CZ$103&lt;BeginnAlter,"",ROUND(v^($CU48+FaktorAlter)*$L48*$D48*0.5*(VLOOKUP($CU48-CZ$103,Männer!$G$9:$J$102,4)+VLOOKUP($CU48-CZ$103+1,Männer!$G$9:$J$102,4))*0.5*(VLOOKUP($CU48-CZ$103,Männer!$AZ$9:$BD$102,5)+VLOOKUP($CU48-CZ$103+1,Männer!$AZ$9:$BD$102,5)),RundDx)))</f>
        <v>593679482</v>
      </c>
      <c r="DA48" s="25">
        <f>IF($CU48&gt;=RAF,"",IF($CU48-DA$103&lt;BeginnAlter,"",ROUND(v^($CU48+FaktorAlter)*$L48*$D48*0.5*(VLOOKUP($CU48-DA$103,Männer!$G$9:$J$102,4)+VLOOKUP($CU48-DA$103+1,Männer!$G$9:$J$102,4))*0.5*(VLOOKUP($CU48-DA$103,Männer!$AZ$9:$BD$102,5)+VLOOKUP($CU48-DA$103+1,Männer!$AZ$9:$BD$102,5)),RundDx)))</f>
        <v>624493362</v>
      </c>
      <c r="DB48" s="25">
        <f>IF($CU48&gt;=RAF,"",IF($CU48-DB$103&lt;BeginnAlter,"",ROUND(v^($CU48+FaktorAlter)*$L48*$D48*0.5*(VLOOKUP($CU48-DB$103,Männer!$G$9:$J$102,4)+VLOOKUP($CU48-DB$103+1,Männer!$G$9:$J$102,4))*0.5*(VLOOKUP($CU48-DB$103,Männer!$AZ$9:$BD$102,5)+VLOOKUP($CU48-DB$103+1,Männer!$AZ$9:$BD$102,5)),RundDx)))</f>
        <v>655525977</v>
      </c>
      <c r="DC48" s="25">
        <f>IF($CU48&gt;=RAF,"",IF($CU48-DC$103&lt;BeginnAlter,"",ROUND(v^($CU48+FaktorAlter)*$L48*$D48*0.5*(VLOOKUP($CU48-DC$103,Männer!$G$9:$J$102,4)+VLOOKUP($CU48-DC$103+1,Männer!$G$9:$J$102,4))*0.5*(VLOOKUP($CU48-DC$103,Männer!$AZ$9:$BD$102,5)+VLOOKUP($CU48-DC$103+1,Männer!$AZ$9:$BD$102,5)),RundDx)))</f>
        <v>686935714</v>
      </c>
      <c r="DD48" s="25">
        <f>IF($CU48&gt;=RAF,"",IF($CU48-DD$103&lt;BeginnAlter,"",ROUND(v^($CU48+FaktorAlter)*$L48*$D48*0.5*(VLOOKUP($CU48-DD$103,Männer!$G$9:$J$102,4)+VLOOKUP($CU48-DD$103+1,Männer!$G$9:$J$102,4))*0.5*(VLOOKUP($CU48-DD$103,Männer!$AZ$9:$BD$102,5)+VLOOKUP($CU48-DD$103+1,Männer!$AZ$9:$BD$102,5)),RundDx)))</f>
        <v>718782117</v>
      </c>
      <c r="DE48" s="25">
        <f>IF($CU48&gt;=RAF,"",IF($CU48-DE$103&lt;BeginnAlter,"",ROUND(v^($CU48+FaktorAlter)*$L48*$D48*0.5*(VLOOKUP($CU48-DE$103,Männer!$G$9:$J$102,4)+VLOOKUP($CU48-DE$103+1,Männer!$G$9:$J$102,4))*0.5*(VLOOKUP($CU48-DE$103,Männer!$AZ$9:$BD$102,5)+VLOOKUP($CU48-DE$103+1,Männer!$AZ$9:$BD$102,5)),RundDx)))</f>
        <v>751141972</v>
      </c>
      <c r="DF48" s="25">
        <f>IF($CU48&gt;=RAF,"",IF($CU48-DF$103&lt;BeginnAlter,"",ROUND(v^($CU48+FaktorAlter)*$L48*$D48*0.5*(VLOOKUP($CU48-DF$103,Männer!$G$9:$J$102,4)+VLOOKUP($CU48-DF$103+1,Männer!$G$9:$J$102,4))*0.5*(VLOOKUP($CU48-DF$103,Männer!$AZ$9:$BD$102,5)+VLOOKUP($CU48-DF$103+1,Männer!$AZ$9:$BD$102,5)),RundDx)))</f>
        <v>784063519</v>
      </c>
      <c r="DG48" s="25">
        <f>IF($CU48&gt;=RAF,"",IF($CU48-DG$103&lt;BeginnAlter,"",ROUND(v^($CU48+FaktorAlter)*$L48*$D48*0.5*(VLOOKUP($CU48-DG$103,Männer!$G$9:$J$102,4)+VLOOKUP($CU48-DG$103+1,Männer!$G$9:$J$102,4))*0.5*(VLOOKUP($CU48-DG$103,Männer!$AZ$9:$BD$102,5)+VLOOKUP($CU48-DG$103+1,Männer!$AZ$9:$BD$102,5)),RundDx)))</f>
        <v>817573258</v>
      </c>
      <c r="DH48" s="25">
        <f>IF($CU48&gt;=RAF,"",IF($CU48-DH$103&lt;BeginnAlter,"",ROUND(v^($CU48+FaktorAlter)*$L48*$D48*0.5*(VLOOKUP($CU48-DH$103,Männer!$G$9:$J$102,4)+VLOOKUP($CU48-DH$103+1,Männer!$G$9:$J$102,4))*0.5*(VLOOKUP($CU48-DH$103,Männer!$AZ$9:$BD$102,5)+VLOOKUP($CU48-DH$103+1,Männer!$AZ$9:$BD$102,5)),RundDx)))</f>
        <v>851731065</v>
      </c>
      <c r="DI48" s="25">
        <f>IF($CU48&gt;=RAF,"",IF($CU48-DI$103&lt;BeginnAlter,"",ROUND(v^($CU48+FaktorAlter)*$L48*$D48*0.5*(VLOOKUP($CU48-DI$103,Männer!$G$9:$J$102,4)+VLOOKUP($CU48-DI$103+1,Männer!$G$9:$J$102,4))*0.5*(VLOOKUP($CU48-DI$103,Männer!$AZ$9:$BD$102,5)+VLOOKUP($CU48-DI$103+1,Männer!$AZ$9:$BD$102,5)),RundDx)))</f>
        <v>886496525</v>
      </c>
      <c r="DJ48" s="25">
        <f>IF($CU48&gt;=RAF,"",IF($CU48-DJ$103&lt;BeginnAlter,"",ROUND(v^($CU48+FaktorAlter)*$L48*$D48*0.5*(VLOOKUP($CU48-DJ$103,Männer!$G$9:$J$102,4)+VLOOKUP($CU48-DJ$103+1,Männer!$G$9:$J$102,4))*0.5*(VLOOKUP($CU48-DJ$103,Männer!$AZ$9:$BD$102,5)+VLOOKUP($CU48-DJ$103+1,Männer!$AZ$9:$BD$102,5)),RundDx)))</f>
        <v>921818628</v>
      </c>
      <c r="DK48" s="25">
        <f>IF($CU48&gt;=RAF,"",IF($CU48-DK$103&lt;BeginnAlter,"",ROUND(v^($CU48+FaktorAlter)*$L48*$D48*0.5*(VLOOKUP($CU48-DK$103,Männer!$G$9:$J$102,4)+VLOOKUP($CU48-DK$103+1,Männer!$G$9:$J$102,4))*0.5*(VLOOKUP($CU48-DK$103,Männer!$AZ$9:$BD$102,5)+VLOOKUP($CU48-DK$103+1,Männer!$AZ$9:$BD$102,5)),RundDx)))</f>
        <v>957687537</v>
      </c>
      <c r="DL48" s="25">
        <f>IF($CU48&gt;=RAF,"",IF($CU48-DL$103&lt;BeginnAlter,"",ROUND(v^($CU48+FaktorAlter)*$L48*$D48*0.5*(VLOOKUP($CU48-DL$103,Männer!$G$9:$J$102,4)+VLOOKUP($CU48-DL$103+1,Männer!$G$9:$J$102,4))*0.5*(VLOOKUP($CU48-DL$103,Männer!$AZ$9:$BD$102,5)+VLOOKUP($CU48-DL$103+1,Männer!$AZ$9:$BD$102,5)),RundDx)))</f>
        <v>993577247</v>
      </c>
      <c r="DM48" s="25">
        <f>IF($CU48&gt;=RAF,"",IF($CU48-DM$103&lt;BeginnAlter,"",ROUND(v^($CU48+FaktorAlter)*$L48*$D48*0.5*(VLOOKUP($CU48-DM$103,Männer!$G$9:$J$102,4)+VLOOKUP($CU48-DM$103+1,Männer!$G$9:$J$102,4))*0.5*(VLOOKUP($CU48-DM$103,Männer!$AZ$9:$BD$102,5)+VLOOKUP($CU48-DM$103+1,Männer!$AZ$9:$BD$102,5)),RundDx)))</f>
        <v>1028926997</v>
      </c>
      <c r="DN48" s="25">
        <f>IF($CU48&gt;=RAF,"",IF($CU48-DN$103&lt;BeginnAlter,"",ROUND(v^($CU48+FaktorAlter)*$L48*$D48*0.5*(VLOOKUP($CU48-DN$103,Männer!$G$9:$J$102,4)+VLOOKUP($CU48-DN$103+1,Männer!$G$9:$J$102,4))*0.5*(VLOOKUP($CU48-DN$103,Männer!$AZ$9:$BD$102,5)+VLOOKUP($CU48-DN$103+1,Männer!$AZ$9:$BD$102,5)),RundDx)))</f>
        <v>1063742741</v>
      </c>
      <c r="DO48" s="25">
        <f>IF($CU48&gt;=RAF,"",IF($CU48-DO$103&lt;BeginnAlter,"",ROUND(v^($CU48+FaktorAlter)*$L48*$D48*0.5*(VLOOKUP($CU48-DO$103,Männer!$G$9:$J$102,4)+VLOOKUP($CU48-DO$103+1,Männer!$G$9:$J$102,4))*0.5*(VLOOKUP($CU48-DO$103,Männer!$AZ$9:$BD$102,5)+VLOOKUP($CU48-DO$103+1,Männer!$AZ$9:$BD$102,5)),RundDx)))</f>
        <v>1098029733</v>
      </c>
      <c r="DP48" s="25">
        <f>IF($CU48&gt;=RAF,"",IF($CU48-DP$103&lt;BeginnAlter,"",ROUND(v^($CU48+FaktorAlter)*$L48*$D48*0.5*(VLOOKUP($CU48-DP$103,Männer!$G$9:$J$102,4)+VLOOKUP($CU48-DP$103+1,Männer!$G$9:$J$102,4))*0.5*(VLOOKUP($CU48-DP$103,Männer!$AZ$9:$BD$102,5)+VLOOKUP($CU48-DP$103+1,Männer!$AZ$9:$BD$102,5)),RundDx)))</f>
        <v>1131726368</v>
      </c>
      <c r="DQ48" s="25">
        <f>IF($CU48&gt;=RAF,"",IF($CU48-DQ$103&lt;BeginnAlter,"",ROUND(v^($CU48+FaktorAlter)*$L48*$D48*0.5*(VLOOKUP($CU48-DQ$103,Männer!$G$9:$J$102,4)+VLOOKUP($CU48-DQ$103+1,Männer!$G$9:$J$102,4))*0.5*(VLOOKUP($CU48-DQ$103,Männer!$AZ$9:$BD$102,5)+VLOOKUP($CU48-DQ$103+1,Männer!$AZ$9:$BD$102,5)),RundDx)))</f>
        <v>1164836382</v>
      </c>
      <c r="DR48" s="25">
        <f>IF($CU48&gt;=RAF,"",IF($CU48-DR$103&lt;BeginnAlter,"",ROUND(v^($CU48+FaktorAlter)*$L48*$D48*0.5*(VLOOKUP($CU48-DR$103,Männer!$G$9:$J$102,4)+VLOOKUP($CU48-DR$103+1,Männer!$G$9:$J$102,4))*0.5*(VLOOKUP($CU48-DR$103,Männer!$AZ$9:$BD$102,5)+VLOOKUP($CU48-DR$103+1,Männer!$AZ$9:$BD$102,5)),RundDx)))</f>
        <v>1197411032</v>
      </c>
      <c r="DS48" s="25">
        <f>IF($CU48&gt;=RAF,"",IF($CU48-DS$103&lt;BeginnAlter,"",ROUND(v^($CU48+FaktorAlter)*$L48*$D48*0.5*(VLOOKUP($CU48-DS$103,Männer!$G$9:$J$102,4)+VLOOKUP($CU48-DS$103+1,Männer!$G$9:$J$102,4))*0.5*(VLOOKUP($CU48-DS$103,Männer!$AZ$9:$BD$102,5)+VLOOKUP($CU48-DS$103+1,Männer!$AZ$9:$BD$102,5)),RundDx)))</f>
        <v>1229429355</v>
      </c>
      <c r="DT48" s="25">
        <f>IF($CU48&gt;=RAF,"",IF($CU48-DT$103&lt;BeginnAlter,"",ROUND(v^($CU48+FaktorAlter)*$L48*$D48*0.5*(VLOOKUP($CU48-DT$103,Männer!$G$9:$J$102,4)+VLOOKUP($CU48-DT$103+1,Männer!$G$9:$J$102,4))*0.5*(VLOOKUP($CU48-DT$103,Männer!$AZ$9:$BD$102,5)+VLOOKUP($CU48-DT$103+1,Männer!$AZ$9:$BD$102,5)),RundDx)))</f>
        <v>1260857086</v>
      </c>
      <c r="DU48" s="25">
        <f>IF($CU48&gt;=RAF,"",IF($CU48-DU$103&lt;BeginnAlter,"",ROUND(v^($CU48+FaktorAlter)*$L48*$D48*0.5*(VLOOKUP($CU48-DU$103,Männer!$G$9:$J$102,4)+VLOOKUP($CU48-DU$103+1,Männer!$G$9:$J$102,4))*0.5*(VLOOKUP($CU48-DU$103,Männer!$AZ$9:$BD$102,5)+VLOOKUP($CU48-DU$103+1,Männer!$AZ$9:$BD$102,5)),RundDx)))</f>
        <v>1291733053</v>
      </c>
      <c r="DV48" s="25">
        <f>IF($CU48&gt;=RAF,"",IF($CU48-DV$103&lt;BeginnAlter,"",ROUND(v^($CU48+FaktorAlter)*$L48*$D48*0.5*(VLOOKUP($CU48-DV$103,Männer!$G$9:$J$102,4)+VLOOKUP($CU48-DV$103+1,Männer!$G$9:$J$102,4))*0.5*(VLOOKUP($CU48-DV$103,Männer!$AZ$9:$BD$102,5)+VLOOKUP($CU48-DV$103+1,Männer!$AZ$9:$BD$102,5)),RundDx)))</f>
        <v>1322055842</v>
      </c>
      <c r="DW48" s="25">
        <f>IF($CU48&gt;=RAF,"",IF($CU48-DW$103&lt;BeginnAlter,"",ROUND(v^($CU48+FaktorAlter)*$L48*$D48*0.5*(VLOOKUP($CU48-DW$103,Männer!$G$9:$J$102,4)+VLOOKUP($CU48-DW$103+1,Männer!$G$9:$J$102,4))*0.5*(VLOOKUP($CU48-DW$103,Männer!$AZ$9:$BD$102,5)+VLOOKUP($CU48-DW$103+1,Männer!$AZ$9:$BD$102,5)),RundDx)))</f>
        <v>1351825576</v>
      </c>
      <c r="DX48" s="25">
        <f>IF($CU48&gt;=RAF,"",IF($CU48-DX$103&lt;BeginnAlter,"",ROUND(v^($CU48+FaktorAlter)*$L48*$D48*0.5*(VLOOKUP($CU48-DX$103,Männer!$G$9:$J$102,4)+VLOOKUP($CU48-DX$103+1,Männer!$G$9:$J$102,4))*0.5*(VLOOKUP($CU48-DX$103,Männer!$AZ$9:$BD$102,5)+VLOOKUP($CU48-DX$103+1,Männer!$AZ$9:$BD$102,5)),RundDx)))</f>
        <v>1381029741</v>
      </c>
      <c r="DY48" s="25">
        <f>IF($CU48&gt;=RAF,"",IF($CU48-DY$103&lt;BeginnAlter,"",ROUND(v^($CU48+FaktorAlter)*$L48*$D48*0.5*(VLOOKUP($CU48-DY$103,Männer!$G$9:$J$102,4)+VLOOKUP($CU48-DY$103+1,Männer!$G$9:$J$102,4))*0.5*(VLOOKUP($CU48-DY$103,Männer!$AZ$9:$BD$102,5)+VLOOKUP($CU48-DY$103+1,Männer!$AZ$9:$BD$102,5)),RundDx)))</f>
        <v>1409700425</v>
      </c>
      <c r="DZ48" s="25">
        <f>IF($CU48&gt;=RAF,"",IF($CU48-DZ$103&lt;BeginnAlter,"",ROUND(v^($CU48+FaktorAlter)*$L48*$D48*0.5*(VLOOKUP($CU48-DZ$103,Männer!$G$9:$J$102,4)+VLOOKUP($CU48-DZ$103+1,Männer!$G$9:$J$102,4))*0.5*(VLOOKUP($CU48-DZ$103,Männer!$AZ$9:$BD$102,5)+VLOOKUP($CU48-DZ$103+1,Männer!$AZ$9:$BD$102,5)),RundDx)))</f>
        <v>1437863990</v>
      </c>
      <c r="EA48" s="43">
        <f>IF($CU48&gt;=RAF,"",IF($CU48-EA$103&lt;BeginnAlter,"",ROUND((SUM(CV48:CV$56)+SUM(FN$9:FN$56))/VLOOKUP($CU48,$AH$9:$AI$102,2)/VLOOKUP($CU48-EA$103,Männer!$G$9:$J$102,4),Rundäx)))</f>
        <v>1.452</v>
      </c>
      <c r="EB48" s="43">
        <f>IF($CU48&gt;=RAF,"",IF($CU48-EB$103&lt;BeginnAlter,"",ROUND((SUM(CW48:CW$56)+SUM(FO$9:FO$56))/VLOOKUP($CU48,$AH$9:$AI$102,2)/VLOOKUP($CU48-EB$103,Männer!$G$9:$J$102,4),Rundäx)))</f>
        <v>1.5580000000000001</v>
      </c>
      <c r="EC48" s="43">
        <f>IF($CU48&gt;=RAF,"",IF($CU48-EC$103&lt;BeginnAlter,"",ROUND((SUM(CX48:CX$56)+SUM(FP$9:FP$56))/VLOOKUP($CU48,$AH$9:$AI$102,2)/VLOOKUP($CU48-EC$103,Männer!$G$9:$J$102,4),Rundäx)))</f>
        <v>1.669</v>
      </c>
      <c r="ED48" s="43">
        <f>IF($CU48&gt;=RAF,"",IF($CU48-ED$103&lt;BeginnAlter,"",ROUND((SUM(CY48:CY$56)+SUM(FQ$9:FQ$56))/VLOOKUP($CU48,$AH$9:$AI$102,2)/VLOOKUP($CU48-ED$103,Männer!$G$9:$J$102,4),Rundäx)))</f>
        <v>1.784</v>
      </c>
      <c r="EE48" s="43">
        <f>IF($CU48&gt;=RAF,"",IF($CU48-EE$103&lt;BeginnAlter,"",ROUND((SUM(CZ48:CZ$56)+SUM(FR$9:FR$56))/VLOOKUP($CU48,$AH$9:$AI$102,2)/VLOOKUP($CU48-EE$103,Männer!$G$9:$J$102,4),Rundäx)))</f>
        <v>1.9039999999999999</v>
      </c>
      <c r="EF48" s="43">
        <f>IF($CU48&gt;=RAF,"",IF($CU48-EF$103&lt;BeginnAlter,"",ROUND((SUM(DA48:DA$56)+SUM(FS$9:FS$56))/VLOOKUP($CU48,$AH$9:$AI$102,2)/VLOOKUP($CU48-EF$103,Männer!$G$9:$J$102,4),Rundäx)))</f>
        <v>2.0299999999999998</v>
      </c>
      <c r="EG48" s="43">
        <f>IF($CU48&gt;=RAF,"",IF($CU48-EG$103&lt;BeginnAlter,"",ROUND((SUM(DB48:DB$56)+SUM(FT$9:FT$56))/VLOOKUP($CU48,$AH$9:$AI$102,2)/VLOOKUP($CU48-EG$103,Männer!$G$9:$J$102,4),Rundäx)))</f>
        <v>2.161</v>
      </c>
      <c r="EH48" s="43">
        <f>IF($CU48&gt;=RAF,"",IF($CU48-EH$103&lt;BeginnAlter,"",ROUND((SUM(DC48:DC$56)+SUM(FU$9:FU$56))/VLOOKUP($CU48,$AH$9:$AI$102,2)/VLOOKUP($CU48-EH$103,Männer!$G$9:$J$102,4),Rundäx)))</f>
        <v>2.2989999999999999</v>
      </c>
      <c r="EI48" s="89"/>
      <c r="EJ48" s="35">
        <f t="shared" si="61"/>
        <v>56</v>
      </c>
      <c r="EK48" s="43">
        <f>IF($CU48&gt;=RAF,"",IF($CU48-EK$103&lt;BeginnAlter,"",ROUND((SUM(DD48:DD$56)+SUM(FV$9:FV$56))/VLOOKUP($CU48,$AH$9:$AI$102,2)/VLOOKUP($CU48-EK$103,Männer!$G$9:$J$102,4),Rundäx)))</f>
        <v>2.444</v>
      </c>
      <c r="EL48" s="43">
        <f>IF($CU48&gt;=RAF,"",IF($CU48-EL$103&lt;BeginnAlter,"",ROUND((SUM(DE48:DE$56)+SUM(FW$9:FW$56))/VLOOKUP($CU48,$AH$9:$AI$102,2)/VLOOKUP($CU48-EL$103,Männer!$G$9:$J$102,4),Rundäx)))</f>
        <v>2.5960000000000001</v>
      </c>
      <c r="EM48" s="43">
        <f>IF($CU48&gt;=RAF,"",IF($CU48-EM$103&lt;BeginnAlter,"",ROUND((SUM(DF48:DF$56)+SUM(FX$9:FX$56))/VLOOKUP($CU48,$AH$9:$AI$102,2)/VLOOKUP($CU48-EM$103,Männer!$G$9:$J$102,4),Rundäx)))</f>
        <v>2.7570000000000001</v>
      </c>
      <c r="EN48" s="43">
        <f>IF($CU48&gt;=RAF,"",IF($CU48-EN$103&lt;BeginnAlter,"",ROUND((SUM(DG48:DG$56)+SUM(FY$9:FY$56))/VLOOKUP($CU48,$AH$9:$AI$102,2)/VLOOKUP($CU48-EN$103,Männer!$G$9:$J$102,4),Rundäx)))</f>
        <v>2.927</v>
      </c>
      <c r="EO48" s="43">
        <f>IF($CU48&gt;=RAF,"",IF($CU48-EO$103&lt;BeginnAlter,"",ROUND((SUM(DH48:DH$56)+SUM(FZ$9:FZ$56))/VLOOKUP($CU48,$AH$9:$AI$102,2)/VLOOKUP($CU48-EO$103,Männer!$G$9:$J$102,4),Rundäx)))</f>
        <v>3.1059999999999999</v>
      </c>
      <c r="EP48" s="43">
        <f>IF($CU48&gt;=RAF,"",IF($CU48-EP$103&lt;BeginnAlter,"",ROUND((SUM(DI48:DI$56)+SUM(GA$9:GA$56))/VLOOKUP($CU48,$AH$9:$AI$102,2)/VLOOKUP($CU48-EP$103,Männer!$G$9:$J$102,4),Rundäx)))</f>
        <v>3.2959999999999998</v>
      </c>
      <c r="EQ48" s="43">
        <f>IF($CU48&gt;=RAF,"",IF($CU48-EQ$103&lt;BeginnAlter,"",ROUND((SUM(DJ48:DJ$56)+SUM(GB$9:GB$56))/VLOOKUP($CU48,$AH$9:$AI$102,2)/VLOOKUP($CU48-EQ$103,Männer!$G$9:$J$102,4),Rundäx)))</f>
        <v>3.496</v>
      </c>
      <c r="ER48" s="43">
        <f>IF($CU48&gt;=RAF,"",IF($CU48-ER$103&lt;BeginnAlter,"",ROUND((SUM(DK48:DK$56)+SUM(GC$9:GC$56))/VLOOKUP($CU48,$AH$9:$AI$102,2)/VLOOKUP($CU48-ER$103,Männer!$G$9:$J$102,4),Rundäx)))</f>
        <v>3.706</v>
      </c>
      <c r="ES48" s="89"/>
      <c r="ET48" s="35">
        <f t="shared" si="62"/>
        <v>56</v>
      </c>
      <c r="EU48" s="43">
        <f>IF($CU48&gt;=RAF,"",IF($CU48-EU$103&lt;BeginnAlter,"",ROUND((SUM(DL48:DL$56)+SUM(GD$9:GD$56))/VLOOKUP($CU48,$AH$9:$AI$102,2)/VLOOKUP($CU48-EU$103,Männer!$G$9:$J$102,4),Rundäx)))</f>
        <v>3.9260000000000002</v>
      </c>
      <c r="EV48" s="43">
        <f>IF($CU48&gt;=RAF,"",IF($CU48-EV$103&lt;BeginnAlter,"",ROUND((SUM(DM48:DM$56)+SUM(GE$9:GE$56))/VLOOKUP($CU48,$AH$9:$AI$102,2)/VLOOKUP($CU48-EV$103,Männer!$G$9:$J$102,4),Rundäx)))</f>
        <v>4.1550000000000002</v>
      </c>
      <c r="EW48" s="43">
        <f>IF($CU48&gt;=RAF,"",IF($CU48-EW$103&lt;BeginnAlter,"",ROUND((SUM(DN48:DN$56)+SUM(GF$9:GF$56))/VLOOKUP($CU48,$AH$9:$AI$102,2)/VLOOKUP($CU48-EW$103,Männer!$G$9:$J$102,4),Rundäx)))</f>
        <v>4.3929999999999998</v>
      </c>
      <c r="EX48" s="43">
        <f>IF($CU48&gt;=RAF,"",IF($CU48-EX$103&lt;BeginnAlter,"",ROUND((SUM(DO48:DO$56)+SUM(GG$9:GG$56))/VLOOKUP($CU48,$AH$9:$AI$102,2)/VLOOKUP($CU48-EX$103,Männer!$G$9:$J$102,4),Rundäx)))</f>
        <v>4.6399999999999997</v>
      </c>
      <c r="EY48" s="43">
        <f>IF($CU48&gt;=RAF,"",IF($CU48-EY$103&lt;BeginnAlter,"",ROUND((SUM(DP48:DP$56)+SUM(GH$9:GH$56))/VLOOKUP($CU48,$AH$9:$AI$102,2)/VLOOKUP($CU48-EY$103,Männer!$G$9:$J$102,4),Rundäx)))</f>
        <v>4.8929999999999998</v>
      </c>
      <c r="EZ48" s="43">
        <f>IF($CU48&gt;=RAF,"",IF($CU48-EZ$103&lt;BeginnAlter,"",ROUND((SUM(DQ48:DQ$56)+SUM(GI$9:GI$56))/VLOOKUP($CU48,$AH$9:$AI$102,2)/VLOOKUP($CU48-EZ$103,Männer!$G$9:$J$102,4),Rundäx)))</f>
        <v>5.1539999999999999</v>
      </c>
      <c r="FA48" s="43">
        <f>IF($CU48&gt;=RAF,"",IF($CU48-FA$103&lt;BeginnAlter,"",ROUND((SUM(DR48:DR$56)+SUM(GJ$9:GJ$56))/VLOOKUP($CU48,$AH$9:$AI$102,2)/VLOOKUP($CU48-FA$103,Männer!$G$9:$J$102,4),Rundäx)))</f>
        <v>5.42</v>
      </c>
      <c r="FB48" s="43">
        <f>IF($CU48&gt;=RAF,"",IF($CU48-FB$103&lt;BeginnAlter,"",ROUND((SUM(DS48:DS$56)+SUM(GK$9:GK$56))/VLOOKUP($CU48,$AH$9:$AI$102,2)/VLOOKUP($CU48-FB$103,Männer!$G$9:$J$102,4),Rundäx)))</f>
        <v>5.6909999999999998</v>
      </c>
      <c r="FC48" s="89"/>
      <c r="FD48" s="35">
        <f t="shared" si="63"/>
        <v>56</v>
      </c>
      <c r="FE48" s="43">
        <f>IF($CU48&gt;=RAF,"",IF($CU48-FE$103&lt;BeginnAlter,"",ROUND((SUM(DT48:DT$56)+SUM(GL$9:GL$56))/VLOOKUP($CU48,$AH$9:$AI$102,2)/VLOOKUP($CU48-FE$103,Männer!$G$9:$J$102,4),Rundäx)))</f>
        <v>5.9660000000000002</v>
      </c>
      <c r="FF48" s="43">
        <f>IF($CU48&gt;=RAF,"",IF($CU48-FF$103&lt;BeginnAlter,"",ROUND((SUM(DU48:DU$56)+SUM(GM$9:GM$56))/VLOOKUP($CU48,$AH$9:$AI$102,2)/VLOOKUP($CU48-FF$103,Männer!$G$9:$J$102,4),Rundäx)))</f>
        <v>6.2450000000000001</v>
      </c>
      <c r="FG48" s="43">
        <f>IF($CU48&gt;=RAF,"",IF($CU48-FG$103&lt;BeginnAlter,"",ROUND((SUM(DV48:DV$56)+SUM(GN$9:GN$56))/VLOOKUP($CU48,$AH$9:$AI$102,2)/VLOOKUP($CU48-FG$103,Männer!$G$9:$J$102,4),Rundäx)))</f>
        <v>6.5279999999999996</v>
      </c>
      <c r="FH48" s="43">
        <f>IF($CU48&gt;=RAF,"",IF($CU48-FH$103&lt;BeginnAlter,"",ROUND((SUM(DW48:DW$56)+SUM(GO$9:GO$56))/VLOOKUP($CU48,$AH$9:$AI$102,2)/VLOOKUP($CU48-FH$103,Männer!$G$9:$J$102,4),Rundäx)))</f>
        <v>6.8129999999999997</v>
      </c>
      <c r="FI48" s="43">
        <f>IF($CU48&gt;=RAF,"",IF($CU48-FI$103&lt;BeginnAlter,"",ROUND((SUM(DX48:DX$56)+SUM(GP$9:GP$56))/VLOOKUP($CU48,$AH$9:$AI$102,2)/VLOOKUP($CU48-FI$103,Männer!$G$9:$J$102,4),Rundäx)))</f>
        <v>7.1</v>
      </c>
      <c r="FJ48" s="43">
        <f>IF($CU48&gt;=RAF,"",IF($CU48-FJ$103&lt;BeginnAlter,"",ROUND((SUM(DY48:DY$56)+SUM(GQ$9:GQ$56))/VLOOKUP($CU48,$AH$9:$AI$102,2)/VLOOKUP($CU48-FJ$103,Männer!$G$9:$J$102,4),Rundäx)))</f>
        <v>7.3879999999999999</v>
      </c>
      <c r="FK48" s="43">
        <f>IF($CU48&gt;=RAF,"",IF($CU48-FK$103&lt;BeginnAlter,"",ROUND((SUM(DZ48:DZ$56)+SUM(GR$9:GR$56))/VLOOKUP($CU48,$AH$9:$AI$102,2)/VLOOKUP($CU48-FK$103,Männer!$G$9:$J$102,4),Rundäx)))</f>
        <v>7.6790000000000003</v>
      </c>
      <c r="FL48" s="89"/>
      <c r="FM48" s="35">
        <f t="shared" si="64"/>
        <v>103</v>
      </c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4"/>
      <c r="GT48" s="24"/>
      <c r="GU48" s="24"/>
      <c r="GV48" s="24"/>
      <c r="GW48" s="24"/>
      <c r="GX48" s="24"/>
      <c r="GY48" s="24"/>
      <c r="GZ48" s="24"/>
      <c r="HA48" s="89"/>
      <c r="HB48" s="35">
        <f t="shared" si="65"/>
        <v>103</v>
      </c>
      <c r="HC48" s="24"/>
      <c r="HD48" s="24"/>
      <c r="HE48" s="24"/>
      <c r="HF48" s="24"/>
      <c r="HG48" s="24"/>
      <c r="HH48" s="24"/>
      <c r="HI48" s="24"/>
      <c r="HJ48" s="24"/>
      <c r="HK48" s="89"/>
      <c r="HL48" s="35">
        <f t="shared" si="66"/>
        <v>103</v>
      </c>
      <c r="HM48" s="24"/>
      <c r="HN48" s="24"/>
      <c r="HO48" s="24"/>
      <c r="HP48" s="24"/>
      <c r="HQ48" s="24"/>
      <c r="HR48" s="24"/>
      <c r="HS48" s="24"/>
      <c r="HT48" s="24"/>
      <c r="HU48" s="89"/>
      <c r="HV48" s="35">
        <f t="shared" si="67"/>
        <v>103</v>
      </c>
      <c r="HW48" s="24"/>
      <c r="HX48" s="24"/>
      <c r="HY48" s="24"/>
      <c r="HZ48" s="24"/>
      <c r="IA48" s="24"/>
      <c r="IB48" s="24"/>
      <c r="IC48" s="24"/>
      <c r="ID48" s="89"/>
      <c r="IE48" s="9">
        <f t="shared" si="80"/>
        <v>56</v>
      </c>
      <c r="IF48" s="11">
        <f t="shared" si="25"/>
        <v>9</v>
      </c>
      <c r="IG48" s="11">
        <f>IF($IE48&lt;RAF,IF(S49&lt;=RAK,ROUND(SUM(IF48:INDEX(Daky,RAF-BeginnAlter))+INDEX(Day,RAF-BeginnAlter+1)*INDEX(äky,1),RundDx),0),"")</f>
        <v>24</v>
      </c>
      <c r="IH48" s="11">
        <f>IF($IE48&lt;RAF,IF(S49&lt;=RAK,ROUND(SUM(IG48:INDEX(Naky,RAF-BeginnAlter))+INDEX(Day,RAF-BeginnAlter+1)*INDEX(äky,1),RundDx),0),"")</f>
        <v>64</v>
      </c>
      <c r="II48" s="10">
        <f t="shared" si="26"/>
        <v>1E-3</v>
      </c>
      <c r="IJ48" s="11">
        <f t="shared" si="27"/>
        <v>81</v>
      </c>
      <c r="IK48" s="11">
        <f>IF($IE48&lt;RAF,IF(S49&lt;=RAK,SUM(IJ48:INDEX(Diky,RAF-BeginnAlter))+INDEX(Diy,RAF-BeginnAlter+1)*INDEX(äky,1),0),"")</f>
        <v>189</v>
      </c>
      <c r="IL48" s="10">
        <f t="shared" si="28"/>
        <v>6.0000000000000001E-3</v>
      </c>
      <c r="IM48" s="89"/>
      <c r="IN48" s="9">
        <f t="shared" si="29"/>
        <v>103</v>
      </c>
      <c r="IO48" s="11"/>
      <c r="IP48" s="11"/>
      <c r="IQ48" s="10"/>
      <c r="IR48" s="86"/>
    </row>
    <row r="49" spans="1:252" ht="15.75" customHeight="1" x14ac:dyDescent="0.25">
      <c r="A49" s="9">
        <f t="shared" si="69"/>
        <v>57</v>
      </c>
      <c r="B49" s="93">
        <v>2.6095604019899079E-3</v>
      </c>
      <c r="C49" s="93">
        <v>1.69857169631983E-2</v>
      </c>
      <c r="D49" s="93">
        <v>2.0352170197814323E-2</v>
      </c>
      <c r="E49" s="93">
        <v>4.9808348426771953E-3</v>
      </c>
      <c r="F49" s="89"/>
      <c r="G49" s="9">
        <f t="shared" si="70"/>
        <v>57</v>
      </c>
      <c r="H49" s="11">
        <f t="shared" si="30"/>
        <v>83094</v>
      </c>
      <c r="I49" s="25">
        <f t="shared" si="31"/>
        <v>11870</v>
      </c>
      <c r="J49" s="25">
        <f t="shared" si="32"/>
        <v>94964</v>
      </c>
      <c r="K49" s="30">
        <f>IF(J49&gt;0,ROUND(SUM(J49:J$102)/J49-0.5,Rundex),"")</f>
        <v>26.97</v>
      </c>
      <c r="L49" s="25">
        <f t="shared" si="6"/>
        <v>106166</v>
      </c>
      <c r="M49" s="30">
        <f>IF(L49&gt;0,ROUND(SUM(L49:L$102)/L49-0.5,Rundex),"")</f>
        <v>24.48</v>
      </c>
      <c r="N49" s="89"/>
      <c r="O49" s="9">
        <f t="shared" si="71"/>
        <v>57</v>
      </c>
      <c r="P49" s="94">
        <v>0.22124604229413958</v>
      </c>
      <c r="Q49" s="95">
        <v>59.142868575029084</v>
      </c>
      <c r="R49" s="94">
        <v>1.954867431311573E-2</v>
      </c>
      <c r="S49" s="95">
        <v>19.63</v>
      </c>
      <c r="T49" s="28">
        <v>4.6752393501395357E-3</v>
      </c>
      <c r="U49" s="11">
        <f t="shared" si="33"/>
        <v>95768</v>
      </c>
      <c r="V49" s="30">
        <f>IF(U49&gt;0,ROUND(SUM(U49:U$102)/U49-0.5,Rundex),"")</f>
        <v>28.03</v>
      </c>
      <c r="W49" s="89"/>
      <c r="X49" s="9">
        <f t="shared" si="72"/>
        <v>57</v>
      </c>
      <c r="Y49" s="11">
        <f t="shared" si="34"/>
        <v>23375</v>
      </c>
      <c r="Z49" s="11">
        <f>IF($X49&lt;RAF,SUM(Y49:INDEX(Day,RAF-BeginnAlter))," ")</f>
        <v>142841</v>
      </c>
      <c r="AA49" s="11">
        <f t="shared" si="0"/>
        <v>60</v>
      </c>
      <c r="AB49" s="11">
        <f>IF($X49&lt;RAF,SUM(AA49:INDEX(Cay,RAF-BeginnAlter))," ")</f>
        <v>494</v>
      </c>
      <c r="AC49" s="11">
        <f t="shared" si="1"/>
        <v>393</v>
      </c>
      <c r="AD49" s="11">
        <f>IF($X49&lt;RAF,SUM(AC49:INDEX(Caiy,RAF-BeginnAlter))," ")</f>
        <v>3408</v>
      </c>
      <c r="AE49" s="10">
        <f t="shared" si="35"/>
        <v>6.1109999999999998</v>
      </c>
      <c r="AF49" s="10">
        <f t="shared" si="36"/>
        <v>5.9740000000000002</v>
      </c>
      <c r="AG49" s="89"/>
      <c r="AH49" s="9">
        <f t="shared" si="73"/>
        <v>57</v>
      </c>
      <c r="AI49" s="11">
        <f t="shared" si="37"/>
        <v>29866</v>
      </c>
      <c r="AJ49" s="11">
        <f>IF($AH49&gt;RAF," ",IF($AH49&lt;RAF,SUM(AI49:INDEX(Diy,RAF-BeginnAlter))+INDEX(Ny,RAF-BeginnAlter+1),INDEX(Ny,RAF-BeginnAlter+1)))</f>
        <v>549943</v>
      </c>
      <c r="AK49" s="11">
        <f>IF($AH49&lt;RAF,SUM(AI49:INDEX(Diy,RAF-BeginnAlter))," ")</f>
        <v>183849</v>
      </c>
      <c r="AL49" s="10">
        <f t="shared" si="38"/>
        <v>18.414000000000001</v>
      </c>
      <c r="AM49" s="10">
        <f t="shared" si="39"/>
        <v>17.954999999999998</v>
      </c>
      <c r="AN49" s="10">
        <f t="shared" si="40"/>
        <v>6.1559999999999997</v>
      </c>
      <c r="AO49" s="10">
        <f t="shared" si="41"/>
        <v>6.0309999999999997</v>
      </c>
      <c r="AP49" s="89"/>
      <c r="AQ49" s="9">
        <f t="shared" si="74"/>
        <v>57</v>
      </c>
      <c r="AR49" s="11">
        <f t="shared" si="42"/>
        <v>26715</v>
      </c>
      <c r="AS49" s="11">
        <f>SUM(AR49:AR$96)</f>
        <v>538125</v>
      </c>
      <c r="AT49" s="25">
        <f>IF($AQ49&lt;RAF,SUM(AR49:INDEX(Dy,RAF-BeginnAlter))," ")</f>
        <v>172031</v>
      </c>
      <c r="AU49" s="24">
        <f t="shared" si="43"/>
        <v>20.143000000000001</v>
      </c>
      <c r="AV49" s="24">
        <f t="shared" si="44"/>
        <v>19.684999999999999</v>
      </c>
      <c r="AW49" s="24">
        <f t="shared" si="45"/>
        <v>6.4390000000000001</v>
      </c>
      <c r="AX49" s="24">
        <f t="shared" si="46"/>
        <v>6.3540000000000001</v>
      </c>
      <c r="AY49" s="89"/>
      <c r="AZ49" s="9">
        <f t="shared" si="75"/>
        <v>57</v>
      </c>
      <c r="BA49" s="11">
        <f t="shared" si="47"/>
        <v>26941</v>
      </c>
      <c r="BB49" s="11">
        <f>SUM(BA49:BA$96)</f>
        <v>559327</v>
      </c>
      <c r="BC49" s="10">
        <f t="shared" si="48"/>
        <v>20.760999999999999</v>
      </c>
      <c r="BD49" s="10">
        <f t="shared" si="7"/>
        <v>20.303000000000001</v>
      </c>
      <c r="BE49" s="89"/>
      <c r="BF49" s="9">
        <f t="shared" si="54"/>
        <v>40</v>
      </c>
      <c r="BG49" s="10" t="str">
        <f t="shared" si="8"/>
        <v/>
      </c>
      <c r="BH49" s="10" t="str">
        <f t="shared" si="9"/>
        <v/>
      </c>
      <c r="BI49" s="89"/>
      <c r="BJ49" s="9">
        <f t="shared" si="76"/>
        <v>57</v>
      </c>
      <c r="BK49" s="11">
        <f t="shared" si="10"/>
        <v>7003</v>
      </c>
      <c r="BL49" s="11">
        <f>IF(BJ49&lt;RAF,SUM(BK49:INDEX(Daiy,RAF-BeginnAlter))," ")</f>
        <v>58268</v>
      </c>
      <c r="BM49" s="11">
        <f>IF(BJ49&lt;RAF,SUM(BL49:INDEX(Naiy,RAF-BeginnAlter))," ")</f>
        <v>243068</v>
      </c>
      <c r="BN49" s="10">
        <f t="shared" si="11"/>
        <v>11.473000000000001</v>
      </c>
      <c r="BO49" s="10">
        <f t="shared" si="12"/>
        <v>2.4929999999999999</v>
      </c>
      <c r="BP49" s="89"/>
      <c r="BQ49" s="9">
        <f t="shared" si="77"/>
        <v>57</v>
      </c>
      <c r="BR49" s="11">
        <f t="shared" si="13"/>
        <v>2220</v>
      </c>
      <c r="BS49" s="11">
        <f>IF(BQ49&lt;RAF,SUM(BR49:INDEX(Daiys,RAF-BeginnAlter))," ")</f>
        <v>10142</v>
      </c>
      <c r="BT49" s="11">
        <f>IF(BQ49&lt;RAF,SUM(BS49:INDEX(Naiys,RAF-BeginnAlter))," ")</f>
        <v>31441</v>
      </c>
      <c r="BU49" s="10">
        <f t="shared" si="14"/>
        <v>13.532</v>
      </c>
      <c r="BV49" s="10">
        <f t="shared" si="15"/>
        <v>0.434</v>
      </c>
      <c r="BW49" s="89"/>
      <c r="BX49" s="9">
        <f t="shared" si="78"/>
        <v>57</v>
      </c>
      <c r="BY49" s="10">
        <f t="shared" si="16"/>
        <v>4.8909296570844134</v>
      </c>
      <c r="BZ49" s="11">
        <f t="shared" si="17"/>
        <v>29</v>
      </c>
      <c r="CA49" s="11">
        <f>IF(S50&lt;=RAK,IF($BX49&lt;RAF,SUM(BZ49:INDEX(Dazy,RAF-BeginnAlter)),""),"")</f>
        <v>77</v>
      </c>
      <c r="CB49" s="10">
        <f t="shared" si="18"/>
        <v>3.0000000000000001E-3</v>
      </c>
      <c r="CC49" s="11">
        <f t="shared" si="19"/>
        <v>22893</v>
      </c>
      <c r="CD49" s="10">
        <f t="shared" si="20"/>
        <v>17.146999999999998</v>
      </c>
      <c r="CE49" s="10">
        <f t="shared" si="21"/>
        <v>5.0000000000000001E-3</v>
      </c>
      <c r="CF49" s="89"/>
      <c r="CG49" s="9">
        <f t="shared" si="79"/>
        <v>57</v>
      </c>
      <c r="CH49" s="11">
        <f>IF(CG49&lt;RAF,ROUND(v^($CG49+FaktorAlter)*$H49*($B49*0.5*($P49+$P50)*(VLOOKUP(TRUNC(0.5*($Q49+$Q50),0),Männer!$AZ$9:$BD$95,5)+(0.5*($Q49+$Q50)-TRUNC(0.5*($Q49+$Q50),0))*(VLOOKUP(TRUNC(0.5*($Q49+$Q50)+1,0),Männer!$AZ$9:$BD$95,5)-VLOOKUP(TRUNC(0.5*($Q49+$Q50),0),Männer!$AZ$9:$BD$95,5)))+$C49*0.5*($CN49+$CN50)),RundDx),"")</f>
        <v>351</v>
      </c>
      <c r="CI49" s="11">
        <f>IF(CG49&lt;RAF,ROUND(SUM(CH49:INDEX(Dawy,RAF-BeginnAlter))+INDEX(Day,RAF-BeginnAlter+1)*INDEX(äwy,1),RundDx),"")</f>
        <v>3935</v>
      </c>
      <c r="CJ49" s="11">
        <f>IF(CG49&lt;RAF,ROUND(SUM(CI49:INDEX(Nawy,RAF-BeginnAlter))+INDEX(Day,RAF-BeginnAlter+1)*INDEX(äwy,1),RundDx),"")</f>
        <v>22661</v>
      </c>
      <c r="CK49" s="10">
        <f t="shared" si="22"/>
        <v>0.16800000000000001</v>
      </c>
      <c r="CL49" s="11">
        <f>IF(CG49&lt;RAF,ROUND(v^($CG49+FaktorAlter)*$L49*$D49*0.5*($P49+$P50)*(VLOOKUP(TRUNC(0.5*($Q49+$Q50),0),Männer!$AZ$9:$BD$95,5)+(0.5*($Q49+$Q50)-TRUNC(0.5*($Q49+$Q50),0))*(VLOOKUP(TRUNC(0.5*($Q49+$Q50)+1,0),Männer!$AZ$9:$BD$95,5)-VLOOKUP(TRUNC(0.5*($Q49+$Q50),0),Männer!$AZ$9:$BD$95,5))),RundDx),"")</f>
        <v>1947</v>
      </c>
      <c r="CM49" s="11">
        <f>IF(CG49&lt;RAF,SUM(CL49:INDEX(Diwy,RAF-BeginnAlter))+INDEX(Diy,RAF-BeginnAlter+1)*INDEX(äwy,1),"")</f>
        <v>12605.304</v>
      </c>
      <c r="CN49" s="10">
        <f t="shared" si="23"/>
        <v>0.42199999999999999</v>
      </c>
      <c r="CO49" s="89"/>
      <c r="CP49" s="9">
        <f t="shared" si="59"/>
        <v>104</v>
      </c>
      <c r="CQ49" s="11"/>
      <c r="CR49" s="11"/>
      <c r="CS49" s="10"/>
      <c r="CT49" s="89"/>
      <c r="CU49" s="35">
        <f t="shared" si="60"/>
        <v>57</v>
      </c>
      <c r="CV49" s="25">
        <f>IF($CU49&gt;=RAF,"",IF($CU49-CV$103&lt;BeginnAlter,"",ROUND(v^($CU49+FaktorAlter)*$L49*$D49*0.5*(VLOOKUP($CU49-CV$103,Männer!$G$9:$J$102,4)+VLOOKUP($CU49-CV$103+1,Männer!$G$9:$J$102,4))*0.5*(VLOOKUP($CU49-CV$103,Männer!$AZ$9:$BD$102,5)+VLOOKUP($CU49-CV$103+1,Männer!$AZ$9:$BD$102,5)),RundDx)))</f>
        <v>435636884</v>
      </c>
      <c r="CW49" s="25">
        <f>IF($CU49&gt;=RAF,"",IF($CU49-CW$103&lt;BeginnAlter,"",ROUND(v^($CU49+FaktorAlter)*$L49*$D49*0.5*(VLOOKUP($CU49-CW$103,Männer!$G$9:$J$102,4)+VLOOKUP($CU49-CW$103+1,Männer!$G$9:$J$102,4))*0.5*(VLOOKUP($CU49-CW$103,Männer!$AZ$9:$BD$102,5)+VLOOKUP($CU49-CW$103+1,Männer!$AZ$9:$BD$102,5)),RundDx)))</f>
        <v>465475205</v>
      </c>
      <c r="CX49" s="25">
        <f>IF($CU49&gt;=RAF,"",IF($CU49-CX$103&lt;BeginnAlter,"",ROUND(v^($CU49+FaktorAlter)*$L49*$D49*0.5*(VLOOKUP($CU49-CX$103,Männer!$G$9:$J$102,4)+VLOOKUP($CU49-CX$103+1,Männer!$G$9:$J$102,4))*0.5*(VLOOKUP($CU49-CX$103,Männer!$AZ$9:$BD$102,5)+VLOOKUP($CU49-CX$103+1,Männer!$AZ$9:$BD$102,5)),RundDx)))</f>
        <v>495355126</v>
      </c>
      <c r="CY49" s="25">
        <f>IF($CU49&gt;=RAF,"",IF($CU49-CY$103&lt;BeginnAlter,"",ROUND(v^($CU49+FaktorAlter)*$L49*$D49*0.5*(VLOOKUP($CU49-CY$103,Männer!$G$9:$J$102,4)+VLOOKUP($CU49-CY$103+1,Männer!$G$9:$J$102,4))*0.5*(VLOOKUP($CU49-CY$103,Männer!$AZ$9:$BD$102,5)+VLOOKUP($CU49-CY$103+1,Männer!$AZ$9:$BD$102,5)),RundDx)))</f>
        <v>525258760</v>
      </c>
      <c r="CZ49" s="25">
        <f>IF($CU49&gt;=RAF,"",IF($CU49-CZ$103&lt;BeginnAlter,"",ROUND(v^($CU49+FaktorAlter)*$L49*$D49*0.5*(VLOOKUP($CU49-CZ$103,Männer!$G$9:$J$102,4)+VLOOKUP($CU49-CZ$103+1,Männer!$G$9:$J$102,4))*0.5*(VLOOKUP($CU49-CZ$103,Männer!$AZ$9:$BD$102,5)+VLOOKUP($CU49-CZ$103+1,Männer!$AZ$9:$BD$102,5)),RundDx)))</f>
        <v>555292168</v>
      </c>
      <c r="DA49" s="25">
        <f>IF($CU49&gt;=RAF,"",IF($CU49-DA$103&lt;BeginnAlter,"",ROUND(v^($CU49+FaktorAlter)*$L49*$D49*0.5*(VLOOKUP($CU49-DA$103,Männer!$G$9:$J$102,4)+VLOOKUP($CU49-DA$103+1,Männer!$G$9:$J$102,4))*0.5*(VLOOKUP($CU49-DA$103,Männer!$AZ$9:$BD$102,5)+VLOOKUP($CU49-DA$103+1,Männer!$AZ$9:$BD$102,5)),RundDx)))</f>
        <v>585541971</v>
      </c>
      <c r="DB49" s="25">
        <f>IF($CU49&gt;=RAF,"",IF($CU49-DB$103&lt;BeginnAlter,"",ROUND(v^($CU49+FaktorAlter)*$L49*$D49*0.5*(VLOOKUP($CU49-DB$103,Männer!$G$9:$J$102,4)+VLOOKUP($CU49-DB$103+1,Männer!$G$9:$J$102,4))*0.5*(VLOOKUP($CU49-DB$103,Männer!$AZ$9:$BD$102,5)+VLOOKUP($CU49-DB$103+1,Männer!$AZ$9:$BD$102,5)),RundDx)))</f>
        <v>615933488</v>
      </c>
      <c r="DC49" s="25">
        <f>IF($CU49&gt;=RAF,"",IF($CU49-DC$103&lt;BeginnAlter,"",ROUND(v^($CU49+FaktorAlter)*$L49*$D49*0.5*(VLOOKUP($CU49-DC$103,Männer!$G$9:$J$102,4)+VLOOKUP($CU49-DC$103+1,Männer!$G$9:$J$102,4))*0.5*(VLOOKUP($CU49-DC$103,Männer!$AZ$9:$BD$102,5)+VLOOKUP($CU49-DC$103+1,Männer!$AZ$9:$BD$102,5)),RundDx)))</f>
        <v>646540741</v>
      </c>
      <c r="DD49" s="25">
        <f>IF($CU49&gt;=RAF,"",IF($CU49-DD$103&lt;BeginnAlter,"",ROUND(v^($CU49+FaktorAlter)*$L49*$D49*0.5*(VLOOKUP($CU49-DD$103,Männer!$G$9:$J$102,4)+VLOOKUP($CU49-DD$103+1,Männer!$G$9:$J$102,4))*0.5*(VLOOKUP($CU49-DD$103,Männer!$AZ$9:$BD$102,5)+VLOOKUP($CU49-DD$103+1,Männer!$AZ$9:$BD$102,5)),RundDx)))</f>
        <v>677519948</v>
      </c>
      <c r="DE49" s="25">
        <f>IF($CU49&gt;=RAF,"",IF($CU49-DE$103&lt;BeginnAlter,"",ROUND(v^($CU49+FaktorAlter)*$L49*$D49*0.5*(VLOOKUP($CU49-DE$103,Männer!$G$9:$J$102,4)+VLOOKUP($CU49-DE$103+1,Männer!$G$9:$J$102,4))*0.5*(VLOOKUP($CU49-DE$103,Männer!$AZ$9:$BD$102,5)+VLOOKUP($CU49-DE$103+1,Männer!$AZ$9:$BD$102,5)),RundDx)))</f>
        <v>708929835</v>
      </c>
      <c r="DF49" s="25">
        <f>IF($CU49&gt;=RAF,"",IF($CU49-DF$103&lt;BeginnAlter,"",ROUND(v^($CU49+FaktorAlter)*$L49*$D49*0.5*(VLOOKUP($CU49-DF$103,Männer!$G$9:$J$102,4)+VLOOKUP($CU49-DF$103+1,Männer!$G$9:$J$102,4))*0.5*(VLOOKUP($CU49-DF$103,Männer!$AZ$9:$BD$102,5)+VLOOKUP($CU49-DF$103+1,Männer!$AZ$9:$BD$102,5)),RundDx)))</f>
        <v>740846137</v>
      </c>
      <c r="DG49" s="25">
        <f>IF($CU49&gt;=RAF,"",IF($CU49-DG$103&lt;BeginnAlter,"",ROUND(v^($CU49+FaktorAlter)*$L49*$D49*0.5*(VLOOKUP($CU49-DG$103,Männer!$G$9:$J$102,4)+VLOOKUP($CU49-DG$103+1,Männer!$G$9:$J$102,4))*0.5*(VLOOKUP($CU49-DG$103,Männer!$AZ$9:$BD$102,5)+VLOOKUP($CU49-DG$103+1,Männer!$AZ$9:$BD$102,5)),RundDx)))</f>
        <v>773316431</v>
      </c>
      <c r="DH49" s="25">
        <f>IF($CU49&gt;=RAF,"",IF($CU49-DH$103&lt;BeginnAlter,"",ROUND(v^($CU49+FaktorAlter)*$L49*$D49*0.5*(VLOOKUP($CU49-DH$103,Männer!$G$9:$J$102,4)+VLOOKUP($CU49-DH$103+1,Männer!$G$9:$J$102,4))*0.5*(VLOOKUP($CU49-DH$103,Männer!$AZ$9:$BD$102,5)+VLOOKUP($CU49-DH$103+1,Männer!$AZ$9:$BD$102,5)),RundDx)))</f>
        <v>806366855</v>
      </c>
      <c r="DI49" s="25">
        <f>IF($CU49&gt;=RAF,"",IF($CU49-DI$103&lt;BeginnAlter,"",ROUND(v^($CU49+FaktorAlter)*$L49*$D49*0.5*(VLOOKUP($CU49-DI$103,Männer!$G$9:$J$102,4)+VLOOKUP($CU49-DI$103+1,Männer!$G$9:$J$102,4))*0.5*(VLOOKUP($CU49-DI$103,Männer!$AZ$9:$BD$102,5)+VLOOKUP($CU49-DI$103+1,Männer!$AZ$9:$BD$102,5)),RundDx)))</f>
        <v>840056464</v>
      </c>
      <c r="DJ49" s="25">
        <f>IF($CU49&gt;=RAF,"",IF($CU49-DJ$103&lt;BeginnAlter,"",ROUND(v^($CU49+FaktorAlter)*$L49*$D49*0.5*(VLOOKUP($CU49-DJ$103,Männer!$G$9:$J$102,4)+VLOOKUP($CU49-DJ$103+1,Männer!$G$9:$J$102,4))*0.5*(VLOOKUP($CU49-DJ$103,Männer!$AZ$9:$BD$102,5)+VLOOKUP($CU49-DJ$103+1,Männer!$AZ$9:$BD$102,5)),RundDx)))</f>
        <v>874345397</v>
      </c>
      <c r="DK49" s="25">
        <f>IF($CU49&gt;=RAF,"",IF($CU49-DK$103&lt;BeginnAlter,"",ROUND(v^($CU49+FaktorAlter)*$L49*$D49*0.5*(VLOOKUP($CU49-DK$103,Männer!$G$9:$J$102,4)+VLOOKUP($CU49-DK$103+1,Männer!$G$9:$J$102,4))*0.5*(VLOOKUP($CU49-DK$103,Männer!$AZ$9:$BD$102,5)+VLOOKUP($CU49-DK$103+1,Männer!$AZ$9:$BD$102,5)),RundDx)))</f>
        <v>909183343</v>
      </c>
      <c r="DL49" s="25">
        <f>IF($CU49&gt;=RAF,"",IF($CU49-DL$103&lt;BeginnAlter,"",ROUND(v^($CU49+FaktorAlter)*$L49*$D49*0.5*(VLOOKUP($CU49-DL$103,Männer!$G$9:$J$102,4)+VLOOKUP($CU49-DL$103+1,Männer!$G$9:$J$102,4))*0.5*(VLOOKUP($CU49-DL$103,Männer!$AZ$9:$BD$102,5)+VLOOKUP($CU49-DL$103+1,Männer!$AZ$9:$BD$102,5)),RundDx)))</f>
        <v>944560600</v>
      </c>
      <c r="DM49" s="25">
        <f>IF($CU49&gt;=RAF,"",IF($CU49-DM$103&lt;BeginnAlter,"",ROUND(v^($CU49+FaktorAlter)*$L49*$D49*0.5*(VLOOKUP($CU49-DM$103,Männer!$G$9:$J$102,4)+VLOOKUP($CU49-DM$103+1,Männer!$G$9:$J$102,4))*0.5*(VLOOKUP($CU49-DM$103,Männer!$AZ$9:$BD$102,5)+VLOOKUP($CU49-DM$103+1,Männer!$AZ$9:$BD$102,5)),RundDx)))</f>
        <v>979958373</v>
      </c>
      <c r="DN49" s="25">
        <f>IF($CU49&gt;=RAF,"",IF($CU49-DN$103&lt;BeginnAlter,"",ROUND(v^($CU49+FaktorAlter)*$L49*$D49*0.5*(VLOOKUP($CU49-DN$103,Männer!$G$9:$J$102,4)+VLOOKUP($CU49-DN$103+1,Männer!$G$9:$J$102,4))*0.5*(VLOOKUP($CU49-DN$103,Männer!$AZ$9:$BD$102,5)+VLOOKUP($CU49-DN$103+1,Männer!$AZ$9:$BD$102,5)),RundDx)))</f>
        <v>1014823587</v>
      </c>
      <c r="DO49" s="25">
        <f>IF($CU49&gt;=RAF,"",IF($CU49-DO$103&lt;BeginnAlter,"",ROUND(v^($CU49+FaktorAlter)*$L49*$D49*0.5*(VLOOKUP($CU49-DO$103,Männer!$G$9:$J$102,4)+VLOOKUP($CU49-DO$103+1,Männer!$G$9:$J$102,4))*0.5*(VLOOKUP($CU49-DO$103,Männer!$AZ$9:$BD$102,5)+VLOOKUP($CU49-DO$103+1,Männer!$AZ$9:$BD$102,5)),RundDx)))</f>
        <v>1049162115</v>
      </c>
      <c r="DP49" s="25">
        <f>IF($CU49&gt;=RAF,"",IF($CU49-DP$103&lt;BeginnAlter,"",ROUND(v^($CU49+FaktorAlter)*$L49*$D49*0.5*(VLOOKUP($CU49-DP$103,Männer!$G$9:$J$102,4)+VLOOKUP($CU49-DP$103+1,Männer!$G$9:$J$102,4))*0.5*(VLOOKUP($CU49-DP$103,Männer!$AZ$9:$BD$102,5)+VLOOKUP($CU49-DP$103+1,Männer!$AZ$9:$BD$102,5)),RundDx)))</f>
        <v>1082979138</v>
      </c>
      <c r="DQ49" s="25">
        <f>IF($CU49&gt;=RAF,"",IF($CU49-DQ$103&lt;BeginnAlter,"",ROUND(v^($CU49+FaktorAlter)*$L49*$D49*0.5*(VLOOKUP($CU49-DQ$103,Männer!$G$9:$J$102,4)+VLOOKUP($CU49-DQ$103+1,Männer!$G$9:$J$102,4))*0.5*(VLOOKUP($CU49-DQ$103,Männer!$AZ$9:$BD$102,5)+VLOOKUP($CU49-DQ$103+1,Männer!$AZ$9:$BD$102,5)),RundDx)))</f>
        <v>1116213896</v>
      </c>
      <c r="DR49" s="25">
        <f>IF($CU49&gt;=RAF,"",IF($CU49-DR$103&lt;BeginnAlter,"",ROUND(v^($CU49+FaktorAlter)*$L49*$D49*0.5*(VLOOKUP($CU49-DR$103,Männer!$G$9:$J$102,4)+VLOOKUP($CU49-DR$103+1,Männer!$G$9:$J$102,4))*0.5*(VLOOKUP($CU49-DR$103,Männer!$AZ$9:$BD$102,5)+VLOOKUP($CU49-DR$103+1,Männer!$AZ$9:$BD$102,5)),RundDx)))</f>
        <v>1148870075</v>
      </c>
      <c r="DS49" s="25">
        <f>IF($CU49&gt;=RAF,"",IF($CU49-DS$103&lt;BeginnAlter,"",ROUND(v^($CU49+FaktorAlter)*$L49*$D49*0.5*(VLOOKUP($CU49-DS$103,Männer!$G$9:$J$102,4)+VLOOKUP($CU49-DS$103+1,Männer!$G$9:$J$102,4))*0.5*(VLOOKUP($CU49-DS$103,Männer!$AZ$9:$BD$102,5)+VLOOKUP($CU49-DS$103+1,Männer!$AZ$9:$BD$102,5)),RundDx)))</f>
        <v>1180998227</v>
      </c>
      <c r="DT49" s="25">
        <f>IF($CU49&gt;=RAF,"",IF($CU49-DT$103&lt;BeginnAlter,"",ROUND(v^($CU49+FaktorAlter)*$L49*$D49*0.5*(VLOOKUP($CU49-DT$103,Männer!$G$9:$J$102,4)+VLOOKUP($CU49-DT$103+1,Männer!$G$9:$J$102,4))*0.5*(VLOOKUP($CU49-DT$103,Männer!$AZ$9:$BD$102,5)+VLOOKUP($CU49-DT$103+1,Männer!$AZ$9:$BD$102,5)),RundDx)))</f>
        <v>1212577678</v>
      </c>
      <c r="DU49" s="25">
        <f>IF($CU49&gt;=RAF,"",IF($CU49-DU$103&lt;BeginnAlter,"",ROUND(v^($CU49+FaktorAlter)*$L49*$D49*0.5*(VLOOKUP($CU49-DU$103,Männer!$G$9:$J$102,4)+VLOOKUP($CU49-DU$103+1,Männer!$G$9:$J$102,4))*0.5*(VLOOKUP($CU49-DU$103,Männer!$AZ$9:$BD$102,5)+VLOOKUP($CU49-DU$103+1,Männer!$AZ$9:$BD$102,5)),RundDx)))</f>
        <v>1243574632</v>
      </c>
      <c r="DV49" s="25">
        <f>IF($CU49&gt;=RAF,"",IF($CU49-DV$103&lt;BeginnAlter,"",ROUND(v^($CU49+FaktorAlter)*$L49*$D49*0.5*(VLOOKUP($CU49-DV$103,Männer!$G$9:$J$102,4)+VLOOKUP($CU49-DV$103+1,Männer!$G$9:$J$102,4))*0.5*(VLOOKUP($CU49-DV$103,Männer!$AZ$9:$BD$102,5)+VLOOKUP($CU49-DV$103+1,Männer!$AZ$9:$BD$102,5)),RundDx)))</f>
        <v>1274027384</v>
      </c>
      <c r="DW49" s="25">
        <f>IF($CU49&gt;=RAF,"",IF($CU49-DW$103&lt;BeginnAlter,"",ROUND(v^($CU49+FaktorAlter)*$L49*$D49*0.5*(VLOOKUP($CU49-DW$103,Männer!$G$9:$J$102,4)+VLOOKUP($CU49-DW$103+1,Männer!$G$9:$J$102,4))*0.5*(VLOOKUP($CU49-DW$103,Männer!$AZ$9:$BD$102,5)+VLOOKUP($CU49-DW$103+1,Männer!$AZ$9:$BD$102,5)),RundDx)))</f>
        <v>1303934542</v>
      </c>
      <c r="DX49" s="25">
        <f>IF($CU49&gt;=RAF,"",IF($CU49-DX$103&lt;BeginnAlter,"",ROUND(v^($CU49+FaktorAlter)*$L49*$D49*0.5*(VLOOKUP($CU49-DX$103,Männer!$G$9:$J$102,4)+VLOOKUP($CU49-DX$103+1,Männer!$G$9:$J$102,4))*0.5*(VLOOKUP($CU49-DX$103,Männer!$AZ$9:$BD$102,5)+VLOOKUP($CU49-DX$103+1,Männer!$AZ$9:$BD$102,5)),RundDx)))</f>
        <v>1333296224</v>
      </c>
      <c r="DY49" s="25">
        <f>IF($CU49&gt;=RAF,"",IF($CU49-DY$103&lt;BeginnAlter,"",ROUND(v^($CU49+FaktorAlter)*$L49*$D49*0.5*(VLOOKUP($CU49-DY$103,Männer!$G$9:$J$102,4)+VLOOKUP($CU49-DY$103+1,Männer!$G$9:$J$102,4))*0.5*(VLOOKUP($CU49-DY$103,Männer!$AZ$9:$BD$102,5)+VLOOKUP($CU49-DY$103+1,Männer!$AZ$9:$BD$102,5)),RundDx)))</f>
        <v>1362100090</v>
      </c>
      <c r="DZ49" s="25">
        <f>IF($CU49&gt;=RAF,"",IF($CU49-DZ$103&lt;BeginnAlter,"",ROUND(v^($CU49+FaktorAlter)*$L49*$D49*0.5*(VLOOKUP($CU49-DZ$103,Männer!$G$9:$J$102,4)+VLOOKUP($CU49-DZ$103+1,Männer!$G$9:$J$102,4))*0.5*(VLOOKUP($CU49-DZ$103,Männer!$AZ$9:$BD$102,5)+VLOOKUP($CU49-DZ$103+1,Männer!$AZ$9:$BD$102,5)),RundDx)))</f>
        <v>1390377788</v>
      </c>
      <c r="EA49" s="43">
        <f>IF($CU49&gt;=RAF,"",IF($CU49-EA$103&lt;BeginnAlter,"",ROUND((SUM(CV49:CV$56)+SUM(FN$9:FN$56))/VLOOKUP($CU49,$AH$9:$AI$102,2)/VLOOKUP($CU49-EA$103,Männer!$G$9:$J$102,4),Rundäx)))</f>
        <v>1.345</v>
      </c>
      <c r="EB49" s="43">
        <f>IF($CU49&gt;=RAF,"",IF($CU49-EB$103&lt;BeginnAlter,"",ROUND((SUM(CW49:CW$56)+SUM(FO$9:FO$56))/VLOOKUP($CU49,$AH$9:$AI$102,2)/VLOOKUP($CU49-EB$103,Männer!$G$9:$J$102,4),Rundäx)))</f>
        <v>1.448</v>
      </c>
      <c r="EC49" s="43">
        <f>IF($CU49&gt;=RAF,"",IF($CU49-EC$103&lt;BeginnAlter,"",ROUND((SUM(CX49:CX$56)+SUM(FP$9:FP$56))/VLOOKUP($CU49,$AH$9:$AI$102,2)/VLOOKUP($CU49-EC$103,Männer!$G$9:$J$102,4),Rundäx)))</f>
        <v>1.554</v>
      </c>
      <c r="ED49" s="43">
        <f>IF($CU49&gt;=RAF,"",IF($CU49-ED$103&lt;BeginnAlter,"",ROUND((SUM(CY49:CY$56)+SUM(FQ$9:FQ$56))/VLOOKUP($CU49,$AH$9:$AI$102,2)/VLOOKUP($CU49-ED$103,Männer!$G$9:$J$102,4),Rundäx)))</f>
        <v>1.6659999999999999</v>
      </c>
      <c r="EE49" s="43">
        <f>IF($CU49&gt;=RAF,"",IF($CU49-EE$103&lt;BeginnAlter,"",ROUND((SUM(CZ49:CZ$56)+SUM(FR$9:FR$56))/VLOOKUP($CU49,$AH$9:$AI$102,2)/VLOOKUP($CU49-EE$103,Männer!$G$9:$J$102,4),Rundäx)))</f>
        <v>1.782</v>
      </c>
      <c r="EF49" s="43">
        <f>IF($CU49&gt;=RAF,"",IF($CU49-EF$103&lt;BeginnAlter,"",ROUND((SUM(DA49:DA$56)+SUM(FS$9:FS$56))/VLOOKUP($CU49,$AH$9:$AI$102,2)/VLOOKUP($CU49-EF$103,Männer!$G$9:$J$102,4),Rundäx)))</f>
        <v>1.9039999999999999</v>
      </c>
      <c r="EG49" s="43">
        <f>IF($CU49&gt;=RAF,"",IF($CU49-EG$103&lt;BeginnAlter,"",ROUND((SUM(DB49:DB$56)+SUM(FT$9:FT$56))/VLOOKUP($CU49,$AH$9:$AI$102,2)/VLOOKUP($CU49-EG$103,Männer!$G$9:$J$102,4),Rundäx)))</f>
        <v>2.032</v>
      </c>
      <c r="EH49" s="43">
        <f>IF($CU49&gt;=RAF,"",IF($CU49-EH$103&lt;BeginnAlter,"",ROUND((SUM(DC49:DC$56)+SUM(FU$9:FU$56))/VLOOKUP($CU49,$AH$9:$AI$102,2)/VLOOKUP($CU49-EH$103,Männer!$G$9:$J$102,4),Rundäx)))</f>
        <v>2.1669999999999998</v>
      </c>
      <c r="EI49" s="89"/>
      <c r="EJ49" s="35">
        <f t="shared" si="61"/>
        <v>57</v>
      </c>
      <c r="EK49" s="43">
        <f>IF($CU49&gt;=RAF,"",IF($CU49-EK$103&lt;BeginnAlter,"",ROUND((SUM(DD49:DD$56)+SUM(FV$9:FV$56))/VLOOKUP($CU49,$AH$9:$AI$102,2)/VLOOKUP($CU49-EK$103,Männer!$G$9:$J$102,4),Rundäx)))</f>
        <v>2.3079999999999998</v>
      </c>
      <c r="EL49" s="43">
        <f>IF($CU49&gt;=RAF,"",IF($CU49-EL$103&lt;BeginnAlter,"",ROUND((SUM(DE49:DE$56)+SUM(FW$9:FW$56))/VLOOKUP($CU49,$AH$9:$AI$102,2)/VLOOKUP($CU49-EL$103,Männer!$G$9:$J$102,4),Rundäx)))</f>
        <v>2.4569999999999999</v>
      </c>
      <c r="EM49" s="43">
        <f>IF($CU49&gt;=RAF,"",IF($CU49-EM$103&lt;BeginnAlter,"",ROUND((SUM(DF49:DF$56)+SUM(FX$9:FX$56))/VLOOKUP($CU49,$AH$9:$AI$102,2)/VLOOKUP($CU49-EM$103,Männer!$G$9:$J$102,4),Rundäx)))</f>
        <v>2.6139999999999999</v>
      </c>
      <c r="EN49" s="43">
        <f>IF($CU49&gt;=RAF,"",IF($CU49-EN$103&lt;BeginnAlter,"",ROUND((SUM(DG49:DG$56)+SUM(FY$9:FY$56))/VLOOKUP($CU49,$AH$9:$AI$102,2)/VLOOKUP($CU49-EN$103,Männer!$G$9:$J$102,4),Rundäx)))</f>
        <v>2.78</v>
      </c>
      <c r="EO49" s="43">
        <f>IF($CU49&gt;=RAF,"",IF($CU49-EO$103&lt;BeginnAlter,"",ROUND((SUM(DH49:DH$56)+SUM(FZ$9:FZ$56))/VLOOKUP($CU49,$AH$9:$AI$102,2)/VLOOKUP($CU49-EO$103,Männer!$G$9:$J$102,4),Rundäx)))</f>
        <v>2.956</v>
      </c>
      <c r="EP49" s="43">
        <f>IF($CU49&gt;=RAF,"",IF($CU49-EP$103&lt;BeginnAlter,"",ROUND((SUM(DI49:DI$56)+SUM(GA$9:GA$56))/VLOOKUP($CU49,$AH$9:$AI$102,2)/VLOOKUP($CU49-EP$103,Männer!$G$9:$J$102,4),Rundäx)))</f>
        <v>3.1419999999999999</v>
      </c>
      <c r="EQ49" s="43">
        <f>IF($CU49&gt;=RAF,"",IF($CU49-EQ$103&lt;BeginnAlter,"",ROUND((SUM(DJ49:DJ$56)+SUM(GB$9:GB$56))/VLOOKUP($CU49,$AH$9:$AI$102,2)/VLOOKUP($CU49-EQ$103,Männer!$G$9:$J$102,4),Rundäx)))</f>
        <v>3.3380000000000001</v>
      </c>
      <c r="ER49" s="43">
        <f>IF($CU49&gt;=RAF,"",IF($CU49-ER$103&lt;BeginnAlter,"",ROUND((SUM(DK49:DK$56)+SUM(GC$9:GC$56))/VLOOKUP($CU49,$AH$9:$AI$102,2)/VLOOKUP($CU49-ER$103,Männer!$G$9:$J$102,4),Rundäx)))</f>
        <v>3.544</v>
      </c>
      <c r="ES49" s="89"/>
      <c r="ET49" s="35">
        <f t="shared" si="62"/>
        <v>57</v>
      </c>
      <c r="EU49" s="43">
        <f>IF($CU49&gt;=RAF,"",IF($CU49-EU$103&lt;BeginnAlter,"",ROUND((SUM(DL49:DL$56)+SUM(GD$9:GD$56))/VLOOKUP($CU49,$AH$9:$AI$102,2)/VLOOKUP($CU49-EU$103,Männer!$G$9:$J$102,4),Rundäx)))</f>
        <v>3.762</v>
      </c>
      <c r="EV49" s="43">
        <f>IF($CU49&gt;=RAF,"",IF($CU49-EV$103&lt;BeginnAlter,"",ROUND((SUM(DM49:DM$56)+SUM(GE$9:GE$56))/VLOOKUP($CU49,$AH$9:$AI$102,2)/VLOOKUP($CU49-EV$103,Männer!$G$9:$J$102,4),Rundäx)))</f>
        <v>3.9889999999999999</v>
      </c>
      <c r="EW49" s="43">
        <f>IF($CU49&gt;=RAF,"",IF($CU49-EW$103&lt;BeginnAlter,"",ROUND((SUM(DN49:DN$56)+SUM(GF$9:GF$56))/VLOOKUP($CU49,$AH$9:$AI$102,2)/VLOOKUP($CU49-EW$103,Männer!$G$9:$J$102,4),Rundäx)))</f>
        <v>4.226</v>
      </c>
      <c r="EX49" s="43">
        <f>IF($CU49&gt;=RAF,"",IF($CU49-EX$103&lt;BeginnAlter,"",ROUND((SUM(DO49:DO$56)+SUM(GG$9:GG$56))/VLOOKUP($CU49,$AH$9:$AI$102,2)/VLOOKUP($CU49-EX$103,Männer!$G$9:$J$102,4),Rundäx)))</f>
        <v>4.4710000000000001</v>
      </c>
      <c r="EY49" s="43">
        <f>IF($CU49&gt;=RAF,"",IF($CU49-EY$103&lt;BeginnAlter,"",ROUND((SUM(DP49:DP$56)+SUM(GH$9:GH$56))/VLOOKUP($CU49,$AH$9:$AI$102,2)/VLOOKUP($CU49-EY$103,Männer!$G$9:$J$102,4),Rundäx)))</f>
        <v>4.7249999999999996</v>
      </c>
      <c r="EZ49" s="43">
        <f>IF($CU49&gt;=RAF,"",IF($CU49-EZ$103&lt;BeginnAlter,"",ROUND((SUM(DQ49:DQ$56)+SUM(GI$9:GI$56))/VLOOKUP($CU49,$AH$9:$AI$102,2)/VLOOKUP($CU49-EZ$103,Männer!$G$9:$J$102,4),Rundäx)))</f>
        <v>4.9850000000000003</v>
      </c>
      <c r="FA49" s="43">
        <f>IF($CU49&gt;=RAF,"",IF($CU49-FA$103&lt;BeginnAlter,"",ROUND((SUM(DR49:DR$56)+SUM(GJ$9:GJ$56))/VLOOKUP($CU49,$AH$9:$AI$102,2)/VLOOKUP($CU49-FA$103,Männer!$G$9:$J$102,4),Rundäx)))</f>
        <v>5.2519999999999998</v>
      </c>
      <c r="FB49" s="43">
        <f>IF($CU49&gt;=RAF,"",IF($CU49-FB$103&lt;BeginnAlter,"",ROUND((SUM(DS49:DS$56)+SUM(GK$9:GK$56))/VLOOKUP($CU49,$AH$9:$AI$102,2)/VLOOKUP($CU49-FB$103,Männer!$G$9:$J$102,4),Rundäx)))</f>
        <v>5.5250000000000004</v>
      </c>
      <c r="FC49" s="89"/>
      <c r="FD49" s="35">
        <f t="shared" si="63"/>
        <v>57</v>
      </c>
      <c r="FE49" s="43">
        <f>IF($CU49&gt;=RAF,"",IF($CU49-FE$103&lt;BeginnAlter,"",ROUND((SUM(DT49:DT$56)+SUM(GL$9:GL$56))/VLOOKUP($CU49,$AH$9:$AI$102,2)/VLOOKUP($CU49-FE$103,Männer!$G$9:$J$102,4),Rundäx)))</f>
        <v>5.8019999999999996</v>
      </c>
      <c r="FF49" s="43">
        <f>IF($CU49&gt;=RAF,"",IF($CU49-FF$103&lt;BeginnAlter,"",ROUND((SUM(DU49:DU$56)+SUM(GM$9:GM$56))/VLOOKUP($CU49,$AH$9:$AI$102,2)/VLOOKUP($CU49-FF$103,Männer!$G$9:$J$102,4),Rundäx)))</f>
        <v>6.0830000000000002</v>
      </c>
      <c r="FG49" s="43">
        <f>IF($CU49&gt;=RAF,"",IF($CU49-FG$103&lt;BeginnAlter,"",ROUND((SUM(DV49:DV$56)+SUM(GN$9:GN$56))/VLOOKUP($CU49,$AH$9:$AI$102,2)/VLOOKUP($CU49-FG$103,Männer!$G$9:$J$102,4),Rundäx)))</f>
        <v>6.3680000000000003</v>
      </c>
      <c r="FH49" s="43">
        <f>IF($CU49&gt;=RAF,"",IF($CU49-FH$103&lt;BeginnAlter,"",ROUND((SUM(DW49:DW$56)+SUM(GO$9:GO$56))/VLOOKUP($CU49,$AH$9:$AI$102,2)/VLOOKUP($CU49-FH$103,Männer!$G$9:$J$102,4),Rundäx)))</f>
        <v>6.6550000000000002</v>
      </c>
      <c r="FI49" s="43">
        <f>IF($CU49&gt;=RAF,"",IF($CU49-FI$103&lt;BeginnAlter,"",ROUND((SUM(DX49:DX$56)+SUM(GP$9:GP$56))/VLOOKUP($CU49,$AH$9:$AI$102,2)/VLOOKUP($CU49-FI$103,Männer!$G$9:$J$102,4),Rundäx)))</f>
        <v>6.9450000000000003</v>
      </c>
      <c r="FJ49" s="43">
        <f>IF($CU49&gt;=RAF,"",IF($CU49-FJ$103&lt;BeginnAlter,"",ROUND((SUM(DY49:DY$56)+SUM(GQ$9:GQ$56))/VLOOKUP($CU49,$AH$9:$AI$102,2)/VLOOKUP($CU49-FJ$103,Männer!$G$9:$J$102,4),Rundäx)))</f>
        <v>7.2370000000000001</v>
      </c>
      <c r="FK49" s="43">
        <f>IF($CU49&gt;=RAF,"",IF($CU49-FK$103&lt;BeginnAlter,"",ROUND((SUM(DZ49:DZ$56)+SUM(GR$9:GR$56))/VLOOKUP($CU49,$AH$9:$AI$102,2)/VLOOKUP($CU49-FK$103,Männer!$G$9:$J$102,4),Rundäx)))</f>
        <v>7.5309999999999997</v>
      </c>
      <c r="FL49" s="89"/>
      <c r="FM49" s="35">
        <f t="shared" si="64"/>
        <v>104</v>
      </c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4"/>
      <c r="GT49" s="24"/>
      <c r="GU49" s="24"/>
      <c r="GV49" s="24"/>
      <c r="GW49" s="24"/>
      <c r="GX49" s="24"/>
      <c r="GY49" s="24"/>
      <c r="GZ49" s="24"/>
      <c r="HA49" s="89"/>
      <c r="HB49" s="35">
        <f t="shared" si="65"/>
        <v>104</v>
      </c>
      <c r="HC49" s="24"/>
      <c r="HD49" s="24"/>
      <c r="HE49" s="24"/>
      <c r="HF49" s="24"/>
      <c r="HG49" s="24"/>
      <c r="HH49" s="24"/>
      <c r="HI49" s="24"/>
      <c r="HJ49" s="24"/>
      <c r="HK49" s="89"/>
      <c r="HL49" s="35">
        <f t="shared" si="66"/>
        <v>104</v>
      </c>
      <c r="HM49" s="24"/>
      <c r="HN49" s="24"/>
      <c r="HO49" s="24"/>
      <c r="HP49" s="24"/>
      <c r="HQ49" s="24"/>
      <c r="HR49" s="24"/>
      <c r="HS49" s="24"/>
      <c r="HT49" s="24"/>
      <c r="HU49" s="89"/>
      <c r="HV49" s="35">
        <f t="shared" si="67"/>
        <v>104</v>
      </c>
      <c r="HW49" s="24"/>
      <c r="HX49" s="24"/>
      <c r="HY49" s="24"/>
      <c r="HZ49" s="24"/>
      <c r="IA49" s="24"/>
      <c r="IB49" s="24"/>
      <c r="IC49" s="24"/>
      <c r="ID49" s="89"/>
      <c r="IE49" s="9">
        <f t="shared" si="80"/>
        <v>57</v>
      </c>
      <c r="IF49" s="11">
        <f t="shared" si="25"/>
        <v>6</v>
      </c>
      <c r="IG49" s="11">
        <f>IF($IE49&lt;RAF,IF(S50&lt;=RAK,ROUND(SUM(IF49:INDEX(Daky,RAF-BeginnAlter))+INDEX(Day,RAF-BeginnAlter+1)*INDEX(äky,1),RundDx),0),"")</f>
        <v>15</v>
      </c>
      <c r="IH49" s="11">
        <f>IF($IE49&lt;RAF,IF(S50&lt;=RAK,ROUND(SUM(IG49:INDEX(Naky,RAF-BeginnAlter))+INDEX(Day,RAF-BeginnAlter+1)*INDEX(äky,1),RundDx),0),"")</f>
        <v>40</v>
      </c>
      <c r="II49" s="10">
        <f t="shared" si="26"/>
        <v>1E-3</v>
      </c>
      <c r="IJ49" s="11">
        <f t="shared" si="27"/>
        <v>46</v>
      </c>
      <c r="IK49" s="11">
        <f>IF($IE49&lt;RAF,IF(S50&lt;=RAK,SUM(IJ49:INDEX(Diky,RAF-BeginnAlter))+INDEX(Diy,RAF-BeginnAlter+1)*INDEX(äky,1),0),"")</f>
        <v>108</v>
      </c>
      <c r="IL49" s="10">
        <f t="shared" si="28"/>
        <v>4.0000000000000001E-3</v>
      </c>
      <c r="IM49" s="89"/>
      <c r="IN49" s="9">
        <f t="shared" si="29"/>
        <v>104</v>
      </c>
      <c r="IO49" s="11"/>
      <c r="IP49" s="11"/>
      <c r="IQ49" s="10"/>
      <c r="IR49" s="86"/>
    </row>
    <row r="50" spans="1:252" ht="15.75" customHeight="1" x14ac:dyDescent="0.25">
      <c r="A50" s="9">
        <f t="shared" si="69"/>
        <v>58</v>
      </c>
      <c r="B50" s="93">
        <v>2.8831066539521436E-3</v>
      </c>
      <c r="C50" s="93">
        <v>1.9334484889558561E-2</v>
      </c>
      <c r="D50" s="93">
        <v>2.1055801039566238E-2</v>
      </c>
      <c r="E50" s="93">
        <v>5.5666677249684993E-3</v>
      </c>
      <c r="F50" s="89"/>
      <c r="G50" s="9">
        <f t="shared" si="70"/>
        <v>58</v>
      </c>
      <c r="H50" s="11">
        <f t="shared" si="30"/>
        <v>81466</v>
      </c>
      <c r="I50" s="25">
        <f t="shared" si="31"/>
        <v>13025</v>
      </c>
      <c r="J50" s="25">
        <f t="shared" si="32"/>
        <v>94491</v>
      </c>
      <c r="K50" s="30">
        <f>IF(J50&gt;0,ROUND(SUM(J50:J$102)/J50-0.5,Rundex),"")</f>
        <v>26.1</v>
      </c>
      <c r="L50" s="25">
        <f t="shared" si="6"/>
        <v>104005</v>
      </c>
      <c r="M50" s="30">
        <f>IF(L50&gt;0,ROUND(SUM(L50:L$102)/L50-0.5,Rundex),"")</f>
        <v>23.98</v>
      </c>
      <c r="N50" s="89"/>
      <c r="O50" s="9">
        <f t="shared" si="71"/>
        <v>58</v>
      </c>
      <c r="P50" s="94">
        <v>0.20833336537383751</v>
      </c>
      <c r="Q50" s="95">
        <v>60.080399655768957</v>
      </c>
      <c r="R50" s="94">
        <v>1.0901673964470546E-2</v>
      </c>
      <c r="S50" s="95">
        <v>19.73</v>
      </c>
      <c r="T50" s="28">
        <v>5.2415493724381158E-3</v>
      </c>
      <c r="U50" s="11">
        <f t="shared" si="33"/>
        <v>95320</v>
      </c>
      <c r="V50" s="30">
        <f>IF(U50&gt;0,ROUND(SUM(U50:U$102)/U50-0.5,Rundex),"")</f>
        <v>27.16</v>
      </c>
      <c r="W50" s="89"/>
      <c r="X50" s="9">
        <f t="shared" si="72"/>
        <v>58</v>
      </c>
      <c r="Y50" s="11">
        <f t="shared" si="34"/>
        <v>22413</v>
      </c>
      <c r="Z50" s="11">
        <f>IF($X50&lt;RAF,SUM(Y50:INDEX(Day,RAF-BeginnAlter))," ")</f>
        <v>119466</v>
      </c>
      <c r="AA50" s="11">
        <f t="shared" si="0"/>
        <v>64</v>
      </c>
      <c r="AB50" s="11">
        <f>IF($X50&lt;RAF,SUM(AA50:INDEX(Cay,RAF-BeginnAlter))," ")</f>
        <v>434</v>
      </c>
      <c r="AC50" s="11">
        <f t="shared" si="1"/>
        <v>429</v>
      </c>
      <c r="AD50" s="11">
        <f>IF($X50&lt;RAF,SUM(AC50:INDEX(Caiy,RAF-BeginnAlter))," ")</f>
        <v>3015</v>
      </c>
      <c r="AE50" s="10">
        <f t="shared" si="35"/>
        <v>5.33</v>
      </c>
      <c r="AF50" s="10">
        <f t="shared" si="36"/>
        <v>5.2069999999999999</v>
      </c>
      <c r="AG50" s="89"/>
      <c r="AH50" s="9">
        <f t="shared" si="73"/>
        <v>58</v>
      </c>
      <c r="AI50" s="11">
        <f t="shared" si="37"/>
        <v>28614</v>
      </c>
      <c r="AJ50" s="11">
        <f>IF($AH50&gt;RAF," ",IF($AH50&lt;RAF,SUM(AI50:INDEX(Diy,RAF-BeginnAlter))+INDEX(Ny,RAF-BeginnAlter+1),INDEX(Ny,RAF-BeginnAlter+1)))</f>
        <v>520077</v>
      </c>
      <c r="AK50" s="11">
        <f>IF($AH50&lt;RAF,SUM(AI50:INDEX(Diy,RAF-BeginnAlter))," ")</f>
        <v>153983</v>
      </c>
      <c r="AL50" s="10">
        <f t="shared" si="38"/>
        <v>18.175999999999998</v>
      </c>
      <c r="AM50" s="10">
        <f t="shared" si="39"/>
        <v>17.716999999999999</v>
      </c>
      <c r="AN50" s="10">
        <f t="shared" si="40"/>
        <v>5.3810000000000002</v>
      </c>
      <c r="AO50" s="10">
        <f t="shared" si="41"/>
        <v>5.2709999999999999</v>
      </c>
      <c r="AP50" s="89"/>
      <c r="AQ50" s="9">
        <f t="shared" si="74"/>
        <v>58</v>
      </c>
      <c r="AR50" s="11">
        <f t="shared" si="42"/>
        <v>25997</v>
      </c>
      <c r="AS50" s="11">
        <f>SUM(AR50:AR$96)</f>
        <v>511410</v>
      </c>
      <c r="AT50" s="25">
        <f>IF($AQ50&lt;RAF,SUM(AR50:INDEX(Dy,RAF-BeginnAlter))," ")</f>
        <v>145316</v>
      </c>
      <c r="AU50" s="24">
        <f t="shared" si="43"/>
        <v>19.672000000000001</v>
      </c>
      <c r="AV50" s="24">
        <f t="shared" si="44"/>
        <v>19.213999999999999</v>
      </c>
      <c r="AW50" s="24">
        <f t="shared" si="45"/>
        <v>5.59</v>
      </c>
      <c r="AX50" s="24">
        <f t="shared" si="46"/>
        <v>5.5149999999999997</v>
      </c>
      <c r="AY50" s="89"/>
      <c r="AZ50" s="9">
        <f t="shared" si="75"/>
        <v>58</v>
      </c>
      <c r="BA50" s="11">
        <f t="shared" si="47"/>
        <v>26225</v>
      </c>
      <c r="BB50" s="11">
        <f>SUM(BA50:BA$96)</f>
        <v>532386</v>
      </c>
      <c r="BC50" s="10">
        <f t="shared" si="48"/>
        <v>20.300999999999998</v>
      </c>
      <c r="BD50" s="10">
        <f t="shared" si="7"/>
        <v>19.841999999999999</v>
      </c>
      <c r="BE50" s="89"/>
      <c r="BF50" s="9">
        <f t="shared" si="54"/>
        <v>41</v>
      </c>
      <c r="BG50" s="10" t="str">
        <f t="shared" si="8"/>
        <v/>
      </c>
      <c r="BH50" s="10" t="str">
        <f t="shared" si="9"/>
        <v/>
      </c>
      <c r="BI50" s="89"/>
      <c r="BJ50" s="9">
        <f t="shared" si="76"/>
        <v>58</v>
      </c>
      <c r="BK50" s="11">
        <f t="shared" si="10"/>
        <v>7542</v>
      </c>
      <c r="BL50" s="11">
        <f>IF(BJ50&lt;RAF,SUM(BK50:INDEX(Daiy,RAF-BeginnAlter))," ")</f>
        <v>51265</v>
      </c>
      <c r="BM50" s="11">
        <f>IF(BJ50&lt;RAF,SUM(BL50:INDEX(Naiy,RAF-BeginnAlter))," ")</f>
        <v>184800</v>
      </c>
      <c r="BN50" s="10">
        <f t="shared" si="11"/>
        <v>11.965</v>
      </c>
      <c r="BO50" s="10">
        <f t="shared" si="12"/>
        <v>2.2869999999999999</v>
      </c>
      <c r="BP50" s="89"/>
      <c r="BQ50" s="9">
        <f t="shared" si="77"/>
        <v>58</v>
      </c>
      <c r="BR50" s="11">
        <f t="shared" si="13"/>
        <v>2092</v>
      </c>
      <c r="BS50" s="11">
        <f>IF(BQ50&lt;RAF,SUM(BR50:INDEX(Daiys,RAF-BeginnAlter))," ")</f>
        <v>7922</v>
      </c>
      <c r="BT50" s="11">
        <f>IF(BQ50&lt;RAF,SUM(BS50:INDEX(Naiys,RAF-BeginnAlter))," ")</f>
        <v>21299</v>
      </c>
      <c r="BU50" s="10">
        <f t="shared" si="14"/>
        <v>13.898999999999999</v>
      </c>
      <c r="BV50" s="10">
        <f t="shared" si="15"/>
        <v>0.35299999999999998</v>
      </c>
      <c r="BW50" s="89"/>
      <c r="BX50" s="9">
        <f t="shared" si="78"/>
        <v>58</v>
      </c>
      <c r="BY50" s="10">
        <f t="shared" si="16"/>
        <v>4.8805363104416291</v>
      </c>
      <c r="BZ50" s="11">
        <f t="shared" si="17"/>
        <v>17</v>
      </c>
      <c r="CA50" s="11">
        <f>IF(S51&lt;=RAK,IF($BX50&lt;RAF,SUM(BZ50:INDEX(Dazy,RAF-BeginnAlter)),""),"")</f>
        <v>48</v>
      </c>
      <c r="CB50" s="10">
        <f t="shared" si="18"/>
        <v>2E-3</v>
      </c>
      <c r="CC50" s="11">
        <f t="shared" si="19"/>
        <v>22258</v>
      </c>
      <c r="CD50" s="10">
        <f t="shared" si="20"/>
        <v>16.722999999999999</v>
      </c>
      <c r="CE50" s="10">
        <f t="shared" si="21"/>
        <v>6.0000000000000001E-3</v>
      </c>
      <c r="CF50" s="89"/>
      <c r="CG50" s="9">
        <f t="shared" si="79"/>
        <v>58</v>
      </c>
      <c r="CH50" s="11">
        <f>IF(CG50&lt;RAF,ROUND(v^($CG50+FaktorAlter)*$H50*($B50*0.5*($P50+$P51)*(VLOOKUP(TRUNC(0.5*($Q50+$Q51),0),Männer!$AZ$9:$BD$95,5)+(0.5*($Q50+$Q51)-TRUNC(0.5*($Q50+$Q51),0))*(VLOOKUP(TRUNC(0.5*($Q50+$Q51)+1,0),Männer!$AZ$9:$BD$95,5)-VLOOKUP(TRUNC(0.5*($Q50+$Q51),0),Männer!$AZ$9:$BD$95,5)))+$C50*0.5*($CN50+$CN51)),RundDx),"")</f>
        <v>338</v>
      </c>
      <c r="CI50" s="11">
        <f>IF(CG50&lt;RAF,ROUND(SUM(CH50:INDEX(Dawy,RAF-BeginnAlter))+INDEX(Day,RAF-BeginnAlter+1)*INDEX(äwy,1),RundDx),"")</f>
        <v>3584</v>
      </c>
      <c r="CJ50" s="11">
        <f>IF(CG50&lt;RAF,ROUND(SUM(CI50:INDEX(Nawy,RAF-BeginnAlter))+INDEX(Day,RAF-BeginnAlter+1)*INDEX(äwy,1),RundDx),"")</f>
        <v>18726</v>
      </c>
      <c r="CK50" s="10">
        <f t="shared" si="22"/>
        <v>0.16</v>
      </c>
      <c r="CL50" s="11">
        <f>IF(CG50&lt;RAF,ROUND(v^($CG50+FaktorAlter)*$L50*$D50*0.5*($P50+$P51)*(VLOOKUP(TRUNC(0.5*($Q50+$Q51),0),Männer!$AZ$9:$BD$95,5)+(0.5*($Q50+$Q51)-TRUNC(0.5*($Q50+$Q51),0))*(VLOOKUP(TRUNC(0.5*($Q50+$Q51)+1,0),Männer!$AZ$9:$BD$95,5)-VLOOKUP(TRUNC(0.5*($Q50+$Q51),0),Männer!$AZ$9:$BD$95,5))),RundDx),"")</f>
        <v>1758</v>
      </c>
      <c r="CM50" s="11">
        <f>IF(CG50&lt;RAF,SUM(CL50:INDEX(Diwy,RAF-BeginnAlter))+INDEX(Diy,RAF-BeginnAlter+1)*INDEX(äwy,1),"")</f>
        <v>10658.304</v>
      </c>
      <c r="CN50" s="10">
        <f t="shared" si="23"/>
        <v>0.372</v>
      </c>
      <c r="CO50" s="89"/>
      <c r="CP50" s="9">
        <f t="shared" si="59"/>
        <v>105</v>
      </c>
      <c r="CQ50" s="11"/>
      <c r="CR50" s="11"/>
      <c r="CS50" s="10"/>
      <c r="CT50" s="89"/>
      <c r="CU50" s="35">
        <f t="shared" si="60"/>
        <v>58</v>
      </c>
      <c r="CV50" s="25">
        <f>IF($CU50&gt;=RAF,"",IF($CU50-CV$103&lt;BeginnAlter,"",ROUND(v^($CU50+FaktorAlter)*$L50*$D50*0.5*(VLOOKUP($CU50-CV$103,Männer!$G$9:$J$102,4)+VLOOKUP($CU50-CV$103+1,Männer!$G$9:$J$102,4))*0.5*(VLOOKUP($CU50-CV$103,Männer!$AZ$9:$BD$102,5)+VLOOKUP($CU50-CV$103+1,Männer!$AZ$9:$BD$102,5)),RundDx)))</f>
        <v>402413279</v>
      </c>
      <c r="CW50" s="25">
        <f>IF($CU50&gt;=RAF,"",IF($CU50-CW$103&lt;BeginnAlter,"",ROUND(v^($CU50+FaktorAlter)*$L50*$D50*0.5*(VLOOKUP($CU50-CW$103,Männer!$G$9:$J$102,4)+VLOOKUP($CU50-CW$103+1,Männer!$G$9:$J$102,4))*0.5*(VLOOKUP($CU50-CW$103,Männer!$AZ$9:$BD$102,5)+VLOOKUP($CU50-CW$103+1,Männer!$AZ$9:$BD$102,5)),RundDx)))</f>
        <v>431808445</v>
      </c>
      <c r="CX50" s="25">
        <f>IF($CU50&gt;=RAF,"",IF($CU50-CX$103&lt;BeginnAlter,"",ROUND(v^($CU50+FaktorAlter)*$L50*$D50*0.5*(VLOOKUP($CU50-CX$103,Männer!$G$9:$J$102,4)+VLOOKUP($CU50-CX$103+1,Männer!$G$9:$J$102,4))*0.5*(VLOOKUP($CU50-CX$103,Männer!$AZ$9:$BD$102,5)+VLOOKUP($CU50-CX$103+1,Männer!$AZ$9:$BD$102,5)),RundDx)))</f>
        <v>461384543</v>
      </c>
      <c r="CY50" s="25">
        <f>IF($CU50&gt;=RAF,"",IF($CU50-CY$103&lt;BeginnAlter,"",ROUND(v^($CU50+FaktorAlter)*$L50*$D50*0.5*(VLOOKUP($CU50-CY$103,Männer!$G$9:$J$102,4)+VLOOKUP($CU50-CY$103+1,Männer!$G$9:$J$102,4))*0.5*(VLOOKUP($CU50-CY$103,Männer!$AZ$9:$BD$102,5)+VLOOKUP($CU50-CY$103+1,Männer!$AZ$9:$BD$102,5)),RundDx)))</f>
        <v>491001875</v>
      </c>
      <c r="CZ50" s="25">
        <f>IF($CU50&gt;=RAF,"",IF($CU50-CZ$103&lt;BeginnAlter,"",ROUND(v^($CU50+FaktorAlter)*$L50*$D50*0.5*(VLOOKUP($CU50-CZ$103,Männer!$G$9:$J$102,4)+VLOOKUP($CU50-CZ$103+1,Männer!$G$9:$J$102,4))*0.5*(VLOOKUP($CU50-CZ$103,Männer!$AZ$9:$BD$102,5)+VLOOKUP($CU50-CZ$103+1,Männer!$AZ$9:$BD$102,5)),RundDx)))</f>
        <v>520642712</v>
      </c>
      <c r="DA50" s="25">
        <f>IF($CU50&gt;=RAF,"",IF($CU50-DA$103&lt;BeginnAlter,"",ROUND(v^($CU50+FaktorAlter)*$L50*$D50*0.5*(VLOOKUP($CU50-DA$103,Männer!$G$9:$J$102,4)+VLOOKUP($CU50-DA$103+1,Männer!$G$9:$J$102,4))*0.5*(VLOOKUP($CU50-DA$103,Männer!$AZ$9:$BD$102,5)+VLOOKUP($CU50-DA$103+1,Männer!$AZ$9:$BD$102,5)),RundDx)))</f>
        <v>550412182</v>
      </c>
      <c r="DB50" s="25">
        <f>IF($CU50&gt;=RAF,"",IF($CU50-DB$103&lt;BeginnAlter,"",ROUND(v^($CU50+FaktorAlter)*$L50*$D50*0.5*(VLOOKUP($CU50-DB$103,Männer!$G$9:$J$102,4)+VLOOKUP($CU50-DB$103+1,Männer!$G$9:$J$102,4))*0.5*(VLOOKUP($CU50-DB$103,Männer!$AZ$9:$BD$102,5)+VLOOKUP($CU50-DB$103+1,Männer!$AZ$9:$BD$102,5)),RundDx)))</f>
        <v>580396145</v>
      </c>
      <c r="DC50" s="25">
        <f>IF($CU50&gt;=RAF,"",IF($CU50-DC$103&lt;BeginnAlter,"",ROUND(v^($CU50+FaktorAlter)*$L50*$D50*0.5*(VLOOKUP($CU50-DC$103,Männer!$G$9:$J$102,4)+VLOOKUP($CU50-DC$103+1,Männer!$G$9:$J$102,4))*0.5*(VLOOKUP($CU50-DC$103,Männer!$AZ$9:$BD$102,5)+VLOOKUP($CU50-DC$103+1,Männer!$AZ$9:$BD$102,5)),RundDx)))</f>
        <v>610520578</v>
      </c>
      <c r="DD50" s="25">
        <f>IF($CU50&gt;=RAF,"",IF($CU50-DD$103&lt;BeginnAlter,"",ROUND(v^($CU50+FaktorAlter)*$L50*$D50*0.5*(VLOOKUP($CU50-DD$103,Männer!$G$9:$J$102,4)+VLOOKUP($CU50-DD$103+1,Männer!$G$9:$J$102,4))*0.5*(VLOOKUP($CU50-DD$103,Männer!$AZ$9:$BD$102,5)+VLOOKUP($CU50-DD$103+1,Männer!$AZ$9:$BD$102,5)),RundDx)))</f>
        <v>640858850</v>
      </c>
      <c r="DE50" s="25">
        <f>IF($CU50&gt;=RAF,"",IF($CU50-DE$103&lt;BeginnAlter,"",ROUND(v^($CU50+FaktorAlter)*$L50*$D50*0.5*(VLOOKUP($CU50-DE$103,Männer!$G$9:$J$102,4)+VLOOKUP($CU50-DE$103+1,Männer!$G$9:$J$102,4))*0.5*(VLOOKUP($CU50-DE$103,Männer!$AZ$9:$BD$102,5)+VLOOKUP($CU50-DE$103+1,Männer!$AZ$9:$BD$102,5)),RundDx)))</f>
        <v>671565807</v>
      </c>
      <c r="DF50" s="25">
        <f>IF($CU50&gt;=RAF,"",IF($CU50-DF$103&lt;BeginnAlter,"",ROUND(v^($CU50+FaktorAlter)*$L50*$D50*0.5*(VLOOKUP($CU50-DF$103,Männer!$G$9:$J$102,4)+VLOOKUP($CU50-DF$103+1,Männer!$G$9:$J$102,4))*0.5*(VLOOKUP($CU50-DF$103,Männer!$AZ$9:$BD$102,5)+VLOOKUP($CU50-DF$103+1,Männer!$AZ$9:$BD$102,5)),RundDx)))</f>
        <v>702699659</v>
      </c>
      <c r="DG50" s="25">
        <f>IF($CU50&gt;=RAF,"",IF($CU50-DG$103&lt;BeginnAlter,"",ROUND(v^($CU50+FaktorAlter)*$L50*$D50*0.5*(VLOOKUP($CU50-DG$103,Männer!$G$9:$J$102,4)+VLOOKUP($CU50-DG$103+1,Männer!$G$9:$J$102,4))*0.5*(VLOOKUP($CU50-DG$103,Männer!$AZ$9:$BD$102,5)+VLOOKUP($CU50-DG$103+1,Männer!$AZ$9:$BD$102,5)),RundDx)))</f>
        <v>734335477</v>
      </c>
      <c r="DH50" s="25">
        <f>IF($CU50&gt;=RAF,"",IF($CU50-DH$103&lt;BeginnAlter,"",ROUND(v^($CU50+FaktorAlter)*$L50*$D50*0.5*(VLOOKUP($CU50-DH$103,Männer!$G$9:$J$102,4)+VLOOKUP($CU50-DH$103+1,Männer!$G$9:$J$102,4))*0.5*(VLOOKUP($CU50-DH$103,Männer!$AZ$9:$BD$102,5)+VLOOKUP($CU50-DH$103+1,Männer!$AZ$9:$BD$102,5)),RundDx)))</f>
        <v>766520417</v>
      </c>
      <c r="DI50" s="25">
        <f>IF($CU50&gt;=RAF,"",IF($CU50-DI$103&lt;BeginnAlter,"",ROUND(v^($CU50+FaktorAlter)*$L50*$D50*0.5*(VLOOKUP($CU50-DI$103,Männer!$G$9:$J$102,4)+VLOOKUP($CU50-DI$103+1,Männer!$G$9:$J$102,4))*0.5*(VLOOKUP($CU50-DI$103,Männer!$AZ$9:$BD$102,5)+VLOOKUP($CU50-DI$103+1,Männer!$AZ$9:$BD$102,5)),RundDx)))</f>
        <v>799280389</v>
      </c>
      <c r="DJ50" s="25">
        <f>IF($CU50&gt;=RAF,"",IF($CU50-DJ$103&lt;BeginnAlter,"",ROUND(v^($CU50+FaktorAlter)*$L50*$D50*0.5*(VLOOKUP($CU50-DJ$103,Männer!$G$9:$J$102,4)+VLOOKUP($CU50-DJ$103+1,Männer!$G$9:$J$102,4))*0.5*(VLOOKUP($CU50-DJ$103,Männer!$AZ$9:$BD$102,5)+VLOOKUP($CU50-DJ$103+1,Männer!$AZ$9:$BD$102,5)),RundDx)))</f>
        <v>832673929</v>
      </c>
      <c r="DK50" s="25">
        <f>IF($CU50&gt;=RAF,"",IF($CU50-DK$103&lt;BeginnAlter,"",ROUND(v^($CU50+FaktorAlter)*$L50*$D50*0.5*(VLOOKUP($CU50-DK$103,Männer!$G$9:$J$102,4)+VLOOKUP($CU50-DK$103+1,Männer!$G$9:$J$102,4))*0.5*(VLOOKUP($CU50-DK$103,Männer!$AZ$9:$BD$102,5)+VLOOKUP($CU50-DK$103+1,Männer!$AZ$9:$BD$102,5)),RundDx)))</f>
        <v>866661526</v>
      </c>
      <c r="DL50" s="25">
        <f>IF($CU50&gt;=RAF,"",IF($CU50-DL$103&lt;BeginnAlter,"",ROUND(v^($CU50+FaktorAlter)*$L50*$D50*0.5*(VLOOKUP($CU50-DL$103,Männer!$G$9:$J$102,4)+VLOOKUP($CU50-DL$103+1,Männer!$G$9:$J$102,4))*0.5*(VLOOKUP($CU50-DL$103,Männer!$AZ$9:$BD$102,5)+VLOOKUP($CU50-DL$103+1,Männer!$AZ$9:$BD$102,5)),RundDx)))</f>
        <v>901193311</v>
      </c>
      <c r="DM50" s="25">
        <f>IF($CU50&gt;=RAF,"",IF($CU50-DM$103&lt;BeginnAlter,"",ROUND(v^($CU50+FaktorAlter)*$L50*$D50*0.5*(VLOOKUP($CU50-DM$103,Männer!$G$9:$J$102,4)+VLOOKUP($CU50-DM$103+1,Männer!$G$9:$J$102,4))*0.5*(VLOOKUP($CU50-DM$103,Männer!$AZ$9:$BD$102,5)+VLOOKUP($CU50-DM$103+1,Männer!$AZ$9:$BD$102,5)),RundDx)))</f>
        <v>936259668</v>
      </c>
      <c r="DN50" s="25">
        <f>IF($CU50&gt;=RAF,"",IF($CU50-DN$103&lt;BeginnAlter,"",ROUND(v^($CU50+FaktorAlter)*$L50*$D50*0.5*(VLOOKUP($CU50-DN$103,Männer!$G$9:$J$102,4)+VLOOKUP($CU50-DN$103+1,Männer!$G$9:$J$102,4))*0.5*(VLOOKUP($CU50-DN$103,Männer!$AZ$9:$BD$102,5)+VLOOKUP($CU50-DN$103+1,Männer!$AZ$9:$BD$102,5)),RundDx)))</f>
        <v>971346360</v>
      </c>
      <c r="DO50" s="25">
        <f>IF($CU50&gt;=RAF,"",IF($CU50-DO$103&lt;BeginnAlter,"",ROUND(v^($CU50+FaktorAlter)*$L50*$D50*0.5*(VLOOKUP($CU50-DO$103,Männer!$G$9:$J$102,4)+VLOOKUP($CU50-DO$103+1,Männer!$G$9:$J$102,4))*0.5*(VLOOKUP($CU50-DO$103,Männer!$AZ$9:$BD$102,5)+VLOOKUP($CU50-DO$103+1,Männer!$AZ$9:$BD$102,5)),RundDx)))</f>
        <v>1005905174</v>
      </c>
      <c r="DP50" s="25">
        <f>IF($CU50&gt;=RAF,"",IF($CU50-DP$103&lt;BeginnAlter,"",ROUND(v^($CU50+FaktorAlter)*$L50*$D50*0.5*(VLOOKUP($CU50-DP$103,Männer!$G$9:$J$102,4)+VLOOKUP($CU50-DP$103+1,Männer!$G$9:$J$102,4))*0.5*(VLOOKUP($CU50-DP$103,Männer!$AZ$9:$BD$102,5)+VLOOKUP($CU50-DP$103+1,Männer!$AZ$9:$BD$102,5)),RundDx)))</f>
        <v>1039941930</v>
      </c>
      <c r="DQ50" s="25">
        <f>IF($CU50&gt;=RAF,"",IF($CU50-DQ$103&lt;BeginnAlter,"",ROUND(v^($CU50+FaktorAlter)*$L50*$D50*0.5*(VLOOKUP($CU50-DQ$103,Männer!$G$9:$J$102,4)+VLOOKUP($CU50-DQ$103+1,Männer!$G$9:$J$102,4))*0.5*(VLOOKUP($CU50-DQ$103,Männer!$AZ$9:$BD$102,5)+VLOOKUP($CU50-DQ$103+1,Männer!$AZ$9:$BD$102,5)),RundDx)))</f>
        <v>1073461765</v>
      </c>
      <c r="DR50" s="25">
        <f>IF($CU50&gt;=RAF,"",IF($CU50-DR$103&lt;BeginnAlter,"",ROUND(v^($CU50+FaktorAlter)*$L50*$D50*0.5*(VLOOKUP($CU50-DR$103,Männer!$G$9:$J$102,4)+VLOOKUP($CU50-DR$103+1,Männer!$G$9:$J$102,4))*0.5*(VLOOKUP($CU50-DR$103,Männer!$AZ$9:$BD$102,5)+VLOOKUP($CU50-DR$103+1,Männer!$AZ$9:$BD$102,5)),RundDx)))</f>
        <v>1106404451</v>
      </c>
      <c r="DS50" s="25">
        <f>IF($CU50&gt;=RAF,"",IF($CU50-DS$103&lt;BeginnAlter,"",ROUND(v^($CU50+FaktorAlter)*$L50*$D50*0.5*(VLOOKUP($CU50-DS$103,Männer!$G$9:$J$102,4)+VLOOKUP($CU50-DS$103+1,Männer!$G$9:$J$102,4))*0.5*(VLOOKUP($CU50-DS$103,Männer!$AZ$9:$BD$102,5)+VLOOKUP($CU50-DS$103+1,Männer!$AZ$9:$BD$102,5)),RundDx)))</f>
        <v>1138773642</v>
      </c>
      <c r="DT50" s="25">
        <f>IF($CU50&gt;=RAF,"",IF($CU50-DT$103&lt;BeginnAlter,"",ROUND(v^($CU50+FaktorAlter)*$L50*$D50*0.5*(VLOOKUP($CU50-DT$103,Männer!$G$9:$J$102,4)+VLOOKUP($CU50-DT$103+1,Männer!$G$9:$J$102,4))*0.5*(VLOOKUP($CU50-DT$103,Männer!$AZ$9:$BD$102,5)+VLOOKUP($CU50-DT$103+1,Männer!$AZ$9:$BD$102,5)),RundDx)))</f>
        <v>1170619448</v>
      </c>
      <c r="DU50" s="25">
        <f>IF($CU50&gt;=RAF,"",IF($CU50-DU$103&lt;BeginnAlter,"",ROUND(v^($CU50+FaktorAlter)*$L50*$D50*0.5*(VLOOKUP($CU50-DU$103,Männer!$G$9:$J$102,4)+VLOOKUP($CU50-DU$103+1,Männer!$G$9:$J$102,4))*0.5*(VLOOKUP($CU50-DU$103,Männer!$AZ$9:$BD$102,5)+VLOOKUP($CU50-DU$103+1,Männer!$AZ$9:$BD$102,5)),RundDx)))</f>
        <v>1201921374</v>
      </c>
      <c r="DV50" s="25">
        <f>IF($CU50&gt;=RAF,"",IF($CU50-DV$103&lt;BeginnAlter,"",ROUND(v^($CU50+FaktorAlter)*$L50*$D50*0.5*(VLOOKUP($CU50-DV$103,Männer!$G$9:$J$102,4)+VLOOKUP($CU50-DV$103+1,Männer!$G$9:$J$102,4))*0.5*(VLOOKUP($CU50-DV$103,Männer!$AZ$9:$BD$102,5)+VLOOKUP($CU50-DV$103+1,Männer!$AZ$9:$BD$102,5)),RundDx)))</f>
        <v>1232645922</v>
      </c>
      <c r="DW50" s="25">
        <f>IF($CU50&gt;=RAF,"",IF($CU50-DW$103&lt;BeginnAlter,"",ROUND(v^($CU50+FaktorAlter)*$L50*$D50*0.5*(VLOOKUP($CU50-DW$103,Männer!$G$9:$J$102,4)+VLOOKUP($CU50-DW$103+1,Männer!$G$9:$J$102,4))*0.5*(VLOOKUP($CU50-DW$103,Männer!$AZ$9:$BD$102,5)+VLOOKUP($CU50-DW$103+1,Männer!$AZ$9:$BD$102,5)),RundDx)))</f>
        <v>1262831052</v>
      </c>
      <c r="DX50" s="25">
        <f>IF($CU50&gt;=RAF,"",IF($CU50-DX$103&lt;BeginnAlter,"",ROUND(v^($CU50+FaktorAlter)*$L50*$D50*0.5*(VLOOKUP($CU50-DX$103,Männer!$G$9:$J$102,4)+VLOOKUP($CU50-DX$103+1,Männer!$G$9:$J$102,4))*0.5*(VLOOKUP($CU50-DX$103,Männer!$AZ$9:$BD$102,5)+VLOOKUP($CU50-DX$103+1,Männer!$AZ$9:$BD$102,5)),RundDx)))</f>
        <v>1292475381</v>
      </c>
      <c r="DY50" s="25">
        <f>IF($CU50&gt;=RAF,"",IF($CU50-DY$103&lt;BeginnAlter,"",ROUND(v^($CU50+FaktorAlter)*$L50*$D50*0.5*(VLOOKUP($CU50-DY$103,Männer!$G$9:$J$102,4)+VLOOKUP($CU50-DY$103+1,Männer!$G$9:$J$102,4))*0.5*(VLOOKUP($CU50-DY$103,Männer!$AZ$9:$BD$102,5)+VLOOKUP($CU50-DY$103+1,Männer!$AZ$9:$BD$102,5)),RundDx)))</f>
        <v>1321579029</v>
      </c>
      <c r="DZ50" s="25">
        <f>IF($CU50&gt;=RAF,"",IF($CU50-DZ$103&lt;BeginnAlter,"",ROUND(v^($CU50+FaktorAlter)*$L50*$D50*0.5*(VLOOKUP($CU50-DZ$103,Männer!$G$9:$J$102,4)+VLOOKUP($CU50-DZ$103+1,Männer!$G$9:$J$102,4))*0.5*(VLOOKUP($CU50-DZ$103,Männer!$AZ$9:$BD$102,5)+VLOOKUP($CU50-DZ$103+1,Männer!$AZ$9:$BD$102,5)),RundDx)))</f>
        <v>1350129762</v>
      </c>
      <c r="EA50" s="43">
        <f>IF($CU50&gt;=RAF,"",IF($CU50-EA$103&lt;BeginnAlter,"",ROUND((SUM(CV50:CV$56)+SUM(FN$9:FN$56))/VLOOKUP($CU50,$AH$9:$AI$102,2)/VLOOKUP($CU50-EA$103,Männer!$G$9:$J$102,4),Rundäx)))</f>
        <v>1.238</v>
      </c>
      <c r="EB50" s="43">
        <f>IF($CU50&gt;=RAF,"",IF($CU50-EB$103&lt;BeginnAlter,"",ROUND((SUM(CW50:CW$56)+SUM(FO$9:FO$56))/VLOOKUP($CU50,$AH$9:$AI$102,2)/VLOOKUP($CU50-EB$103,Männer!$G$9:$J$102,4),Rundäx)))</f>
        <v>1.3360000000000001</v>
      </c>
      <c r="EC50" s="43">
        <f>IF($CU50&gt;=RAF,"",IF($CU50-EC$103&lt;BeginnAlter,"",ROUND((SUM(CX50:CX$56)+SUM(FP$9:FP$56))/VLOOKUP($CU50,$AH$9:$AI$102,2)/VLOOKUP($CU50-EC$103,Männer!$G$9:$J$102,4),Rundäx)))</f>
        <v>1.4379999999999999</v>
      </c>
      <c r="ED50" s="43">
        <f>IF($CU50&gt;=RAF,"",IF($CU50-ED$103&lt;BeginnAlter,"",ROUND((SUM(CY50:CY$56)+SUM(FQ$9:FQ$56))/VLOOKUP($CU50,$AH$9:$AI$102,2)/VLOOKUP($CU50-ED$103,Männer!$G$9:$J$102,4),Rundäx)))</f>
        <v>1.546</v>
      </c>
      <c r="EE50" s="43">
        <f>IF($CU50&gt;=RAF,"",IF($CU50-EE$103&lt;BeginnAlter,"",ROUND((SUM(CZ50:CZ$56)+SUM(FR$9:FR$56))/VLOOKUP($CU50,$AH$9:$AI$102,2)/VLOOKUP($CU50-EE$103,Männer!$G$9:$J$102,4),Rundäx)))</f>
        <v>1.6579999999999999</v>
      </c>
      <c r="EF50" s="43">
        <f>IF($CU50&gt;=RAF,"",IF($CU50-EF$103&lt;BeginnAlter,"",ROUND((SUM(DA50:DA$56)+SUM(FS$9:FS$56))/VLOOKUP($CU50,$AH$9:$AI$102,2)/VLOOKUP($CU50-EF$103,Männer!$G$9:$J$102,4),Rundäx)))</f>
        <v>1.7769999999999999</v>
      </c>
      <c r="EG50" s="43">
        <f>IF($CU50&gt;=RAF,"",IF($CU50-EG$103&lt;BeginnAlter,"",ROUND((SUM(DB50:DB$56)+SUM(FT$9:FT$56))/VLOOKUP($CU50,$AH$9:$AI$102,2)/VLOOKUP($CU50-EG$103,Männer!$G$9:$J$102,4),Rundäx)))</f>
        <v>1.901</v>
      </c>
      <c r="EH50" s="43">
        <f>IF($CU50&gt;=RAF,"",IF($CU50-EH$103&lt;BeginnAlter,"",ROUND((SUM(DC50:DC$56)+SUM(FU$9:FU$56))/VLOOKUP($CU50,$AH$9:$AI$102,2)/VLOOKUP($CU50-EH$103,Männer!$G$9:$J$102,4),Rundäx)))</f>
        <v>2.032</v>
      </c>
      <c r="EI50" s="89"/>
      <c r="EJ50" s="35">
        <f t="shared" si="61"/>
        <v>58</v>
      </c>
      <c r="EK50" s="43">
        <f>IF($CU50&gt;=RAF,"",IF($CU50-EK$103&lt;BeginnAlter,"",ROUND((SUM(DD50:DD$56)+SUM(FV$9:FV$56))/VLOOKUP($CU50,$AH$9:$AI$102,2)/VLOOKUP($CU50-EK$103,Männer!$G$9:$J$102,4),Rundäx)))</f>
        <v>2.17</v>
      </c>
      <c r="EL50" s="43">
        <f>IF($CU50&gt;=RAF,"",IF($CU50-EL$103&lt;BeginnAlter,"",ROUND((SUM(DE50:DE$56)+SUM(FW$9:FW$56))/VLOOKUP($CU50,$AH$9:$AI$102,2)/VLOOKUP($CU50-EL$103,Männer!$G$9:$J$102,4),Rundäx)))</f>
        <v>2.3149999999999999</v>
      </c>
      <c r="EM50" s="43">
        <f>IF($CU50&gt;=RAF,"",IF($CU50-EM$103&lt;BeginnAlter,"",ROUND((SUM(DF50:DF$56)+SUM(FX$9:FX$56))/VLOOKUP($CU50,$AH$9:$AI$102,2)/VLOOKUP($CU50-EM$103,Männer!$G$9:$J$102,4),Rundäx)))</f>
        <v>2.4689999999999999</v>
      </c>
      <c r="EN50" s="43">
        <f>IF($CU50&gt;=RAF,"",IF($CU50-EN$103&lt;BeginnAlter,"",ROUND((SUM(DG50:DG$56)+SUM(FY$9:FY$56))/VLOOKUP($CU50,$AH$9:$AI$102,2)/VLOOKUP($CU50-EN$103,Männer!$G$9:$J$102,4),Rundäx)))</f>
        <v>2.6309999999999998</v>
      </c>
      <c r="EO50" s="43">
        <f>IF($CU50&gt;=RAF,"",IF($CU50-EO$103&lt;BeginnAlter,"",ROUND((SUM(DH50:DH$56)+SUM(FZ$9:FZ$56))/VLOOKUP($CU50,$AH$9:$AI$102,2)/VLOOKUP($CU50-EO$103,Männer!$G$9:$J$102,4),Rundäx)))</f>
        <v>2.8029999999999999</v>
      </c>
      <c r="EP50" s="43">
        <f>IF($CU50&gt;=RAF,"",IF($CU50-EP$103&lt;BeginnAlter,"",ROUND((SUM(DI50:DI$56)+SUM(GA$9:GA$56))/VLOOKUP($CU50,$AH$9:$AI$102,2)/VLOOKUP($CU50-EP$103,Männer!$G$9:$J$102,4),Rundäx)))</f>
        <v>2.9860000000000002</v>
      </c>
      <c r="EQ50" s="43">
        <f>IF($CU50&gt;=RAF,"",IF($CU50-EQ$103&lt;BeginnAlter,"",ROUND((SUM(DJ50:DJ$56)+SUM(GB$9:GB$56))/VLOOKUP($CU50,$AH$9:$AI$102,2)/VLOOKUP($CU50-EQ$103,Männer!$G$9:$J$102,4),Rundäx)))</f>
        <v>3.1779999999999999</v>
      </c>
      <c r="ER50" s="43">
        <f>IF($CU50&gt;=RAF,"",IF($CU50-ER$103&lt;BeginnAlter,"",ROUND((SUM(DK50:DK$56)+SUM(GC$9:GC$56))/VLOOKUP($CU50,$AH$9:$AI$102,2)/VLOOKUP($CU50-ER$103,Männer!$G$9:$J$102,4),Rundäx)))</f>
        <v>3.3809999999999998</v>
      </c>
      <c r="ES50" s="89"/>
      <c r="ET50" s="35">
        <f t="shared" si="62"/>
        <v>58</v>
      </c>
      <c r="EU50" s="43">
        <f>IF($CU50&gt;=RAF,"",IF($CU50-EU$103&lt;BeginnAlter,"",ROUND((SUM(DL50:DL$56)+SUM(GD$9:GD$56))/VLOOKUP($CU50,$AH$9:$AI$102,2)/VLOOKUP($CU50-EU$103,Männer!$G$9:$J$102,4),Rundäx)))</f>
        <v>3.5950000000000002</v>
      </c>
      <c r="EV50" s="43">
        <f>IF($CU50&gt;=RAF,"",IF($CU50-EV$103&lt;BeginnAlter,"",ROUND((SUM(DM50:DM$56)+SUM(GE$9:GE$56))/VLOOKUP($CU50,$AH$9:$AI$102,2)/VLOOKUP($CU50-EV$103,Männer!$G$9:$J$102,4),Rundäx)))</f>
        <v>3.82</v>
      </c>
      <c r="EW50" s="43">
        <f>IF($CU50&gt;=RAF,"",IF($CU50-EW$103&lt;BeginnAlter,"",ROUND((SUM(DN50:DN$56)+SUM(GF$9:GF$56))/VLOOKUP($CU50,$AH$9:$AI$102,2)/VLOOKUP($CU50-EW$103,Männer!$G$9:$J$102,4),Rundäx)))</f>
        <v>4.0549999999999997</v>
      </c>
      <c r="EX50" s="43">
        <f>IF($CU50&gt;=RAF,"",IF($CU50-EX$103&lt;BeginnAlter,"",ROUND((SUM(DO50:DO$56)+SUM(GG$9:GG$56))/VLOOKUP($CU50,$AH$9:$AI$102,2)/VLOOKUP($CU50-EX$103,Männer!$G$9:$J$102,4),Rundäx)))</f>
        <v>4.2990000000000004</v>
      </c>
      <c r="EY50" s="43">
        <f>IF($CU50&gt;=RAF,"",IF($CU50-EY$103&lt;BeginnAlter,"",ROUND((SUM(DP50:DP$56)+SUM(GH$9:GH$56))/VLOOKUP($CU50,$AH$9:$AI$102,2)/VLOOKUP($CU50-EY$103,Männer!$G$9:$J$102,4),Rundäx)))</f>
        <v>4.5519999999999996</v>
      </c>
      <c r="EZ50" s="43">
        <f>IF($CU50&gt;=RAF,"",IF($CU50-EZ$103&lt;BeginnAlter,"",ROUND((SUM(DQ50:DQ$56)+SUM(GI$9:GI$56))/VLOOKUP($CU50,$AH$9:$AI$102,2)/VLOOKUP($CU50-EZ$103,Männer!$G$9:$J$102,4),Rundäx)))</f>
        <v>4.8120000000000003</v>
      </c>
      <c r="FA50" s="43">
        <f>IF($CU50&gt;=RAF,"",IF($CU50-FA$103&lt;BeginnAlter,"",ROUND((SUM(DR50:DR$56)+SUM(GJ$9:GJ$56))/VLOOKUP($CU50,$AH$9:$AI$102,2)/VLOOKUP($CU50-FA$103,Männer!$G$9:$J$102,4),Rundäx)))</f>
        <v>5.08</v>
      </c>
      <c r="FB50" s="43">
        <f>IF($CU50&gt;=RAF,"",IF($CU50-FB$103&lt;BeginnAlter,"",ROUND((SUM(DS50:DS$56)+SUM(GK$9:GK$56))/VLOOKUP($CU50,$AH$9:$AI$102,2)/VLOOKUP($CU50-FB$103,Männer!$G$9:$J$102,4),Rundäx)))</f>
        <v>5.3529999999999998</v>
      </c>
      <c r="FC50" s="89"/>
      <c r="FD50" s="35">
        <f t="shared" si="63"/>
        <v>58</v>
      </c>
      <c r="FE50" s="43">
        <f>IF($CU50&gt;=RAF,"",IF($CU50-FE$103&lt;BeginnAlter,"",ROUND((SUM(DT50:DT$56)+SUM(GL$9:GL$56))/VLOOKUP($CU50,$AH$9:$AI$102,2)/VLOOKUP($CU50-FE$103,Männer!$G$9:$J$102,4),Rundäx)))</f>
        <v>5.6319999999999997</v>
      </c>
      <c r="FF50" s="43">
        <f>IF($CU50&gt;=RAF,"",IF($CU50-FF$103&lt;BeginnAlter,"",ROUND((SUM(DU50:DU$56)+SUM(GM$9:GM$56))/VLOOKUP($CU50,$AH$9:$AI$102,2)/VLOOKUP($CU50-FF$103,Männer!$G$9:$J$102,4),Rundäx)))</f>
        <v>5.915</v>
      </c>
      <c r="FG50" s="43">
        <f>IF($CU50&gt;=RAF,"",IF($CU50-FG$103&lt;BeginnAlter,"",ROUND((SUM(DV50:DV$56)+SUM(GN$9:GN$56))/VLOOKUP($CU50,$AH$9:$AI$102,2)/VLOOKUP($CU50-FG$103,Männer!$G$9:$J$102,4),Rundäx)))</f>
        <v>6.202</v>
      </c>
      <c r="FH50" s="43">
        <f>IF($CU50&gt;=RAF,"",IF($CU50-FH$103&lt;BeginnAlter,"",ROUND((SUM(DW50:DW$56)+SUM(GO$9:GO$56))/VLOOKUP($CU50,$AH$9:$AI$102,2)/VLOOKUP($CU50-FH$103,Männer!$G$9:$J$102,4),Rundäx)))</f>
        <v>6.492</v>
      </c>
      <c r="FI50" s="43">
        <f>IF($CU50&gt;=RAF,"",IF($CU50-FI$103&lt;BeginnAlter,"",ROUND((SUM(DX50:DX$56)+SUM(GP$9:GP$56))/VLOOKUP($CU50,$AH$9:$AI$102,2)/VLOOKUP($CU50-FI$103,Männer!$G$9:$J$102,4),Rundäx)))</f>
        <v>6.7850000000000001</v>
      </c>
      <c r="FJ50" s="43">
        <f>IF($CU50&gt;=RAF,"",IF($CU50-FJ$103&lt;BeginnAlter,"",ROUND((SUM(DY50:DY$56)+SUM(GQ$9:GQ$56))/VLOOKUP($CU50,$AH$9:$AI$102,2)/VLOOKUP($CU50-FJ$103,Männer!$G$9:$J$102,4),Rundäx)))</f>
        <v>7.08</v>
      </c>
      <c r="FK50" s="43">
        <f>IF($CU50&gt;=RAF,"",IF($CU50-FK$103&lt;BeginnAlter,"",ROUND((SUM(DZ50:DZ$56)+SUM(GR$9:GR$56))/VLOOKUP($CU50,$AH$9:$AI$102,2)/VLOOKUP($CU50-FK$103,Männer!$G$9:$J$102,4),Rundäx)))</f>
        <v>7.3769999999999998</v>
      </c>
      <c r="FL50" s="89"/>
      <c r="FM50" s="35">
        <f t="shared" si="64"/>
        <v>105</v>
      </c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4"/>
      <c r="GT50" s="24"/>
      <c r="GU50" s="24"/>
      <c r="GV50" s="24"/>
      <c r="GW50" s="24"/>
      <c r="GX50" s="24"/>
      <c r="GY50" s="24"/>
      <c r="GZ50" s="24"/>
      <c r="HA50" s="89"/>
      <c r="HB50" s="35">
        <f t="shared" si="65"/>
        <v>105</v>
      </c>
      <c r="HC50" s="24"/>
      <c r="HD50" s="24"/>
      <c r="HE50" s="24"/>
      <c r="HF50" s="24"/>
      <c r="HG50" s="24"/>
      <c r="HH50" s="24"/>
      <c r="HI50" s="24"/>
      <c r="HJ50" s="24"/>
      <c r="HK50" s="89"/>
      <c r="HL50" s="35">
        <f t="shared" si="66"/>
        <v>105</v>
      </c>
      <c r="HM50" s="24"/>
      <c r="HN50" s="24"/>
      <c r="HO50" s="24"/>
      <c r="HP50" s="24"/>
      <c r="HQ50" s="24"/>
      <c r="HR50" s="24"/>
      <c r="HS50" s="24"/>
      <c r="HT50" s="24"/>
      <c r="HU50" s="89"/>
      <c r="HV50" s="35">
        <f t="shared" si="67"/>
        <v>105</v>
      </c>
      <c r="HW50" s="24"/>
      <c r="HX50" s="24"/>
      <c r="HY50" s="24"/>
      <c r="HZ50" s="24"/>
      <c r="IA50" s="24"/>
      <c r="IB50" s="24"/>
      <c r="IC50" s="24"/>
      <c r="ID50" s="89"/>
      <c r="IE50" s="9">
        <f t="shared" si="80"/>
        <v>58</v>
      </c>
      <c r="IF50" s="11">
        <f t="shared" si="25"/>
        <v>3</v>
      </c>
      <c r="IG50" s="11">
        <f>IF($IE50&lt;RAF,IF(S51&lt;=RAK,ROUND(SUM(IF50:INDEX(Daky,RAF-BeginnAlter))+INDEX(Day,RAF-BeginnAlter+1)*INDEX(äky,1),RundDx),0),"")</f>
        <v>9</v>
      </c>
      <c r="IH50" s="11">
        <f>IF($IE50&lt;RAF,IF(S51&lt;=RAK,ROUND(SUM(IG50:INDEX(Naky,RAF-BeginnAlter))+INDEX(Day,RAF-BeginnAlter+1)*INDEX(äky,1),RundDx),0),"")</f>
        <v>25</v>
      </c>
      <c r="II50" s="10">
        <f t="shared" si="26"/>
        <v>0</v>
      </c>
      <c r="IJ50" s="11">
        <f t="shared" si="27"/>
        <v>24</v>
      </c>
      <c r="IK50" s="11">
        <f>IF($IE50&lt;RAF,IF(S51&lt;=RAK,SUM(IJ50:INDEX(Diky,RAF-BeginnAlter))+INDEX(Diy,RAF-BeginnAlter+1)*INDEX(äky,1),0),"")</f>
        <v>62</v>
      </c>
      <c r="IL50" s="10">
        <f t="shared" si="28"/>
        <v>2E-3</v>
      </c>
      <c r="IM50" s="89"/>
      <c r="IN50" s="9">
        <f t="shared" si="29"/>
        <v>105</v>
      </c>
      <c r="IO50" s="11"/>
      <c r="IP50" s="11"/>
      <c r="IQ50" s="10"/>
      <c r="IR50" s="86"/>
    </row>
    <row r="51" spans="1:252" ht="15.75" customHeight="1" x14ac:dyDescent="0.25">
      <c r="A51" s="9">
        <f t="shared" si="69"/>
        <v>59</v>
      </c>
      <c r="B51" s="93">
        <v>3.2078500064825527E-3</v>
      </c>
      <c r="C51" s="93">
        <v>2.2093414574394839E-2</v>
      </c>
      <c r="D51" s="93">
        <v>2.190158914677072E-2</v>
      </c>
      <c r="E51" s="93">
        <v>6.2576491246740806E-3</v>
      </c>
      <c r="F51" s="89"/>
      <c r="G51" s="9">
        <f t="shared" si="70"/>
        <v>59</v>
      </c>
      <c r="H51" s="11">
        <f t="shared" si="30"/>
        <v>79656</v>
      </c>
      <c r="I51" s="25">
        <f t="shared" si="31"/>
        <v>14309</v>
      </c>
      <c r="J51" s="25">
        <f t="shared" si="32"/>
        <v>93965</v>
      </c>
      <c r="K51" s="30">
        <f>IF(J51&gt;0,ROUND(SUM(J51:J$102)/J51-0.5,Rundex),"")</f>
        <v>25.24</v>
      </c>
      <c r="L51" s="25">
        <f t="shared" si="6"/>
        <v>101815</v>
      </c>
      <c r="M51" s="30">
        <f>IF(L51&gt;0,ROUND(SUM(L51:L$102)/L51-0.5,Rundex),"")</f>
        <v>23.49</v>
      </c>
      <c r="N51" s="89"/>
      <c r="O51" s="9">
        <f t="shared" si="71"/>
        <v>59</v>
      </c>
      <c r="P51" s="94">
        <v>0.19516608485238063</v>
      </c>
      <c r="Q51" s="95">
        <v>61.017930736508831</v>
      </c>
      <c r="R51" s="94">
        <v>5.5596219875174019E-3</v>
      </c>
      <c r="S51" s="95">
        <v>19.82</v>
      </c>
      <c r="T51" s="28">
        <v>5.7973857518722428E-3</v>
      </c>
      <c r="U51" s="11">
        <f t="shared" si="33"/>
        <v>94820</v>
      </c>
      <c r="V51" s="30">
        <f>IF(U51&gt;0,ROUND(SUM(U51:U$102)/U51-0.5,Rundex),"")</f>
        <v>26.3</v>
      </c>
      <c r="W51" s="89"/>
      <c r="X51" s="9">
        <f t="shared" si="72"/>
        <v>59</v>
      </c>
      <c r="Y51" s="11">
        <f t="shared" si="34"/>
        <v>21433</v>
      </c>
      <c r="Z51" s="11">
        <f>IF($X51&lt;RAF,SUM(Y51:INDEX(Day,RAF-BeginnAlter))," ")</f>
        <v>97053</v>
      </c>
      <c r="AA51" s="11">
        <f t="shared" si="0"/>
        <v>68</v>
      </c>
      <c r="AB51" s="11">
        <f>IF($X51&lt;RAF,SUM(AA51:INDEX(Cay,RAF-BeginnAlter))," ")</f>
        <v>370</v>
      </c>
      <c r="AC51" s="11">
        <f t="shared" si="1"/>
        <v>468</v>
      </c>
      <c r="AD51" s="11">
        <f>IF($X51&lt;RAF,SUM(AC51:INDEX(Caiy,RAF-BeginnAlter))," ")</f>
        <v>2586</v>
      </c>
      <c r="AE51" s="10">
        <f t="shared" si="35"/>
        <v>4.5279999999999996</v>
      </c>
      <c r="AF51" s="10">
        <f t="shared" si="36"/>
        <v>4.42</v>
      </c>
      <c r="AG51" s="89"/>
      <c r="AH51" s="9">
        <f t="shared" si="73"/>
        <v>59</v>
      </c>
      <c r="AI51" s="11">
        <f t="shared" si="37"/>
        <v>27395</v>
      </c>
      <c r="AJ51" s="11">
        <f>IF($AH51&gt;RAF," ",IF($AH51&lt;RAF,SUM(AI51:INDEX(Diy,RAF-BeginnAlter))+INDEX(Ny,RAF-BeginnAlter+1),INDEX(Ny,RAF-BeginnAlter+1)))</f>
        <v>491463</v>
      </c>
      <c r="AK51" s="11">
        <f>IF($AH51&lt;RAF,SUM(AI51:INDEX(Diy,RAF-BeginnAlter))," ")</f>
        <v>125369</v>
      </c>
      <c r="AL51" s="10">
        <f t="shared" si="38"/>
        <v>17.940000000000001</v>
      </c>
      <c r="AM51" s="10">
        <f t="shared" si="39"/>
        <v>17.481999999999999</v>
      </c>
      <c r="AN51" s="10">
        <f t="shared" si="40"/>
        <v>4.5759999999999996</v>
      </c>
      <c r="AO51" s="10">
        <f t="shared" si="41"/>
        <v>4.4820000000000002</v>
      </c>
      <c r="AP51" s="89"/>
      <c r="AQ51" s="9">
        <f t="shared" si="74"/>
        <v>59</v>
      </c>
      <c r="AR51" s="11">
        <f t="shared" si="42"/>
        <v>25283</v>
      </c>
      <c r="AS51" s="11">
        <f>SUM(AR51:AR$96)</f>
        <v>485413</v>
      </c>
      <c r="AT51" s="25">
        <f>IF($AQ51&lt;RAF,SUM(AR51:INDEX(Dy,RAF-BeginnAlter))," ")</f>
        <v>119319</v>
      </c>
      <c r="AU51" s="24">
        <f t="shared" si="43"/>
        <v>19.199000000000002</v>
      </c>
      <c r="AV51" s="24">
        <f t="shared" si="44"/>
        <v>18.741</v>
      </c>
      <c r="AW51" s="24">
        <f t="shared" si="45"/>
        <v>4.7190000000000003</v>
      </c>
      <c r="AX51" s="24">
        <f t="shared" si="46"/>
        <v>4.6550000000000002</v>
      </c>
      <c r="AY51" s="89"/>
      <c r="AZ51" s="9">
        <f t="shared" si="75"/>
        <v>59</v>
      </c>
      <c r="BA51" s="11">
        <f t="shared" si="47"/>
        <v>25513</v>
      </c>
      <c r="BB51" s="11">
        <f>SUM(BA51:BA$96)</f>
        <v>506161</v>
      </c>
      <c r="BC51" s="10">
        <f t="shared" si="48"/>
        <v>19.838999999999999</v>
      </c>
      <c r="BD51" s="10">
        <f t="shared" si="7"/>
        <v>19.381</v>
      </c>
      <c r="BE51" s="89"/>
      <c r="BF51" s="9">
        <f t="shared" si="54"/>
        <v>42</v>
      </c>
      <c r="BG51" s="10" t="str">
        <f t="shared" si="8"/>
        <v/>
      </c>
      <c r="BH51" s="10" t="str">
        <f t="shared" si="9"/>
        <v/>
      </c>
      <c r="BI51" s="89"/>
      <c r="BJ51" s="9">
        <f t="shared" si="76"/>
        <v>59</v>
      </c>
      <c r="BK51" s="11">
        <f t="shared" si="10"/>
        <v>8132</v>
      </c>
      <c r="BL51" s="11">
        <f>IF(BJ51&lt;RAF,SUM(BK51:INDEX(Daiy,RAF-BeginnAlter))," ")</f>
        <v>43723</v>
      </c>
      <c r="BM51" s="11">
        <f>IF(BJ51&lt;RAF,SUM(BL51:INDEX(Naiy,RAF-BeginnAlter))," ")</f>
        <v>133535</v>
      </c>
      <c r="BN51" s="10">
        <f t="shared" si="11"/>
        <v>12.512</v>
      </c>
      <c r="BO51" s="10">
        <f t="shared" si="12"/>
        <v>2.04</v>
      </c>
      <c r="BP51" s="89"/>
      <c r="BQ51" s="9">
        <f t="shared" si="77"/>
        <v>59</v>
      </c>
      <c r="BR51" s="11">
        <f t="shared" si="13"/>
        <v>1909</v>
      </c>
      <c r="BS51" s="11">
        <f>IF(BQ51&lt;RAF,SUM(BR51:INDEX(Daiys,RAF-BeginnAlter))," ")</f>
        <v>5830</v>
      </c>
      <c r="BT51" s="11">
        <f>IF(BQ51&lt;RAF,SUM(BS51:INDEX(Naiys,RAF-BeginnAlter))," ")</f>
        <v>13377</v>
      </c>
      <c r="BU51" s="10">
        <f t="shared" si="14"/>
        <v>14.28</v>
      </c>
      <c r="BV51" s="10">
        <f t="shared" si="15"/>
        <v>0.27200000000000002</v>
      </c>
      <c r="BW51" s="89"/>
      <c r="BX51" s="9">
        <f t="shared" si="78"/>
        <v>59</v>
      </c>
      <c r="BY51" s="10">
        <f t="shared" si="16"/>
        <v>4.8747023466149209</v>
      </c>
      <c r="BZ51" s="11">
        <f t="shared" si="17"/>
        <v>10</v>
      </c>
      <c r="CA51" s="11">
        <f>IF(S52&lt;=RAK,IF($BX51&lt;RAF,SUM(BZ51:INDEX(Dazy,RAF-BeginnAlter)),""),"")</f>
        <v>31</v>
      </c>
      <c r="CB51" s="10">
        <f t="shared" si="18"/>
        <v>1E-3</v>
      </c>
      <c r="CC51" s="11">
        <f t="shared" si="19"/>
        <v>21618</v>
      </c>
      <c r="CD51" s="10">
        <f t="shared" si="20"/>
        <v>16.292999999999999</v>
      </c>
      <c r="CE51" s="10">
        <f t="shared" si="21"/>
        <v>6.0000000000000001E-3</v>
      </c>
      <c r="CF51" s="89"/>
      <c r="CG51" s="9">
        <f t="shared" si="79"/>
        <v>59</v>
      </c>
      <c r="CH51" s="11">
        <f>IF(CG51&lt;RAF,ROUND(v^($CG51+FaktorAlter)*$H51*($B51*0.5*($P51+$P52)*(VLOOKUP(TRUNC(0.5*($Q51+$Q52),0),Männer!$AZ$9:$BD$95,5)+(0.5*($Q51+$Q52)-TRUNC(0.5*($Q51+$Q52),0))*(VLOOKUP(TRUNC(0.5*($Q51+$Q52)+1,0),Männer!$AZ$9:$BD$95,5)-VLOOKUP(TRUNC(0.5*($Q51+$Q52),0),Männer!$AZ$9:$BD$95,5)))+$C51*0.5*($CN51+$CN52)),RundDx),"")</f>
        <v>323</v>
      </c>
      <c r="CI51" s="11">
        <f>IF(CG51&lt;RAF,ROUND(SUM(CH51:INDEX(Dawy,RAF-BeginnAlter))+INDEX(Day,RAF-BeginnAlter+1)*INDEX(äwy,1),RundDx),"")</f>
        <v>3246</v>
      </c>
      <c r="CJ51" s="11">
        <f>IF(CG51&lt;RAF,ROUND(SUM(CI51:INDEX(Nawy,RAF-BeginnAlter))+INDEX(Day,RAF-BeginnAlter+1)*INDEX(äwy,1),RundDx),"")</f>
        <v>15142</v>
      </c>
      <c r="CK51" s="10">
        <f t="shared" si="22"/>
        <v>0.151</v>
      </c>
      <c r="CL51" s="11">
        <f>IF(CG51&lt;RAF,ROUND(v^($CG51+FaktorAlter)*$L51*$D51*0.5*($P51+$P52)*(VLOOKUP(TRUNC(0.5*($Q51+$Q52),0),Männer!$AZ$9:$BD$95,5)+(0.5*($Q51+$Q52)-TRUNC(0.5*($Q51+$Q52),0))*(VLOOKUP(TRUNC(0.5*($Q51+$Q52)+1,0),Männer!$AZ$9:$BD$95,5)-VLOOKUP(TRUNC(0.5*($Q51+$Q52),0),Männer!$AZ$9:$BD$95,5))),RundDx),"")</f>
        <v>1587</v>
      </c>
      <c r="CM51" s="11">
        <f>IF(CG51&lt;RAF,SUM(CL51:INDEX(Diwy,RAF-BeginnAlter))+INDEX(Diy,RAF-BeginnAlter+1)*INDEX(äwy,1),"")</f>
        <v>8900.3040000000001</v>
      </c>
      <c r="CN51" s="10">
        <f t="shared" si="23"/>
        <v>0.32500000000000001</v>
      </c>
      <c r="CO51" s="89"/>
      <c r="CP51" s="9">
        <f t="shared" si="59"/>
        <v>106</v>
      </c>
      <c r="CQ51" s="11"/>
      <c r="CR51" s="11"/>
      <c r="CS51" s="10"/>
      <c r="CT51" s="89"/>
      <c r="CU51" s="35">
        <f t="shared" si="60"/>
        <v>59</v>
      </c>
      <c r="CV51" s="25">
        <f>IF($CU51&gt;=RAF,"",IF($CU51-CV$103&lt;BeginnAlter,"",ROUND(v^($CU51+FaktorAlter)*$L51*$D51*0.5*(VLOOKUP($CU51-CV$103,Männer!$G$9:$J$102,4)+VLOOKUP($CU51-CV$103+1,Männer!$G$9:$J$102,4))*0.5*(VLOOKUP($CU51-CV$103,Männer!$AZ$9:$BD$102,5)+VLOOKUP($CU51-CV$103+1,Männer!$AZ$9:$BD$102,5)),RundDx)))</f>
        <v>371690023</v>
      </c>
      <c r="CW51" s="25">
        <f>IF($CU51&gt;=RAF,"",IF($CU51-CW$103&lt;BeginnAlter,"",ROUND(v^($CU51+FaktorAlter)*$L51*$D51*0.5*(VLOOKUP($CU51-CW$103,Männer!$G$9:$J$102,4)+VLOOKUP($CU51-CW$103+1,Männer!$G$9:$J$102,4))*0.5*(VLOOKUP($CU51-CW$103,Männer!$AZ$9:$BD$102,5)+VLOOKUP($CU51-CW$103+1,Männer!$AZ$9:$BD$102,5)),RundDx)))</f>
        <v>400747105</v>
      </c>
      <c r="CX51" s="25">
        <f>IF($CU51&gt;=RAF,"",IF($CU51-CX$103&lt;BeginnAlter,"",ROUND(v^($CU51+FaktorAlter)*$L51*$D51*0.5*(VLOOKUP($CU51-CX$103,Männer!$G$9:$J$102,4)+VLOOKUP($CU51-CX$103+1,Männer!$G$9:$J$102,4))*0.5*(VLOOKUP($CU51-CX$103,Männer!$AZ$9:$BD$102,5)+VLOOKUP($CU51-CX$103+1,Männer!$AZ$9:$BD$102,5)),RundDx)))</f>
        <v>430020561</v>
      </c>
      <c r="CY51" s="25">
        <f>IF($CU51&gt;=RAF,"",IF($CU51-CY$103&lt;BeginnAlter,"",ROUND(v^($CU51+FaktorAlter)*$L51*$D51*0.5*(VLOOKUP($CU51-CY$103,Männer!$G$9:$J$102,4)+VLOOKUP($CU51-CY$103+1,Männer!$G$9:$J$102,4))*0.5*(VLOOKUP($CU51-CY$103,Männer!$AZ$9:$BD$102,5)+VLOOKUP($CU51-CY$103+1,Männer!$AZ$9:$BD$102,5)),RundDx)))</f>
        <v>459474201</v>
      </c>
      <c r="CZ51" s="25">
        <f>IF($CU51&gt;=RAF,"",IF($CU51-CZ$103&lt;BeginnAlter,"",ROUND(v^($CU51+FaktorAlter)*$L51*$D51*0.5*(VLOOKUP($CU51-CZ$103,Männer!$G$9:$J$102,4)+VLOOKUP($CU51-CZ$103+1,Männer!$G$9:$J$102,4))*0.5*(VLOOKUP($CU51-CZ$103,Männer!$AZ$9:$BD$102,5)+VLOOKUP($CU51-CZ$103+1,Männer!$AZ$9:$BD$102,5)),RundDx)))</f>
        <v>488968904</v>
      </c>
      <c r="DA51" s="25">
        <f>IF($CU51&gt;=RAF,"",IF($CU51-DA$103&lt;BeginnAlter,"",ROUND(v^($CU51+FaktorAlter)*$L51*$D51*0.5*(VLOOKUP($CU51-DA$103,Männer!$G$9:$J$102,4)+VLOOKUP($CU51-DA$103+1,Männer!$G$9:$J$102,4))*0.5*(VLOOKUP($CU51-DA$103,Männer!$AZ$9:$BD$102,5)+VLOOKUP($CU51-DA$103+1,Männer!$AZ$9:$BD$102,5)),RundDx)))</f>
        <v>518487014</v>
      </c>
      <c r="DB51" s="25">
        <f>IF($CU51&gt;=RAF,"",IF($CU51-DB$103&lt;BeginnAlter,"",ROUND(v^($CU51+FaktorAlter)*$L51*$D51*0.5*(VLOOKUP($CU51-DB$103,Männer!$G$9:$J$102,4)+VLOOKUP($CU51-DB$103+1,Männer!$G$9:$J$102,4))*0.5*(VLOOKUP($CU51-DB$103,Männer!$AZ$9:$BD$102,5)+VLOOKUP($CU51-DB$103+1,Männer!$AZ$9:$BD$102,5)),RundDx)))</f>
        <v>548133225</v>
      </c>
      <c r="DC51" s="25">
        <f>IF($CU51&gt;=RAF,"",IF($CU51-DC$103&lt;BeginnAlter,"",ROUND(v^($CU51+FaktorAlter)*$L51*$D51*0.5*(VLOOKUP($CU51-DC$103,Männer!$G$9:$J$102,4)+VLOOKUP($CU51-DC$103+1,Männer!$G$9:$J$102,4))*0.5*(VLOOKUP($CU51-DC$103,Männer!$AZ$9:$BD$102,5)+VLOOKUP($CU51-DC$103+1,Männer!$AZ$9:$BD$102,5)),RundDx)))</f>
        <v>577993041</v>
      </c>
      <c r="DD51" s="25">
        <f>IF($CU51&gt;=RAF,"",IF($CU51-DD$103&lt;BeginnAlter,"",ROUND(v^($CU51+FaktorAlter)*$L51*$D51*0.5*(VLOOKUP($CU51-DD$103,Männer!$G$9:$J$102,4)+VLOOKUP($CU51-DD$103+1,Männer!$G$9:$J$102,4))*0.5*(VLOOKUP($CU51-DD$103,Männer!$AZ$9:$BD$102,5)+VLOOKUP($CU51-DD$103+1,Männer!$AZ$9:$BD$102,5)),RundDx)))</f>
        <v>607992744</v>
      </c>
      <c r="DE51" s="25">
        <f>IF($CU51&gt;=RAF,"",IF($CU51-DE$103&lt;BeginnAlter,"",ROUND(v^($CU51+FaktorAlter)*$L51*$D51*0.5*(VLOOKUP($CU51-DE$103,Männer!$G$9:$J$102,4)+VLOOKUP($CU51-DE$103+1,Männer!$G$9:$J$102,4))*0.5*(VLOOKUP($CU51-DE$103,Männer!$AZ$9:$BD$102,5)+VLOOKUP($CU51-DE$103+1,Männer!$AZ$9:$BD$102,5)),RundDx)))</f>
        <v>638205402</v>
      </c>
      <c r="DF51" s="25">
        <f>IF($CU51&gt;=RAF,"",IF($CU51-DF$103&lt;BeginnAlter,"",ROUND(v^($CU51+FaktorAlter)*$L51*$D51*0.5*(VLOOKUP($CU51-DF$103,Männer!$G$9:$J$102,4)+VLOOKUP($CU51-DF$103+1,Männer!$G$9:$J$102,4))*0.5*(VLOOKUP($CU51-DF$103,Männer!$AZ$9:$BD$102,5)+VLOOKUP($CU51-DF$103+1,Männer!$AZ$9:$BD$102,5)),RundDx)))</f>
        <v>668785219</v>
      </c>
      <c r="DG51" s="25">
        <f>IF($CU51&gt;=RAF,"",IF($CU51-DG$103&lt;BeginnAlter,"",ROUND(v^($CU51+FaktorAlter)*$L51*$D51*0.5*(VLOOKUP($CU51-DG$103,Männer!$G$9:$J$102,4)+VLOOKUP($CU51-DG$103+1,Männer!$G$9:$J$102,4))*0.5*(VLOOKUP($CU51-DG$103,Männer!$AZ$9:$BD$102,5)+VLOOKUP($CU51-DG$103+1,Männer!$AZ$9:$BD$102,5)),RundDx)))</f>
        <v>699790163</v>
      </c>
      <c r="DH51" s="25">
        <f>IF($CU51&gt;=RAF,"",IF($CU51-DH$103&lt;BeginnAlter,"",ROUND(v^($CU51+FaktorAlter)*$L51*$D51*0.5*(VLOOKUP($CU51-DH$103,Männer!$G$9:$J$102,4)+VLOOKUP($CU51-DH$103+1,Männer!$G$9:$J$102,4))*0.5*(VLOOKUP($CU51-DH$103,Männer!$AZ$9:$BD$102,5)+VLOOKUP($CU51-DH$103+1,Männer!$AZ$9:$BD$102,5)),RundDx)))</f>
        <v>731294993</v>
      </c>
      <c r="DI51" s="25">
        <f>IF($CU51&gt;=RAF,"",IF($CU51-DI$103&lt;BeginnAlter,"",ROUND(v^($CU51+FaktorAlter)*$L51*$D51*0.5*(VLOOKUP($CU51-DI$103,Männer!$G$9:$J$102,4)+VLOOKUP($CU51-DI$103+1,Männer!$G$9:$J$102,4))*0.5*(VLOOKUP($CU51-DI$103,Männer!$AZ$9:$BD$102,5)+VLOOKUP($CU51-DI$103+1,Männer!$AZ$9:$BD$102,5)),RundDx)))</f>
        <v>763346674</v>
      </c>
      <c r="DJ51" s="25">
        <f>IF($CU51&gt;=RAF,"",IF($CU51-DJ$103&lt;BeginnAlter,"",ROUND(v^($CU51+FaktorAlter)*$L51*$D51*0.5*(VLOOKUP($CU51-DJ$103,Männer!$G$9:$J$102,4)+VLOOKUP($CU51-DJ$103+1,Männer!$G$9:$J$102,4))*0.5*(VLOOKUP($CU51-DJ$103,Männer!$AZ$9:$BD$102,5)+VLOOKUP($CU51-DJ$103+1,Männer!$AZ$9:$BD$102,5)),RundDx)))</f>
        <v>795971004</v>
      </c>
      <c r="DK51" s="25">
        <f>IF($CU51&gt;=RAF,"",IF($CU51-DK$103&lt;BeginnAlter,"",ROUND(v^($CU51+FaktorAlter)*$L51*$D51*0.5*(VLOOKUP($CU51-DK$103,Männer!$G$9:$J$102,4)+VLOOKUP($CU51-DK$103+1,Männer!$G$9:$J$102,4))*0.5*(VLOOKUP($CU51-DK$103,Männer!$AZ$9:$BD$102,5)+VLOOKUP($CU51-DK$103+1,Männer!$AZ$9:$BD$102,5)),RundDx)))</f>
        <v>829226279</v>
      </c>
      <c r="DL51" s="25">
        <f>IF($CU51&gt;=RAF,"",IF($CU51-DL$103&lt;BeginnAlter,"",ROUND(v^($CU51+FaktorAlter)*$L51*$D51*0.5*(VLOOKUP($CU51-DL$103,Männer!$G$9:$J$102,4)+VLOOKUP($CU51-DL$103+1,Männer!$G$9:$J$102,4))*0.5*(VLOOKUP($CU51-DL$103,Männer!$AZ$9:$BD$102,5)+VLOOKUP($CU51-DL$103+1,Männer!$AZ$9:$BD$102,5)),RundDx)))</f>
        <v>863073152</v>
      </c>
      <c r="DM51" s="25">
        <f>IF($CU51&gt;=RAF,"",IF($CU51-DM$103&lt;BeginnAlter,"",ROUND(v^($CU51+FaktorAlter)*$L51*$D51*0.5*(VLOOKUP($CU51-DM$103,Männer!$G$9:$J$102,4)+VLOOKUP($CU51-DM$103+1,Männer!$G$9:$J$102,4))*0.5*(VLOOKUP($CU51-DM$103,Männer!$AZ$9:$BD$102,5)+VLOOKUP($CU51-DM$103+1,Männer!$AZ$9:$BD$102,5)),RundDx)))</f>
        <v>897461960</v>
      </c>
      <c r="DN51" s="25">
        <f>IF($CU51&gt;=RAF,"",IF($CU51-DN$103&lt;BeginnAlter,"",ROUND(v^($CU51+FaktorAlter)*$L51*$D51*0.5*(VLOOKUP($CU51-DN$103,Männer!$G$9:$J$102,4)+VLOOKUP($CU51-DN$103+1,Männer!$G$9:$J$102,4))*0.5*(VLOOKUP($CU51-DN$103,Männer!$AZ$9:$BD$102,5)+VLOOKUP($CU51-DN$103+1,Männer!$AZ$9:$BD$102,5)),RundDx)))</f>
        <v>932383127</v>
      </c>
      <c r="DO51" s="25">
        <f>IF($CU51&gt;=RAF,"",IF($CU51-DO$103&lt;BeginnAlter,"",ROUND(v^($CU51+FaktorAlter)*$L51*$D51*0.5*(VLOOKUP($CU51-DO$103,Männer!$G$9:$J$102,4)+VLOOKUP($CU51-DO$103+1,Männer!$G$9:$J$102,4))*0.5*(VLOOKUP($CU51-DO$103,Männer!$AZ$9:$BD$102,5)+VLOOKUP($CU51-DO$103+1,Männer!$AZ$9:$BD$102,5)),RundDx)))</f>
        <v>967324544</v>
      </c>
      <c r="DP51" s="25">
        <f>IF($CU51&gt;=RAF,"",IF($CU51-DP$103&lt;BeginnAlter,"",ROUND(v^($CU51+FaktorAlter)*$L51*$D51*0.5*(VLOOKUP($CU51-DP$103,Männer!$G$9:$J$102,4)+VLOOKUP($CU51-DP$103+1,Männer!$G$9:$J$102,4))*0.5*(VLOOKUP($CU51-DP$103,Männer!$AZ$9:$BD$102,5)+VLOOKUP($CU51-DP$103+1,Männer!$AZ$9:$BD$102,5)),RundDx)))</f>
        <v>1001740268</v>
      </c>
      <c r="DQ51" s="25">
        <f>IF($CU51&gt;=RAF,"",IF($CU51-DQ$103&lt;BeginnAlter,"",ROUND(v^($CU51+FaktorAlter)*$L51*$D51*0.5*(VLOOKUP($CU51-DQ$103,Männer!$G$9:$J$102,4)+VLOOKUP($CU51-DQ$103+1,Männer!$G$9:$J$102,4))*0.5*(VLOOKUP($CU51-DQ$103,Männer!$AZ$9:$BD$102,5)+VLOOKUP($CU51-DQ$103+1,Männer!$AZ$9:$BD$102,5)),RundDx)))</f>
        <v>1035636096</v>
      </c>
      <c r="DR51" s="25">
        <f>IF($CU51&gt;=RAF,"",IF($CU51-DR$103&lt;BeginnAlter,"",ROUND(v^($CU51+FaktorAlter)*$L51*$D51*0.5*(VLOOKUP($CU51-DR$103,Männer!$G$9:$J$102,4)+VLOOKUP($CU51-DR$103+1,Männer!$G$9:$J$102,4))*0.5*(VLOOKUP($CU51-DR$103,Männer!$AZ$9:$BD$102,5)+VLOOKUP($CU51-DR$103+1,Männer!$AZ$9:$BD$102,5)),RundDx)))</f>
        <v>1069017144</v>
      </c>
      <c r="DS51" s="25">
        <f>IF($CU51&gt;=RAF,"",IF($CU51-DS$103&lt;BeginnAlter,"",ROUND(v^($CU51+FaktorAlter)*$L51*$D51*0.5*(VLOOKUP($CU51-DS$103,Männer!$G$9:$J$102,4)+VLOOKUP($CU51-DS$103+1,Männer!$G$9:$J$102,4))*0.5*(VLOOKUP($CU51-DS$103,Männer!$AZ$9:$BD$102,5)+VLOOKUP($CU51-DS$103+1,Männer!$AZ$9:$BD$102,5)),RundDx)))</f>
        <v>1101823432</v>
      </c>
      <c r="DT51" s="25">
        <f>IF($CU51&gt;=RAF,"",IF($CU51-DT$103&lt;BeginnAlter,"",ROUND(v^($CU51+FaktorAlter)*$L51*$D51*0.5*(VLOOKUP($CU51-DT$103,Männer!$G$9:$J$102,4)+VLOOKUP($CU51-DT$103+1,Männer!$G$9:$J$102,4))*0.5*(VLOOKUP($CU51-DT$103,Männer!$AZ$9:$BD$102,5)+VLOOKUP($CU51-DT$103+1,Männer!$AZ$9:$BD$102,5)),RundDx)))</f>
        <v>1134058600</v>
      </c>
      <c r="DU51" s="25">
        <f>IF($CU51&gt;=RAF,"",IF($CU51-DU$103&lt;BeginnAlter,"",ROUND(v^($CU51+FaktorAlter)*$L51*$D51*0.5*(VLOOKUP($CU51-DU$103,Männer!$G$9:$J$102,4)+VLOOKUP($CU51-DU$103+1,Männer!$G$9:$J$102,4))*0.5*(VLOOKUP($CU51-DU$103,Männer!$AZ$9:$BD$102,5)+VLOOKUP($CU51-DU$103+1,Männer!$AZ$9:$BD$102,5)),RundDx)))</f>
        <v>1165772550</v>
      </c>
      <c r="DV51" s="25">
        <f>IF($CU51&gt;=RAF,"",IF($CU51-DV$103&lt;BeginnAlter,"",ROUND(v^($CU51+FaktorAlter)*$L51*$D51*0.5*(VLOOKUP($CU51-DV$103,Männer!$G$9:$J$102,4)+VLOOKUP($CU51-DV$103+1,Männer!$G$9:$J$102,4))*0.5*(VLOOKUP($CU51-DV$103,Männer!$AZ$9:$BD$102,5)+VLOOKUP($CU51-DV$103+1,Männer!$AZ$9:$BD$102,5)),RundDx)))</f>
        <v>1196944872</v>
      </c>
      <c r="DW51" s="25">
        <f>IF($CU51&gt;=RAF,"",IF($CU51-DW$103&lt;BeginnAlter,"",ROUND(v^($CU51+FaktorAlter)*$L51*$D51*0.5*(VLOOKUP($CU51-DW$103,Männer!$G$9:$J$102,4)+VLOOKUP($CU51-DW$103+1,Männer!$G$9:$J$102,4))*0.5*(VLOOKUP($CU51-DW$103,Männer!$AZ$9:$BD$102,5)+VLOOKUP($CU51-DW$103+1,Männer!$AZ$9:$BD$102,5)),RundDx)))</f>
        <v>1227542207</v>
      </c>
      <c r="DX51" s="25">
        <f>IF($CU51&gt;=RAF,"",IF($CU51-DX$103&lt;BeginnAlter,"",ROUND(v^($CU51+FaktorAlter)*$L51*$D51*0.5*(VLOOKUP($CU51-DX$103,Männer!$G$9:$J$102,4)+VLOOKUP($CU51-DX$103+1,Männer!$G$9:$J$102,4))*0.5*(VLOOKUP($CU51-DX$103,Männer!$AZ$9:$BD$102,5)+VLOOKUP($CU51-DX$103+1,Männer!$AZ$9:$BD$102,5)),RundDx)))</f>
        <v>1257602356</v>
      </c>
      <c r="DY51" s="25">
        <f>IF($CU51&gt;=RAF,"",IF($CU51-DY$103&lt;BeginnAlter,"",ROUND(v^($CU51+FaktorAlter)*$L51*$D51*0.5*(VLOOKUP($CU51-DY$103,Männer!$G$9:$J$102,4)+VLOOKUP($CU51-DY$103+1,Männer!$G$9:$J$102,4))*0.5*(VLOOKUP($CU51-DY$103,Männer!$AZ$9:$BD$102,5)+VLOOKUP($CU51-DY$103+1,Männer!$AZ$9:$BD$102,5)),RundDx)))</f>
        <v>1287123944</v>
      </c>
      <c r="DZ51" s="25">
        <f>IF($CU51&gt;=RAF,"",IF($CU51-DZ$103&lt;BeginnAlter,"",ROUND(v^($CU51+FaktorAlter)*$L51*$D51*0.5*(VLOOKUP($CU51-DZ$103,Männer!$G$9:$J$102,4)+VLOOKUP($CU51-DZ$103+1,Männer!$G$9:$J$102,4))*0.5*(VLOOKUP($CU51-DZ$103,Männer!$AZ$9:$BD$102,5)+VLOOKUP($CU51-DZ$103+1,Männer!$AZ$9:$BD$102,5)),RundDx)))</f>
        <v>1316107090</v>
      </c>
      <c r="EA51" s="43">
        <f>IF($CU51&gt;=RAF,"",IF($CU51-EA$103&lt;BeginnAlter,"",ROUND((SUM(CV51:CV$56)+SUM(FN$9:FN$56))/VLOOKUP($CU51,$AH$9:$AI$102,2)/VLOOKUP($CU51-EA$103,Männer!$G$9:$J$102,4),Rundäx)))</f>
        <v>1.1279999999999999</v>
      </c>
      <c r="EB51" s="43">
        <f>IF($CU51&gt;=RAF,"",IF($CU51-EB$103&lt;BeginnAlter,"",ROUND((SUM(CW51:CW$56)+SUM(FO$9:FO$56))/VLOOKUP($CU51,$AH$9:$AI$102,2)/VLOOKUP($CU51-EB$103,Männer!$G$9:$J$102,4),Rundäx)))</f>
        <v>1.2210000000000001</v>
      </c>
      <c r="EC51" s="43">
        <f>IF($CU51&gt;=RAF,"",IF($CU51-EC$103&lt;BeginnAlter,"",ROUND((SUM(CX51:CX$56)+SUM(FP$9:FP$56))/VLOOKUP($CU51,$AH$9:$AI$102,2)/VLOOKUP($CU51-EC$103,Männer!$G$9:$J$102,4),Rundäx)))</f>
        <v>1.319</v>
      </c>
      <c r="ED51" s="43">
        <f>IF($CU51&gt;=RAF,"",IF($CU51-ED$103&lt;BeginnAlter,"",ROUND((SUM(CY51:CY$56)+SUM(FQ$9:FQ$56))/VLOOKUP($CU51,$AH$9:$AI$102,2)/VLOOKUP($CU51-ED$103,Männer!$G$9:$J$102,4),Rundäx)))</f>
        <v>1.4219999999999999</v>
      </c>
      <c r="EE51" s="43">
        <f>IF($CU51&gt;=RAF,"",IF($CU51-EE$103&lt;BeginnAlter,"",ROUND((SUM(CZ51:CZ$56)+SUM(FR$9:FR$56))/VLOOKUP($CU51,$AH$9:$AI$102,2)/VLOOKUP($CU51-EE$103,Männer!$G$9:$J$102,4),Rundäx)))</f>
        <v>1.5309999999999999</v>
      </c>
      <c r="EF51" s="43">
        <f>IF($CU51&gt;=RAF,"",IF($CU51-EF$103&lt;BeginnAlter,"",ROUND((SUM(DA51:DA$56)+SUM(FS$9:FS$56))/VLOOKUP($CU51,$AH$9:$AI$102,2)/VLOOKUP($CU51-EF$103,Männer!$G$9:$J$102,4),Rundäx)))</f>
        <v>1.645</v>
      </c>
      <c r="EG51" s="43">
        <f>IF($CU51&gt;=RAF,"",IF($CU51-EG$103&lt;BeginnAlter,"",ROUND((SUM(DB51:DB$56)+SUM(FT$9:FT$56))/VLOOKUP($CU51,$AH$9:$AI$102,2)/VLOOKUP($CU51-EG$103,Männer!$G$9:$J$102,4),Rundäx)))</f>
        <v>1.766</v>
      </c>
      <c r="EH51" s="43">
        <f>IF($CU51&gt;=RAF,"",IF($CU51-EH$103&lt;BeginnAlter,"",ROUND((SUM(DC51:DC$56)+SUM(FU$9:FU$56))/VLOOKUP($CU51,$AH$9:$AI$102,2)/VLOOKUP($CU51-EH$103,Männer!$G$9:$J$102,4),Rundäx)))</f>
        <v>1.893</v>
      </c>
      <c r="EI51" s="89"/>
      <c r="EJ51" s="35">
        <f t="shared" si="61"/>
        <v>59</v>
      </c>
      <c r="EK51" s="43">
        <f>IF($CU51&gt;=RAF,"",IF($CU51-EK$103&lt;BeginnAlter,"",ROUND((SUM(DD51:DD$56)+SUM(FV$9:FV$56))/VLOOKUP($CU51,$AH$9:$AI$102,2)/VLOOKUP($CU51-EK$103,Männer!$G$9:$J$102,4),Rundäx)))</f>
        <v>2.0270000000000001</v>
      </c>
      <c r="EL51" s="43">
        <f>IF($CU51&gt;=RAF,"",IF($CU51-EL$103&lt;BeginnAlter,"",ROUND((SUM(DE51:DE$56)+SUM(FW$9:FW$56))/VLOOKUP($CU51,$AH$9:$AI$102,2)/VLOOKUP($CU51-EL$103,Männer!$G$9:$J$102,4),Rundäx)))</f>
        <v>2.169</v>
      </c>
      <c r="EM51" s="43">
        <f>IF($CU51&gt;=RAF,"",IF($CU51-EM$103&lt;BeginnAlter,"",ROUND((SUM(DF51:DF$56)+SUM(FX$9:FX$56))/VLOOKUP($CU51,$AH$9:$AI$102,2)/VLOOKUP($CU51-EM$103,Männer!$G$9:$J$102,4),Rundäx)))</f>
        <v>2.3199999999999998</v>
      </c>
      <c r="EN51" s="43">
        <f>IF($CU51&gt;=RAF,"",IF($CU51-EN$103&lt;BeginnAlter,"",ROUND((SUM(DG51:DG$56)+SUM(FY$9:FY$56))/VLOOKUP($CU51,$AH$9:$AI$102,2)/VLOOKUP($CU51-EN$103,Männer!$G$9:$J$102,4),Rundäx)))</f>
        <v>2.4790000000000001</v>
      </c>
      <c r="EO51" s="43">
        <f>IF($CU51&gt;=RAF,"",IF($CU51-EO$103&lt;BeginnAlter,"",ROUND((SUM(DH51:DH$56)+SUM(FZ$9:FZ$56))/VLOOKUP($CU51,$AH$9:$AI$102,2)/VLOOKUP($CU51-EO$103,Männer!$G$9:$J$102,4),Rundäx)))</f>
        <v>2.6480000000000001</v>
      </c>
      <c r="EP51" s="43">
        <f>IF($CU51&gt;=RAF,"",IF($CU51-EP$103&lt;BeginnAlter,"",ROUND((SUM(DI51:DI$56)+SUM(GA$9:GA$56))/VLOOKUP($CU51,$AH$9:$AI$102,2)/VLOOKUP($CU51-EP$103,Männer!$G$9:$J$102,4),Rundäx)))</f>
        <v>2.8260000000000001</v>
      </c>
      <c r="EQ51" s="43">
        <f>IF($CU51&gt;=RAF,"",IF($CU51-EQ$103&lt;BeginnAlter,"",ROUND((SUM(DJ51:DJ$56)+SUM(GB$9:GB$56))/VLOOKUP($CU51,$AH$9:$AI$102,2)/VLOOKUP($CU51-EQ$103,Männer!$G$9:$J$102,4),Rundäx)))</f>
        <v>3.0150000000000001</v>
      </c>
      <c r="ER51" s="43">
        <f>IF($CU51&gt;=RAF,"",IF($CU51-ER$103&lt;BeginnAlter,"",ROUND((SUM(DK51:DK$56)+SUM(GC$9:GC$56))/VLOOKUP($CU51,$AH$9:$AI$102,2)/VLOOKUP($CU51-ER$103,Männer!$G$9:$J$102,4),Rundäx)))</f>
        <v>3.2149999999999999</v>
      </c>
      <c r="ES51" s="89"/>
      <c r="ET51" s="35">
        <f t="shared" si="62"/>
        <v>59</v>
      </c>
      <c r="EU51" s="43">
        <f>IF($CU51&gt;=RAF,"",IF($CU51-EU$103&lt;BeginnAlter,"",ROUND((SUM(DL51:DL$56)+SUM(GD$9:GD$56))/VLOOKUP($CU51,$AH$9:$AI$102,2)/VLOOKUP($CU51-EU$103,Männer!$G$9:$J$102,4),Rundäx)))</f>
        <v>3.4249999999999998</v>
      </c>
      <c r="EV51" s="43">
        <f>IF($CU51&gt;=RAF,"",IF($CU51-EV$103&lt;BeginnAlter,"",ROUND((SUM(DM51:DM$56)+SUM(GE$9:GE$56))/VLOOKUP($CU51,$AH$9:$AI$102,2)/VLOOKUP($CU51-EV$103,Männer!$G$9:$J$102,4),Rundäx)))</f>
        <v>3.6469999999999998</v>
      </c>
      <c r="EW51" s="43">
        <f>IF($CU51&gt;=RAF,"",IF($CU51-EW$103&lt;BeginnAlter,"",ROUND((SUM(DN51:DN$56)+SUM(GF$9:GF$56))/VLOOKUP($CU51,$AH$9:$AI$102,2)/VLOOKUP($CU51-EW$103,Männer!$G$9:$J$102,4),Rundäx)))</f>
        <v>3.879</v>
      </c>
      <c r="EX51" s="43">
        <f>IF($CU51&gt;=RAF,"",IF($CU51-EX$103&lt;BeginnAlter,"",ROUND((SUM(DO51:DO$56)+SUM(GG$9:GG$56))/VLOOKUP($CU51,$AH$9:$AI$102,2)/VLOOKUP($CU51-EX$103,Männer!$G$9:$J$102,4),Rundäx)))</f>
        <v>4.1219999999999999</v>
      </c>
      <c r="EY51" s="43">
        <f>IF($CU51&gt;=RAF,"",IF($CU51-EY$103&lt;BeginnAlter,"",ROUND((SUM(DP51:DP$56)+SUM(GH$9:GH$56))/VLOOKUP($CU51,$AH$9:$AI$102,2)/VLOOKUP($CU51-EY$103,Männer!$G$9:$J$102,4),Rundäx)))</f>
        <v>4.3730000000000002</v>
      </c>
      <c r="EZ51" s="43">
        <f>IF($CU51&gt;=RAF,"",IF($CU51-EZ$103&lt;BeginnAlter,"",ROUND((SUM(DQ51:DQ$56)+SUM(GI$9:GI$56))/VLOOKUP($CU51,$AH$9:$AI$102,2)/VLOOKUP($CU51-EZ$103,Männer!$G$9:$J$102,4),Rundäx)))</f>
        <v>4.633</v>
      </c>
      <c r="FA51" s="43">
        <f>IF($CU51&gt;=RAF,"",IF($CU51-FA$103&lt;BeginnAlter,"",ROUND((SUM(DR51:DR$56)+SUM(GJ$9:GJ$56))/VLOOKUP($CU51,$AH$9:$AI$102,2)/VLOOKUP($CU51-FA$103,Männer!$G$9:$J$102,4),Rundäx)))</f>
        <v>4.9009999999999998</v>
      </c>
      <c r="FB51" s="43">
        <f>IF($CU51&gt;=RAF,"",IF($CU51-FB$103&lt;BeginnAlter,"",ROUND((SUM(DS51:DS$56)+SUM(GK$9:GK$56))/VLOOKUP($CU51,$AH$9:$AI$102,2)/VLOOKUP($CU51-FB$103,Männer!$G$9:$J$102,4),Rundäx)))</f>
        <v>5.1749999999999998</v>
      </c>
      <c r="FC51" s="89"/>
      <c r="FD51" s="35">
        <f t="shared" si="63"/>
        <v>59</v>
      </c>
      <c r="FE51" s="43">
        <f>IF($CU51&gt;=RAF,"",IF($CU51-FE$103&lt;BeginnAlter,"",ROUND((SUM(DT51:DT$56)+SUM(GL$9:GL$56))/VLOOKUP($CU51,$AH$9:$AI$102,2)/VLOOKUP($CU51-FE$103,Männer!$G$9:$J$102,4),Rundäx)))</f>
        <v>5.4550000000000001</v>
      </c>
      <c r="FF51" s="43">
        <f>IF($CU51&gt;=RAF,"",IF($CU51-FF$103&lt;BeginnAlter,"",ROUND((SUM(DU51:DU$56)+SUM(GM$9:GM$56))/VLOOKUP($CU51,$AH$9:$AI$102,2)/VLOOKUP($CU51-FF$103,Männer!$G$9:$J$102,4),Rundäx)))</f>
        <v>5.7389999999999999</v>
      </c>
      <c r="FG51" s="43">
        <f>IF($CU51&gt;=RAF,"",IF($CU51-FG$103&lt;BeginnAlter,"",ROUND((SUM(DV51:DV$56)+SUM(GN$9:GN$56))/VLOOKUP($CU51,$AH$9:$AI$102,2)/VLOOKUP($CU51-FG$103,Männer!$G$9:$J$102,4),Rundäx)))</f>
        <v>6.0279999999999996</v>
      </c>
      <c r="FH51" s="43">
        <f>IF($CU51&gt;=RAF,"",IF($CU51-FH$103&lt;BeginnAlter,"",ROUND((SUM(DW51:DW$56)+SUM(GO$9:GO$56))/VLOOKUP($CU51,$AH$9:$AI$102,2)/VLOOKUP($CU51-FH$103,Männer!$G$9:$J$102,4),Rundäx)))</f>
        <v>6.3209999999999997</v>
      </c>
      <c r="FI51" s="43">
        <f>IF($CU51&gt;=RAF,"",IF($CU51-FI$103&lt;BeginnAlter,"",ROUND((SUM(DX51:DX$56)+SUM(GP$9:GP$56))/VLOOKUP($CU51,$AH$9:$AI$102,2)/VLOOKUP($CU51-FI$103,Männer!$G$9:$J$102,4),Rundäx)))</f>
        <v>6.6159999999999997</v>
      </c>
      <c r="FJ51" s="43">
        <f>IF($CU51&gt;=RAF,"",IF($CU51-FJ$103&lt;BeginnAlter,"",ROUND((SUM(DY51:DY$56)+SUM(GQ$9:GQ$56))/VLOOKUP($CU51,$AH$9:$AI$102,2)/VLOOKUP($CU51-FJ$103,Männer!$G$9:$J$102,4),Rundäx)))</f>
        <v>6.9139999999999997</v>
      </c>
      <c r="FK51" s="43">
        <f>IF($CU51&gt;=RAF,"",IF($CU51-FK$103&lt;BeginnAlter,"",ROUND((SUM(DZ51:DZ$56)+SUM(GR$9:GR$56))/VLOOKUP($CU51,$AH$9:$AI$102,2)/VLOOKUP($CU51-FK$103,Männer!$G$9:$J$102,4),Rundäx)))</f>
        <v>7.2140000000000004</v>
      </c>
      <c r="FL51" s="89"/>
      <c r="FM51" s="35">
        <f t="shared" si="64"/>
        <v>106</v>
      </c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4"/>
      <c r="GT51" s="24"/>
      <c r="GU51" s="24"/>
      <c r="GV51" s="24"/>
      <c r="GW51" s="24"/>
      <c r="GX51" s="24"/>
      <c r="GY51" s="24"/>
      <c r="GZ51" s="24"/>
      <c r="HA51" s="89"/>
      <c r="HB51" s="35">
        <f t="shared" si="65"/>
        <v>106</v>
      </c>
      <c r="HC51" s="24"/>
      <c r="HD51" s="24"/>
      <c r="HE51" s="24"/>
      <c r="HF51" s="24"/>
      <c r="HG51" s="24"/>
      <c r="HH51" s="24"/>
      <c r="HI51" s="24"/>
      <c r="HJ51" s="24"/>
      <c r="HK51" s="89"/>
      <c r="HL51" s="35">
        <f t="shared" si="66"/>
        <v>106</v>
      </c>
      <c r="HM51" s="24"/>
      <c r="HN51" s="24"/>
      <c r="HO51" s="24"/>
      <c r="HP51" s="24"/>
      <c r="HQ51" s="24"/>
      <c r="HR51" s="24"/>
      <c r="HS51" s="24"/>
      <c r="HT51" s="24"/>
      <c r="HU51" s="89"/>
      <c r="HV51" s="35">
        <f t="shared" si="67"/>
        <v>106</v>
      </c>
      <c r="HW51" s="24"/>
      <c r="HX51" s="24"/>
      <c r="HY51" s="24"/>
      <c r="HZ51" s="24"/>
      <c r="IA51" s="24"/>
      <c r="IB51" s="24"/>
      <c r="IC51" s="24"/>
      <c r="ID51" s="89"/>
      <c r="IE51" s="9">
        <f t="shared" si="80"/>
        <v>59</v>
      </c>
      <c r="IF51" s="11">
        <f t="shared" si="25"/>
        <v>2</v>
      </c>
      <c r="IG51" s="11">
        <f>IF($IE51&lt;RAF,IF(S52&lt;=RAK,ROUND(SUM(IF51:INDEX(Daky,RAF-BeginnAlter))+INDEX(Day,RAF-BeginnAlter+1)*INDEX(äky,1),RundDx),0),"")</f>
        <v>6</v>
      </c>
      <c r="IH51" s="11">
        <f>IF($IE51&lt;RAF,IF(S52&lt;=RAK,ROUND(SUM(IG51:INDEX(Naky,RAF-BeginnAlter))+INDEX(Day,RAF-BeginnAlter+1)*INDEX(äky,1),RundDx),0),"")</f>
        <v>16</v>
      </c>
      <c r="II51" s="10">
        <f t="shared" si="26"/>
        <v>0</v>
      </c>
      <c r="IJ51" s="11">
        <f t="shared" si="27"/>
        <v>12</v>
      </c>
      <c r="IK51" s="11">
        <f>IF($IE51&lt;RAF,IF(S52&lt;=RAK,SUM(IJ51:INDEX(Diky,RAF-BeginnAlter))+INDEX(Diy,RAF-BeginnAlter+1)*INDEX(äky,1),0),"")</f>
        <v>38</v>
      </c>
      <c r="IL51" s="10">
        <f t="shared" si="28"/>
        <v>1E-3</v>
      </c>
      <c r="IM51" s="89"/>
      <c r="IN51" s="9">
        <f t="shared" si="29"/>
        <v>106</v>
      </c>
      <c r="IO51" s="11"/>
      <c r="IP51" s="11"/>
      <c r="IQ51" s="10"/>
      <c r="IR51" s="86"/>
    </row>
    <row r="52" spans="1:252" ht="15.75" customHeight="1" x14ac:dyDescent="0.25">
      <c r="A52" s="9">
        <f t="shared" si="69"/>
        <v>60</v>
      </c>
      <c r="B52" s="93">
        <v>3.5551800000000002E-3</v>
      </c>
      <c r="C52" s="93">
        <v>2.4855179999999998E-2</v>
      </c>
      <c r="D52" s="93">
        <v>2.2849999999999999E-2</v>
      </c>
      <c r="E52" s="93">
        <v>7.0467031495978771E-3</v>
      </c>
      <c r="F52" s="89"/>
      <c r="G52" s="9">
        <f t="shared" si="70"/>
        <v>60</v>
      </c>
      <c r="H52" s="11">
        <f t="shared" si="30"/>
        <v>77641</v>
      </c>
      <c r="I52" s="25">
        <f t="shared" si="31"/>
        <v>15736</v>
      </c>
      <c r="J52" s="25">
        <f t="shared" si="32"/>
        <v>93377</v>
      </c>
      <c r="K52" s="30">
        <f>IF(J52&gt;0,ROUND(SUM(J52:J$102)/J52-0.5,Rundex),"")</f>
        <v>24.4</v>
      </c>
      <c r="L52" s="25">
        <f t="shared" si="6"/>
        <v>99585</v>
      </c>
      <c r="M52" s="30">
        <f>IF(L52&gt;0,ROUND(SUM(L52:L$102)/L52-0.5,Rundex),"")</f>
        <v>23</v>
      </c>
      <c r="N52" s="89"/>
      <c r="O52" s="9">
        <f t="shared" si="71"/>
        <v>60</v>
      </c>
      <c r="P52" s="94">
        <v>0.18186220068617942</v>
      </c>
      <c r="Q52" s="95">
        <v>61.955461817248704</v>
      </c>
      <c r="R52" s="94">
        <v>2.7910423383464139E-3</v>
      </c>
      <c r="S52" s="95">
        <v>19.91</v>
      </c>
      <c r="T52" s="28">
        <v>6.3318949184624452E-3</v>
      </c>
      <c r="U52" s="11">
        <f t="shared" si="33"/>
        <v>94270</v>
      </c>
      <c r="V52" s="30">
        <f>IF(U52&gt;0,ROUND(SUM(U52:U$102)/U52-0.5,Rundex),"")</f>
        <v>25.45</v>
      </c>
      <c r="W52" s="89"/>
      <c r="X52" s="9">
        <f t="shared" si="72"/>
        <v>60</v>
      </c>
      <c r="Y52" s="11">
        <f t="shared" si="34"/>
        <v>20431</v>
      </c>
      <c r="Z52" s="11">
        <f>IF($X52&lt;RAF,SUM(Y52:INDEX(Day,RAF-BeginnAlter))," ")</f>
        <v>75620</v>
      </c>
      <c r="AA52" s="11">
        <f t="shared" si="0"/>
        <v>72</v>
      </c>
      <c r="AB52" s="11">
        <f>IF($X52&lt;RAF,SUM(AA52:INDEX(Cay,RAF-BeginnAlter))," ")</f>
        <v>302</v>
      </c>
      <c r="AC52" s="11">
        <f t="shared" si="1"/>
        <v>502</v>
      </c>
      <c r="AD52" s="11">
        <f>IF($X52&lt;RAF,SUM(AC52:INDEX(Caiy,RAF-BeginnAlter))," ")</f>
        <v>2118</v>
      </c>
      <c r="AE52" s="10">
        <f t="shared" si="35"/>
        <v>3.7010000000000001</v>
      </c>
      <c r="AF52" s="10">
        <f t="shared" si="36"/>
        <v>3.61</v>
      </c>
      <c r="AG52" s="89"/>
      <c r="AH52" s="9">
        <f t="shared" si="73"/>
        <v>60</v>
      </c>
      <c r="AI52" s="11">
        <f t="shared" si="37"/>
        <v>26206</v>
      </c>
      <c r="AJ52" s="11">
        <f>IF($AH52&gt;RAF," ",IF($AH52&lt;RAF,SUM(AI52:INDEX(Diy,RAF-BeginnAlter))+INDEX(Ny,RAF-BeginnAlter+1),INDEX(Ny,RAF-BeginnAlter+1)))</f>
        <v>464068</v>
      </c>
      <c r="AK52" s="11">
        <f>IF($AH52&lt;RAF,SUM(AI52:INDEX(Diy,RAF-BeginnAlter))," ")</f>
        <v>97974</v>
      </c>
      <c r="AL52" s="10">
        <f t="shared" si="38"/>
        <v>17.707999999999998</v>
      </c>
      <c r="AM52" s="10">
        <f t="shared" si="39"/>
        <v>17.25</v>
      </c>
      <c r="AN52" s="10">
        <f t="shared" si="40"/>
        <v>3.7389999999999999</v>
      </c>
      <c r="AO52" s="10">
        <f t="shared" si="41"/>
        <v>3.661</v>
      </c>
      <c r="AP52" s="89"/>
      <c r="AQ52" s="9">
        <f t="shared" si="74"/>
        <v>60</v>
      </c>
      <c r="AR52" s="11">
        <f t="shared" si="42"/>
        <v>24572</v>
      </c>
      <c r="AS52" s="11">
        <f>SUM(AR52:AR$96)</f>
        <v>460130</v>
      </c>
      <c r="AT52" s="25">
        <f>IF($AQ52&lt;RAF,SUM(AR52:INDEX(Dy,RAF-BeginnAlter))," ")</f>
        <v>94036</v>
      </c>
      <c r="AU52" s="24">
        <f t="shared" si="43"/>
        <v>18.725999999999999</v>
      </c>
      <c r="AV52" s="24">
        <f t="shared" si="44"/>
        <v>18.266999999999999</v>
      </c>
      <c r="AW52" s="24">
        <f t="shared" si="45"/>
        <v>3.827</v>
      </c>
      <c r="AX52" s="24">
        <f t="shared" si="46"/>
        <v>3.774</v>
      </c>
      <c r="AY52" s="89"/>
      <c r="AZ52" s="9">
        <f t="shared" si="75"/>
        <v>60</v>
      </c>
      <c r="BA52" s="11">
        <f t="shared" si="47"/>
        <v>24807</v>
      </c>
      <c r="BB52" s="11">
        <f>SUM(BA52:BA$96)</f>
        <v>480648</v>
      </c>
      <c r="BC52" s="10">
        <f t="shared" si="48"/>
        <v>19.375</v>
      </c>
      <c r="BD52" s="10">
        <f t="shared" si="7"/>
        <v>18.917000000000002</v>
      </c>
      <c r="BE52" s="89"/>
      <c r="BF52" s="9">
        <f t="shared" si="54"/>
        <v>43</v>
      </c>
      <c r="BG52" s="10" t="str">
        <f t="shared" si="8"/>
        <v/>
      </c>
      <c r="BH52" s="10" t="str">
        <f t="shared" si="9"/>
        <v/>
      </c>
      <c r="BI52" s="89"/>
      <c r="BJ52" s="9">
        <f t="shared" si="76"/>
        <v>60</v>
      </c>
      <c r="BK52" s="11">
        <f t="shared" si="10"/>
        <v>8607</v>
      </c>
      <c r="BL52" s="11">
        <f>IF(BJ52&lt;RAF,SUM(BK52:INDEX(Daiy,RAF-BeginnAlter))," ")</f>
        <v>35591</v>
      </c>
      <c r="BM52" s="11">
        <f>IF(BJ52&lt;RAF,SUM(BL52:INDEX(Naiy,RAF-BeginnAlter))," ")</f>
        <v>89812</v>
      </c>
      <c r="BN52" s="10">
        <f t="shared" si="11"/>
        <v>13.125999999999999</v>
      </c>
      <c r="BO52" s="10">
        <f t="shared" si="12"/>
        <v>1.742</v>
      </c>
      <c r="BP52" s="89"/>
      <c r="BQ52" s="9">
        <f t="shared" si="77"/>
        <v>60</v>
      </c>
      <c r="BR52" s="11">
        <f t="shared" si="13"/>
        <v>1626</v>
      </c>
      <c r="BS52" s="11">
        <f>IF(BQ52&lt;RAF,SUM(BR52:INDEX(Daiys,RAF-BeginnAlter))," ")</f>
        <v>3921</v>
      </c>
      <c r="BT52" s="11">
        <f>IF(BQ52&lt;RAF,SUM(BS52:INDEX(Naiys,RAF-BeginnAlter))," ")</f>
        <v>7547</v>
      </c>
      <c r="BU52" s="10">
        <f t="shared" si="14"/>
        <v>14.676</v>
      </c>
      <c r="BV52" s="10">
        <f t="shared" si="15"/>
        <v>0.192</v>
      </c>
      <c r="BW52" s="89"/>
      <c r="BX52" s="9">
        <f t="shared" si="78"/>
        <v>60</v>
      </c>
      <c r="BY52" s="10">
        <f t="shared" si="16"/>
        <v>4.8820086951770847</v>
      </c>
      <c r="BZ52" s="11">
        <f t="shared" si="17"/>
        <v>7</v>
      </c>
      <c r="CA52" s="11">
        <f>IF(S53&lt;=RAK,IF($BX52&lt;RAF,SUM(BZ52:INDEX(Dazy,RAF-BeginnAlter)),""),"")</f>
        <v>21</v>
      </c>
      <c r="CB52" s="10">
        <f t="shared" si="18"/>
        <v>1E-3</v>
      </c>
      <c r="CC52" s="11">
        <f t="shared" si="19"/>
        <v>20979</v>
      </c>
      <c r="CD52" s="10">
        <f t="shared" si="20"/>
        <v>15.864000000000001</v>
      </c>
      <c r="CE52" s="10">
        <f t="shared" si="21"/>
        <v>6.0000000000000001E-3</v>
      </c>
      <c r="CF52" s="89"/>
      <c r="CG52" s="9">
        <f t="shared" si="79"/>
        <v>60</v>
      </c>
      <c r="CH52" s="11">
        <f>IF(CG52&lt;RAF,ROUND(v^($CG52+FaktorAlter)*$H52*($B52*0.5*($P52+$P53)*(VLOOKUP(TRUNC(0.5*($Q52+$Q53),0),Männer!$AZ$9:$BD$95,5)+(0.5*($Q52+$Q53)-TRUNC(0.5*($Q52+$Q53),0))*(VLOOKUP(TRUNC(0.5*($Q52+$Q53)+1,0),Männer!$AZ$9:$BD$95,5)-VLOOKUP(TRUNC(0.5*($Q52+$Q53),0),Männer!$AZ$9:$BD$95,5)))+$C52*0.5*($CN52+$CN53)),RundDx),"")</f>
        <v>302</v>
      </c>
      <c r="CI52" s="11">
        <f>IF(CG52&lt;RAF,ROUND(SUM(CH52:INDEX(Dawy,RAF-BeginnAlter))+INDEX(Day,RAF-BeginnAlter+1)*INDEX(äwy,1),RundDx),"")</f>
        <v>2923</v>
      </c>
      <c r="CJ52" s="11">
        <f>IF(CG52&lt;RAF,ROUND(SUM(CI52:INDEX(Nawy,RAF-BeginnAlter))+INDEX(Day,RAF-BeginnAlter+1)*INDEX(äwy,1),RundDx),"")</f>
        <v>11896</v>
      </c>
      <c r="CK52" s="10">
        <f t="shared" si="22"/>
        <v>0.14299999999999999</v>
      </c>
      <c r="CL52" s="11">
        <f>IF(CG52&lt;RAF,ROUND(v^($CG52+FaktorAlter)*$L52*$D52*0.5*($P52+$P53)*(VLOOKUP(TRUNC(0.5*($Q52+$Q53),0),Männer!$AZ$9:$BD$95,5)+(0.5*($Q52+$Q53)-TRUNC(0.5*($Q52+$Q53),0))*(VLOOKUP(TRUNC(0.5*($Q52+$Q53)+1,0),Männer!$AZ$9:$BD$95,5)-VLOOKUP(TRUNC(0.5*($Q52+$Q53),0),Männer!$AZ$9:$BD$95,5))),RundDx),"")</f>
        <v>1428</v>
      </c>
      <c r="CM52" s="11">
        <f>IF(CG52&lt;RAF,SUM(CL52:INDEX(Diwy,RAF-BeginnAlter))+INDEX(Diy,RAF-BeginnAlter+1)*INDEX(äwy,1),"")</f>
        <v>7313.3040000000001</v>
      </c>
      <c r="CN52" s="10">
        <f t="shared" si="23"/>
        <v>0.27900000000000003</v>
      </c>
      <c r="CO52" s="89"/>
      <c r="CP52" s="9">
        <f t="shared" si="59"/>
        <v>107</v>
      </c>
      <c r="CQ52" s="11"/>
      <c r="CR52" s="11"/>
      <c r="CS52" s="10"/>
      <c r="CT52" s="89"/>
      <c r="CU52" s="35">
        <f t="shared" si="60"/>
        <v>60</v>
      </c>
      <c r="CV52" s="25">
        <f>IF($CU52&gt;=RAF,"",IF($CU52-CV$103&lt;BeginnAlter,"",ROUND(v^($CU52+FaktorAlter)*$L52*$D52*0.5*(VLOOKUP($CU52-CV$103,Männer!$G$9:$J$102,4)+VLOOKUP($CU52-CV$103+1,Männer!$G$9:$J$102,4))*0.5*(VLOOKUP($CU52-CV$103,Männer!$AZ$9:$BD$102,5)+VLOOKUP($CU52-CV$103+1,Männer!$AZ$9:$BD$102,5)),RundDx)))</f>
        <v>342177678</v>
      </c>
      <c r="CW52" s="25">
        <f>IF($CU52&gt;=RAF,"",IF($CU52-CW$103&lt;BeginnAlter,"",ROUND(v^($CU52+FaktorAlter)*$L52*$D52*0.5*(VLOOKUP($CU52-CW$103,Männer!$G$9:$J$102,4)+VLOOKUP($CU52-CW$103+1,Männer!$G$9:$J$102,4))*0.5*(VLOOKUP($CU52-CW$103,Männer!$AZ$9:$BD$102,5)+VLOOKUP($CU52-CW$103+1,Männer!$AZ$9:$BD$102,5)),RundDx)))</f>
        <v>370945687</v>
      </c>
      <c r="CX52" s="25">
        <f>IF($CU52&gt;=RAF,"",IF($CU52-CX$103&lt;BeginnAlter,"",ROUND(v^($CU52+FaktorAlter)*$L52*$D52*0.5*(VLOOKUP($CU52-CX$103,Männer!$G$9:$J$102,4)+VLOOKUP($CU52-CX$103+1,Männer!$G$9:$J$102,4))*0.5*(VLOOKUP($CU52-CX$103,Männer!$AZ$9:$BD$102,5)+VLOOKUP($CU52-CX$103+1,Männer!$AZ$9:$BD$102,5)),RundDx)))</f>
        <v>399944580</v>
      </c>
      <c r="CY52" s="25">
        <f>IF($CU52&gt;=RAF,"",IF($CU52-CY$103&lt;BeginnAlter,"",ROUND(v^($CU52+FaktorAlter)*$L52*$D52*0.5*(VLOOKUP($CU52-CY$103,Männer!$G$9:$J$102,4)+VLOOKUP($CU52-CY$103+1,Männer!$G$9:$J$102,4))*0.5*(VLOOKUP($CU52-CY$103,Männer!$AZ$9:$BD$102,5)+VLOOKUP($CU52-CY$103+1,Männer!$AZ$9:$BD$102,5)),RundDx)))</f>
        <v>429159414</v>
      </c>
      <c r="CZ52" s="25">
        <f>IF($CU52&gt;=RAF,"",IF($CU52-CZ$103&lt;BeginnAlter,"",ROUND(v^($CU52+FaktorAlter)*$L52*$D52*0.5*(VLOOKUP($CU52-CZ$103,Männer!$G$9:$J$102,4)+VLOOKUP($CU52-CZ$103+1,Männer!$G$9:$J$102,4))*0.5*(VLOOKUP($CU52-CZ$103,Männer!$AZ$9:$BD$102,5)+VLOOKUP($CU52-CZ$103+1,Männer!$AZ$9:$BD$102,5)),RundDx)))</f>
        <v>458554071</v>
      </c>
      <c r="DA52" s="25">
        <f>IF($CU52&gt;=RAF,"",IF($CU52-DA$103&lt;BeginnAlter,"",ROUND(v^($CU52+FaktorAlter)*$L52*$D52*0.5*(VLOOKUP($CU52-DA$103,Männer!$G$9:$J$102,4)+VLOOKUP($CU52-DA$103+1,Männer!$G$9:$J$102,4))*0.5*(VLOOKUP($CU52-DA$103,Männer!$AZ$9:$BD$102,5)+VLOOKUP($CU52-DA$103+1,Männer!$AZ$9:$BD$102,5)),RundDx)))</f>
        <v>487989708</v>
      </c>
      <c r="DB52" s="25">
        <f>IF($CU52&gt;=RAF,"",IF($CU52-DB$103&lt;BeginnAlter,"",ROUND(v^($CU52+FaktorAlter)*$L52*$D52*0.5*(VLOOKUP($CU52-DB$103,Männer!$G$9:$J$102,4)+VLOOKUP($CU52-DB$103+1,Männer!$G$9:$J$102,4))*0.5*(VLOOKUP($CU52-DB$103,Männer!$AZ$9:$BD$102,5)+VLOOKUP($CU52-DB$103+1,Männer!$AZ$9:$BD$102,5)),RundDx)))</f>
        <v>517448706</v>
      </c>
      <c r="DC52" s="25">
        <f>IF($CU52&gt;=RAF,"",IF($CU52-DC$103&lt;BeginnAlter,"",ROUND(v^($CU52+FaktorAlter)*$L52*$D52*0.5*(VLOOKUP($CU52-DC$103,Männer!$G$9:$J$102,4)+VLOOKUP($CU52-DC$103+1,Männer!$G$9:$J$102,4))*0.5*(VLOOKUP($CU52-DC$103,Männer!$AZ$9:$BD$102,5)+VLOOKUP($CU52-DC$103+1,Männer!$AZ$9:$BD$102,5)),RundDx)))</f>
        <v>547035549</v>
      </c>
      <c r="DD52" s="25">
        <f>IF($CU52&gt;=RAF,"",IF($CU52-DD$103&lt;BeginnAlter,"",ROUND(v^($CU52+FaktorAlter)*$L52*$D52*0.5*(VLOOKUP($CU52-DD$103,Männer!$G$9:$J$102,4)+VLOOKUP($CU52-DD$103+1,Männer!$G$9:$J$102,4))*0.5*(VLOOKUP($CU52-DD$103,Männer!$AZ$9:$BD$102,5)+VLOOKUP($CU52-DD$103+1,Männer!$AZ$9:$BD$102,5)),RundDx)))</f>
        <v>576835568</v>
      </c>
      <c r="DE52" s="25">
        <f>IF($CU52&gt;=RAF,"",IF($CU52-DE$103&lt;BeginnAlter,"",ROUND(v^($CU52+FaktorAlter)*$L52*$D52*0.5*(VLOOKUP($CU52-DE$103,Männer!$G$9:$J$102,4)+VLOOKUP($CU52-DE$103+1,Männer!$G$9:$J$102,4))*0.5*(VLOOKUP($CU52-DE$103,Männer!$AZ$9:$BD$102,5)+VLOOKUP($CU52-DE$103+1,Männer!$AZ$9:$BD$102,5)),RundDx)))</f>
        <v>606775195</v>
      </c>
      <c r="DF52" s="25">
        <f>IF($CU52&gt;=RAF,"",IF($CU52-DF$103&lt;BeginnAlter,"",ROUND(v^($CU52+FaktorAlter)*$L52*$D52*0.5*(VLOOKUP($CU52-DF$103,Männer!$G$9:$J$102,4)+VLOOKUP($CU52-DF$103+1,Männer!$G$9:$J$102,4))*0.5*(VLOOKUP($CU52-DF$103,Männer!$AZ$9:$BD$102,5)+VLOOKUP($CU52-DF$103+1,Männer!$AZ$9:$BD$102,5)),RundDx)))</f>
        <v>636927350</v>
      </c>
      <c r="DG52" s="25">
        <f>IF($CU52&gt;=RAF,"",IF($CU52-DG$103&lt;BeginnAlter,"",ROUND(v^($CU52+FaktorAlter)*$L52*$D52*0.5*(VLOOKUP($CU52-DG$103,Männer!$G$9:$J$102,4)+VLOOKUP($CU52-DG$103+1,Männer!$G$9:$J$102,4))*0.5*(VLOOKUP($CU52-DG$103,Männer!$AZ$9:$BD$102,5)+VLOOKUP($CU52-DG$103+1,Männer!$AZ$9:$BD$102,5)),RundDx)))</f>
        <v>667445928</v>
      </c>
      <c r="DH52" s="25">
        <f>IF($CU52&gt;=RAF,"",IF($CU52-DH$103&lt;BeginnAlter,"",ROUND(v^($CU52+FaktorAlter)*$L52*$D52*0.5*(VLOOKUP($CU52-DH$103,Männer!$G$9:$J$102,4)+VLOOKUP($CU52-DH$103+1,Männer!$G$9:$J$102,4))*0.5*(VLOOKUP($CU52-DH$103,Männer!$AZ$9:$BD$102,5)+VLOOKUP($CU52-DH$103+1,Männer!$AZ$9:$BD$102,5)),RundDx)))</f>
        <v>698388783</v>
      </c>
      <c r="DI52" s="25">
        <f>IF($CU52&gt;=RAF,"",IF($CU52-DI$103&lt;BeginnAlter,"",ROUND(v^($CU52+FaktorAlter)*$L52*$D52*0.5*(VLOOKUP($CU52-DI$103,Männer!$G$9:$J$102,4)+VLOOKUP($CU52-DI$103+1,Männer!$G$9:$J$102,4))*0.5*(VLOOKUP($CU52-DI$103,Männer!$AZ$9:$BD$102,5)+VLOOKUP($CU52-DI$103+1,Männer!$AZ$9:$BD$102,5)),RundDx)))</f>
        <v>729830522</v>
      </c>
      <c r="DJ52" s="25">
        <f>IF($CU52&gt;=RAF,"",IF($CU52-DJ$103&lt;BeginnAlter,"",ROUND(v^($CU52+FaktorAlter)*$L52*$D52*0.5*(VLOOKUP($CU52-DJ$103,Männer!$G$9:$J$102,4)+VLOOKUP($CU52-DJ$103+1,Männer!$G$9:$J$102,4))*0.5*(VLOOKUP($CU52-DJ$103,Männer!$AZ$9:$BD$102,5)+VLOOKUP($CU52-DJ$103+1,Männer!$AZ$9:$BD$102,5)),RundDx)))</f>
        <v>761818017</v>
      </c>
      <c r="DK52" s="25">
        <f>IF($CU52&gt;=RAF,"",IF($CU52-DK$103&lt;BeginnAlter,"",ROUND(v^($CU52+FaktorAlter)*$L52*$D52*0.5*(VLOOKUP($CU52-DK$103,Männer!$G$9:$J$102,4)+VLOOKUP($CU52-DK$103+1,Männer!$G$9:$J$102,4))*0.5*(VLOOKUP($CU52-DK$103,Männer!$AZ$9:$BD$102,5)+VLOOKUP($CU52-DK$103+1,Männer!$AZ$9:$BD$102,5)),RundDx)))</f>
        <v>794377015</v>
      </c>
      <c r="DL52" s="25">
        <f>IF($CU52&gt;=RAF,"",IF($CU52-DL$103&lt;BeginnAlter,"",ROUND(v^($CU52+FaktorAlter)*$L52*$D52*0.5*(VLOOKUP($CU52-DL$103,Männer!$G$9:$J$102,4)+VLOOKUP($CU52-DL$103+1,Männer!$G$9:$J$102,4))*0.5*(VLOOKUP($CU52-DL$103,Männer!$AZ$9:$BD$102,5)+VLOOKUP($CU52-DL$103+1,Männer!$AZ$9:$BD$102,5)),RundDx)))</f>
        <v>827565694</v>
      </c>
      <c r="DM52" s="25">
        <f>IF($CU52&gt;=RAF,"",IF($CU52-DM$103&lt;BeginnAlter,"",ROUND(v^($CU52+FaktorAlter)*$L52*$D52*0.5*(VLOOKUP($CU52-DM$103,Männer!$G$9:$J$102,4)+VLOOKUP($CU52-DM$103+1,Männer!$G$9:$J$102,4))*0.5*(VLOOKUP($CU52-DM$103,Männer!$AZ$9:$BD$102,5)+VLOOKUP($CU52-DM$103+1,Männer!$AZ$9:$BD$102,5)),RundDx)))</f>
        <v>861344786</v>
      </c>
      <c r="DN52" s="25">
        <f>IF($CU52&gt;=RAF,"",IF($CU52-DN$103&lt;BeginnAlter,"",ROUND(v^($CU52+FaktorAlter)*$L52*$D52*0.5*(VLOOKUP($CU52-DN$103,Männer!$G$9:$J$102,4)+VLOOKUP($CU52-DN$103+1,Männer!$G$9:$J$102,4))*0.5*(VLOOKUP($CU52-DN$103,Männer!$AZ$9:$BD$102,5)+VLOOKUP($CU52-DN$103+1,Männer!$AZ$9:$BD$102,5)),RundDx)))</f>
        <v>895664728</v>
      </c>
      <c r="DO52" s="25">
        <f>IF($CU52&gt;=RAF,"",IF($CU52-DO$103&lt;BeginnAlter,"",ROUND(v^($CU52+FaktorAlter)*$L52*$D52*0.5*(VLOOKUP($CU52-DO$103,Männer!$G$9:$J$102,4)+VLOOKUP($CU52-DO$103+1,Männer!$G$9:$J$102,4))*0.5*(VLOOKUP($CU52-DO$103,Männer!$AZ$9:$BD$102,5)+VLOOKUP($CU52-DO$103+1,Männer!$AZ$9:$BD$102,5)),RundDx)))</f>
        <v>930515963</v>
      </c>
      <c r="DP52" s="25">
        <f>IF($CU52&gt;=RAF,"",IF($CU52-DP$103&lt;BeginnAlter,"",ROUND(v^($CU52+FaktorAlter)*$L52*$D52*0.5*(VLOOKUP($CU52-DP$103,Männer!$G$9:$J$102,4)+VLOOKUP($CU52-DP$103+1,Männer!$G$9:$J$102,4))*0.5*(VLOOKUP($CU52-DP$103,Männer!$AZ$9:$BD$102,5)+VLOOKUP($CU52-DP$103+1,Männer!$AZ$9:$BD$102,5)),RundDx)))</f>
        <v>965387407</v>
      </c>
      <c r="DQ52" s="25">
        <f>IF($CU52&gt;=RAF,"",IF($CU52-DQ$103&lt;BeginnAlter,"",ROUND(v^($CU52+FaktorAlter)*$L52*$D52*0.5*(VLOOKUP($CU52-DQ$103,Männer!$G$9:$J$102,4)+VLOOKUP($CU52-DQ$103+1,Männer!$G$9:$J$102,4))*0.5*(VLOOKUP($CU52-DQ$103,Männer!$AZ$9:$BD$102,5)+VLOOKUP($CU52-DQ$103+1,Männer!$AZ$9:$BD$102,5)),RundDx)))</f>
        <v>999734211</v>
      </c>
      <c r="DR52" s="25">
        <f>IF($CU52&gt;=RAF,"",IF($CU52-DR$103&lt;BeginnAlter,"",ROUND(v^($CU52+FaktorAlter)*$L52*$D52*0.5*(VLOOKUP($CU52-DR$103,Männer!$G$9:$J$102,4)+VLOOKUP($CU52-DR$103+1,Männer!$G$9:$J$102,4))*0.5*(VLOOKUP($CU52-DR$103,Männer!$AZ$9:$BD$102,5)+VLOOKUP($CU52-DR$103+1,Männer!$AZ$9:$BD$102,5)),RundDx)))</f>
        <v>1033562161</v>
      </c>
      <c r="DS52" s="25">
        <f>IF($CU52&gt;=RAF,"",IF($CU52-DS$103&lt;BeginnAlter,"",ROUND(v^($CU52+FaktorAlter)*$L52*$D52*0.5*(VLOOKUP($CU52-DS$103,Männer!$G$9:$J$102,4)+VLOOKUP($CU52-DS$103+1,Männer!$G$9:$J$102,4))*0.5*(VLOOKUP($CU52-DS$103,Männer!$AZ$9:$BD$102,5)+VLOOKUP($CU52-DS$103+1,Männer!$AZ$9:$BD$102,5)),RundDx)))</f>
        <v>1066876360</v>
      </c>
      <c r="DT52" s="25">
        <f>IF($CU52&gt;=RAF,"",IF($CU52-DT$103&lt;BeginnAlter,"",ROUND(v^($CU52+FaktorAlter)*$L52*$D52*0.5*(VLOOKUP($CU52-DT$103,Männer!$G$9:$J$102,4)+VLOOKUP($CU52-DT$103+1,Männer!$G$9:$J$102,4))*0.5*(VLOOKUP($CU52-DT$103,Männer!$AZ$9:$BD$102,5)+VLOOKUP($CU52-DT$103+1,Männer!$AZ$9:$BD$102,5)),RundDx)))</f>
        <v>1099616952</v>
      </c>
      <c r="DU52" s="25">
        <f>IF($CU52&gt;=RAF,"",IF($CU52-DU$103&lt;BeginnAlter,"",ROUND(v^($CU52+FaktorAlter)*$L52*$D52*0.5*(VLOOKUP($CU52-DU$103,Männer!$G$9:$J$102,4)+VLOOKUP($CU52-DU$103+1,Männer!$G$9:$J$102,4))*0.5*(VLOOKUP($CU52-DU$103,Männer!$AZ$9:$BD$102,5)+VLOOKUP($CU52-DU$103+1,Männer!$AZ$9:$BD$102,5)),RundDx)))</f>
        <v>1131787567</v>
      </c>
      <c r="DV52" s="25">
        <f>IF($CU52&gt;=RAF,"",IF($CU52-DV$103&lt;BeginnAlter,"",ROUND(v^($CU52+FaktorAlter)*$L52*$D52*0.5*(VLOOKUP($CU52-DV$103,Männer!$G$9:$J$102,4)+VLOOKUP($CU52-DV$103+1,Männer!$G$9:$J$102,4))*0.5*(VLOOKUP($CU52-DV$103,Männer!$AZ$9:$BD$102,5)+VLOOKUP($CU52-DV$103+1,Männer!$AZ$9:$BD$102,5)),RundDx)))</f>
        <v>1163438007</v>
      </c>
      <c r="DW52" s="25">
        <f>IF($CU52&gt;=RAF,"",IF($CU52-DW$103&lt;BeginnAlter,"",ROUND(v^($CU52+FaktorAlter)*$L52*$D52*0.5*(VLOOKUP($CU52-DW$103,Männer!$G$9:$J$102,4)+VLOOKUP($CU52-DW$103+1,Männer!$G$9:$J$102,4))*0.5*(VLOOKUP($CU52-DW$103,Männer!$AZ$9:$BD$102,5)+VLOOKUP($CU52-DW$103+1,Männer!$AZ$9:$BD$102,5)),RundDx)))</f>
        <v>1194547904</v>
      </c>
      <c r="DX52" s="25">
        <f>IF($CU52&gt;=RAF,"",IF($CU52-DX$103&lt;BeginnAlter,"",ROUND(v^($CU52+FaktorAlter)*$L52*$D52*0.5*(VLOOKUP($CU52-DX$103,Männer!$G$9:$J$102,4)+VLOOKUP($CU52-DX$103+1,Männer!$G$9:$J$102,4))*0.5*(VLOOKUP($CU52-DX$103,Männer!$AZ$9:$BD$102,5)+VLOOKUP($CU52-DX$103+1,Männer!$AZ$9:$BD$102,5)),RundDx)))</f>
        <v>1225083965</v>
      </c>
      <c r="DY52" s="25">
        <f>IF($CU52&gt;=RAF,"",IF($CU52-DY$103&lt;BeginnAlter,"",ROUND(v^($CU52+FaktorAlter)*$L52*$D52*0.5*(VLOOKUP($CU52-DY$103,Männer!$G$9:$J$102,4)+VLOOKUP($CU52-DY$103+1,Männer!$G$9:$J$102,4))*0.5*(VLOOKUP($CU52-DY$103,Männer!$AZ$9:$BD$102,5)+VLOOKUP($CU52-DY$103+1,Männer!$AZ$9:$BD$102,5)),RundDx)))</f>
        <v>1255083917</v>
      </c>
      <c r="DZ52" s="25">
        <f>IF($CU52&gt;=RAF,"",IF($CU52-DZ$103&lt;BeginnAlter,"",ROUND(v^($CU52+FaktorAlter)*$L52*$D52*0.5*(VLOOKUP($CU52-DZ$103,Männer!$G$9:$J$102,4)+VLOOKUP($CU52-DZ$103+1,Männer!$G$9:$J$102,4))*0.5*(VLOOKUP($CU52-DZ$103,Männer!$AZ$9:$BD$102,5)+VLOOKUP($CU52-DZ$103+1,Männer!$AZ$9:$BD$102,5)),RundDx)))</f>
        <v>1284546386</v>
      </c>
      <c r="EA52" s="43">
        <f>IF($CU52&gt;=RAF,"",IF($CU52-EA$103&lt;BeginnAlter,"",ROUND((SUM(CV52:CV$56)+SUM(FN$9:FN$56))/VLOOKUP($CU52,$AH$9:$AI$102,2)/VLOOKUP($CU52-EA$103,Männer!$G$9:$J$102,4),Rundäx)))</f>
        <v>1.014</v>
      </c>
      <c r="EB52" s="43">
        <f>IF($CU52&gt;=RAF,"",IF($CU52-EB$103&lt;BeginnAlter,"",ROUND((SUM(CW52:CW$56)+SUM(FO$9:FO$56))/VLOOKUP($CU52,$AH$9:$AI$102,2)/VLOOKUP($CU52-EB$103,Männer!$G$9:$J$102,4),Rundäx)))</f>
        <v>1.103</v>
      </c>
      <c r="EC52" s="43">
        <f>IF($CU52&gt;=RAF,"",IF($CU52-EC$103&lt;BeginnAlter,"",ROUND((SUM(CX52:CX$56)+SUM(FP$9:FP$56))/VLOOKUP($CU52,$AH$9:$AI$102,2)/VLOOKUP($CU52-EC$103,Männer!$G$9:$J$102,4),Rundäx)))</f>
        <v>1.196</v>
      </c>
      <c r="ED52" s="43">
        <f>IF($CU52&gt;=RAF,"",IF($CU52-ED$103&lt;BeginnAlter,"",ROUND((SUM(CY52:CY$56)+SUM(FQ$9:FQ$56))/VLOOKUP($CU52,$AH$9:$AI$102,2)/VLOOKUP($CU52-ED$103,Männer!$G$9:$J$102,4),Rundäx)))</f>
        <v>1.294</v>
      </c>
      <c r="EE52" s="43">
        <f>IF($CU52&gt;=RAF,"",IF($CU52-EE$103&lt;BeginnAlter,"",ROUND((SUM(CZ52:CZ$56)+SUM(FR$9:FR$56))/VLOOKUP($CU52,$AH$9:$AI$102,2)/VLOOKUP($CU52-EE$103,Männer!$G$9:$J$102,4),Rundäx)))</f>
        <v>1.3979999999999999</v>
      </c>
      <c r="EF52" s="43">
        <f>IF($CU52&gt;=RAF,"",IF($CU52-EF$103&lt;BeginnAlter,"",ROUND((SUM(DA52:DA$56)+SUM(FS$9:FS$56))/VLOOKUP($CU52,$AH$9:$AI$102,2)/VLOOKUP($CU52-EF$103,Männer!$G$9:$J$102,4),Rundäx)))</f>
        <v>1.508</v>
      </c>
      <c r="EG52" s="43">
        <f>IF($CU52&gt;=RAF,"",IF($CU52-EG$103&lt;BeginnAlter,"",ROUND((SUM(DB52:DB$56)+SUM(FT$9:FT$56))/VLOOKUP($CU52,$AH$9:$AI$102,2)/VLOOKUP($CU52-EG$103,Männer!$G$9:$J$102,4),Rundäx)))</f>
        <v>1.625</v>
      </c>
      <c r="EH52" s="43">
        <f>IF($CU52&gt;=RAF,"",IF($CU52-EH$103&lt;BeginnAlter,"",ROUND((SUM(DC52:DC$56)+SUM(FU$9:FU$56))/VLOOKUP($CU52,$AH$9:$AI$102,2)/VLOOKUP($CU52-EH$103,Männer!$G$9:$J$102,4),Rundäx)))</f>
        <v>1.748</v>
      </c>
      <c r="EI52" s="89"/>
      <c r="EJ52" s="35">
        <f t="shared" si="61"/>
        <v>60</v>
      </c>
      <c r="EK52" s="43">
        <f>IF($CU52&gt;=RAF,"",IF($CU52-EK$103&lt;BeginnAlter,"",ROUND((SUM(DD52:DD$56)+SUM(FV$9:FV$56))/VLOOKUP($CU52,$AH$9:$AI$102,2)/VLOOKUP($CU52-EK$103,Männer!$G$9:$J$102,4),Rundäx)))</f>
        <v>1.879</v>
      </c>
      <c r="EL52" s="43">
        <f>IF($CU52&gt;=RAF,"",IF($CU52-EL$103&lt;BeginnAlter,"",ROUND((SUM(DE52:DE$56)+SUM(FW$9:FW$56))/VLOOKUP($CU52,$AH$9:$AI$102,2)/VLOOKUP($CU52-EL$103,Männer!$G$9:$J$102,4),Rundäx)))</f>
        <v>2.0179999999999998</v>
      </c>
      <c r="EM52" s="43">
        <f>IF($CU52&gt;=RAF,"",IF($CU52-EM$103&lt;BeginnAlter,"",ROUND((SUM(DF52:DF$56)+SUM(FX$9:FX$56))/VLOOKUP($CU52,$AH$9:$AI$102,2)/VLOOKUP($CU52-EM$103,Männer!$G$9:$J$102,4),Rundäx)))</f>
        <v>2.165</v>
      </c>
      <c r="EN52" s="43">
        <f>IF($CU52&gt;=RAF,"",IF($CU52-EN$103&lt;BeginnAlter,"",ROUND((SUM(DG52:DG$56)+SUM(FY$9:FY$56))/VLOOKUP($CU52,$AH$9:$AI$102,2)/VLOOKUP($CU52-EN$103,Männer!$G$9:$J$102,4),Rundäx)))</f>
        <v>2.3210000000000002</v>
      </c>
      <c r="EO52" s="43">
        <f>IF($CU52&gt;=RAF,"",IF($CU52-EO$103&lt;BeginnAlter,"",ROUND((SUM(DH52:DH$56)+SUM(FZ$9:FZ$56))/VLOOKUP($CU52,$AH$9:$AI$102,2)/VLOOKUP($CU52-EO$103,Männer!$G$9:$J$102,4),Rundäx)))</f>
        <v>2.4860000000000002</v>
      </c>
      <c r="EP52" s="43">
        <f>IF($CU52&gt;=RAF,"",IF($CU52-EP$103&lt;BeginnAlter,"",ROUND((SUM(DI52:DI$56)+SUM(GA$9:GA$56))/VLOOKUP($CU52,$AH$9:$AI$102,2)/VLOOKUP($CU52-EP$103,Männer!$G$9:$J$102,4),Rundäx)))</f>
        <v>2.661</v>
      </c>
      <c r="EQ52" s="43">
        <f>IF($CU52&gt;=RAF,"",IF($CU52-EQ$103&lt;BeginnAlter,"",ROUND((SUM(DJ52:DJ$56)+SUM(GB$9:GB$56))/VLOOKUP($CU52,$AH$9:$AI$102,2)/VLOOKUP($CU52-EQ$103,Männer!$G$9:$J$102,4),Rundäx)))</f>
        <v>2.847</v>
      </c>
      <c r="ER52" s="43">
        <f>IF($CU52&gt;=RAF,"",IF($CU52-ER$103&lt;BeginnAlter,"",ROUND((SUM(DK52:DK$56)+SUM(GC$9:GC$56))/VLOOKUP($CU52,$AH$9:$AI$102,2)/VLOOKUP($CU52-ER$103,Männer!$G$9:$J$102,4),Rundäx)))</f>
        <v>3.0430000000000001</v>
      </c>
      <c r="ES52" s="89"/>
      <c r="ET52" s="35">
        <f t="shared" si="62"/>
        <v>60</v>
      </c>
      <c r="EU52" s="43">
        <f>IF($CU52&gt;=RAF,"",IF($CU52-EU$103&lt;BeginnAlter,"",ROUND((SUM(DL52:DL$56)+SUM(GD$9:GD$56))/VLOOKUP($CU52,$AH$9:$AI$102,2)/VLOOKUP($CU52-EU$103,Männer!$G$9:$J$102,4),Rundäx)))</f>
        <v>3.25</v>
      </c>
      <c r="EV52" s="43">
        <f>IF($CU52&gt;=RAF,"",IF($CU52-EV$103&lt;BeginnAlter,"",ROUND((SUM(DM52:DM$56)+SUM(GE$9:GE$56))/VLOOKUP($CU52,$AH$9:$AI$102,2)/VLOOKUP($CU52-EV$103,Männer!$G$9:$J$102,4),Rundäx)))</f>
        <v>3.468</v>
      </c>
      <c r="EW52" s="43">
        <f>IF($CU52&gt;=RAF,"",IF($CU52-EW$103&lt;BeginnAlter,"",ROUND((SUM(DN52:DN$56)+SUM(GF$9:GF$56))/VLOOKUP($CU52,$AH$9:$AI$102,2)/VLOOKUP($CU52-EW$103,Männer!$G$9:$J$102,4),Rundäx)))</f>
        <v>3.698</v>
      </c>
      <c r="EX52" s="43">
        <f>IF($CU52&gt;=RAF,"",IF($CU52-EX$103&lt;BeginnAlter,"",ROUND((SUM(DO52:DO$56)+SUM(GG$9:GG$56))/VLOOKUP($CU52,$AH$9:$AI$102,2)/VLOOKUP($CU52-EX$103,Männer!$G$9:$J$102,4),Rundäx)))</f>
        <v>3.9380000000000002</v>
      </c>
      <c r="EY52" s="43">
        <f>IF($CU52&gt;=RAF,"",IF($CU52-EY$103&lt;BeginnAlter,"",ROUND((SUM(DP52:DP$56)+SUM(GH$9:GH$56))/VLOOKUP($CU52,$AH$9:$AI$102,2)/VLOOKUP($CU52-EY$103,Männer!$G$9:$J$102,4),Rundäx)))</f>
        <v>4.1879999999999997</v>
      </c>
      <c r="EZ52" s="43">
        <f>IF($CU52&gt;=RAF,"",IF($CU52-EZ$103&lt;BeginnAlter,"",ROUND((SUM(DQ52:DQ$56)+SUM(GI$9:GI$56))/VLOOKUP($CU52,$AH$9:$AI$102,2)/VLOOKUP($CU52-EZ$103,Männer!$G$9:$J$102,4),Rundäx)))</f>
        <v>4.4470000000000001</v>
      </c>
      <c r="FA52" s="43">
        <f>IF($CU52&gt;=RAF,"",IF($CU52-FA$103&lt;BeginnAlter,"",ROUND((SUM(DR52:DR$56)+SUM(GJ$9:GJ$56))/VLOOKUP($CU52,$AH$9:$AI$102,2)/VLOOKUP($CU52-FA$103,Männer!$G$9:$J$102,4),Rundäx)))</f>
        <v>4.7140000000000004</v>
      </c>
      <c r="FB52" s="43">
        <f>IF($CU52&gt;=RAF,"",IF($CU52-FB$103&lt;BeginnAlter,"",ROUND((SUM(DS52:DS$56)+SUM(GK$9:GK$56))/VLOOKUP($CU52,$AH$9:$AI$102,2)/VLOOKUP($CU52-FB$103,Männer!$G$9:$J$102,4),Rundäx)))</f>
        <v>4.9880000000000004</v>
      </c>
      <c r="FC52" s="89"/>
      <c r="FD52" s="35">
        <f t="shared" si="63"/>
        <v>60</v>
      </c>
      <c r="FE52" s="43">
        <f>IF($CU52&gt;=RAF,"",IF($CU52-FE$103&lt;BeginnAlter,"",ROUND((SUM(DT52:DT$56)+SUM(GL$9:GL$56))/VLOOKUP($CU52,$AH$9:$AI$102,2)/VLOOKUP($CU52-FE$103,Männer!$G$9:$J$102,4),Rundäx)))</f>
        <v>5.2679999999999998</v>
      </c>
      <c r="FF52" s="43">
        <f>IF($CU52&gt;=RAF,"",IF($CU52-FF$103&lt;BeginnAlter,"",ROUND((SUM(DU52:DU$56)+SUM(GM$9:GM$56))/VLOOKUP($CU52,$AH$9:$AI$102,2)/VLOOKUP($CU52-FF$103,Männer!$G$9:$J$102,4),Rundäx)))</f>
        <v>5.5540000000000003</v>
      </c>
      <c r="FG52" s="43">
        <f>IF($CU52&gt;=RAF,"",IF($CU52-FG$103&lt;BeginnAlter,"",ROUND((SUM(DV52:DV$56)+SUM(GN$9:GN$56))/VLOOKUP($CU52,$AH$9:$AI$102,2)/VLOOKUP($CU52-FG$103,Männer!$G$9:$J$102,4),Rundäx)))</f>
        <v>5.8440000000000003</v>
      </c>
      <c r="FH52" s="43">
        <f>IF($CU52&gt;=RAF,"",IF($CU52-FH$103&lt;BeginnAlter,"",ROUND((SUM(DW52:DW$56)+SUM(GO$9:GO$56))/VLOOKUP($CU52,$AH$9:$AI$102,2)/VLOOKUP($CU52-FH$103,Männer!$G$9:$J$102,4),Rundäx)))</f>
        <v>6.1390000000000002</v>
      </c>
      <c r="FI52" s="43">
        <f>IF($CU52&gt;=RAF,"",IF($CU52-FI$103&lt;BeginnAlter,"",ROUND((SUM(DX52:DX$56)+SUM(GP$9:GP$56))/VLOOKUP($CU52,$AH$9:$AI$102,2)/VLOOKUP($CU52-FI$103,Männer!$G$9:$J$102,4),Rundäx)))</f>
        <v>6.4370000000000003</v>
      </c>
      <c r="FJ52" s="43">
        <f>IF($CU52&gt;=RAF,"",IF($CU52-FJ$103&lt;BeginnAlter,"",ROUND((SUM(DY52:DY$56)+SUM(GQ$9:GQ$56))/VLOOKUP($CU52,$AH$9:$AI$102,2)/VLOOKUP($CU52-FJ$103,Männer!$G$9:$J$102,4),Rundäx)))</f>
        <v>6.7370000000000001</v>
      </c>
      <c r="FK52" s="43">
        <f>IF($CU52&gt;=RAF,"",IF($CU52-FK$103&lt;BeginnAlter,"",ROUND((SUM(DZ52:DZ$56)+SUM(GR$9:GR$56))/VLOOKUP($CU52,$AH$9:$AI$102,2)/VLOOKUP($CU52-FK$103,Männer!$G$9:$J$102,4),Rundäx)))</f>
        <v>7.04</v>
      </c>
      <c r="FL52" s="89"/>
      <c r="FM52" s="35">
        <f t="shared" si="64"/>
        <v>107</v>
      </c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4"/>
      <c r="GT52" s="24"/>
      <c r="GU52" s="24"/>
      <c r="GV52" s="24"/>
      <c r="GW52" s="24"/>
      <c r="GX52" s="24"/>
      <c r="GY52" s="24"/>
      <c r="GZ52" s="24"/>
      <c r="HA52" s="89"/>
      <c r="HB52" s="35">
        <f t="shared" si="65"/>
        <v>107</v>
      </c>
      <c r="HC52" s="24"/>
      <c r="HD52" s="24"/>
      <c r="HE52" s="24"/>
      <c r="HF52" s="24"/>
      <c r="HG52" s="24"/>
      <c r="HH52" s="24"/>
      <c r="HI52" s="24"/>
      <c r="HJ52" s="24"/>
      <c r="HK52" s="89"/>
      <c r="HL52" s="35">
        <f t="shared" si="66"/>
        <v>107</v>
      </c>
      <c r="HM52" s="24"/>
      <c r="HN52" s="24"/>
      <c r="HO52" s="24"/>
      <c r="HP52" s="24"/>
      <c r="HQ52" s="24"/>
      <c r="HR52" s="24"/>
      <c r="HS52" s="24"/>
      <c r="HT52" s="24"/>
      <c r="HU52" s="89"/>
      <c r="HV52" s="35">
        <f t="shared" si="67"/>
        <v>107</v>
      </c>
      <c r="HW52" s="24"/>
      <c r="HX52" s="24"/>
      <c r="HY52" s="24"/>
      <c r="HZ52" s="24"/>
      <c r="IA52" s="24"/>
      <c r="IB52" s="24"/>
      <c r="IC52" s="24"/>
      <c r="ID52" s="89"/>
      <c r="IE52" s="9">
        <f t="shared" si="80"/>
        <v>60</v>
      </c>
      <c r="IF52" s="11">
        <f t="shared" si="25"/>
        <v>1</v>
      </c>
      <c r="IG52" s="11">
        <f>IF($IE52&lt;RAF,IF(S53&lt;=RAK,ROUND(SUM(IF52:INDEX(Daky,RAF-BeginnAlter))+INDEX(Day,RAF-BeginnAlter+1)*INDEX(äky,1),RundDx),0),"")</f>
        <v>4</v>
      </c>
      <c r="IH52" s="11">
        <f>IF($IE52&lt;RAF,IF(S53&lt;=RAK,ROUND(SUM(IG52:INDEX(Naky,RAF-BeginnAlter))+INDEX(Day,RAF-BeginnAlter+1)*INDEX(äky,1),RundDx),0),"")</f>
        <v>10</v>
      </c>
      <c r="II52" s="10">
        <f t="shared" si="26"/>
        <v>0</v>
      </c>
      <c r="IJ52" s="11">
        <f t="shared" si="27"/>
        <v>8</v>
      </c>
      <c r="IK52" s="11">
        <f>IF($IE52&lt;RAF,IF(S53&lt;=RAK,SUM(IJ52:INDEX(Diky,RAF-BeginnAlter))+INDEX(Diy,RAF-BeginnAlter+1)*INDEX(äky,1),0),"")</f>
        <v>26</v>
      </c>
      <c r="IL52" s="10">
        <f t="shared" si="28"/>
        <v>1E-3</v>
      </c>
      <c r="IM52" s="89"/>
      <c r="IN52" s="9">
        <f t="shared" si="29"/>
        <v>107</v>
      </c>
      <c r="IO52" s="11"/>
      <c r="IP52" s="11"/>
      <c r="IQ52" s="10"/>
      <c r="IR52" s="86"/>
    </row>
    <row r="53" spans="1:252" ht="15.75" customHeight="1" x14ac:dyDescent="0.25">
      <c r="A53" s="9">
        <f t="shared" si="69"/>
        <v>61</v>
      </c>
      <c r="B53" s="93">
        <v>3.8960825000000001E-3</v>
      </c>
      <c r="C53" s="93">
        <v>2.7246082500000001E-2</v>
      </c>
      <c r="D53" s="93">
        <v>2.3699999999999999E-2</v>
      </c>
      <c r="E53" s="93">
        <v>7.851680885255452E-3</v>
      </c>
      <c r="F53" s="89"/>
      <c r="G53" s="9">
        <f t="shared" si="70"/>
        <v>61</v>
      </c>
      <c r="H53" s="11">
        <f t="shared" si="30"/>
        <v>75435</v>
      </c>
      <c r="I53" s="25">
        <f t="shared" si="31"/>
        <v>17284</v>
      </c>
      <c r="J53" s="25">
        <f t="shared" si="32"/>
        <v>92719</v>
      </c>
      <c r="K53" s="30">
        <f>IF(J53&gt;0,ROUND(SUM(J53:J$102)/J53-0.5,Rundex),"")</f>
        <v>23.57</v>
      </c>
      <c r="L53" s="25">
        <f t="shared" si="6"/>
        <v>97309</v>
      </c>
      <c r="M53" s="30">
        <f>IF(L53&gt;0,ROUND(SUM(L53:L$102)/L53-0.5,Rundex),"")</f>
        <v>22.53</v>
      </c>
      <c r="N53" s="89"/>
      <c r="O53" s="9">
        <f t="shared" si="71"/>
        <v>61</v>
      </c>
      <c r="P53" s="94">
        <v>0.1685348772410693</v>
      </c>
      <c r="Q53" s="95">
        <v>62.892992897988577</v>
      </c>
      <c r="R53" s="94">
        <v>2.5210423383464141E-3</v>
      </c>
      <c r="S53" s="95">
        <v>20</v>
      </c>
      <c r="T53" s="28">
        <v>6.8377032545044137E-3</v>
      </c>
      <c r="U53" s="11">
        <f t="shared" si="33"/>
        <v>93673</v>
      </c>
      <c r="V53" s="30">
        <f>IF(U53&gt;0,ROUND(SUM(U53:U$102)/U53-0.5,Rundex),"")</f>
        <v>24.61</v>
      </c>
      <c r="W53" s="89"/>
      <c r="X53" s="9">
        <f t="shared" si="72"/>
        <v>61</v>
      </c>
      <c r="Y53" s="11">
        <f t="shared" si="34"/>
        <v>19414</v>
      </c>
      <c r="Z53" s="11">
        <f>IF($X53&lt;RAF,SUM(Y53:INDEX(Day,RAF-BeginnAlter))," ")</f>
        <v>55189</v>
      </c>
      <c r="AA53" s="11">
        <f t="shared" si="0"/>
        <v>75</v>
      </c>
      <c r="AB53" s="11">
        <f>IF($X53&lt;RAF,SUM(AA53:INDEX(Cay,RAF-BeginnAlter))," ")</f>
        <v>230</v>
      </c>
      <c r="AC53" s="11">
        <f t="shared" si="1"/>
        <v>523</v>
      </c>
      <c r="AD53" s="11">
        <f>IF($X53&lt;RAF,SUM(AC53:INDEX(Caiy,RAF-BeginnAlter))," ")</f>
        <v>1616</v>
      </c>
      <c r="AE53" s="10">
        <f t="shared" si="35"/>
        <v>2.843</v>
      </c>
      <c r="AF53" s="10">
        <f t="shared" si="36"/>
        <v>2.7709999999999999</v>
      </c>
      <c r="AG53" s="89"/>
      <c r="AH53" s="9">
        <f t="shared" si="73"/>
        <v>61</v>
      </c>
      <c r="AI53" s="11">
        <f t="shared" si="37"/>
        <v>25043</v>
      </c>
      <c r="AJ53" s="11">
        <f>IF($AH53&gt;RAF," ",IF($AH53&lt;RAF,SUM(AI53:INDEX(Diy,RAF-BeginnAlter))+INDEX(Ny,RAF-BeginnAlter+1),INDEX(Ny,RAF-BeginnAlter+1)))</f>
        <v>437862</v>
      </c>
      <c r="AK53" s="11">
        <f>IF($AH53&lt;RAF,SUM(AI53:INDEX(Diy,RAF-BeginnAlter))," ")</f>
        <v>71768</v>
      </c>
      <c r="AL53" s="10">
        <f t="shared" si="38"/>
        <v>17.484000000000002</v>
      </c>
      <c r="AM53" s="10">
        <f t="shared" si="39"/>
        <v>17.026</v>
      </c>
      <c r="AN53" s="10">
        <f t="shared" si="40"/>
        <v>2.8660000000000001</v>
      </c>
      <c r="AO53" s="10">
        <f t="shared" si="41"/>
        <v>2.8050000000000002</v>
      </c>
      <c r="AP53" s="89"/>
      <c r="AQ53" s="9">
        <f t="shared" si="74"/>
        <v>61</v>
      </c>
      <c r="AR53" s="11">
        <f t="shared" si="42"/>
        <v>23862</v>
      </c>
      <c r="AS53" s="11">
        <f>SUM(AR53:AR$96)</f>
        <v>435558</v>
      </c>
      <c r="AT53" s="25">
        <f>IF($AQ53&lt;RAF,SUM(AR53:INDEX(Dy,RAF-BeginnAlter))," ")</f>
        <v>69464</v>
      </c>
      <c r="AU53" s="24">
        <f t="shared" si="43"/>
        <v>18.253</v>
      </c>
      <c r="AV53" s="24">
        <f t="shared" si="44"/>
        <v>17.795000000000002</v>
      </c>
      <c r="AW53" s="24">
        <f t="shared" si="45"/>
        <v>2.911</v>
      </c>
      <c r="AX53" s="24">
        <f t="shared" si="46"/>
        <v>2.87</v>
      </c>
      <c r="AY53" s="89"/>
      <c r="AZ53" s="9">
        <f t="shared" si="75"/>
        <v>61</v>
      </c>
      <c r="BA53" s="11">
        <f t="shared" si="47"/>
        <v>24107</v>
      </c>
      <c r="BB53" s="11">
        <f>SUM(BA53:BA$96)</f>
        <v>455841</v>
      </c>
      <c r="BC53" s="10">
        <f t="shared" si="48"/>
        <v>18.908999999999999</v>
      </c>
      <c r="BD53" s="10">
        <f t="shared" si="7"/>
        <v>18.451000000000001</v>
      </c>
      <c r="BE53" s="89"/>
      <c r="BF53" s="9">
        <f t="shared" si="54"/>
        <v>44</v>
      </c>
      <c r="BG53" s="10" t="str">
        <f t="shared" si="8"/>
        <v/>
      </c>
      <c r="BH53" s="10" t="str">
        <f t="shared" si="9"/>
        <v/>
      </c>
      <c r="BI53" s="89"/>
      <c r="BJ53" s="9">
        <f t="shared" si="76"/>
        <v>61</v>
      </c>
      <c r="BK53" s="11">
        <f t="shared" si="10"/>
        <v>8849</v>
      </c>
      <c r="BL53" s="11">
        <f>IF(BJ53&lt;RAF,SUM(BK53:INDEX(Daiy,RAF-BeginnAlter))," ")</f>
        <v>26984</v>
      </c>
      <c r="BM53" s="11">
        <f>IF(BJ53&lt;RAF,SUM(BL53:INDEX(Naiy,RAF-BeginnAlter))," ")</f>
        <v>54221</v>
      </c>
      <c r="BN53" s="10">
        <f t="shared" si="11"/>
        <v>13.813000000000001</v>
      </c>
      <c r="BO53" s="10">
        <f t="shared" si="12"/>
        <v>1.39</v>
      </c>
      <c r="BP53" s="89"/>
      <c r="BQ53" s="9">
        <f t="shared" si="77"/>
        <v>61</v>
      </c>
      <c r="BR53" s="11">
        <f t="shared" si="13"/>
        <v>1237</v>
      </c>
      <c r="BS53" s="11">
        <f>IF(BQ53&lt;RAF,SUM(BR53:INDEX(Daiys,RAF-BeginnAlter))," ")</f>
        <v>2295</v>
      </c>
      <c r="BT53" s="11">
        <f>IF(BQ53&lt;RAF,SUM(BS53:INDEX(Naiys,RAF-BeginnAlter))," ")</f>
        <v>3626</v>
      </c>
      <c r="BU53" s="10">
        <f t="shared" si="14"/>
        <v>15.085000000000001</v>
      </c>
      <c r="BV53" s="10">
        <f t="shared" si="15"/>
        <v>0.11799999999999999</v>
      </c>
      <c r="BW53" s="89"/>
      <c r="BX53" s="9">
        <f t="shared" si="78"/>
        <v>61</v>
      </c>
      <c r="BY53" s="10">
        <f t="shared" si="16"/>
        <v>4.0859692564115502</v>
      </c>
      <c r="BZ53" s="11">
        <f t="shared" si="17"/>
        <v>5</v>
      </c>
      <c r="CA53" s="11">
        <f>IF(S54&lt;=RAK,IF($BX53&lt;RAF,SUM(BZ53:INDEX(Dazy,RAF-BeginnAlter)),""),"")</f>
        <v>14</v>
      </c>
      <c r="CB53" s="10">
        <f t="shared" si="18"/>
        <v>1E-3</v>
      </c>
      <c r="CC53" s="11">
        <f t="shared" si="19"/>
        <v>20344</v>
      </c>
      <c r="CD53" s="10">
        <f t="shared" si="20"/>
        <v>15.433999999999999</v>
      </c>
      <c r="CE53" s="10">
        <f t="shared" si="21"/>
        <v>6.0000000000000001E-3</v>
      </c>
      <c r="CF53" s="89"/>
      <c r="CG53" s="9">
        <f t="shared" si="79"/>
        <v>61</v>
      </c>
      <c r="CH53" s="11">
        <f>IF(CG53&lt;RAF,ROUND(v^($CG53+FaktorAlter)*$H53*($B53*0.5*($P53+$P54)*(VLOOKUP(TRUNC(0.5*($Q53+$Q54),0),Männer!$AZ$9:$BD$95,5)+(0.5*($Q53+$Q54)-TRUNC(0.5*($Q53+$Q54),0))*(VLOOKUP(TRUNC(0.5*($Q53+$Q54)+1,0),Männer!$AZ$9:$BD$95,5)-VLOOKUP(TRUNC(0.5*($Q53+$Q54),0),Männer!$AZ$9:$BD$95,5)))+$C53*0.5*($CN53+$CN54)),RundDx),"")</f>
        <v>274</v>
      </c>
      <c r="CI53" s="11">
        <f>IF(CG53&lt;RAF,ROUND(SUM(CH53:INDEX(Dawy,RAF-BeginnAlter))+INDEX(Day,RAF-BeginnAlter+1)*INDEX(äwy,1),RundDx),"")</f>
        <v>2621</v>
      </c>
      <c r="CJ53" s="11">
        <f>IF(CG53&lt;RAF,ROUND(SUM(CI53:INDEX(Nawy,RAF-BeginnAlter))+INDEX(Day,RAF-BeginnAlter+1)*INDEX(äwy,1),RundDx),"")</f>
        <v>8973</v>
      </c>
      <c r="CK53" s="10">
        <f t="shared" si="22"/>
        <v>0.13500000000000001</v>
      </c>
      <c r="CL53" s="11">
        <f>IF(CG53&lt;RAF,ROUND(v^($CG53+FaktorAlter)*$L53*$D53*0.5*($P53+$P54)*(VLOOKUP(TRUNC(0.5*($Q53+$Q54),0),Männer!$AZ$9:$BD$95,5)+(0.5*($Q53+$Q54)-TRUNC(0.5*($Q53+$Q54),0))*(VLOOKUP(TRUNC(0.5*($Q53+$Q54)+1,0),Männer!$AZ$9:$BD$95,5)-VLOOKUP(TRUNC(0.5*($Q53+$Q54),0),Männer!$AZ$9:$BD$95,5))),RundDx),"")</f>
        <v>1269</v>
      </c>
      <c r="CM53" s="11">
        <f>IF(CG53&lt;RAF,SUM(CL53:INDEX(Diwy,RAF-BeginnAlter))+INDEX(Diy,RAF-BeginnAlter+1)*INDEX(äwy,1),"")</f>
        <v>5885.3040000000001</v>
      </c>
      <c r="CN53" s="10">
        <f t="shared" si="23"/>
        <v>0.23499999999999999</v>
      </c>
      <c r="CO53" s="89"/>
      <c r="CP53" s="9">
        <f t="shared" si="59"/>
        <v>108</v>
      </c>
      <c r="CQ53" s="11"/>
      <c r="CR53" s="11"/>
      <c r="CS53" s="10"/>
      <c r="CT53" s="89"/>
      <c r="CU53" s="35">
        <f t="shared" si="60"/>
        <v>61</v>
      </c>
      <c r="CV53" s="25">
        <f>IF($CU53&gt;=RAF,"",IF($CU53-CV$103&lt;BeginnAlter,"",ROUND(v^($CU53+FaktorAlter)*$L53*$D53*0.5*(VLOOKUP($CU53-CV$103,Männer!$G$9:$J$102,4)+VLOOKUP($CU53-CV$103+1,Männer!$G$9:$J$102,4))*0.5*(VLOOKUP($CU53-CV$103,Männer!$AZ$9:$BD$102,5)+VLOOKUP($CU53-CV$103+1,Männer!$AZ$9:$BD$102,5)),RundDx)))</f>
        <v>311040745</v>
      </c>
      <c r="CW53" s="25">
        <f>IF($CU53&gt;=RAF,"",IF($CU53-CW$103&lt;BeginnAlter,"",ROUND(v^($CU53+FaktorAlter)*$L53*$D53*0.5*(VLOOKUP($CU53-CW$103,Männer!$G$9:$J$102,4)+VLOOKUP($CU53-CW$103+1,Männer!$G$9:$J$102,4))*0.5*(VLOOKUP($CU53-CW$103,Männer!$AZ$9:$BD$102,5)+VLOOKUP($CU53-CW$103+1,Männer!$AZ$9:$BD$102,5)),RundDx)))</f>
        <v>339163870</v>
      </c>
      <c r="CX53" s="25">
        <f>IF($CU53&gt;=RAF,"",IF($CU53-CX$103&lt;BeginnAlter,"",ROUND(v^($CU53+FaktorAlter)*$L53*$D53*0.5*(VLOOKUP($CU53-CX$103,Männer!$G$9:$J$102,4)+VLOOKUP($CU53-CX$103+1,Männer!$G$9:$J$102,4))*0.5*(VLOOKUP($CU53-CX$103,Männer!$AZ$9:$BD$102,5)+VLOOKUP($CU53-CX$103+1,Männer!$AZ$9:$BD$102,5)),RundDx)))</f>
        <v>367678498</v>
      </c>
      <c r="CY53" s="25">
        <f>IF($CU53&gt;=RAF,"",IF($CU53-CY$103&lt;BeginnAlter,"",ROUND(v^($CU53+FaktorAlter)*$L53*$D53*0.5*(VLOOKUP($CU53-CY$103,Männer!$G$9:$J$102,4)+VLOOKUP($CU53-CY$103+1,Männer!$G$9:$J$102,4))*0.5*(VLOOKUP($CU53-CY$103,Männer!$AZ$9:$BD$102,5)+VLOOKUP($CU53-CY$103+1,Männer!$AZ$9:$BD$102,5)),RundDx)))</f>
        <v>396421976</v>
      </c>
      <c r="CZ53" s="25">
        <f>IF($CU53&gt;=RAF,"",IF($CU53-CZ$103&lt;BeginnAlter,"",ROUND(v^($CU53+FaktorAlter)*$L53*$D53*0.5*(VLOOKUP($CU53-CZ$103,Männer!$G$9:$J$102,4)+VLOOKUP($CU53-CZ$103+1,Männer!$G$9:$J$102,4))*0.5*(VLOOKUP($CU53-CZ$103,Männer!$AZ$9:$BD$102,5)+VLOOKUP($CU53-CZ$103+1,Männer!$AZ$9:$BD$102,5)),RundDx)))</f>
        <v>425379494</v>
      </c>
      <c r="DA53" s="25">
        <f>IF($CU53&gt;=RAF,"",IF($CU53-DA$103&lt;BeginnAlter,"",ROUND(v^($CU53+FaktorAlter)*$L53*$D53*0.5*(VLOOKUP($CU53-DA$103,Männer!$G$9:$J$102,4)+VLOOKUP($CU53-DA$103+1,Männer!$G$9:$J$102,4))*0.5*(VLOOKUP($CU53-DA$103,Männer!$AZ$9:$BD$102,5)+VLOOKUP($CU53-DA$103+1,Männer!$AZ$9:$BD$102,5)),RundDx)))</f>
        <v>454515251</v>
      </c>
      <c r="DB53" s="25">
        <f>IF($CU53&gt;=RAF,"",IF($CU53-DB$103&lt;BeginnAlter,"",ROUND(v^($CU53+FaktorAlter)*$L53*$D53*0.5*(VLOOKUP($CU53-DB$103,Männer!$G$9:$J$102,4)+VLOOKUP($CU53-DB$103+1,Männer!$G$9:$J$102,4))*0.5*(VLOOKUP($CU53-DB$103,Männer!$AZ$9:$BD$102,5)+VLOOKUP($CU53-DB$103+1,Männer!$AZ$9:$BD$102,5)),RundDx)))</f>
        <v>483691627</v>
      </c>
      <c r="DC53" s="25">
        <f>IF($CU53&gt;=RAF,"",IF($CU53-DC$103&lt;BeginnAlter,"",ROUND(v^($CU53+FaktorAlter)*$L53*$D53*0.5*(VLOOKUP($CU53-DC$103,Männer!$G$9:$J$102,4)+VLOOKUP($CU53-DC$103+1,Männer!$G$9:$J$102,4))*0.5*(VLOOKUP($CU53-DC$103,Männer!$AZ$9:$BD$102,5)+VLOOKUP($CU53-DC$103+1,Männer!$AZ$9:$BD$102,5)),RundDx)))</f>
        <v>512891158</v>
      </c>
      <c r="DD53" s="25">
        <f>IF($CU53&gt;=RAF,"",IF($CU53-DD$103&lt;BeginnAlter,"",ROUND(v^($CU53+FaktorAlter)*$L53*$D53*0.5*(VLOOKUP($CU53-DD$103,Männer!$G$9:$J$102,4)+VLOOKUP($CU53-DD$103+1,Männer!$G$9:$J$102,4))*0.5*(VLOOKUP($CU53-DD$103,Männer!$AZ$9:$BD$102,5)+VLOOKUP($CU53-DD$103+1,Männer!$AZ$9:$BD$102,5)),RundDx)))</f>
        <v>542217408</v>
      </c>
      <c r="DE53" s="25">
        <f>IF($CU53&gt;=RAF,"",IF($CU53-DE$103&lt;BeginnAlter,"",ROUND(v^($CU53+FaktorAlter)*$L53*$D53*0.5*(VLOOKUP($CU53-DE$103,Männer!$G$9:$J$102,4)+VLOOKUP($CU53-DE$103+1,Männer!$G$9:$J$102,4))*0.5*(VLOOKUP($CU53-DE$103,Männer!$AZ$9:$BD$102,5)+VLOOKUP($CU53-DE$103+1,Männer!$AZ$9:$BD$102,5)),RundDx)))</f>
        <v>571754957</v>
      </c>
      <c r="DF53" s="25">
        <f>IF($CU53&gt;=RAF,"",IF($CU53-DF$103&lt;BeginnAlter,"",ROUND(v^($CU53+FaktorAlter)*$L53*$D53*0.5*(VLOOKUP($CU53-DF$103,Männer!$G$9:$J$102,4)+VLOOKUP($CU53-DF$103+1,Männer!$G$9:$J$102,4))*0.5*(VLOOKUP($CU53-DF$103,Männer!$AZ$9:$BD$102,5)+VLOOKUP($CU53-DF$103+1,Männer!$AZ$9:$BD$102,5)),RundDx)))</f>
        <v>601430883</v>
      </c>
      <c r="DG53" s="25">
        <f>IF($CU53&gt;=RAF,"",IF($CU53-DG$103&lt;BeginnAlter,"",ROUND(v^($CU53+FaktorAlter)*$L53*$D53*0.5*(VLOOKUP($CU53-DG$103,Männer!$G$9:$J$102,4)+VLOOKUP($CU53-DG$103+1,Männer!$G$9:$J$102,4))*0.5*(VLOOKUP($CU53-DG$103,Männer!$AZ$9:$BD$102,5)+VLOOKUP($CU53-DG$103+1,Männer!$AZ$9:$BD$102,5)),RundDx)))</f>
        <v>631317466</v>
      </c>
      <c r="DH53" s="25">
        <f>IF($CU53&gt;=RAF,"",IF($CU53-DH$103&lt;BeginnAlter,"",ROUND(v^($CU53+FaktorAlter)*$L53*$D53*0.5*(VLOOKUP($CU53-DH$103,Männer!$G$9:$J$102,4)+VLOOKUP($CU53-DH$103+1,Männer!$G$9:$J$102,4))*0.5*(VLOOKUP($CU53-DH$103,Männer!$AZ$9:$BD$102,5)+VLOOKUP($CU53-DH$103+1,Männer!$AZ$9:$BD$102,5)),RundDx)))</f>
        <v>661567245</v>
      </c>
      <c r="DI53" s="25">
        <f>IF($CU53&gt;=RAF,"",IF($CU53-DI$103&lt;BeginnAlter,"",ROUND(v^($CU53+FaktorAlter)*$L53*$D53*0.5*(VLOOKUP($CU53-DI$103,Männer!$G$9:$J$102,4)+VLOOKUP($CU53-DI$103+1,Männer!$G$9:$J$102,4))*0.5*(VLOOKUP($CU53-DI$103,Männer!$AZ$9:$BD$102,5)+VLOOKUP($CU53-DI$103+1,Männer!$AZ$9:$BD$102,5)),RundDx)))</f>
        <v>692237563</v>
      </c>
      <c r="DJ53" s="25">
        <f>IF($CU53&gt;=RAF,"",IF($CU53-DJ$103&lt;BeginnAlter,"",ROUND(v^($CU53+FaktorAlter)*$L53*$D53*0.5*(VLOOKUP($CU53-DJ$103,Männer!$G$9:$J$102,4)+VLOOKUP($CU53-DJ$103+1,Männer!$G$9:$J$102,4))*0.5*(VLOOKUP($CU53-DJ$103,Männer!$AZ$9:$BD$102,5)+VLOOKUP($CU53-DJ$103+1,Männer!$AZ$9:$BD$102,5)),RundDx)))</f>
        <v>723402373</v>
      </c>
      <c r="DK53" s="25">
        <f>IF($CU53&gt;=RAF,"",IF($CU53-DK$103&lt;BeginnAlter,"",ROUND(v^($CU53+FaktorAlter)*$L53*$D53*0.5*(VLOOKUP($CU53-DK$103,Männer!$G$9:$J$102,4)+VLOOKUP($CU53-DK$103+1,Männer!$G$9:$J$102,4))*0.5*(VLOOKUP($CU53-DK$103,Männer!$AZ$9:$BD$102,5)+VLOOKUP($CU53-DK$103+1,Männer!$AZ$9:$BD$102,5)),RundDx)))</f>
        <v>755108130</v>
      </c>
      <c r="DL53" s="25">
        <f>IF($CU53&gt;=RAF,"",IF($CU53-DL$103&lt;BeginnAlter,"",ROUND(v^($CU53+FaktorAlter)*$L53*$D53*0.5*(VLOOKUP($CU53-DL$103,Männer!$G$9:$J$102,4)+VLOOKUP($CU53-DL$103+1,Männer!$G$9:$J$102,4))*0.5*(VLOOKUP($CU53-DL$103,Männer!$AZ$9:$BD$102,5)+VLOOKUP($CU53-DL$103+1,Männer!$AZ$9:$BD$102,5)),RundDx)))</f>
        <v>787380357</v>
      </c>
      <c r="DM53" s="25">
        <f>IF($CU53&gt;=RAF,"",IF($CU53-DM$103&lt;BeginnAlter,"",ROUND(v^($CU53+FaktorAlter)*$L53*$D53*0.5*(VLOOKUP($CU53-DM$103,Männer!$G$9:$J$102,4)+VLOOKUP($CU53-DM$103+1,Männer!$G$9:$J$102,4))*0.5*(VLOOKUP($CU53-DM$103,Männer!$AZ$9:$BD$102,5)+VLOOKUP($CU53-DM$103+1,Männer!$AZ$9:$BD$102,5)),RundDx)))</f>
        <v>820276720</v>
      </c>
      <c r="DN53" s="25">
        <f>IF($CU53&gt;=RAF,"",IF($CU53-DN$103&lt;BeginnAlter,"",ROUND(v^($CU53+FaktorAlter)*$L53*$D53*0.5*(VLOOKUP($CU53-DN$103,Männer!$G$9:$J$102,4)+VLOOKUP($CU53-DN$103+1,Männer!$G$9:$J$102,4))*0.5*(VLOOKUP($CU53-DN$103,Männer!$AZ$9:$BD$102,5)+VLOOKUP($CU53-DN$103+1,Männer!$AZ$9:$BD$102,5)),RundDx)))</f>
        <v>853758295</v>
      </c>
      <c r="DO53" s="25">
        <f>IF($CU53&gt;=RAF,"",IF($CU53-DO$103&lt;BeginnAlter,"",ROUND(v^($CU53+FaktorAlter)*$L53*$D53*0.5*(VLOOKUP($CU53-DO$103,Männer!$G$9:$J$102,4)+VLOOKUP($CU53-DO$103+1,Männer!$G$9:$J$102,4))*0.5*(VLOOKUP($CU53-DO$103,Männer!$AZ$9:$BD$102,5)+VLOOKUP($CU53-DO$103+1,Männer!$AZ$9:$BD$102,5)),RundDx)))</f>
        <v>887775956</v>
      </c>
      <c r="DP53" s="25">
        <f>IF($CU53&gt;=RAF,"",IF($CU53-DP$103&lt;BeginnAlter,"",ROUND(v^($CU53+FaktorAlter)*$L53*$D53*0.5*(VLOOKUP($CU53-DP$103,Männer!$G$9:$J$102,4)+VLOOKUP($CU53-DP$103+1,Männer!$G$9:$J$102,4))*0.5*(VLOOKUP($CU53-DP$103,Männer!$AZ$9:$BD$102,5)+VLOOKUP($CU53-DP$103+1,Männer!$AZ$9:$BD$102,5)),RundDx)))</f>
        <v>922320230</v>
      </c>
      <c r="DQ53" s="25">
        <f>IF($CU53&gt;=RAF,"",IF($CU53-DQ$103&lt;BeginnAlter,"",ROUND(v^($CU53+FaktorAlter)*$L53*$D53*0.5*(VLOOKUP($CU53-DQ$103,Männer!$G$9:$J$102,4)+VLOOKUP($CU53-DQ$103+1,Männer!$G$9:$J$102,4))*0.5*(VLOOKUP($CU53-DQ$103,Männer!$AZ$9:$BD$102,5)+VLOOKUP($CU53-DQ$103+1,Männer!$AZ$9:$BD$102,5)),RundDx)))</f>
        <v>956884536</v>
      </c>
      <c r="DR53" s="25">
        <f>IF($CU53&gt;=RAF,"",IF($CU53-DR$103&lt;BeginnAlter,"",ROUND(v^($CU53+FaktorAlter)*$L53*$D53*0.5*(VLOOKUP($CU53-DR$103,Männer!$G$9:$J$102,4)+VLOOKUP($CU53-DR$103+1,Männer!$G$9:$J$102,4))*0.5*(VLOOKUP($CU53-DR$103,Männer!$AZ$9:$BD$102,5)+VLOOKUP($CU53-DR$103+1,Männer!$AZ$9:$BD$102,5)),RundDx)))</f>
        <v>990928823</v>
      </c>
      <c r="DS53" s="25">
        <f>IF($CU53&gt;=RAF,"",IF($CU53-DS$103&lt;BeginnAlter,"",ROUND(v^($CU53+FaktorAlter)*$L53*$D53*0.5*(VLOOKUP($CU53-DS$103,Männer!$G$9:$J$102,4)+VLOOKUP($CU53-DS$103+1,Männer!$G$9:$J$102,4))*0.5*(VLOOKUP($CU53-DS$103,Männer!$AZ$9:$BD$102,5)+VLOOKUP($CU53-DS$103+1,Männer!$AZ$9:$BD$102,5)),RundDx)))</f>
        <v>1024458825</v>
      </c>
      <c r="DT53" s="25">
        <f>IF($CU53&gt;=RAF,"",IF($CU53-DT$103&lt;BeginnAlter,"",ROUND(v^($CU53+FaktorAlter)*$L53*$D53*0.5*(VLOOKUP($CU53-DT$103,Männer!$G$9:$J$102,4)+VLOOKUP($CU53-DT$103+1,Männer!$G$9:$J$102,4))*0.5*(VLOOKUP($CU53-DT$103,Männer!$AZ$9:$BD$102,5)+VLOOKUP($CU53-DT$103+1,Männer!$AZ$9:$BD$102,5)),RundDx)))</f>
        <v>1057479602</v>
      </c>
      <c r="DU53" s="25">
        <f>IF($CU53&gt;=RAF,"",IF($CU53-DU$103&lt;BeginnAlter,"",ROUND(v^($CU53+FaktorAlter)*$L53*$D53*0.5*(VLOOKUP($CU53-DU$103,Männer!$G$9:$J$102,4)+VLOOKUP($CU53-DU$103+1,Männer!$G$9:$J$102,4))*0.5*(VLOOKUP($CU53-DU$103,Männer!$AZ$9:$BD$102,5)+VLOOKUP($CU53-DU$103+1,Männer!$AZ$9:$BD$102,5)),RundDx)))</f>
        <v>1089931823</v>
      </c>
      <c r="DV53" s="25">
        <f>IF($CU53&gt;=RAF,"",IF($CU53-DV$103&lt;BeginnAlter,"",ROUND(v^($CU53+FaktorAlter)*$L53*$D53*0.5*(VLOOKUP($CU53-DV$103,Männer!$G$9:$J$102,4)+VLOOKUP($CU53-DV$103+1,Männer!$G$9:$J$102,4))*0.5*(VLOOKUP($CU53-DV$103,Männer!$AZ$9:$BD$102,5)+VLOOKUP($CU53-DV$103+1,Männer!$AZ$9:$BD$102,5)),RundDx)))</f>
        <v>1121819088</v>
      </c>
      <c r="DW53" s="25">
        <f>IF($CU53&gt;=RAF,"",IF($CU53-DW$103&lt;BeginnAlter,"",ROUND(v^($CU53+FaktorAlter)*$L53*$D53*0.5*(VLOOKUP($CU53-DW$103,Männer!$G$9:$J$102,4)+VLOOKUP($CU53-DW$103+1,Männer!$G$9:$J$102,4))*0.5*(VLOOKUP($CU53-DW$103,Männer!$AZ$9:$BD$102,5)+VLOOKUP($CU53-DW$103+1,Männer!$AZ$9:$BD$102,5)),RundDx)))</f>
        <v>1153190760</v>
      </c>
      <c r="DX53" s="25">
        <f>IF($CU53&gt;=RAF,"",IF($CU53-DX$103&lt;BeginnAlter,"",ROUND(v^($CU53+FaktorAlter)*$L53*$D53*0.5*(VLOOKUP($CU53-DX$103,Männer!$G$9:$J$102,4)+VLOOKUP($CU53-DX$103+1,Männer!$G$9:$J$102,4))*0.5*(VLOOKUP($CU53-DX$103,Männer!$AZ$9:$BD$102,5)+VLOOKUP($CU53-DX$103+1,Männer!$AZ$9:$BD$102,5)),RundDx)))</f>
        <v>1184026649</v>
      </c>
      <c r="DY53" s="25">
        <f>IF($CU53&gt;=RAF,"",IF($CU53-DY$103&lt;BeginnAlter,"",ROUND(v^($CU53+FaktorAlter)*$L53*$D53*0.5*(VLOOKUP($CU53-DY$103,Männer!$G$9:$J$102,4)+VLOOKUP($CU53-DY$103+1,Männer!$G$9:$J$102,4))*0.5*(VLOOKUP($CU53-DY$103,Männer!$AZ$9:$BD$102,5)+VLOOKUP($CU53-DY$103+1,Männer!$AZ$9:$BD$102,5)),RundDx)))</f>
        <v>1214293757</v>
      </c>
      <c r="DZ53" s="25">
        <f>IF($CU53&gt;=RAF,"",IF($CU53-DZ$103&lt;BeginnAlter,"",ROUND(v^($CU53+FaktorAlter)*$L53*$D53*0.5*(VLOOKUP($CU53-DZ$103,Männer!$G$9:$J$102,4)+VLOOKUP($CU53-DZ$103+1,Männer!$G$9:$J$102,4))*0.5*(VLOOKUP($CU53-DZ$103,Männer!$AZ$9:$BD$102,5)+VLOOKUP($CU53-DZ$103+1,Männer!$AZ$9:$BD$102,5)),RundDx)))</f>
        <v>1244029477</v>
      </c>
      <c r="EA53" s="43">
        <f>IF($CU53&gt;=RAF,"",IF($CU53-EA$103&lt;BeginnAlter,"",ROUND((SUM(CV53:CV$56)+SUM(FN$9:FN$56))/VLOOKUP($CU53,$AH$9:$AI$102,2)/VLOOKUP($CU53-EA$103,Männer!$G$9:$J$102,4),Rundäx)))</f>
        <v>0.89700000000000002</v>
      </c>
      <c r="EB53" s="43">
        <f>IF($CU53&gt;=RAF,"",IF($CU53-EB$103&lt;BeginnAlter,"",ROUND((SUM(CW53:CW$56)+SUM(FO$9:FO$56))/VLOOKUP($CU53,$AH$9:$AI$102,2)/VLOOKUP($CU53-EB$103,Männer!$G$9:$J$102,4),Rundäx)))</f>
        <v>0.97899999999999998</v>
      </c>
      <c r="EC53" s="43">
        <f>IF($CU53&gt;=RAF,"",IF($CU53-EC$103&lt;BeginnAlter,"",ROUND((SUM(CX53:CX$56)+SUM(FP$9:FP$56))/VLOOKUP($CU53,$AH$9:$AI$102,2)/VLOOKUP($CU53-EC$103,Männer!$G$9:$J$102,4),Rundäx)))</f>
        <v>1.0669999999999999</v>
      </c>
      <c r="ED53" s="43">
        <f>IF($CU53&gt;=RAF,"",IF($CU53-ED$103&lt;BeginnAlter,"",ROUND((SUM(CY53:CY$56)+SUM(FQ$9:FQ$56))/VLOOKUP($CU53,$AH$9:$AI$102,2)/VLOOKUP($CU53-ED$103,Männer!$G$9:$J$102,4),Rundäx)))</f>
        <v>1.1599999999999999</v>
      </c>
      <c r="EE53" s="43">
        <f>IF($CU53&gt;=RAF,"",IF($CU53-EE$103&lt;BeginnAlter,"",ROUND((SUM(CZ53:CZ$56)+SUM(FR$9:FR$56))/VLOOKUP($CU53,$AH$9:$AI$102,2)/VLOOKUP($CU53-EE$103,Männer!$G$9:$J$102,4),Rundäx)))</f>
        <v>1.2589999999999999</v>
      </c>
      <c r="EF53" s="43">
        <f>IF($CU53&gt;=RAF,"",IF($CU53-EF$103&lt;BeginnAlter,"",ROUND((SUM(DA53:DA$56)+SUM(FS$9:FS$56))/VLOOKUP($CU53,$AH$9:$AI$102,2)/VLOOKUP($CU53-EF$103,Männer!$G$9:$J$102,4),Rundäx)))</f>
        <v>1.365</v>
      </c>
      <c r="EG53" s="43">
        <f>IF($CU53&gt;=RAF,"",IF($CU53-EG$103&lt;BeginnAlter,"",ROUND((SUM(DB53:DB$56)+SUM(FT$9:FT$56))/VLOOKUP($CU53,$AH$9:$AI$102,2)/VLOOKUP($CU53-EG$103,Männer!$G$9:$J$102,4),Rundäx)))</f>
        <v>1.4770000000000001</v>
      </c>
      <c r="EH53" s="43">
        <f>IF($CU53&gt;=RAF,"",IF($CU53-EH$103&lt;BeginnAlter,"",ROUND((SUM(DC53:DC$56)+SUM(FU$9:FU$56))/VLOOKUP($CU53,$AH$9:$AI$102,2)/VLOOKUP($CU53-EH$103,Männer!$G$9:$J$102,4),Rundäx)))</f>
        <v>1.597</v>
      </c>
      <c r="EI53" s="89"/>
      <c r="EJ53" s="35">
        <f t="shared" si="61"/>
        <v>61</v>
      </c>
      <c r="EK53" s="43">
        <f>IF($CU53&gt;=RAF,"",IF($CU53-EK$103&lt;BeginnAlter,"",ROUND((SUM(DD53:DD$56)+SUM(FV$9:FV$56))/VLOOKUP($CU53,$AH$9:$AI$102,2)/VLOOKUP($CU53-EK$103,Männer!$G$9:$J$102,4),Rundäx)))</f>
        <v>1.724</v>
      </c>
      <c r="EL53" s="43">
        <f>IF($CU53&gt;=RAF,"",IF($CU53-EL$103&lt;BeginnAlter,"",ROUND((SUM(DE53:DE$56)+SUM(FW$9:FW$56))/VLOOKUP($CU53,$AH$9:$AI$102,2)/VLOOKUP($CU53-EL$103,Männer!$G$9:$J$102,4),Rundäx)))</f>
        <v>1.859</v>
      </c>
      <c r="EM53" s="43">
        <f>IF($CU53&gt;=RAF,"",IF($CU53-EM$103&lt;BeginnAlter,"",ROUND((SUM(DF53:DF$56)+SUM(FX$9:FX$56))/VLOOKUP($CU53,$AH$9:$AI$102,2)/VLOOKUP($CU53-EM$103,Männer!$G$9:$J$102,4),Rundäx)))</f>
        <v>2.0030000000000001</v>
      </c>
      <c r="EN53" s="43">
        <f>IF($CU53&gt;=RAF,"",IF($CU53-EN$103&lt;BeginnAlter,"",ROUND((SUM(DG53:DG$56)+SUM(FY$9:FY$56))/VLOOKUP($CU53,$AH$9:$AI$102,2)/VLOOKUP($CU53-EN$103,Männer!$G$9:$J$102,4),Rundäx)))</f>
        <v>2.1549999999999998</v>
      </c>
      <c r="EO53" s="43">
        <f>IF($CU53&gt;=RAF,"",IF($CU53-EO$103&lt;BeginnAlter,"",ROUND((SUM(DH53:DH$56)+SUM(FZ$9:FZ$56))/VLOOKUP($CU53,$AH$9:$AI$102,2)/VLOOKUP($CU53-EO$103,Männer!$G$9:$J$102,4),Rundäx)))</f>
        <v>2.3170000000000002</v>
      </c>
      <c r="EP53" s="43">
        <f>IF($CU53&gt;=RAF,"",IF($CU53-EP$103&lt;BeginnAlter,"",ROUND((SUM(DI53:DI$56)+SUM(GA$9:GA$56))/VLOOKUP($CU53,$AH$9:$AI$102,2)/VLOOKUP($CU53-EP$103,Männer!$G$9:$J$102,4),Rundäx)))</f>
        <v>2.4889999999999999</v>
      </c>
      <c r="EQ53" s="43">
        <f>IF($CU53&gt;=RAF,"",IF($CU53-EQ$103&lt;BeginnAlter,"",ROUND((SUM(DJ53:DJ$56)+SUM(GB$9:GB$56))/VLOOKUP($CU53,$AH$9:$AI$102,2)/VLOOKUP($CU53-EQ$103,Männer!$G$9:$J$102,4),Rundäx)))</f>
        <v>2.6720000000000002</v>
      </c>
      <c r="ER53" s="43">
        <f>IF($CU53&gt;=RAF,"",IF($CU53-ER$103&lt;BeginnAlter,"",ROUND((SUM(DK53:DK$56)+SUM(GC$9:GC$56))/VLOOKUP($CU53,$AH$9:$AI$102,2)/VLOOKUP($CU53-ER$103,Männer!$G$9:$J$102,4),Rundäx)))</f>
        <v>2.8650000000000002</v>
      </c>
      <c r="ES53" s="89"/>
      <c r="ET53" s="35">
        <f t="shared" si="62"/>
        <v>61</v>
      </c>
      <c r="EU53" s="43">
        <f>IF($CU53&gt;=RAF,"",IF($CU53-EU$103&lt;BeginnAlter,"",ROUND((SUM(DL53:DL$56)+SUM(GD$9:GD$56))/VLOOKUP($CU53,$AH$9:$AI$102,2)/VLOOKUP($CU53-EU$103,Männer!$G$9:$J$102,4),Rundäx)))</f>
        <v>3.069</v>
      </c>
      <c r="EV53" s="43">
        <f>IF($CU53&gt;=RAF,"",IF($CU53-EV$103&lt;BeginnAlter,"",ROUND((SUM(DM53:DM$56)+SUM(GE$9:GE$56))/VLOOKUP($CU53,$AH$9:$AI$102,2)/VLOOKUP($CU53-EV$103,Männer!$G$9:$J$102,4),Rundäx)))</f>
        <v>3.2839999999999998</v>
      </c>
      <c r="EW53" s="43">
        <f>IF($CU53&gt;=RAF,"",IF($CU53-EW$103&lt;BeginnAlter,"",ROUND((SUM(DN53:DN$56)+SUM(GF$9:GF$56))/VLOOKUP($CU53,$AH$9:$AI$102,2)/VLOOKUP($CU53-EW$103,Männer!$G$9:$J$102,4),Rundäx)))</f>
        <v>3.51</v>
      </c>
      <c r="EX53" s="43">
        <f>IF($CU53&gt;=RAF,"",IF($CU53-EX$103&lt;BeginnAlter,"",ROUND((SUM(DO53:DO$56)+SUM(GG$9:GG$56))/VLOOKUP($CU53,$AH$9:$AI$102,2)/VLOOKUP($CU53-EX$103,Männer!$G$9:$J$102,4),Rundäx)))</f>
        <v>3.7469999999999999</v>
      </c>
      <c r="EY53" s="43">
        <f>IF($CU53&gt;=RAF,"",IF($CU53-EY$103&lt;BeginnAlter,"",ROUND((SUM(DP53:DP$56)+SUM(GH$9:GH$56))/VLOOKUP($CU53,$AH$9:$AI$102,2)/VLOOKUP($CU53-EY$103,Männer!$G$9:$J$102,4),Rundäx)))</f>
        <v>3.9940000000000002</v>
      </c>
      <c r="EZ53" s="43">
        <f>IF($CU53&gt;=RAF,"",IF($CU53-EZ$103&lt;BeginnAlter,"",ROUND((SUM(DQ53:DQ$56)+SUM(GI$9:GI$56))/VLOOKUP($CU53,$AH$9:$AI$102,2)/VLOOKUP($CU53-EZ$103,Männer!$G$9:$J$102,4),Rundäx)))</f>
        <v>4.2510000000000003</v>
      </c>
      <c r="FA53" s="43">
        <f>IF($CU53&gt;=RAF,"",IF($CU53-FA$103&lt;BeginnAlter,"",ROUND((SUM(DR53:DR$56)+SUM(GJ$9:GJ$56))/VLOOKUP($CU53,$AH$9:$AI$102,2)/VLOOKUP($CU53-FA$103,Männer!$G$9:$J$102,4),Rundäx)))</f>
        <v>4.5170000000000003</v>
      </c>
      <c r="FB53" s="43">
        <f>IF($CU53&gt;=RAF,"",IF($CU53-FB$103&lt;BeginnAlter,"",ROUND((SUM(DS53:DS$56)+SUM(GK$9:GK$56))/VLOOKUP($CU53,$AH$9:$AI$102,2)/VLOOKUP($CU53-FB$103,Männer!$G$9:$J$102,4),Rundäx)))</f>
        <v>4.7910000000000004</v>
      </c>
      <c r="FC53" s="89"/>
      <c r="FD53" s="35">
        <f t="shared" si="63"/>
        <v>61</v>
      </c>
      <c r="FE53" s="43">
        <f>IF($CU53&gt;=RAF,"",IF($CU53-FE$103&lt;BeginnAlter,"",ROUND((SUM(DT53:DT$56)+SUM(GL$9:GL$56))/VLOOKUP($CU53,$AH$9:$AI$102,2)/VLOOKUP($CU53-FE$103,Männer!$G$9:$J$102,4),Rundäx)))</f>
        <v>5.0720000000000001</v>
      </c>
      <c r="FF53" s="43">
        <f>IF($CU53&gt;=RAF,"",IF($CU53-FF$103&lt;BeginnAlter,"",ROUND((SUM(DU53:DU$56)+SUM(GM$9:GM$56))/VLOOKUP($CU53,$AH$9:$AI$102,2)/VLOOKUP($CU53-FF$103,Männer!$G$9:$J$102,4),Rundäx)))</f>
        <v>5.3579999999999997</v>
      </c>
      <c r="FG53" s="43">
        <f>IF($CU53&gt;=RAF,"",IF($CU53-FG$103&lt;BeginnAlter,"",ROUND((SUM(DV53:DV$56)+SUM(GN$9:GN$56))/VLOOKUP($CU53,$AH$9:$AI$102,2)/VLOOKUP($CU53-FG$103,Männer!$G$9:$J$102,4),Rundäx)))</f>
        <v>5.65</v>
      </c>
      <c r="FH53" s="43">
        <f>IF($CU53&gt;=RAF,"",IF($CU53-FH$103&lt;BeginnAlter,"",ROUND((SUM(DW53:DW$56)+SUM(GO$9:GO$56))/VLOOKUP($CU53,$AH$9:$AI$102,2)/VLOOKUP($CU53-FH$103,Männer!$G$9:$J$102,4),Rundäx)))</f>
        <v>5.9459999999999997</v>
      </c>
      <c r="FI53" s="43">
        <f>IF($CU53&gt;=RAF,"",IF($CU53-FI$103&lt;BeginnAlter,"",ROUND((SUM(DX53:DX$56)+SUM(GP$9:GP$56))/VLOOKUP($CU53,$AH$9:$AI$102,2)/VLOOKUP($CU53-FI$103,Männer!$G$9:$J$102,4),Rundäx)))</f>
        <v>6.2460000000000004</v>
      </c>
      <c r="FJ53" s="43">
        <f>IF($CU53&gt;=RAF,"",IF($CU53-FJ$103&lt;BeginnAlter,"",ROUND((SUM(DY53:DY$56)+SUM(GQ$9:GQ$56))/VLOOKUP($CU53,$AH$9:$AI$102,2)/VLOOKUP($CU53-FJ$103,Männer!$G$9:$J$102,4),Rundäx)))</f>
        <v>6.5490000000000004</v>
      </c>
      <c r="FK53" s="43">
        <f>IF($CU53&gt;=RAF,"",IF($CU53-FK$103&lt;BeginnAlter,"",ROUND((SUM(DZ53:DZ$56)+SUM(GR$9:GR$56))/VLOOKUP($CU53,$AH$9:$AI$102,2)/VLOOKUP($CU53-FK$103,Männer!$G$9:$J$102,4),Rundäx)))</f>
        <v>6.8550000000000004</v>
      </c>
      <c r="FL53" s="89"/>
      <c r="FM53" s="35">
        <f t="shared" si="64"/>
        <v>108</v>
      </c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4"/>
      <c r="GT53" s="24"/>
      <c r="GU53" s="24"/>
      <c r="GV53" s="24"/>
      <c r="GW53" s="24"/>
      <c r="GX53" s="24"/>
      <c r="GY53" s="24"/>
      <c r="GZ53" s="24"/>
      <c r="HA53" s="89"/>
      <c r="HB53" s="35">
        <f t="shared" si="65"/>
        <v>108</v>
      </c>
      <c r="HC53" s="24"/>
      <c r="HD53" s="24"/>
      <c r="HE53" s="24"/>
      <c r="HF53" s="24"/>
      <c r="HG53" s="24"/>
      <c r="HH53" s="24"/>
      <c r="HI53" s="24"/>
      <c r="HJ53" s="24"/>
      <c r="HK53" s="89"/>
      <c r="HL53" s="35">
        <f t="shared" si="66"/>
        <v>108</v>
      </c>
      <c r="HM53" s="24"/>
      <c r="HN53" s="24"/>
      <c r="HO53" s="24"/>
      <c r="HP53" s="24"/>
      <c r="HQ53" s="24"/>
      <c r="HR53" s="24"/>
      <c r="HS53" s="24"/>
      <c r="HT53" s="24"/>
      <c r="HU53" s="89"/>
      <c r="HV53" s="35">
        <f t="shared" si="67"/>
        <v>108</v>
      </c>
      <c r="HW53" s="24"/>
      <c r="HX53" s="24"/>
      <c r="HY53" s="24"/>
      <c r="HZ53" s="24"/>
      <c r="IA53" s="24"/>
      <c r="IB53" s="24"/>
      <c r="IC53" s="24"/>
      <c r="ID53" s="89"/>
      <c r="IE53" s="9">
        <f t="shared" si="80"/>
        <v>61</v>
      </c>
      <c r="IF53" s="11">
        <f t="shared" si="25"/>
        <v>1</v>
      </c>
      <c r="IG53" s="11">
        <f>IF($IE53&lt;RAF,IF(S54&lt;=RAK,ROUND(SUM(IF53:INDEX(Daky,RAF-BeginnAlter))+INDEX(Day,RAF-BeginnAlter+1)*INDEX(äky,1),RundDx),0),"")</f>
        <v>3</v>
      </c>
      <c r="IH53" s="11">
        <f>IF($IE53&lt;RAF,IF(S54&lt;=RAK,ROUND(SUM(IG53:INDEX(Naky,RAF-BeginnAlter))+INDEX(Day,RAF-BeginnAlter+1)*INDEX(äky,1),RundDx),0),"")</f>
        <v>6</v>
      </c>
      <c r="II53" s="10">
        <f t="shared" si="26"/>
        <v>0</v>
      </c>
      <c r="IJ53" s="11">
        <f t="shared" si="27"/>
        <v>7</v>
      </c>
      <c r="IK53" s="11">
        <f>IF($IE53&lt;RAF,IF(S54&lt;=RAK,SUM(IJ53:INDEX(Diky,RAF-BeginnAlter))+INDEX(Diy,RAF-BeginnAlter+1)*INDEX(äky,1),0),"")</f>
        <v>18</v>
      </c>
      <c r="IL53" s="10">
        <f t="shared" si="28"/>
        <v>1E-3</v>
      </c>
      <c r="IM53" s="89"/>
      <c r="IN53" s="9">
        <f t="shared" si="29"/>
        <v>108</v>
      </c>
      <c r="IO53" s="11"/>
      <c r="IP53" s="11"/>
      <c r="IQ53" s="10"/>
      <c r="IR53" s="86"/>
    </row>
    <row r="54" spans="1:252" ht="15.75" customHeight="1" x14ac:dyDescent="0.25">
      <c r="A54" s="9">
        <f t="shared" si="69"/>
        <v>62</v>
      </c>
      <c r="B54" s="93">
        <v>4.2162279999999998E-3</v>
      </c>
      <c r="C54" s="93">
        <v>2.9736228E-2</v>
      </c>
      <c r="D54" s="93">
        <v>2.4500000000000001E-2</v>
      </c>
      <c r="E54" s="93">
        <v>8.6747616614668566E-3</v>
      </c>
      <c r="F54" s="89"/>
      <c r="G54" s="9">
        <f t="shared" si="70"/>
        <v>62</v>
      </c>
      <c r="H54" s="11">
        <f t="shared" si="30"/>
        <v>73086</v>
      </c>
      <c r="I54" s="25">
        <f t="shared" si="31"/>
        <v>18905</v>
      </c>
      <c r="J54" s="25">
        <f t="shared" si="32"/>
        <v>91991</v>
      </c>
      <c r="K54" s="30">
        <f>IF(J54&gt;0,ROUND(SUM(J54:J$102)/J54-0.5,Rundex),"")</f>
        <v>22.75</v>
      </c>
      <c r="L54" s="25">
        <f t="shared" si="6"/>
        <v>95003</v>
      </c>
      <c r="M54" s="30">
        <f>IF(L54&gt;0,ROUND(SUM(L54:L$102)/L54-0.5,Rundex),"")</f>
        <v>22.06</v>
      </c>
      <c r="N54" s="89"/>
      <c r="O54" s="9">
        <f t="shared" si="71"/>
        <v>62</v>
      </c>
      <c r="P54" s="94">
        <v>0.15529166133119432</v>
      </c>
      <c r="Q54" s="95">
        <v>63.830523978728451</v>
      </c>
      <c r="R54" s="94">
        <v>2.2510423383464142E-3</v>
      </c>
      <c r="S54" s="95">
        <v>20.079999999999998</v>
      </c>
      <c r="T54" s="28">
        <v>7.3114437688319945E-3</v>
      </c>
      <c r="U54" s="11">
        <f t="shared" si="33"/>
        <v>93032</v>
      </c>
      <c r="V54" s="30">
        <f>IF(U54&gt;0,ROUND(SUM(U54:U$102)/U54-0.5,Rundex),"")</f>
        <v>23.77</v>
      </c>
      <c r="W54" s="89"/>
      <c r="X54" s="9">
        <f t="shared" si="72"/>
        <v>62</v>
      </c>
      <c r="Y54" s="11">
        <f t="shared" si="34"/>
        <v>18395</v>
      </c>
      <c r="Z54" s="11">
        <f>IF($X54&lt;RAF,SUM(Y54:INDEX(Day,RAF-BeginnAlter))," ")</f>
        <v>35775</v>
      </c>
      <c r="AA54" s="11">
        <f t="shared" si="0"/>
        <v>77</v>
      </c>
      <c r="AB54" s="11">
        <f>IF($X54&lt;RAF,SUM(AA54:INDEX(Cay,RAF-BeginnAlter))," ")</f>
        <v>155</v>
      </c>
      <c r="AC54" s="11">
        <f t="shared" si="1"/>
        <v>541</v>
      </c>
      <c r="AD54" s="11">
        <f>IF($X54&lt;RAF,SUM(AC54:INDEX(Caiy,RAF-BeginnAlter))," ")</f>
        <v>1093</v>
      </c>
      <c r="AE54" s="10">
        <f t="shared" si="35"/>
        <v>1.9450000000000001</v>
      </c>
      <c r="AF54" s="10">
        <f t="shared" si="36"/>
        <v>1.895</v>
      </c>
      <c r="AG54" s="89"/>
      <c r="AH54" s="9">
        <f t="shared" si="73"/>
        <v>62</v>
      </c>
      <c r="AI54" s="11">
        <f t="shared" si="37"/>
        <v>23912</v>
      </c>
      <c r="AJ54" s="11">
        <f>IF($AH54&gt;RAF," ",IF($AH54&lt;RAF,SUM(AI54:INDEX(Diy,RAF-BeginnAlter))+INDEX(Ny,RAF-BeginnAlter+1),INDEX(Ny,RAF-BeginnAlter+1)))</f>
        <v>412819</v>
      </c>
      <c r="AK54" s="11">
        <f>IF($AH54&lt;RAF,SUM(AI54:INDEX(Diy,RAF-BeginnAlter))," ")</f>
        <v>46725</v>
      </c>
      <c r="AL54" s="10">
        <f t="shared" si="38"/>
        <v>17.263999999999999</v>
      </c>
      <c r="AM54" s="10">
        <f t="shared" si="39"/>
        <v>16.806000000000001</v>
      </c>
      <c r="AN54" s="10">
        <f t="shared" si="40"/>
        <v>1.954</v>
      </c>
      <c r="AO54" s="10">
        <f t="shared" si="41"/>
        <v>1.9119999999999999</v>
      </c>
      <c r="AP54" s="89"/>
      <c r="AQ54" s="9">
        <f t="shared" si="74"/>
        <v>62</v>
      </c>
      <c r="AR54" s="11">
        <f t="shared" si="42"/>
        <v>23154</v>
      </c>
      <c r="AS54" s="11">
        <f>SUM(AR54:AR$96)</f>
        <v>411696</v>
      </c>
      <c r="AT54" s="25">
        <f>IF($AQ54&lt;RAF,SUM(AR54:INDEX(Dy,RAF-BeginnAlter))," ")</f>
        <v>45602</v>
      </c>
      <c r="AU54" s="24">
        <f t="shared" si="43"/>
        <v>17.780999999999999</v>
      </c>
      <c r="AV54" s="24">
        <f t="shared" si="44"/>
        <v>17.321999999999999</v>
      </c>
      <c r="AW54" s="24">
        <f t="shared" si="45"/>
        <v>1.97</v>
      </c>
      <c r="AX54" s="24">
        <f t="shared" si="46"/>
        <v>1.9419999999999999</v>
      </c>
      <c r="AY54" s="89"/>
      <c r="AZ54" s="9">
        <f t="shared" si="75"/>
        <v>62</v>
      </c>
      <c r="BA54" s="11">
        <f t="shared" si="47"/>
        <v>23416</v>
      </c>
      <c r="BB54" s="11">
        <f>SUM(BA54:BA$96)</f>
        <v>431734</v>
      </c>
      <c r="BC54" s="10">
        <f t="shared" si="48"/>
        <v>18.437999999999999</v>
      </c>
      <c r="BD54" s="10">
        <f t="shared" si="7"/>
        <v>17.978999999999999</v>
      </c>
      <c r="BE54" s="89"/>
      <c r="BF54" s="9">
        <f t="shared" si="54"/>
        <v>45</v>
      </c>
      <c r="BG54" s="10" t="str">
        <f t="shared" si="8"/>
        <v/>
      </c>
      <c r="BH54" s="10" t="str">
        <f t="shared" si="9"/>
        <v/>
      </c>
      <c r="BI54" s="89"/>
      <c r="BJ54" s="9">
        <f t="shared" si="76"/>
        <v>62</v>
      </c>
      <c r="BK54" s="11">
        <f t="shared" si="10"/>
        <v>9033</v>
      </c>
      <c r="BL54" s="11">
        <f>IF(BJ54&lt;RAF,SUM(BK54:INDEX(Daiy,RAF-BeginnAlter))," ")</f>
        <v>18135</v>
      </c>
      <c r="BM54" s="11">
        <f>IF(BJ54&lt;RAF,SUM(BL54:INDEX(Naiy,RAF-BeginnAlter))," ")</f>
        <v>27237</v>
      </c>
      <c r="BN54" s="10">
        <f t="shared" si="11"/>
        <v>14.579000000000001</v>
      </c>
      <c r="BO54" s="10">
        <f t="shared" si="12"/>
        <v>0.98599999999999999</v>
      </c>
      <c r="BP54" s="89"/>
      <c r="BQ54" s="9">
        <f t="shared" si="77"/>
        <v>62</v>
      </c>
      <c r="BR54" s="11">
        <f t="shared" si="13"/>
        <v>785</v>
      </c>
      <c r="BS54" s="11">
        <f>IF(BQ54&lt;RAF,SUM(BR54:INDEX(Daiys,RAF-BeginnAlter))," ")</f>
        <v>1058</v>
      </c>
      <c r="BT54" s="11">
        <f>IF(BQ54&lt;RAF,SUM(BS54:INDEX(Naiys,RAF-BeginnAlter))," ")</f>
        <v>1331</v>
      </c>
      <c r="BU54" s="10">
        <f t="shared" si="14"/>
        <v>15.507</v>
      </c>
      <c r="BV54" s="10">
        <f t="shared" si="15"/>
        <v>5.8000000000000003E-2</v>
      </c>
      <c r="BW54" s="89"/>
      <c r="BX54" s="9">
        <f t="shared" si="78"/>
        <v>62</v>
      </c>
      <c r="BY54" s="10">
        <f t="shared" si="16"/>
        <v>4.1126588706902627</v>
      </c>
      <c r="BZ54" s="11">
        <f t="shared" si="17"/>
        <v>5</v>
      </c>
      <c r="CA54" s="11">
        <f>IF(S55&lt;=RAK,IF($BX54&lt;RAF,SUM(BZ54:INDEX(Dazy,RAF-BeginnAlter)),""),"")</f>
        <v>9</v>
      </c>
      <c r="CB54" s="10">
        <f t="shared" si="18"/>
        <v>0</v>
      </c>
      <c r="CC54" s="11">
        <f t="shared" si="19"/>
        <v>19711</v>
      </c>
      <c r="CD54" s="10">
        <f t="shared" si="20"/>
        <v>14.993</v>
      </c>
      <c r="CE54" s="10">
        <f t="shared" si="21"/>
        <v>7.0000000000000001E-3</v>
      </c>
      <c r="CF54" s="89"/>
      <c r="CG54" s="9">
        <f t="shared" si="79"/>
        <v>62</v>
      </c>
      <c r="CH54" s="11">
        <f>IF(CG54&lt;RAF,ROUND(v^($CG54+FaktorAlter)*$H54*($B54*0.5*($P54+$P55)*(VLOOKUP(TRUNC(0.5*($Q54+$Q55),0),Männer!$AZ$9:$BD$95,5)+(0.5*($Q54+$Q55)-TRUNC(0.5*($Q54+$Q55),0))*(VLOOKUP(TRUNC(0.5*($Q54+$Q55)+1,0),Männer!$AZ$9:$BD$95,5)-VLOOKUP(TRUNC(0.5*($Q54+$Q55),0),Männer!$AZ$9:$BD$95,5)))+$C54*0.5*($CN54+$CN55)),RundDx),"")</f>
        <v>241</v>
      </c>
      <c r="CI54" s="11">
        <f>IF(CG54&lt;RAF,ROUND(SUM(CH54:INDEX(Dawy,RAF-BeginnAlter))+INDEX(Day,RAF-BeginnAlter+1)*INDEX(äwy,1),RundDx),"")</f>
        <v>2347</v>
      </c>
      <c r="CJ54" s="11">
        <f>IF(CG54&lt;RAF,ROUND(SUM(CI54:INDEX(Nawy,RAF-BeginnAlter))+INDEX(Day,RAF-BeginnAlter+1)*INDEX(äwy,1),RundDx),"")</f>
        <v>6352</v>
      </c>
      <c r="CK54" s="10">
        <f t="shared" si="22"/>
        <v>0.128</v>
      </c>
      <c r="CL54" s="11">
        <f>IF(CG54&lt;RAF,ROUND(v^($CG54+FaktorAlter)*$L54*$D54*0.5*($P54+$P55)*(VLOOKUP(TRUNC(0.5*($Q54+$Q55),0),Männer!$AZ$9:$BD$95,5)+(0.5*($Q54+$Q55)-TRUNC(0.5*($Q54+$Q55),0))*(VLOOKUP(TRUNC(0.5*($Q54+$Q55)+1,0),Männer!$AZ$9:$BD$95,5)-VLOOKUP(TRUNC(0.5*($Q54+$Q55),0),Männer!$AZ$9:$BD$95,5))),RundDx),"")</f>
        <v>1116</v>
      </c>
      <c r="CM54" s="11">
        <f>IF(CG54&lt;RAF,SUM(CL54:INDEX(Diwy,RAF-BeginnAlter))+INDEX(Diy,RAF-BeginnAlter+1)*INDEX(äwy,1),"")</f>
        <v>4616.3040000000001</v>
      </c>
      <c r="CN54" s="10">
        <f t="shared" si="23"/>
        <v>0.193</v>
      </c>
      <c r="CO54" s="89"/>
      <c r="CP54" s="9">
        <f t="shared" si="59"/>
        <v>109</v>
      </c>
      <c r="CQ54" s="11"/>
      <c r="CR54" s="11"/>
      <c r="CS54" s="10"/>
      <c r="CT54" s="89"/>
      <c r="CU54" s="35">
        <f t="shared" si="60"/>
        <v>62</v>
      </c>
      <c r="CV54" s="25">
        <f>IF($CU54&gt;=RAF,"",IF($CU54-CV$103&lt;BeginnAlter,"",ROUND(v^($CU54+FaktorAlter)*$L54*$D54*0.5*(VLOOKUP($CU54-CV$103,Männer!$G$9:$J$102,4)+VLOOKUP($CU54-CV$103+1,Männer!$G$9:$J$102,4))*0.5*(VLOOKUP($CU54-CV$103,Männer!$AZ$9:$BD$102,5)+VLOOKUP($CU54-CV$103+1,Männer!$AZ$9:$BD$102,5)),RundDx)))</f>
        <v>279769521</v>
      </c>
      <c r="CW54" s="25">
        <f>IF($CU54&gt;=RAF,"",IF($CU54-CW$103&lt;BeginnAlter,"",ROUND(v^($CU54+FaktorAlter)*$L54*$D54*0.5*(VLOOKUP($CU54-CW$103,Männer!$G$9:$J$102,4)+VLOOKUP($CU54-CW$103+1,Männer!$G$9:$J$102,4))*0.5*(VLOOKUP($CU54-CW$103,Männer!$AZ$9:$BD$102,5)+VLOOKUP($CU54-CW$103+1,Männer!$AZ$9:$BD$102,5)),RundDx)))</f>
        <v>307012470</v>
      </c>
      <c r="CX54" s="25">
        <f>IF($CU54&gt;=RAF,"",IF($CU54-CX$103&lt;BeginnAlter,"",ROUND(v^($CU54+FaktorAlter)*$L54*$D54*0.5*(VLOOKUP($CU54-CX$103,Männer!$G$9:$J$102,4)+VLOOKUP($CU54-CX$103+1,Männer!$G$9:$J$102,4))*0.5*(VLOOKUP($CU54-CX$103,Männer!$AZ$9:$BD$102,5)+VLOOKUP($CU54-CX$103+1,Männer!$AZ$9:$BD$102,5)),RundDx)))</f>
        <v>334771373</v>
      </c>
      <c r="CY54" s="25">
        <f>IF($CU54&gt;=RAF,"",IF($CU54-CY$103&lt;BeginnAlter,"",ROUND(v^($CU54+FaktorAlter)*$L54*$D54*0.5*(VLOOKUP($CU54-CY$103,Männer!$G$9:$J$102,4)+VLOOKUP($CU54-CY$103+1,Männer!$G$9:$J$102,4))*0.5*(VLOOKUP($CU54-CY$103,Männer!$AZ$9:$BD$102,5)+VLOOKUP($CU54-CY$103+1,Männer!$AZ$9:$BD$102,5)),RundDx)))</f>
        <v>362916710</v>
      </c>
      <c r="CZ54" s="25">
        <f>IF($CU54&gt;=RAF,"",IF($CU54-CZ$103&lt;BeginnAlter,"",ROUND(v^($CU54+FaktorAlter)*$L54*$D54*0.5*(VLOOKUP($CU54-CZ$103,Männer!$G$9:$J$102,4)+VLOOKUP($CU54-CZ$103+1,Männer!$G$9:$J$102,4))*0.5*(VLOOKUP($CU54-CZ$103,Männer!$AZ$9:$BD$102,5)+VLOOKUP($CU54-CZ$103+1,Männer!$AZ$9:$BD$102,5)),RundDx)))</f>
        <v>391287932</v>
      </c>
      <c r="DA54" s="25">
        <f>IF($CU54&gt;=RAF,"",IF($CU54-DA$103&lt;BeginnAlter,"",ROUND(v^($CU54+FaktorAlter)*$L54*$D54*0.5*(VLOOKUP($CU54-DA$103,Männer!$G$9:$J$102,4)+VLOOKUP($CU54-DA$103+1,Männer!$G$9:$J$102,4))*0.5*(VLOOKUP($CU54-DA$103,Männer!$AZ$9:$BD$102,5)+VLOOKUP($CU54-DA$103+1,Männer!$AZ$9:$BD$102,5)),RundDx)))</f>
        <v>419870423</v>
      </c>
      <c r="DB54" s="25">
        <f>IF($CU54&gt;=RAF,"",IF($CU54-DB$103&lt;BeginnAlter,"",ROUND(v^($CU54+FaktorAlter)*$L54*$D54*0.5*(VLOOKUP($CU54-DB$103,Männer!$G$9:$J$102,4)+VLOOKUP($CU54-DB$103+1,Männer!$G$9:$J$102,4))*0.5*(VLOOKUP($CU54-DB$103,Männer!$AZ$9:$BD$102,5)+VLOOKUP($CU54-DB$103+1,Männer!$AZ$9:$BD$102,5)),RundDx)))</f>
        <v>448628844</v>
      </c>
      <c r="DC54" s="25">
        <f>IF($CU54&gt;=RAF,"",IF($CU54-DC$103&lt;BeginnAlter,"",ROUND(v^($CU54+FaktorAlter)*$L54*$D54*0.5*(VLOOKUP($CU54-DC$103,Männer!$G$9:$J$102,4)+VLOOKUP($CU54-DC$103+1,Männer!$G$9:$J$102,4))*0.5*(VLOOKUP($CU54-DC$103,Männer!$AZ$9:$BD$102,5)+VLOOKUP($CU54-DC$103+1,Männer!$AZ$9:$BD$102,5)),RundDx)))</f>
        <v>477427358</v>
      </c>
      <c r="DD54" s="25">
        <f>IF($CU54&gt;=RAF,"",IF($CU54-DD$103&lt;BeginnAlter,"",ROUND(v^($CU54+FaktorAlter)*$L54*$D54*0.5*(VLOOKUP($CU54-DD$103,Männer!$G$9:$J$102,4)+VLOOKUP($CU54-DD$103+1,Männer!$G$9:$J$102,4))*0.5*(VLOOKUP($CU54-DD$103,Männer!$AZ$9:$BD$102,5)+VLOOKUP($CU54-DD$103+1,Männer!$AZ$9:$BD$102,5)),RundDx)))</f>
        <v>506248727</v>
      </c>
      <c r="DE54" s="25">
        <f>IF($CU54&gt;=RAF,"",IF($CU54-DE$103&lt;BeginnAlter,"",ROUND(v^($CU54+FaktorAlter)*$L54*$D54*0.5*(VLOOKUP($CU54-DE$103,Männer!$G$9:$J$102,4)+VLOOKUP($CU54-DE$103+1,Männer!$G$9:$J$102,4))*0.5*(VLOOKUP($CU54-DE$103,Männer!$AZ$9:$BD$102,5)+VLOOKUP($CU54-DE$103+1,Männer!$AZ$9:$BD$102,5)),RundDx)))</f>
        <v>535195173</v>
      </c>
      <c r="DF54" s="25">
        <f>IF($CU54&gt;=RAF,"",IF($CU54-DF$103&lt;BeginnAlter,"",ROUND(v^($CU54+FaktorAlter)*$L54*$D54*0.5*(VLOOKUP($CU54-DF$103,Männer!$G$9:$J$102,4)+VLOOKUP($CU54-DF$103+1,Männer!$G$9:$J$102,4))*0.5*(VLOOKUP($CU54-DF$103,Männer!$AZ$9:$BD$102,5)+VLOOKUP($CU54-DF$103+1,Männer!$AZ$9:$BD$102,5)),RundDx)))</f>
        <v>564350183</v>
      </c>
      <c r="DG54" s="25">
        <f>IF($CU54&gt;=RAF,"",IF($CU54-DG$103&lt;BeginnAlter,"",ROUND(v^($CU54+FaktorAlter)*$L54*$D54*0.5*(VLOOKUP($CU54-DG$103,Männer!$G$9:$J$102,4)+VLOOKUP($CU54-DG$103+1,Männer!$G$9:$J$102,4))*0.5*(VLOOKUP($CU54-DG$103,Männer!$AZ$9:$BD$102,5)+VLOOKUP($CU54-DG$103+1,Männer!$AZ$9:$BD$102,5)),RundDx)))</f>
        <v>593641778</v>
      </c>
      <c r="DH54" s="25">
        <f>IF($CU54&gt;=RAF,"",IF($CU54-DH$103&lt;BeginnAlter,"",ROUND(v^($CU54+FaktorAlter)*$L54*$D54*0.5*(VLOOKUP($CU54-DH$103,Männer!$G$9:$J$102,4)+VLOOKUP($CU54-DH$103+1,Männer!$G$9:$J$102,4))*0.5*(VLOOKUP($CU54-DH$103,Männer!$AZ$9:$BD$102,5)+VLOOKUP($CU54-DH$103+1,Männer!$AZ$9:$BD$102,5)),RundDx)))</f>
        <v>623141301</v>
      </c>
      <c r="DI54" s="25">
        <f>IF($CU54&gt;=RAF,"",IF($CU54-DI$103&lt;BeginnAlter,"",ROUND(v^($CU54+FaktorAlter)*$L54*$D54*0.5*(VLOOKUP($CU54-DI$103,Männer!$G$9:$J$102,4)+VLOOKUP($CU54-DI$103+1,Männer!$G$9:$J$102,4))*0.5*(VLOOKUP($CU54-DI$103,Männer!$AZ$9:$BD$102,5)+VLOOKUP($CU54-DI$103+1,Männer!$AZ$9:$BD$102,5)),RundDx)))</f>
        <v>652999316</v>
      </c>
      <c r="DJ54" s="25">
        <f>IF($CU54&gt;=RAF,"",IF($CU54-DJ$103&lt;BeginnAlter,"",ROUND(v^($CU54+FaktorAlter)*$L54*$D54*0.5*(VLOOKUP($CU54-DJ$103,Männer!$G$9:$J$102,4)+VLOOKUP($CU54-DJ$103+1,Männer!$G$9:$J$102,4))*0.5*(VLOOKUP($CU54-DJ$103,Männer!$AZ$9:$BD$102,5)+VLOOKUP($CU54-DJ$103+1,Männer!$AZ$9:$BD$102,5)),RundDx)))</f>
        <v>683272424</v>
      </c>
      <c r="DK54" s="25">
        <f>IF($CU54&gt;=RAF,"",IF($CU54-DK$103&lt;BeginnAlter,"",ROUND(v^($CU54+FaktorAlter)*$L54*$D54*0.5*(VLOOKUP($CU54-DK$103,Männer!$G$9:$J$102,4)+VLOOKUP($CU54-DK$103+1,Männer!$G$9:$J$102,4))*0.5*(VLOOKUP($CU54-DK$103,Männer!$AZ$9:$BD$102,5)+VLOOKUP($CU54-DK$103+1,Männer!$AZ$9:$BD$102,5)),RundDx)))</f>
        <v>714033620</v>
      </c>
      <c r="DL54" s="25">
        <f>IF($CU54&gt;=RAF,"",IF($CU54-DL$103&lt;BeginnAlter,"",ROUND(v^($CU54+FaktorAlter)*$L54*$D54*0.5*(VLOOKUP($CU54-DL$103,Männer!$G$9:$J$102,4)+VLOOKUP($CU54-DL$103+1,Männer!$G$9:$J$102,4))*0.5*(VLOOKUP($CU54-DL$103,Männer!$AZ$9:$BD$102,5)+VLOOKUP($CU54-DL$103+1,Männer!$AZ$9:$BD$102,5)),RundDx)))</f>
        <v>745328757</v>
      </c>
      <c r="DM54" s="25">
        <f>IF($CU54&gt;=RAF,"",IF($CU54-DM$103&lt;BeginnAlter,"",ROUND(v^($CU54+FaktorAlter)*$L54*$D54*0.5*(VLOOKUP($CU54-DM$103,Männer!$G$9:$J$102,4)+VLOOKUP($CU54-DM$103+1,Männer!$G$9:$J$102,4))*0.5*(VLOOKUP($CU54-DM$103,Männer!$AZ$9:$BD$102,5)+VLOOKUP($CU54-DM$103+1,Männer!$AZ$9:$BD$102,5)),RundDx)))</f>
        <v>777183028</v>
      </c>
      <c r="DN54" s="25">
        <f>IF($CU54&gt;=RAF,"",IF($CU54-DN$103&lt;BeginnAlter,"",ROUND(v^($CU54+FaktorAlter)*$L54*$D54*0.5*(VLOOKUP($CU54-DN$103,Männer!$G$9:$J$102,4)+VLOOKUP($CU54-DN$103+1,Männer!$G$9:$J$102,4))*0.5*(VLOOKUP($CU54-DN$103,Männer!$AZ$9:$BD$102,5)+VLOOKUP($CU54-DN$103+1,Männer!$AZ$9:$BD$102,5)),RundDx)))</f>
        <v>809653351</v>
      </c>
      <c r="DO54" s="25">
        <f>IF($CU54&gt;=RAF,"",IF($CU54-DO$103&lt;BeginnAlter,"",ROUND(v^($CU54+FaktorAlter)*$L54*$D54*0.5*(VLOOKUP($CU54-DO$103,Männer!$G$9:$J$102,4)+VLOOKUP($CU54-DO$103+1,Männer!$G$9:$J$102,4))*0.5*(VLOOKUP($CU54-DO$103,Männer!$AZ$9:$BD$102,5)+VLOOKUP($CU54-DO$103+1,Männer!$AZ$9:$BD$102,5)),RundDx)))</f>
        <v>842701308</v>
      </c>
      <c r="DP54" s="25">
        <f>IF($CU54&gt;=RAF,"",IF($CU54-DP$103&lt;BeginnAlter,"",ROUND(v^($CU54+FaktorAlter)*$L54*$D54*0.5*(VLOOKUP($CU54-DP$103,Männer!$G$9:$J$102,4)+VLOOKUP($CU54-DP$103+1,Männer!$G$9:$J$102,4))*0.5*(VLOOKUP($CU54-DP$103,Männer!$AZ$9:$BD$102,5)+VLOOKUP($CU54-DP$103+1,Männer!$AZ$9:$BD$102,5)),RundDx)))</f>
        <v>876278407</v>
      </c>
      <c r="DQ54" s="25">
        <f>IF($CU54&gt;=RAF,"",IF($CU54-DQ$103&lt;BeginnAlter,"",ROUND(v^($CU54+FaktorAlter)*$L54*$D54*0.5*(VLOOKUP($CU54-DQ$103,Männer!$G$9:$J$102,4)+VLOOKUP($CU54-DQ$103+1,Männer!$G$9:$J$102,4))*0.5*(VLOOKUP($CU54-DQ$103,Männer!$AZ$9:$BD$102,5)+VLOOKUP($CU54-DQ$103+1,Männer!$AZ$9:$BD$102,5)),RundDx)))</f>
        <v>910375300</v>
      </c>
      <c r="DR54" s="25">
        <f>IF($CU54&gt;=RAF,"",IF($CU54-DR$103&lt;BeginnAlter,"",ROUND(v^($CU54+FaktorAlter)*$L54*$D54*0.5*(VLOOKUP($CU54-DR$103,Männer!$G$9:$J$102,4)+VLOOKUP($CU54-DR$103+1,Männer!$G$9:$J$102,4))*0.5*(VLOOKUP($CU54-DR$103,Männer!$AZ$9:$BD$102,5)+VLOOKUP($CU54-DR$103+1,Männer!$AZ$9:$BD$102,5)),RundDx)))</f>
        <v>944491965</v>
      </c>
      <c r="DS54" s="25">
        <f>IF($CU54&gt;=RAF,"",IF($CU54-DS$103&lt;BeginnAlter,"",ROUND(v^($CU54+FaktorAlter)*$L54*$D54*0.5*(VLOOKUP($CU54-DS$103,Männer!$G$9:$J$102,4)+VLOOKUP($CU54-DS$103+1,Männer!$G$9:$J$102,4))*0.5*(VLOOKUP($CU54-DS$103,Männer!$AZ$9:$BD$102,5)+VLOOKUP($CU54-DS$103+1,Männer!$AZ$9:$BD$102,5)),RundDx)))</f>
        <v>978095347</v>
      </c>
      <c r="DT54" s="25">
        <f>IF($CU54&gt;=RAF,"",IF($CU54-DT$103&lt;BeginnAlter,"",ROUND(v^($CU54+FaktorAlter)*$L54*$D54*0.5*(VLOOKUP($CU54-DT$103,Männer!$G$9:$J$102,4)+VLOOKUP($CU54-DT$103+1,Männer!$G$9:$J$102,4))*0.5*(VLOOKUP($CU54-DT$103,Männer!$AZ$9:$BD$102,5)+VLOOKUP($CU54-DT$103+1,Männer!$AZ$9:$BD$102,5)),RundDx)))</f>
        <v>1011191103</v>
      </c>
      <c r="DU54" s="25">
        <f>IF($CU54&gt;=RAF,"",IF($CU54-DU$103&lt;BeginnAlter,"",ROUND(v^($CU54+FaktorAlter)*$L54*$D54*0.5*(VLOOKUP($CU54-DU$103,Männer!$G$9:$J$102,4)+VLOOKUP($CU54-DU$103+1,Männer!$G$9:$J$102,4))*0.5*(VLOOKUP($CU54-DU$103,Männer!$AZ$9:$BD$102,5)+VLOOKUP($CU54-DU$103+1,Männer!$AZ$9:$BD$102,5)),RundDx)))</f>
        <v>1043784229</v>
      </c>
      <c r="DV54" s="25">
        <f>IF($CU54&gt;=RAF,"",IF($CU54-DV$103&lt;BeginnAlter,"",ROUND(v^($CU54+FaktorAlter)*$L54*$D54*0.5*(VLOOKUP($CU54-DV$103,Männer!$G$9:$J$102,4)+VLOOKUP($CU54-DV$103+1,Männer!$G$9:$J$102,4))*0.5*(VLOOKUP($CU54-DV$103,Männer!$AZ$9:$BD$102,5)+VLOOKUP($CU54-DV$103+1,Männer!$AZ$9:$BD$102,5)),RundDx)))</f>
        <v>1075816163</v>
      </c>
      <c r="DW54" s="25">
        <f>IF($CU54&gt;=RAF,"",IF($CU54-DW$103&lt;BeginnAlter,"",ROUND(v^($CU54+FaktorAlter)*$L54*$D54*0.5*(VLOOKUP($CU54-DW$103,Männer!$G$9:$J$102,4)+VLOOKUP($CU54-DW$103+1,Männer!$G$9:$J$102,4))*0.5*(VLOOKUP($CU54-DW$103,Männer!$AZ$9:$BD$102,5)+VLOOKUP($CU54-DW$103+1,Männer!$AZ$9:$BD$102,5)),RundDx)))</f>
        <v>1107290457</v>
      </c>
      <c r="DX54" s="25">
        <f>IF($CU54&gt;=RAF,"",IF($CU54-DX$103&lt;BeginnAlter,"",ROUND(v^($CU54+FaktorAlter)*$L54*$D54*0.5*(VLOOKUP($CU54-DX$103,Männer!$G$9:$J$102,4)+VLOOKUP($CU54-DX$103+1,Männer!$G$9:$J$102,4))*0.5*(VLOOKUP($CU54-DX$103,Männer!$AZ$9:$BD$102,5)+VLOOKUP($CU54-DX$103+1,Männer!$AZ$9:$BD$102,5)),RundDx)))</f>
        <v>1138255836</v>
      </c>
      <c r="DY54" s="25">
        <f>IF($CU54&gt;=RAF,"",IF($CU54-DY$103&lt;BeginnAlter,"",ROUND(v^($CU54+FaktorAlter)*$L54*$D54*0.5*(VLOOKUP($CU54-DY$103,Männer!$G$9:$J$102,4)+VLOOKUP($CU54-DY$103+1,Männer!$G$9:$J$102,4))*0.5*(VLOOKUP($CU54-DY$103,Männer!$AZ$9:$BD$102,5)+VLOOKUP($CU54-DY$103+1,Männer!$AZ$9:$BD$102,5)),RundDx)))</f>
        <v>1168692371</v>
      </c>
      <c r="DZ54" s="25">
        <f>IF($CU54&gt;=RAF,"",IF($CU54-DZ$103&lt;BeginnAlter,"",ROUND(v^($CU54+FaktorAlter)*$L54*$D54*0.5*(VLOOKUP($CU54-DZ$103,Männer!$G$9:$J$102,4)+VLOOKUP($CU54-DZ$103+1,Männer!$G$9:$J$102,4))*0.5*(VLOOKUP($CU54-DZ$103,Männer!$AZ$9:$BD$102,5)+VLOOKUP($CU54-DZ$103+1,Männer!$AZ$9:$BD$102,5)),RundDx)))</f>
        <v>1198567491</v>
      </c>
      <c r="EA54" s="43">
        <f>IF($CU54&gt;=RAF,"",IF($CU54-EA$103&lt;BeginnAlter,"",ROUND((SUM(CV54:CV$56)+SUM(FN$9:FN$56))/VLOOKUP($CU54,$AH$9:$AI$102,2)/VLOOKUP($CU54-EA$103,Männer!$G$9:$J$102,4),Rundäx)))</f>
        <v>0.77400000000000002</v>
      </c>
      <c r="EB54" s="43">
        <f>IF($CU54&gt;=RAF,"",IF($CU54-EB$103&lt;BeginnAlter,"",ROUND((SUM(CW54:CW$56)+SUM(FO$9:FO$56))/VLOOKUP($CU54,$AH$9:$AI$102,2)/VLOOKUP($CU54-EB$103,Männer!$G$9:$J$102,4),Rundäx)))</f>
        <v>0.85099999999999998</v>
      </c>
      <c r="EC54" s="43">
        <f>IF($CU54&gt;=RAF,"",IF($CU54-EC$103&lt;BeginnAlter,"",ROUND((SUM(CX54:CX$56)+SUM(FP$9:FP$56))/VLOOKUP($CU54,$AH$9:$AI$102,2)/VLOOKUP($CU54-EC$103,Männer!$G$9:$J$102,4),Rundäx)))</f>
        <v>0.93300000000000005</v>
      </c>
      <c r="ED54" s="43">
        <f>IF($CU54&gt;=RAF,"",IF($CU54-ED$103&lt;BeginnAlter,"",ROUND((SUM(CY54:CY$56)+SUM(FQ$9:FQ$56))/VLOOKUP($CU54,$AH$9:$AI$102,2)/VLOOKUP($CU54-ED$103,Männer!$G$9:$J$102,4),Rundäx)))</f>
        <v>1.0209999999999999</v>
      </c>
      <c r="EE54" s="43">
        <f>IF($CU54&gt;=RAF,"",IF($CU54-EE$103&lt;BeginnAlter,"",ROUND((SUM(CZ54:CZ$56)+SUM(FR$9:FR$56))/VLOOKUP($CU54,$AH$9:$AI$102,2)/VLOOKUP($CU54-EE$103,Männer!$G$9:$J$102,4),Rundäx)))</f>
        <v>1.115</v>
      </c>
      <c r="EF54" s="43">
        <f>IF($CU54&gt;=RAF,"",IF($CU54-EF$103&lt;BeginnAlter,"",ROUND((SUM(DA54:DA$56)+SUM(FS$9:FS$56))/VLOOKUP($CU54,$AH$9:$AI$102,2)/VLOOKUP($CU54-EF$103,Männer!$G$9:$J$102,4),Rundäx)))</f>
        <v>1.216</v>
      </c>
      <c r="EG54" s="43">
        <f>IF($CU54&gt;=RAF,"",IF($CU54-EG$103&lt;BeginnAlter,"",ROUND((SUM(DB54:DB$56)+SUM(FT$9:FT$56))/VLOOKUP($CU54,$AH$9:$AI$102,2)/VLOOKUP($CU54-EG$103,Männer!$G$9:$J$102,4),Rundäx)))</f>
        <v>1.3240000000000001</v>
      </c>
      <c r="EH54" s="43">
        <f>IF($CU54&gt;=RAF,"",IF($CU54-EH$103&lt;BeginnAlter,"",ROUND((SUM(DC54:DC$56)+SUM(FU$9:FU$56))/VLOOKUP($CU54,$AH$9:$AI$102,2)/VLOOKUP($CU54-EH$103,Männer!$G$9:$J$102,4),Rundäx)))</f>
        <v>1.4390000000000001</v>
      </c>
      <c r="EI54" s="89"/>
      <c r="EJ54" s="35">
        <f t="shared" si="61"/>
        <v>62</v>
      </c>
      <c r="EK54" s="43">
        <f>IF($CU54&gt;=RAF,"",IF($CU54-EK$103&lt;BeginnAlter,"",ROUND((SUM(DD54:DD$56)+SUM(FV$9:FV$56))/VLOOKUP($CU54,$AH$9:$AI$102,2)/VLOOKUP($CU54-EK$103,Männer!$G$9:$J$102,4),Rundäx)))</f>
        <v>1.5620000000000001</v>
      </c>
      <c r="EL54" s="43">
        <f>IF($CU54&gt;=RAF,"",IF($CU54-EL$103&lt;BeginnAlter,"",ROUND((SUM(DE54:DE$56)+SUM(FW$9:FW$56))/VLOOKUP($CU54,$AH$9:$AI$102,2)/VLOOKUP($CU54-EL$103,Männer!$G$9:$J$102,4),Rundäx)))</f>
        <v>1.694</v>
      </c>
      <c r="EM54" s="43">
        <f>IF($CU54&gt;=RAF,"",IF($CU54-EM$103&lt;BeginnAlter,"",ROUND((SUM(DF54:DF$56)+SUM(FX$9:FX$56))/VLOOKUP($CU54,$AH$9:$AI$102,2)/VLOOKUP($CU54-EM$103,Männer!$G$9:$J$102,4),Rundäx)))</f>
        <v>1.8340000000000001</v>
      </c>
      <c r="EN54" s="43">
        <f>IF($CU54&gt;=RAF,"",IF($CU54-EN$103&lt;BeginnAlter,"",ROUND((SUM(DG54:DG$56)+SUM(FY$9:FY$56))/VLOOKUP($CU54,$AH$9:$AI$102,2)/VLOOKUP($CU54-EN$103,Männer!$G$9:$J$102,4),Rundäx)))</f>
        <v>1.9830000000000001</v>
      </c>
      <c r="EO54" s="43">
        <f>IF($CU54&gt;=RAF,"",IF($CU54-EO$103&lt;BeginnAlter,"",ROUND((SUM(DH54:DH$56)+SUM(FZ$9:FZ$56))/VLOOKUP($CU54,$AH$9:$AI$102,2)/VLOOKUP($CU54-EO$103,Männer!$G$9:$J$102,4),Rundäx)))</f>
        <v>2.1419999999999999</v>
      </c>
      <c r="EP54" s="43">
        <f>IF($CU54&gt;=RAF,"",IF($CU54-EP$103&lt;BeginnAlter,"",ROUND((SUM(DI54:DI$56)+SUM(GA$9:GA$56))/VLOOKUP($CU54,$AH$9:$AI$102,2)/VLOOKUP($CU54-EP$103,Männer!$G$9:$J$102,4),Rundäx)))</f>
        <v>2.3109999999999999</v>
      </c>
      <c r="EQ54" s="43">
        <f>IF($CU54&gt;=RAF,"",IF($CU54-EQ$103&lt;BeginnAlter,"",ROUND((SUM(DJ54:DJ$56)+SUM(GB$9:GB$56))/VLOOKUP($CU54,$AH$9:$AI$102,2)/VLOOKUP($CU54-EQ$103,Männer!$G$9:$J$102,4),Rundäx)))</f>
        <v>2.4900000000000002</v>
      </c>
      <c r="ER54" s="43">
        <f>IF($CU54&gt;=RAF,"",IF($CU54-ER$103&lt;BeginnAlter,"",ROUND((SUM(DK54:DK$56)+SUM(GC$9:GC$56))/VLOOKUP($CU54,$AH$9:$AI$102,2)/VLOOKUP($CU54-ER$103,Männer!$G$9:$J$102,4),Rundäx)))</f>
        <v>2.68</v>
      </c>
      <c r="ES54" s="89"/>
      <c r="ET54" s="35">
        <f t="shared" si="62"/>
        <v>62</v>
      </c>
      <c r="EU54" s="43">
        <f>IF($CU54&gt;=RAF,"",IF($CU54-EU$103&lt;BeginnAlter,"",ROUND((SUM(DL54:DL$56)+SUM(GD$9:GD$56))/VLOOKUP($CU54,$AH$9:$AI$102,2)/VLOOKUP($CU54-EU$103,Männer!$G$9:$J$102,4),Rundäx)))</f>
        <v>2.8809999999999998</v>
      </c>
      <c r="EV54" s="43">
        <f>IF($CU54&gt;=RAF,"",IF($CU54-EV$103&lt;BeginnAlter,"",ROUND((SUM(DM54:DM$56)+SUM(GE$9:GE$56))/VLOOKUP($CU54,$AH$9:$AI$102,2)/VLOOKUP($CU54-EV$103,Männer!$G$9:$J$102,4),Rundäx)))</f>
        <v>3.093</v>
      </c>
      <c r="EW54" s="43">
        <f>IF($CU54&gt;=RAF,"",IF($CU54-EW$103&lt;BeginnAlter,"",ROUND((SUM(DN54:DN$56)+SUM(GF$9:GF$56))/VLOOKUP($CU54,$AH$9:$AI$102,2)/VLOOKUP($CU54-EW$103,Männer!$G$9:$J$102,4),Rundäx)))</f>
        <v>3.3159999999999998</v>
      </c>
      <c r="EX54" s="43">
        <f>IF($CU54&gt;=RAF,"",IF($CU54-EX$103&lt;BeginnAlter,"",ROUND((SUM(DO54:DO$56)+SUM(GG$9:GG$56))/VLOOKUP($CU54,$AH$9:$AI$102,2)/VLOOKUP($CU54-EX$103,Männer!$G$9:$J$102,4),Rundäx)))</f>
        <v>3.55</v>
      </c>
      <c r="EY54" s="43">
        <f>IF($CU54&gt;=RAF,"",IF($CU54-EY$103&lt;BeginnAlter,"",ROUND((SUM(DP54:DP$56)+SUM(GH$9:GH$56))/VLOOKUP($CU54,$AH$9:$AI$102,2)/VLOOKUP($CU54-EY$103,Männer!$G$9:$J$102,4),Rundäx)))</f>
        <v>3.794</v>
      </c>
      <c r="EZ54" s="43">
        <f>IF($CU54&gt;=RAF,"",IF($CU54-EZ$103&lt;BeginnAlter,"",ROUND((SUM(DQ54:DQ$56)+SUM(GI$9:GI$56))/VLOOKUP($CU54,$AH$9:$AI$102,2)/VLOOKUP($CU54-EZ$103,Männer!$G$9:$J$102,4),Rundäx)))</f>
        <v>4.0490000000000004</v>
      </c>
      <c r="FA54" s="43">
        <f>IF($CU54&gt;=RAF,"",IF($CU54-FA$103&lt;BeginnAlter,"",ROUND((SUM(DR54:DR$56)+SUM(GJ$9:GJ$56))/VLOOKUP($CU54,$AH$9:$AI$102,2)/VLOOKUP($CU54-FA$103,Männer!$G$9:$J$102,4),Rundäx)))</f>
        <v>4.3140000000000001</v>
      </c>
      <c r="FB54" s="43">
        <f>IF($CU54&gt;=RAF,"",IF($CU54-FB$103&lt;BeginnAlter,"",ROUND((SUM(DS54:DS$56)+SUM(GK$9:GK$56))/VLOOKUP($CU54,$AH$9:$AI$102,2)/VLOOKUP($CU54-FB$103,Männer!$G$9:$J$102,4),Rundäx)))</f>
        <v>4.5860000000000003</v>
      </c>
      <c r="FC54" s="89"/>
      <c r="FD54" s="35">
        <f t="shared" si="63"/>
        <v>62</v>
      </c>
      <c r="FE54" s="43">
        <f>IF($CU54&gt;=RAF,"",IF($CU54-FE$103&lt;BeginnAlter,"",ROUND((SUM(DT54:DT$56)+SUM(GL$9:GL$56))/VLOOKUP($CU54,$AH$9:$AI$102,2)/VLOOKUP($CU54-FE$103,Männer!$G$9:$J$102,4),Rundäx)))</f>
        <v>4.8659999999999997</v>
      </c>
      <c r="FF54" s="43">
        <f>IF($CU54&gt;=RAF,"",IF($CU54-FF$103&lt;BeginnAlter,"",ROUND((SUM(DU54:DU$56)+SUM(GM$9:GM$56))/VLOOKUP($CU54,$AH$9:$AI$102,2)/VLOOKUP($CU54-FF$103,Männer!$G$9:$J$102,4),Rundäx)))</f>
        <v>5.1529999999999996</v>
      </c>
      <c r="FG54" s="43">
        <f>IF($CU54&gt;=RAF,"",IF($CU54-FG$103&lt;BeginnAlter,"",ROUND((SUM(DV54:DV$56)+SUM(GN$9:GN$56))/VLOOKUP($CU54,$AH$9:$AI$102,2)/VLOOKUP($CU54-FG$103,Männer!$G$9:$J$102,4),Rundäx)))</f>
        <v>5.4459999999999997</v>
      </c>
      <c r="FH54" s="43">
        <f>IF($CU54&gt;=RAF,"",IF($CU54-FH$103&lt;BeginnAlter,"",ROUND((SUM(DW54:DW$56)+SUM(GO$9:GO$56))/VLOOKUP($CU54,$AH$9:$AI$102,2)/VLOOKUP($CU54-FH$103,Männer!$G$9:$J$102,4),Rundäx)))</f>
        <v>5.7430000000000003</v>
      </c>
      <c r="FI54" s="43">
        <f>IF($CU54&gt;=RAF,"",IF($CU54-FI$103&lt;BeginnAlter,"",ROUND((SUM(DX54:DX$56)+SUM(GP$9:GP$56))/VLOOKUP($CU54,$AH$9:$AI$102,2)/VLOOKUP($CU54-FI$103,Männer!$G$9:$J$102,4),Rundäx)))</f>
        <v>6.0449999999999999</v>
      </c>
      <c r="FJ54" s="43">
        <f>IF($CU54&gt;=RAF,"",IF($CU54-FJ$103&lt;BeginnAlter,"",ROUND((SUM(DY54:DY$56)+SUM(GQ$9:GQ$56))/VLOOKUP($CU54,$AH$9:$AI$102,2)/VLOOKUP($CU54-FJ$103,Männer!$G$9:$J$102,4),Rundäx)))</f>
        <v>6.35</v>
      </c>
      <c r="FK54" s="43">
        <f>IF($CU54&gt;=RAF,"",IF($CU54-FK$103&lt;BeginnAlter,"",ROUND((SUM(DZ54:DZ$56)+SUM(GR$9:GR$56))/VLOOKUP($CU54,$AH$9:$AI$102,2)/VLOOKUP($CU54-FK$103,Männer!$G$9:$J$102,4),Rundäx)))</f>
        <v>6.6580000000000004</v>
      </c>
      <c r="FL54" s="89"/>
      <c r="FM54" s="35">
        <f t="shared" si="64"/>
        <v>109</v>
      </c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4"/>
      <c r="GT54" s="24"/>
      <c r="GU54" s="24"/>
      <c r="GV54" s="24"/>
      <c r="GW54" s="24"/>
      <c r="GX54" s="24"/>
      <c r="GY54" s="24" t="str">
        <f>IF(FM54&gt;=RAF," ",#REF!/$AI54/Frauen!$J54)</f>
        <v xml:space="preserve"> </v>
      </c>
      <c r="GZ54" s="24"/>
      <c r="HA54" s="89"/>
      <c r="HB54" s="35">
        <f t="shared" si="65"/>
        <v>109</v>
      </c>
      <c r="HC54" s="24"/>
      <c r="HD54" s="24"/>
      <c r="HE54" s="24"/>
      <c r="HF54" s="24"/>
      <c r="HG54" s="24"/>
      <c r="HH54" s="24"/>
      <c r="HI54" s="24"/>
      <c r="HJ54" s="24"/>
      <c r="HK54" s="89"/>
      <c r="HL54" s="35">
        <f t="shared" si="66"/>
        <v>109</v>
      </c>
      <c r="HM54" s="24"/>
      <c r="HN54" s="24"/>
      <c r="HO54" s="24"/>
      <c r="HP54" s="24"/>
      <c r="HQ54" s="24"/>
      <c r="HR54" s="24"/>
      <c r="HS54" s="24"/>
      <c r="HT54" s="24"/>
      <c r="HU54" s="89"/>
      <c r="HV54" s="35">
        <f t="shared" si="67"/>
        <v>109</v>
      </c>
      <c r="HW54" s="24"/>
      <c r="HX54" s="24"/>
      <c r="HY54" s="24"/>
      <c r="HZ54" s="24"/>
      <c r="IA54" s="24"/>
      <c r="IB54" s="24"/>
      <c r="IC54" s="24"/>
      <c r="ID54" s="89"/>
      <c r="IE54" s="9">
        <f t="shared" si="80"/>
        <v>62</v>
      </c>
      <c r="IF54" s="11">
        <f t="shared" si="25"/>
        <v>1</v>
      </c>
      <c r="IG54" s="11">
        <f>IF($IE54&lt;RAF,IF(S55&lt;=RAK,ROUND(SUM(IF54:INDEX(Daky,RAF-BeginnAlter))+INDEX(Day,RAF-BeginnAlter+1)*INDEX(äky,1),RundDx),0),"")</f>
        <v>2</v>
      </c>
      <c r="IH54" s="11">
        <f>IF($IE54&lt;RAF,IF(S55&lt;=RAK,ROUND(SUM(IG54:INDEX(Naky,RAF-BeginnAlter))+INDEX(Day,RAF-BeginnAlter+1)*INDEX(äky,1),RundDx),0),"")</f>
        <v>3</v>
      </c>
      <c r="II54" s="10">
        <f t="shared" si="26"/>
        <v>0</v>
      </c>
      <c r="IJ54" s="11">
        <f t="shared" si="27"/>
        <v>6</v>
      </c>
      <c r="IK54" s="11">
        <f>IF($IE54&lt;RAF,IF(S55&lt;=RAK,SUM(IJ54:INDEX(Diky,RAF-BeginnAlter))+INDEX(Diy,RAF-BeginnAlter+1)*INDEX(äky,1),0),"")</f>
        <v>11</v>
      </c>
      <c r="IL54" s="10">
        <f t="shared" si="28"/>
        <v>0</v>
      </c>
      <c r="IM54" s="89"/>
      <c r="IN54" s="9">
        <f t="shared" si="29"/>
        <v>109</v>
      </c>
      <c r="IO54" s="11"/>
      <c r="IP54" s="11"/>
      <c r="IQ54" s="10"/>
      <c r="IR54" s="86"/>
    </row>
    <row r="55" spans="1:252" ht="15.75" customHeight="1" x14ac:dyDescent="0.25">
      <c r="A55" s="9">
        <f t="shared" si="69"/>
        <v>63</v>
      </c>
      <c r="B55" s="93">
        <v>4.52594E-3</v>
      </c>
      <c r="C55" s="93">
        <v>3.2125939999999999E-2</v>
      </c>
      <c r="D55" s="93">
        <v>2.5399999999999999E-2</v>
      </c>
      <c r="E55" s="93">
        <v>9.5621374447599772E-3</v>
      </c>
      <c r="F55" s="89"/>
      <c r="G55" s="9">
        <f t="shared" si="70"/>
        <v>63</v>
      </c>
      <c r="H55" s="11">
        <f t="shared" si="30"/>
        <v>70605</v>
      </c>
      <c r="I55" s="25">
        <f t="shared" si="31"/>
        <v>20588</v>
      </c>
      <c r="J55" s="25">
        <f t="shared" si="32"/>
        <v>91193</v>
      </c>
      <c r="K55" s="30">
        <f>IF(J55&gt;0,ROUND(SUM(J55:J$102)/J55-0.5,Rundex),"")</f>
        <v>21.95</v>
      </c>
      <c r="L55" s="25">
        <f t="shared" si="6"/>
        <v>92675</v>
      </c>
      <c r="M55" s="30">
        <f>IF(L55&gt;0,ROUND(SUM(L55:L$102)/L55-0.5,Rundex),"")</f>
        <v>21.6</v>
      </c>
      <c r="N55" s="89"/>
      <c r="O55" s="9">
        <f t="shared" si="71"/>
        <v>63</v>
      </c>
      <c r="P55" s="94">
        <v>0.14223377513958457</v>
      </c>
      <c r="Q55" s="95">
        <v>64.768055059468324</v>
      </c>
      <c r="R55" s="94">
        <v>1.9810423383464144E-3</v>
      </c>
      <c r="S55" s="95">
        <v>20.16</v>
      </c>
      <c r="T55" s="28">
        <v>7.7542044200704886E-3</v>
      </c>
      <c r="U55" s="11">
        <f t="shared" si="33"/>
        <v>92352</v>
      </c>
      <c r="V55" s="30">
        <f>IF(U55&gt;0,ROUND(SUM(U55:U$102)/U55-0.5,Rundex),"")</f>
        <v>22.94</v>
      </c>
      <c r="W55" s="89"/>
      <c r="X55" s="9">
        <f t="shared" si="72"/>
        <v>63</v>
      </c>
      <c r="Y55" s="11">
        <f t="shared" si="34"/>
        <v>17380</v>
      </c>
      <c r="Z55" s="11">
        <f>IF($X55&lt;RAF,SUM(Y55:INDEX(Day,RAF-BeginnAlter))," ")</f>
        <v>17380</v>
      </c>
      <c r="AA55" s="11">
        <f t="shared" si="0"/>
        <v>78</v>
      </c>
      <c r="AB55" s="11">
        <f>IF($X55&lt;RAF,SUM(AA55:INDEX(Cay,RAF-BeginnAlter))," ")</f>
        <v>78</v>
      </c>
      <c r="AC55" s="11">
        <f t="shared" si="1"/>
        <v>552</v>
      </c>
      <c r="AD55" s="11">
        <f>IF($X55&lt;RAF,SUM(AC55:INDEX(Caiy,RAF-BeginnAlter))," ")</f>
        <v>552</v>
      </c>
      <c r="AE55" s="10">
        <f t="shared" si="35"/>
        <v>1</v>
      </c>
      <c r="AF55" s="10">
        <f t="shared" si="36"/>
        <v>0.97299999999999998</v>
      </c>
      <c r="AG55" s="89"/>
      <c r="AH55" s="9">
        <f t="shared" si="73"/>
        <v>63</v>
      </c>
      <c r="AI55" s="11">
        <f t="shared" si="37"/>
        <v>22813</v>
      </c>
      <c r="AJ55" s="11">
        <f>IF($AH55&gt;RAF," ",IF($AH55&lt;RAF,SUM(AI55:INDEX(Diy,RAF-BeginnAlter))+INDEX(Ny,RAF-BeginnAlter+1),INDEX(Ny,RAF-BeginnAlter+1)))</f>
        <v>388907</v>
      </c>
      <c r="AK55" s="11">
        <f>IF($AH55&lt;RAF,SUM(AI55:INDEX(Diy,RAF-BeginnAlter))," ")</f>
        <v>22813</v>
      </c>
      <c r="AL55" s="10">
        <f t="shared" si="38"/>
        <v>17.047999999999998</v>
      </c>
      <c r="AM55" s="10">
        <f t="shared" si="39"/>
        <v>16.588999999999999</v>
      </c>
      <c r="AN55" s="10">
        <f t="shared" si="40"/>
        <v>1</v>
      </c>
      <c r="AO55" s="10">
        <f t="shared" si="41"/>
        <v>0.97899999999999998</v>
      </c>
      <c r="AP55" s="89"/>
      <c r="AQ55" s="9">
        <f t="shared" si="74"/>
        <v>63</v>
      </c>
      <c r="AR55" s="11">
        <f t="shared" si="42"/>
        <v>22448</v>
      </c>
      <c r="AS55" s="11">
        <f>SUM(AR55:AR$96)</f>
        <v>388542</v>
      </c>
      <c r="AT55" s="25">
        <f>IF($AQ55&lt;RAF,SUM(AR55:INDEX(Dy,RAF-BeginnAlter))," ")</f>
        <v>22448</v>
      </c>
      <c r="AU55" s="24">
        <f t="shared" si="43"/>
        <v>17.309000000000001</v>
      </c>
      <c r="AV55" s="24">
        <f t="shared" si="44"/>
        <v>16.850000000000001</v>
      </c>
      <c r="AW55" s="24">
        <f t="shared" si="45"/>
        <v>1</v>
      </c>
      <c r="AX55" s="24">
        <f t="shared" si="46"/>
        <v>0.98599999999999999</v>
      </c>
      <c r="AY55" s="89"/>
      <c r="AZ55" s="9">
        <f t="shared" si="75"/>
        <v>63</v>
      </c>
      <c r="BA55" s="11">
        <f t="shared" si="47"/>
        <v>22733</v>
      </c>
      <c r="BB55" s="11">
        <f>SUM(BA55:BA$96)</f>
        <v>408318</v>
      </c>
      <c r="BC55" s="10">
        <f t="shared" si="48"/>
        <v>17.960999999999999</v>
      </c>
      <c r="BD55" s="10">
        <f t="shared" si="7"/>
        <v>17.503</v>
      </c>
      <c r="BE55" s="89"/>
      <c r="BF55" s="9">
        <f t="shared" si="54"/>
        <v>46</v>
      </c>
      <c r="BG55" s="10" t="str">
        <f t="shared" si="8"/>
        <v/>
      </c>
      <c r="BH55" s="10" t="str">
        <f t="shared" si="9"/>
        <v/>
      </c>
      <c r="BI55" s="89"/>
      <c r="BJ55" s="9">
        <f t="shared" si="76"/>
        <v>63</v>
      </c>
      <c r="BK55" s="11">
        <f t="shared" si="10"/>
        <v>9102</v>
      </c>
      <c r="BL55" s="11">
        <f>IF(BJ55&lt;RAF,SUM(BK55:INDEX(Daiy,RAF-BeginnAlter))," ")</f>
        <v>9102</v>
      </c>
      <c r="BM55" s="11">
        <f>IF(BJ55&lt;RAF,SUM(BL55:INDEX(Naiy,RAF-BeginnAlter))," ")</f>
        <v>9102</v>
      </c>
      <c r="BN55" s="10">
        <f t="shared" si="11"/>
        <v>15.43</v>
      </c>
      <c r="BO55" s="10">
        <f t="shared" si="12"/>
        <v>0.52400000000000002</v>
      </c>
      <c r="BP55" s="89"/>
      <c r="BQ55" s="9">
        <f t="shared" si="77"/>
        <v>63</v>
      </c>
      <c r="BR55" s="11">
        <f t="shared" si="13"/>
        <v>273</v>
      </c>
      <c r="BS55" s="11">
        <f>IF(BQ55&lt;RAF,SUM(BR55:INDEX(Daiys,RAF-BeginnAlter))," ")</f>
        <v>273</v>
      </c>
      <c r="BT55" s="11">
        <f>IF(BQ55&lt;RAF,SUM(BS55:INDEX(Naiys,RAF-BeginnAlter))," ")</f>
        <v>273</v>
      </c>
      <c r="BU55" s="10">
        <f t="shared" si="14"/>
        <v>15.938000000000001</v>
      </c>
      <c r="BV55" s="10">
        <f t="shared" si="15"/>
        <v>1.6E-2</v>
      </c>
      <c r="BW55" s="89"/>
      <c r="BX55" s="9">
        <f t="shared" si="78"/>
        <v>63</v>
      </c>
      <c r="BY55" s="10">
        <f t="shared" si="16"/>
        <v>4.1544178225603776</v>
      </c>
      <c r="BZ55" s="11">
        <f t="shared" si="17"/>
        <v>4</v>
      </c>
      <c r="CA55" s="11">
        <f>IF(S56&lt;=RAK,IF($BX55&lt;RAF,SUM(BZ55:INDEX(Dazy,RAF-BeginnAlter)),""),"")</f>
        <v>4</v>
      </c>
      <c r="CB55" s="10">
        <f t="shared" si="18"/>
        <v>0</v>
      </c>
      <c r="CC55" s="11">
        <f t="shared" si="19"/>
        <v>19082</v>
      </c>
      <c r="CD55" s="10">
        <f t="shared" si="20"/>
        <v>14.551</v>
      </c>
      <c r="CE55" s="10">
        <f t="shared" si="21"/>
        <v>7.0000000000000001E-3</v>
      </c>
      <c r="CF55" s="89"/>
      <c r="CG55" s="9">
        <f t="shared" si="79"/>
        <v>63</v>
      </c>
      <c r="CH55" s="11">
        <f>IF(CG55&lt;RAF,ROUND(v^($CG55+FaktorAlter)*$H55*($B55*0.5*($P55+$P56)*(VLOOKUP(TRUNC(0.5*($Q55+$Q56),0),Männer!$AZ$9:$BD$95,5)+(0.5*($Q55+$Q56)-TRUNC(0.5*($Q55+$Q56),0))*(VLOOKUP(TRUNC(0.5*($Q55+$Q56)+1,0),Männer!$AZ$9:$BD$95,5)-VLOOKUP(TRUNC(0.5*($Q55+$Q56),0),Männer!$AZ$9:$BD$95,5)))+$C55*0.5*($CN55+$CN56)),RundDx),"")</f>
        <v>207</v>
      </c>
      <c r="CI55" s="11">
        <f>IF(CG55&lt;RAF,ROUND(SUM(CH55:INDEX(Dawy,RAF-BeginnAlter))+INDEX(Day,RAF-BeginnAlter+1)*INDEX(äwy,1),RundDx),"")</f>
        <v>2106</v>
      </c>
      <c r="CJ55" s="11">
        <f>IF(CG55&lt;RAF,ROUND(SUM(CI55:INDEX(Nawy,RAF-BeginnAlter))+INDEX(Day,RAF-BeginnAlter+1)*INDEX(äwy,1),RundDx),"")</f>
        <v>4005</v>
      </c>
      <c r="CK55" s="10">
        <f t="shared" si="22"/>
        <v>0.121</v>
      </c>
      <c r="CL55" s="11">
        <f>IF(CG55&lt;RAF,ROUND(v^($CG55+FaktorAlter)*$L55*$D55*0.5*($P55+$P56)*(VLOOKUP(TRUNC(0.5*($Q55+$Q56),0),Männer!$AZ$9:$BD$95,5)+(0.5*($Q55+$Q56)-TRUNC(0.5*($Q55+$Q56),0))*(VLOOKUP(TRUNC(0.5*($Q55+$Q56)+1,0),Männer!$AZ$9:$BD$95,5)-VLOOKUP(TRUNC(0.5*($Q55+$Q56),0),Männer!$AZ$9:$BD$95,5))),RundDx),"")</f>
        <v>978</v>
      </c>
      <c r="CM55" s="11">
        <f>IF(CG55&lt;RAF,SUM(CL55:INDEX(Diwy,RAF-BeginnAlter))+INDEX(Diy,RAF-BeginnAlter+1)*INDEX(äwy,1),"")</f>
        <v>3500.3040000000001</v>
      </c>
      <c r="CN55" s="10">
        <f t="shared" si="23"/>
        <v>0.153</v>
      </c>
      <c r="CO55" s="89"/>
      <c r="CP55" s="9">
        <f t="shared" si="59"/>
        <v>110</v>
      </c>
      <c r="CQ55" s="11"/>
      <c r="CR55" s="11"/>
      <c r="CS55" s="10"/>
      <c r="CT55" s="89"/>
      <c r="CU55" s="35">
        <f t="shared" si="60"/>
        <v>63</v>
      </c>
      <c r="CV55" s="25">
        <f>IF($CU55&gt;=RAF,"",IF($CU55-CV$103&lt;BeginnAlter,"",ROUND(v^($CU55+FaktorAlter)*$L55*$D55*0.5*(VLOOKUP($CU55-CV$103,Männer!$G$9:$J$102,4)+VLOOKUP($CU55-CV$103+1,Männer!$G$9:$J$102,4))*0.5*(VLOOKUP($CU55-CV$103,Männer!$AZ$9:$BD$102,5)+VLOOKUP($CU55-CV$103+1,Männer!$AZ$9:$BD$102,5)),RundDx)))</f>
        <v>250450315</v>
      </c>
      <c r="CW55" s="25">
        <f>IF($CU55&gt;=RAF,"",IF($CU55-CW$103&lt;BeginnAlter,"",ROUND(v^($CU55+FaktorAlter)*$L55*$D55*0.5*(VLOOKUP($CU55-CW$103,Männer!$G$9:$J$102,4)+VLOOKUP($CU55-CW$103+1,Männer!$G$9:$J$102,4))*0.5*(VLOOKUP($CU55-CW$103,Männer!$AZ$9:$BD$102,5)+VLOOKUP($CU55-CW$103+1,Männer!$AZ$9:$BD$102,5)),RundDx)))</f>
        <v>276713272</v>
      </c>
      <c r="CX55" s="25">
        <f>IF($CU55&gt;=RAF,"",IF($CU55-CX$103&lt;BeginnAlter,"",ROUND(v^($CU55+FaktorAlter)*$L55*$D55*0.5*(VLOOKUP($CU55-CX$103,Männer!$G$9:$J$102,4)+VLOOKUP($CU55-CX$103+1,Männer!$G$9:$J$102,4))*0.5*(VLOOKUP($CU55-CX$103,Männer!$AZ$9:$BD$102,5)+VLOOKUP($CU55-CX$103+1,Männer!$AZ$9:$BD$102,5)),RundDx)))</f>
        <v>303658614</v>
      </c>
      <c r="CY55" s="25">
        <f>IF($CU55&gt;=RAF,"",IF($CU55-CY$103&lt;BeginnAlter,"",ROUND(v^($CU55+FaktorAlter)*$L55*$D55*0.5*(VLOOKUP($CU55-CY$103,Männer!$G$9:$J$102,4)+VLOOKUP($CU55-CY$103+1,Männer!$G$9:$J$102,4))*0.5*(VLOOKUP($CU55-CY$103,Männer!$AZ$9:$BD$102,5)+VLOOKUP($CU55-CY$103+1,Männer!$AZ$9:$BD$102,5)),RundDx)))</f>
        <v>331114275</v>
      </c>
      <c r="CZ55" s="25">
        <f>IF($CU55&gt;=RAF,"",IF($CU55-CZ$103&lt;BeginnAlter,"",ROUND(v^($CU55+FaktorAlter)*$L55*$D55*0.5*(VLOOKUP($CU55-CZ$103,Männer!$G$9:$J$102,4)+VLOOKUP($CU55-CZ$103+1,Männer!$G$9:$J$102,4))*0.5*(VLOOKUP($CU55-CZ$103,Männer!$AZ$9:$BD$102,5)+VLOOKUP($CU55-CZ$103+1,Männer!$AZ$9:$BD$102,5)),RundDx)))</f>
        <v>358952147</v>
      </c>
      <c r="DA55" s="25">
        <f>IF($CU55&gt;=RAF,"",IF($CU55-DA$103&lt;BeginnAlter,"",ROUND(v^($CU55+FaktorAlter)*$L55*$D55*0.5*(VLOOKUP($CU55-DA$103,Männer!$G$9:$J$102,4)+VLOOKUP($CU55-DA$103+1,Männer!$G$9:$J$102,4))*0.5*(VLOOKUP($CU55-DA$103,Männer!$AZ$9:$BD$102,5)+VLOOKUP($CU55-DA$103+1,Männer!$AZ$9:$BD$102,5)),RundDx)))</f>
        <v>387013438</v>
      </c>
      <c r="DB55" s="25">
        <f>IF($CU55&gt;=RAF,"",IF($CU55-DB$103&lt;BeginnAlter,"",ROUND(v^($CU55+FaktorAlter)*$L55*$D55*0.5*(VLOOKUP($CU55-DB$103,Männer!$G$9:$J$102,4)+VLOOKUP($CU55-DB$103+1,Männer!$G$9:$J$102,4))*0.5*(VLOOKUP($CU55-DB$103,Männer!$AZ$9:$BD$102,5)+VLOOKUP($CU55-DB$103+1,Männer!$AZ$9:$BD$102,5)),RundDx)))</f>
        <v>415283688</v>
      </c>
      <c r="DC55" s="25">
        <f>IF($CU55&gt;=RAF,"",IF($CU55-DC$103&lt;BeginnAlter,"",ROUND(v^($CU55+FaktorAlter)*$L55*$D55*0.5*(VLOOKUP($CU55-DC$103,Männer!$G$9:$J$102,4)+VLOOKUP($CU55-DC$103+1,Männer!$G$9:$J$102,4))*0.5*(VLOOKUP($CU55-DC$103,Männer!$AZ$9:$BD$102,5)+VLOOKUP($CU55-DC$103+1,Männer!$AZ$9:$BD$102,5)),RundDx)))</f>
        <v>443727947</v>
      </c>
      <c r="DD55" s="25">
        <f>IF($CU55&gt;=RAF,"",IF($CU55-DD$103&lt;BeginnAlter,"",ROUND(v^($CU55+FaktorAlter)*$L55*$D55*0.5*(VLOOKUP($CU55-DD$103,Männer!$G$9:$J$102,4)+VLOOKUP($CU55-DD$103+1,Männer!$G$9:$J$102,4))*0.5*(VLOOKUP($CU55-DD$103,Männer!$AZ$9:$BD$102,5)+VLOOKUP($CU55-DD$103+1,Männer!$AZ$9:$BD$102,5)),RundDx)))</f>
        <v>472211862</v>
      </c>
      <c r="DE55" s="25">
        <f>IF($CU55&gt;=RAF,"",IF($CU55-DE$103&lt;BeginnAlter,"",ROUND(v^($CU55+FaktorAlter)*$L55*$D55*0.5*(VLOOKUP($CU55-DE$103,Männer!$G$9:$J$102,4)+VLOOKUP($CU55-DE$103+1,Männer!$G$9:$J$102,4))*0.5*(VLOOKUP($CU55-DE$103,Männer!$AZ$9:$BD$102,5)+VLOOKUP($CU55-DE$103+1,Männer!$AZ$9:$BD$102,5)),RundDx)))</f>
        <v>500718381</v>
      </c>
      <c r="DF55" s="25">
        <f>IF($CU55&gt;=RAF,"",IF($CU55-DF$103&lt;BeginnAlter,"",ROUND(v^($CU55+FaktorAlter)*$L55*$D55*0.5*(VLOOKUP($CU55-DF$103,Männer!$G$9:$J$102,4)+VLOOKUP($CU55-DF$103+1,Männer!$G$9:$J$102,4))*0.5*(VLOOKUP($CU55-DF$103,Männer!$AZ$9:$BD$102,5)+VLOOKUP($CU55-DF$103+1,Männer!$AZ$9:$BD$102,5)),RundDx)))</f>
        <v>529348612</v>
      </c>
      <c r="DG55" s="25">
        <f>IF($CU55&gt;=RAF,"",IF($CU55-DG$103&lt;BeginnAlter,"",ROUND(v^($CU55+FaktorAlter)*$L55*$D55*0.5*(VLOOKUP($CU55-DG$103,Männer!$G$9:$J$102,4)+VLOOKUP($CU55-DG$103+1,Männer!$G$9:$J$102,4))*0.5*(VLOOKUP($CU55-DG$103,Männer!$AZ$9:$BD$102,5)+VLOOKUP($CU55-DG$103+1,Männer!$AZ$9:$BD$102,5)),RundDx)))</f>
        <v>558185127</v>
      </c>
      <c r="DH55" s="25">
        <f>IF($CU55&gt;=RAF,"",IF($CU55-DH$103&lt;BeginnAlter,"",ROUND(v^($CU55+FaktorAlter)*$L55*$D55*0.5*(VLOOKUP($CU55-DH$103,Männer!$G$9:$J$102,4)+VLOOKUP($CU55-DH$103+1,Männer!$G$9:$J$102,4))*0.5*(VLOOKUP($CU55-DH$103,Männer!$AZ$9:$BD$102,5)+VLOOKUP($CU55-DH$103+1,Männer!$AZ$9:$BD$102,5)),RundDx)))</f>
        <v>587156736</v>
      </c>
      <c r="DI55" s="25">
        <f>IF($CU55&gt;=RAF,"",IF($CU55-DI$103&lt;BeginnAlter,"",ROUND(v^($CU55+FaktorAlter)*$L55*$D55*0.5*(VLOOKUP($CU55-DI$103,Männer!$G$9:$J$102,4)+VLOOKUP($CU55-DI$103+1,Männer!$G$9:$J$102,4))*0.5*(VLOOKUP($CU55-DI$103,Männer!$AZ$9:$BD$102,5)+VLOOKUP($CU55-DI$103+1,Männer!$AZ$9:$BD$102,5)),RundDx)))</f>
        <v>616334002</v>
      </c>
      <c r="DJ55" s="25">
        <f>IF($CU55&gt;=RAF,"",IF($CU55-DJ$103&lt;BeginnAlter,"",ROUND(v^($CU55+FaktorAlter)*$L55*$D55*0.5*(VLOOKUP($CU55-DJ$103,Männer!$G$9:$J$102,4)+VLOOKUP($CU55-DJ$103+1,Männer!$G$9:$J$102,4))*0.5*(VLOOKUP($CU55-DJ$103,Männer!$AZ$9:$BD$102,5)+VLOOKUP($CU55-DJ$103+1,Männer!$AZ$9:$BD$102,5)),RundDx)))</f>
        <v>645865843</v>
      </c>
      <c r="DK55" s="25">
        <f>IF($CU55&gt;=RAF,"",IF($CU55-DK$103&lt;BeginnAlter,"",ROUND(v^($CU55+FaktorAlter)*$L55*$D55*0.5*(VLOOKUP($CU55-DK$103,Männer!$G$9:$J$102,4)+VLOOKUP($CU55-DK$103+1,Männer!$G$9:$J$102,4))*0.5*(VLOOKUP($CU55-DK$103,Männer!$AZ$9:$BD$102,5)+VLOOKUP($CU55-DK$103+1,Männer!$AZ$9:$BD$102,5)),RundDx)))</f>
        <v>675808242</v>
      </c>
      <c r="DL55" s="25">
        <f>IF($CU55&gt;=RAF,"",IF($CU55-DL$103&lt;BeginnAlter,"",ROUND(v^($CU55+FaktorAlter)*$L55*$D55*0.5*(VLOOKUP($CU55-DL$103,Männer!$G$9:$J$102,4)+VLOOKUP($CU55-DL$103+1,Männer!$G$9:$J$102,4))*0.5*(VLOOKUP($CU55-DL$103,Männer!$AZ$9:$BD$102,5)+VLOOKUP($CU55-DL$103+1,Männer!$AZ$9:$BD$102,5)),RundDx)))</f>
        <v>706233397</v>
      </c>
      <c r="DM55" s="25">
        <f>IF($CU55&gt;=RAF,"",IF($CU55-DM$103&lt;BeginnAlter,"",ROUND(v^($CU55+FaktorAlter)*$L55*$D55*0.5*(VLOOKUP($CU55-DM$103,Männer!$G$9:$J$102,4)+VLOOKUP($CU55-DM$103+1,Männer!$G$9:$J$102,4))*0.5*(VLOOKUP($CU55-DM$103,Männer!$AZ$9:$BD$102,5)+VLOOKUP($CU55-DM$103+1,Männer!$AZ$9:$BD$102,5)),RundDx)))</f>
        <v>737186662</v>
      </c>
      <c r="DN55" s="25">
        <f>IF($CU55&gt;=RAF,"",IF($CU55-DN$103&lt;BeginnAlter,"",ROUND(v^($CU55+FaktorAlter)*$L55*$D55*0.5*(VLOOKUP($CU55-DN$103,Männer!$G$9:$J$102,4)+VLOOKUP($CU55-DN$103+1,Männer!$G$9:$J$102,4))*0.5*(VLOOKUP($CU55-DN$103,Männer!$AZ$9:$BD$102,5)+VLOOKUP($CU55-DN$103+1,Männer!$AZ$9:$BD$102,5)),RundDx)))</f>
        <v>768692951</v>
      </c>
      <c r="DO55" s="25">
        <f>IF($CU55&gt;=RAF,"",IF($CU55-DO$103&lt;BeginnAlter,"",ROUND(v^($CU55+FaktorAlter)*$L55*$D55*0.5*(VLOOKUP($CU55-DO$103,Männer!$G$9:$J$102,4)+VLOOKUP($CU55-DO$103+1,Männer!$G$9:$J$102,4))*0.5*(VLOOKUP($CU55-DO$103,Männer!$AZ$9:$BD$102,5)+VLOOKUP($CU55-DO$103+1,Männer!$AZ$9:$BD$102,5)),RundDx)))</f>
        <v>800808563</v>
      </c>
      <c r="DP55" s="25">
        <f>IF($CU55&gt;=RAF,"",IF($CU55-DP$103&lt;BeginnAlter,"",ROUND(v^($CU55+FaktorAlter)*$L55*$D55*0.5*(VLOOKUP($CU55-DP$103,Männer!$G$9:$J$102,4)+VLOOKUP($CU55-DP$103+1,Männer!$G$9:$J$102,4))*0.5*(VLOOKUP($CU55-DP$103,Männer!$AZ$9:$BD$102,5)+VLOOKUP($CU55-DP$103+1,Männer!$AZ$9:$BD$102,5)),RundDx)))</f>
        <v>833495498</v>
      </c>
      <c r="DQ55" s="25">
        <f>IF($CU55&gt;=RAF,"",IF($CU55-DQ$103&lt;BeginnAlter,"",ROUND(v^($CU55+FaktorAlter)*$L55*$D55*0.5*(VLOOKUP($CU55-DQ$103,Männer!$G$9:$J$102,4)+VLOOKUP($CU55-DQ$103+1,Männer!$G$9:$J$102,4))*0.5*(VLOOKUP($CU55-DQ$103,Männer!$AZ$9:$BD$102,5)+VLOOKUP($CU55-DQ$103+1,Männer!$AZ$9:$BD$102,5)),RundDx)))</f>
        <v>866705796</v>
      </c>
      <c r="DR55" s="25">
        <f>IF($CU55&gt;=RAF,"",IF($CU55-DR$103&lt;BeginnAlter,"",ROUND(v^($CU55+FaktorAlter)*$L55*$D55*0.5*(VLOOKUP($CU55-DR$103,Männer!$G$9:$J$102,4)+VLOOKUP($CU55-DR$103+1,Männer!$G$9:$J$102,4))*0.5*(VLOOKUP($CU55-DR$103,Männer!$AZ$9:$BD$102,5)+VLOOKUP($CU55-DR$103+1,Männer!$AZ$9:$BD$102,5)),RundDx)))</f>
        <v>900430209</v>
      </c>
      <c r="DS55" s="25">
        <f>IF($CU55&gt;=RAF,"",IF($CU55-DS$103&lt;BeginnAlter,"",ROUND(v^($CU55+FaktorAlter)*$L55*$D55*0.5*(VLOOKUP($CU55-DS$103,Männer!$G$9:$J$102,4)+VLOOKUP($CU55-DS$103+1,Männer!$G$9:$J$102,4))*0.5*(VLOOKUP($CU55-DS$103,Männer!$AZ$9:$BD$102,5)+VLOOKUP($CU55-DS$103+1,Männer!$AZ$9:$BD$102,5)),RundDx)))</f>
        <v>934174178</v>
      </c>
      <c r="DT55" s="25">
        <f>IF($CU55&gt;=RAF,"",IF($CU55-DT$103&lt;BeginnAlter,"",ROUND(v^($CU55+FaktorAlter)*$L55*$D55*0.5*(VLOOKUP($CU55-DT$103,Männer!$G$9:$J$102,4)+VLOOKUP($CU55-DT$103+1,Männer!$G$9:$J$102,4))*0.5*(VLOOKUP($CU55-DT$103,Männer!$AZ$9:$BD$102,5)+VLOOKUP($CU55-DT$103+1,Männer!$AZ$9:$BD$102,5)),RundDx)))</f>
        <v>967410470</v>
      </c>
      <c r="DU55" s="25">
        <f>IF($CU55&gt;=RAF,"",IF($CU55-DU$103&lt;BeginnAlter,"",ROUND(v^($CU55+FaktorAlter)*$L55*$D55*0.5*(VLOOKUP($CU55-DU$103,Männer!$G$9:$J$102,4)+VLOOKUP($CU55-DU$103+1,Männer!$G$9:$J$102,4))*0.5*(VLOOKUP($CU55-DU$103,Männer!$AZ$9:$BD$102,5)+VLOOKUP($CU55-DU$103+1,Männer!$AZ$9:$BD$102,5)),RundDx)))</f>
        <v>1000144683</v>
      </c>
      <c r="DV55" s="25">
        <f>IF($CU55&gt;=RAF,"",IF($CU55-DV$103&lt;BeginnAlter,"",ROUND(v^($CU55+FaktorAlter)*$L55*$D55*0.5*(VLOOKUP($CU55-DV$103,Männer!$G$9:$J$102,4)+VLOOKUP($CU55-DV$103+1,Männer!$G$9:$J$102,4))*0.5*(VLOOKUP($CU55-DV$103,Männer!$AZ$9:$BD$102,5)+VLOOKUP($CU55-DV$103+1,Männer!$AZ$9:$BD$102,5)),RundDx)))</f>
        <v>1032381757</v>
      </c>
      <c r="DW55" s="25">
        <f>IF($CU55&gt;=RAF,"",IF($CU55-DW$103&lt;BeginnAlter,"",ROUND(v^($CU55+FaktorAlter)*$L55*$D55*0.5*(VLOOKUP($CU55-DW$103,Männer!$G$9:$J$102,4)+VLOOKUP($CU55-DW$103+1,Männer!$G$9:$J$102,4))*0.5*(VLOOKUP($CU55-DW$103,Männer!$AZ$9:$BD$102,5)+VLOOKUP($CU55-DW$103+1,Männer!$AZ$9:$BD$102,5)),RundDx)))</f>
        <v>1064063768</v>
      </c>
      <c r="DX55" s="25">
        <f>IF($CU55&gt;=RAF,"",IF($CU55-DX$103&lt;BeginnAlter,"",ROUND(v^($CU55+FaktorAlter)*$L55*$D55*0.5*(VLOOKUP($CU55-DX$103,Männer!$G$9:$J$102,4)+VLOOKUP($CU55-DX$103+1,Männer!$G$9:$J$102,4))*0.5*(VLOOKUP($CU55-DX$103,Männer!$AZ$9:$BD$102,5)+VLOOKUP($CU55-DX$103+1,Männer!$AZ$9:$BD$102,5)),RundDx)))</f>
        <v>1095194232</v>
      </c>
      <c r="DY55" s="25">
        <f>IF($CU55&gt;=RAF,"",IF($CU55-DY$103&lt;BeginnAlter,"",ROUND(v^($CU55+FaktorAlter)*$L55*$D55*0.5*(VLOOKUP($CU55-DY$103,Männer!$G$9:$J$102,4)+VLOOKUP($CU55-DY$103+1,Männer!$G$9:$J$102,4))*0.5*(VLOOKUP($CU55-DY$103,Männer!$AZ$9:$BD$102,5)+VLOOKUP($CU55-DY$103+1,Männer!$AZ$9:$BD$102,5)),RundDx)))</f>
        <v>1125821339</v>
      </c>
      <c r="DZ55" s="25">
        <f>IF($CU55&gt;=RAF,"",IF($CU55-DZ$103&lt;BeginnAlter,"",ROUND(v^($CU55+FaktorAlter)*$L55*$D55*0.5*(VLOOKUP($CU55-DZ$103,Männer!$G$9:$J$102,4)+VLOOKUP($CU55-DZ$103+1,Männer!$G$9:$J$102,4))*0.5*(VLOOKUP($CU55-DZ$103,Männer!$AZ$9:$BD$102,5)+VLOOKUP($CU55-DZ$103+1,Männer!$AZ$9:$BD$102,5)),RundDx)))</f>
        <v>1155925381</v>
      </c>
      <c r="EA55" s="43">
        <f>IF($CU55&gt;=RAF,"",IF($CU55-EA$103&lt;BeginnAlter,"",ROUND((SUM(CV55:CV$56)+SUM(FN$9:FN$56))/VLOOKUP($CU55,$AH$9:$AI$102,2)/VLOOKUP($CU55-EA$103,Männer!$G$9:$J$102,4),Rundäx)))</f>
        <v>0.64800000000000002</v>
      </c>
      <c r="EB55" s="43">
        <f>IF($CU55&gt;=RAF,"",IF($CU55-EB$103&lt;BeginnAlter,"",ROUND((SUM(CW55:CW$56)+SUM(FO$9:FO$56))/VLOOKUP($CU55,$AH$9:$AI$102,2)/VLOOKUP($CU55-EB$103,Männer!$G$9:$J$102,4),Rundäx)))</f>
        <v>0.71799999999999997</v>
      </c>
      <c r="EC55" s="43">
        <f>IF($CU55&gt;=RAF,"",IF($CU55-EC$103&lt;BeginnAlter,"",ROUND((SUM(CX55:CX$56)+SUM(FP$9:FP$56))/VLOOKUP($CU55,$AH$9:$AI$102,2)/VLOOKUP($CU55-EC$103,Männer!$G$9:$J$102,4),Rundäx)))</f>
        <v>0.79400000000000004</v>
      </c>
      <c r="ED55" s="43">
        <f>IF($CU55&gt;=RAF,"",IF($CU55-ED$103&lt;BeginnAlter,"",ROUND((SUM(CY55:CY$56)+SUM(FQ$9:FQ$56))/VLOOKUP($CU55,$AH$9:$AI$102,2)/VLOOKUP($CU55-ED$103,Männer!$G$9:$J$102,4),Rundäx)))</f>
        <v>0.877</v>
      </c>
      <c r="EE55" s="43">
        <f>IF($CU55&gt;=RAF,"",IF($CU55-EE$103&lt;BeginnAlter,"",ROUND((SUM(CZ55:CZ$56)+SUM(FR$9:FR$56))/VLOOKUP($CU55,$AH$9:$AI$102,2)/VLOOKUP($CU55-EE$103,Männer!$G$9:$J$102,4),Rundäx)))</f>
        <v>0.96499999999999997</v>
      </c>
      <c r="EF55" s="43">
        <f>IF($CU55&gt;=RAF,"",IF($CU55-EF$103&lt;BeginnAlter,"",ROUND((SUM(DA55:DA$56)+SUM(FS$9:FS$56))/VLOOKUP($CU55,$AH$9:$AI$102,2)/VLOOKUP($CU55-EF$103,Männer!$G$9:$J$102,4),Rundäx)))</f>
        <v>1.0609999999999999</v>
      </c>
      <c r="EG55" s="43">
        <f>IF($CU55&gt;=RAF,"",IF($CU55-EG$103&lt;BeginnAlter,"",ROUND((SUM(DB55:DB$56)+SUM(FT$9:FT$56))/VLOOKUP($CU55,$AH$9:$AI$102,2)/VLOOKUP($CU55-EG$103,Männer!$G$9:$J$102,4),Rundäx)))</f>
        <v>1.1639999999999999</v>
      </c>
      <c r="EH55" s="43">
        <f>IF($CU55&gt;=RAF,"",IF($CU55-EH$103&lt;BeginnAlter,"",ROUND((SUM(DC55:DC$56)+SUM(FU$9:FU$56))/VLOOKUP($CU55,$AH$9:$AI$102,2)/VLOOKUP($CU55-EH$103,Männer!$G$9:$J$102,4),Rundäx)))</f>
        <v>1.2749999999999999</v>
      </c>
      <c r="EI55" s="89"/>
      <c r="EJ55" s="35">
        <f t="shared" si="61"/>
        <v>63</v>
      </c>
      <c r="EK55" s="43">
        <f>IF($CU55&gt;=RAF,"",IF($CU55-EK$103&lt;BeginnAlter,"",ROUND((SUM(DD55:DD$56)+SUM(FV$9:FV$56))/VLOOKUP($CU55,$AH$9:$AI$102,2)/VLOOKUP($CU55-EK$103,Männer!$G$9:$J$102,4),Rundäx)))</f>
        <v>1.3939999999999999</v>
      </c>
      <c r="EL55" s="43">
        <f>IF($CU55&gt;=RAF,"",IF($CU55-EL$103&lt;BeginnAlter,"",ROUND((SUM(DE55:DE$56)+SUM(FW$9:FW$56))/VLOOKUP($CU55,$AH$9:$AI$102,2)/VLOOKUP($CU55-EL$103,Männer!$G$9:$J$102,4),Rundäx)))</f>
        <v>1.522</v>
      </c>
      <c r="EM55" s="43">
        <f>IF($CU55&gt;=RAF,"",IF($CU55-EM$103&lt;BeginnAlter,"",ROUND((SUM(DF55:DF$56)+SUM(FX$9:FX$56))/VLOOKUP($CU55,$AH$9:$AI$102,2)/VLOOKUP($CU55-EM$103,Männer!$G$9:$J$102,4),Rundäx)))</f>
        <v>1.6579999999999999</v>
      </c>
      <c r="EN55" s="43">
        <f>IF($CU55&gt;=RAF,"",IF($CU55-EN$103&lt;BeginnAlter,"",ROUND((SUM(DG55:DG$56)+SUM(FY$9:FY$56))/VLOOKUP($CU55,$AH$9:$AI$102,2)/VLOOKUP($CU55-EN$103,Männer!$G$9:$J$102,4),Rundäx)))</f>
        <v>1.804</v>
      </c>
      <c r="EO55" s="43">
        <f>IF($CU55&gt;=RAF,"",IF($CU55-EO$103&lt;BeginnAlter,"",ROUND((SUM(DH55:DH$56)+SUM(FZ$9:FZ$56))/VLOOKUP($CU55,$AH$9:$AI$102,2)/VLOOKUP($CU55-EO$103,Männer!$G$9:$J$102,4),Rundäx)))</f>
        <v>1.9610000000000001</v>
      </c>
      <c r="EP55" s="43">
        <f>IF($CU55&gt;=RAF,"",IF($CU55-EP$103&lt;BeginnAlter,"",ROUND((SUM(DI55:DI$56)+SUM(GA$9:GA$56))/VLOOKUP($CU55,$AH$9:$AI$102,2)/VLOOKUP($CU55-EP$103,Männer!$G$9:$J$102,4),Rundäx)))</f>
        <v>2.1269999999999998</v>
      </c>
      <c r="EQ55" s="43">
        <f>IF($CU55&gt;=RAF,"",IF($CU55-EQ$103&lt;BeginnAlter,"",ROUND((SUM(DJ55:DJ$56)+SUM(GB$9:GB$56))/VLOOKUP($CU55,$AH$9:$AI$102,2)/VLOOKUP($CU55-EQ$103,Männer!$G$9:$J$102,4),Rundäx)))</f>
        <v>2.3029999999999999</v>
      </c>
      <c r="ER55" s="43">
        <f>IF($CU55&gt;=RAF,"",IF($CU55-ER$103&lt;BeginnAlter,"",ROUND((SUM(DK55:DK$56)+SUM(GC$9:GC$56))/VLOOKUP($CU55,$AH$9:$AI$102,2)/VLOOKUP($CU55-ER$103,Männer!$G$9:$J$102,4),Rundäx)))</f>
        <v>2.4900000000000002</v>
      </c>
      <c r="ES55" s="89"/>
      <c r="ET55" s="35">
        <f t="shared" si="62"/>
        <v>63</v>
      </c>
      <c r="EU55" s="43">
        <f>IF($CU55&gt;=RAF,"",IF($CU55-EU$103&lt;BeginnAlter,"",ROUND((SUM(DL55:DL$56)+SUM(GD$9:GD$56))/VLOOKUP($CU55,$AH$9:$AI$102,2)/VLOOKUP($CU55-EU$103,Männer!$G$9:$J$102,4),Rundäx)))</f>
        <v>2.6880000000000002</v>
      </c>
      <c r="EV55" s="43">
        <f>IF($CU55&gt;=RAF,"",IF($CU55-EV$103&lt;BeginnAlter,"",ROUND((SUM(DM55:DM$56)+SUM(GE$9:GE$56))/VLOOKUP($CU55,$AH$9:$AI$102,2)/VLOOKUP($CU55-EV$103,Männer!$G$9:$J$102,4),Rundäx)))</f>
        <v>2.8969999999999998</v>
      </c>
      <c r="EW55" s="43">
        <f>IF($CU55&gt;=RAF,"",IF($CU55-EW$103&lt;BeginnAlter,"",ROUND((SUM(DN55:DN$56)+SUM(GF$9:GF$56))/VLOOKUP($CU55,$AH$9:$AI$102,2)/VLOOKUP($CU55-EW$103,Männer!$G$9:$J$102,4),Rundäx)))</f>
        <v>3.117</v>
      </c>
      <c r="EX55" s="43">
        <f>IF($CU55&gt;=RAF,"",IF($CU55-EX$103&lt;BeginnAlter,"",ROUND((SUM(DO55:DO$56)+SUM(GG$9:GG$56))/VLOOKUP($CU55,$AH$9:$AI$102,2)/VLOOKUP($CU55-EX$103,Männer!$G$9:$J$102,4),Rundäx)))</f>
        <v>3.3479999999999999</v>
      </c>
      <c r="EY55" s="43">
        <f>IF($CU55&gt;=RAF,"",IF($CU55-EY$103&lt;BeginnAlter,"",ROUND((SUM(DP55:DP$56)+SUM(GH$9:GH$56))/VLOOKUP($CU55,$AH$9:$AI$102,2)/VLOOKUP($CU55-EY$103,Männer!$G$9:$J$102,4),Rundäx)))</f>
        <v>3.589</v>
      </c>
      <c r="EZ55" s="43">
        <f>IF($CU55&gt;=RAF,"",IF($CU55-EZ$103&lt;BeginnAlter,"",ROUND((SUM(DQ55:DQ$56)+SUM(GI$9:GI$56))/VLOOKUP($CU55,$AH$9:$AI$102,2)/VLOOKUP($CU55-EZ$103,Männer!$G$9:$J$102,4),Rundäx)))</f>
        <v>3.8420000000000001</v>
      </c>
      <c r="FA55" s="43">
        <f>IF($CU55&gt;=RAF,"",IF($CU55-FA$103&lt;BeginnAlter,"",ROUND((SUM(DR55:DR$56)+SUM(GJ$9:GJ$56))/VLOOKUP($CU55,$AH$9:$AI$102,2)/VLOOKUP($CU55-FA$103,Männer!$G$9:$J$102,4),Rundäx)))</f>
        <v>4.1040000000000001</v>
      </c>
      <c r="FB55" s="43">
        <f>IF($CU55&gt;=RAF,"",IF($CU55-FB$103&lt;BeginnAlter,"",ROUND((SUM(DS55:DS$56)+SUM(GK$9:GK$56))/VLOOKUP($CU55,$AH$9:$AI$102,2)/VLOOKUP($CU55-FB$103,Männer!$G$9:$J$102,4),Rundäx)))</f>
        <v>4.375</v>
      </c>
      <c r="FC55" s="89"/>
      <c r="FD55" s="35">
        <f t="shared" si="63"/>
        <v>63</v>
      </c>
      <c r="FE55" s="43">
        <f>IF($CU55&gt;=RAF,"",IF($CU55-FE$103&lt;BeginnAlter,"",ROUND((SUM(DT55:DT$56)+SUM(GL$9:GL$56))/VLOOKUP($CU55,$AH$9:$AI$102,2)/VLOOKUP($CU55-FE$103,Männer!$G$9:$J$102,4),Rundäx)))</f>
        <v>4.6539999999999999</v>
      </c>
      <c r="FF55" s="43">
        <f>IF($CU55&gt;=RAF,"",IF($CU55-FF$103&lt;BeginnAlter,"",ROUND((SUM(DU55:DU$56)+SUM(GM$9:GM$56))/VLOOKUP($CU55,$AH$9:$AI$102,2)/VLOOKUP($CU55-FF$103,Männer!$G$9:$J$102,4),Rundäx)))</f>
        <v>4.9409999999999998</v>
      </c>
      <c r="FG55" s="43">
        <f>IF($CU55&gt;=RAF,"",IF($CU55-FG$103&lt;BeginnAlter,"",ROUND((SUM(DV55:DV$56)+SUM(GN$9:GN$56))/VLOOKUP($CU55,$AH$9:$AI$102,2)/VLOOKUP($CU55-FG$103,Männer!$G$9:$J$102,4),Rundäx)))</f>
        <v>5.234</v>
      </c>
      <c r="FH55" s="43">
        <f>IF($CU55&gt;=RAF,"",IF($CU55-FH$103&lt;BeginnAlter,"",ROUND((SUM(DW55:DW$56)+SUM(GO$9:GO$56))/VLOOKUP($CU55,$AH$9:$AI$102,2)/VLOOKUP($CU55-FH$103,Männer!$G$9:$J$102,4),Rundäx)))</f>
        <v>5.532</v>
      </c>
      <c r="FI55" s="43">
        <f>IF($CU55&gt;=RAF,"",IF($CU55-FI$103&lt;BeginnAlter,"",ROUND((SUM(DX55:DX$56)+SUM(GP$9:GP$56))/VLOOKUP($CU55,$AH$9:$AI$102,2)/VLOOKUP($CU55-FI$103,Männer!$G$9:$J$102,4),Rundäx)))</f>
        <v>5.835</v>
      </c>
      <c r="FJ55" s="43">
        <f>IF($CU55&gt;=RAF,"",IF($CU55-FJ$103&lt;BeginnAlter,"",ROUND((SUM(DY55:DY$56)+SUM(GQ$9:GQ$56))/VLOOKUP($CU55,$AH$9:$AI$102,2)/VLOOKUP($CU55-FJ$103,Männer!$G$9:$J$102,4),Rundäx)))</f>
        <v>6.1420000000000003</v>
      </c>
      <c r="FK55" s="43">
        <f>IF($CU55&gt;=RAF,"",IF($CU55-FK$103&lt;BeginnAlter,"",ROUND((SUM(DZ55:DZ$56)+SUM(GR$9:GR$56))/VLOOKUP($CU55,$AH$9:$AI$102,2)/VLOOKUP($CU55-FK$103,Männer!$G$9:$J$102,4),Rundäx)))</f>
        <v>6.4530000000000003</v>
      </c>
      <c r="FL55" s="89"/>
      <c r="FM55" s="35">
        <f t="shared" si="64"/>
        <v>110</v>
      </c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4"/>
      <c r="GT55" s="24"/>
      <c r="GU55" s="24"/>
      <c r="GV55" s="24"/>
      <c r="GW55" s="24"/>
      <c r="GX55" s="24"/>
      <c r="GY55" s="24" t="str">
        <f>IF(FM55&gt;=RAF," ",#REF!/$AI55/Frauen!$J55)</f>
        <v xml:space="preserve"> </v>
      </c>
      <c r="GZ55" s="24"/>
      <c r="HA55" s="89"/>
      <c r="HB55" s="35">
        <f t="shared" si="65"/>
        <v>110</v>
      </c>
      <c r="HC55" s="24"/>
      <c r="HD55" s="24"/>
      <c r="HE55" s="24"/>
      <c r="HF55" s="24"/>
      <c r="HG55" s="24"/>
      <c r="HH55" s="24"/>
      <c r="HI55" s="24"/>
      <c r="HJ55" s="24"/>
      <c r="HK55" s="89"/>
      <c r="HL55" s="35">
        <f t="shared" si="66"/>
        <v>110</v>
      </c>
      <c r="HM55" s="24"/>
      <c r="HN55" s="24"/>
      <c r="HO55" s="24"/>
      <c r="HP55" s="24"/>
      <c r="HQ55" s="24"/>
      <c r="HR55" s="24"/>
      <c r="HS55" s="24"/>
      <c r="HT55" s="24"/>
      <c r="HU55" s="89"/>
      <c r="HV55" s="35">
        <f t="shared" si="67"/>
        <v>110</v>
      </c>
      <c r="HW55" s="24"/>
      <c r="HX55" s="24"/>
      <c r="HY55" s="24"/>
      <c r="HZ55" s="24"/>
      <c r="IA55" s="24"/>
      <c r="IB55" s="24"/>
      <c r="IC55" s="24"/>
      <c r="ID55" s="89"/>
      <c r="IE55" s="9">
        <f t="shared" si="80"/>
        <v>63</v>
      </c>
      <c r="IF55" s="11">
        <f t="shared" si="25"/>
        <v>1</v>
      </c>
      <c r="IG55" s="11">
        <f>IF($IE55&lt;RAF,IF(S56&lt;=RAK,ROUND(SUM(IF55:INDEX(Daky,RAF-BeginnAlter))+INDEX(Day,RAF-BeginnAlter+1)*INDEX(äky,1),RundDx),0),"")</f>
        <v>1</v>
      </c>
      <c r="IH55" s="11">
        <f>IF($IE55&lt;RAF,IF(S56&lt;=RAK,ROUND(SUM(IG55:INDEX(Naky,RAF-BeginnAlter))+INDEX(Day,RAF-BeginnAlter+1)*INDEX(äky,1),RundDx),0),"")</f>
        <v>1</v>
      </c>
      <c r="II55" s="10">
        <f t="shared" si="26"/>
        <v>0</v>
      </c>
      <c r="IJ55" s="11">
        <f t="shared" si="27"/>
        <v>5</v>
      </c>
      <c r="IK55" s="11">
        <f>IF($IE55&lt;RAF,IF(S56&lt;=RAK,SUM(IJ55:INDEX(Diky,RAF-BeginnAlter))+INDEX(Diy,RAF-BeginnAlter+1)*INDEX(äky,1),0),"")</f>
        <v>5</v>
      </c>
      <c r="IL55" s="10">
        <f t="shared" si="28"/>
        <v>0</v>
      </c>
      <c r="IM55" s="89"/>
      <c r="IN55" s="9">
        <f t="shared" si="29"/>
        <v>110</v>
      </c>
      <c r="IO55" s="11"/>
      <c r="IP55" s="11"/>
      <c r="IQ55" s="10"/>
      <c r="IR55" s="86"/>
    </row>
    <row r="56" spans="1:252" ht="15.75" customHeight="1" thickBot="1" x14ac:dyDescent="0.3">
      <c r="A56" s="12">
        <f t="shared" si="69"/>
        <v>64</v>
      </c>
      <c r="B56" s="96">
        <v>4.8343919999999999E-3</v>
      </c>
      <c r="C56" s="96">
        <v>3.4714391999999997E-2</v>
      </c>
      <c r="D56" s="96">
        <v>2.63E-2</v>
      </c>
      <c r="E56" s="96">
        <v>1.0484826341603859E-2</v>
      </c>
      <c r="F56" s="90"/>
      <c r="G56" s="12">
        <f t="shared" si="70"/>
        <v>64</v>
      </c>
      <c r="H56" s="14">
        <f t="shared" si="30"/>
        <v>68017</v>
      </c>
      <c r="I56" s="27">
        <f t="shared" si="31"/>
        <v>22304</v>
      </c>
      <c r="J56" s="27">
        <f t="shared" si="32"/>
        <v>90321</v>
      </c>
      <c r="K56" s="31">
        <f>IF(J56&gt;0,ROUND(SUM(J56:J$102)/J56-0.5,Rundex),"")</f>
        <v>21.15</v>
      </c>
      <c r="L56" s="27">
        <f t="shared" si="6"/>
        <v>90321</v>
      </c>
      <c r="M56" s="31">
        <f>IF(L56&gt;0,ROUND(SUM(L56:L$102)/L56-0.5,Rundex),"")</f>
        <v>21.15</v>
      </c>
      <c r="N56" s="90"/>
      <c r="O56" s="12">
        <f t="shared" si="71"/>
        <v>64</v>
      </c>
      <c r="P56" s="39">
        <v>0.1294554840203439</v>
      </c>
      <c r="Q56" s="97">
        <v>65.705586140208197</v>
      </c>
      <c r="R56" s="39">
        <v>1.7110423383464143E-3</v>
      </c>
      <c r="S56" s="97">
        <v>20.239999999999998</v>
      </c>
      <c r="T56" s="29">
        <v>8.1718980888853231E-3</v>
      </c>
      <c r="U56" s="14">
        <f t="shared" si="33"/>
        <v>91636</v>
      </c>
      <c r="V56" s="31">
        <f>IF(U56&gt;0,ROUND(SUM(U56:U$102)/U56-0.5,Rundex),"")</f>
        <v>22.12</v>
      </c>
      <c r="W56" s="90"/>
      <c r="X56" s="9">
        <f t="shared" si="72"/>
        <v>64</v>
      </c>
      <c r="Y56" s="11">
        <f t="shared" si="34"/>
        <v>16374</v>
      </c>
      <c r="Z56" s="11" t="str">
        <f>IF($X56&lt;RAF,SUM(Y56:INDEX(Day,RAF-BeginnAlter))," ")</f>
        <v xml:space="preserve"> </v>
      </c>
      <c r="AA56" s="11" t="str">
        <f t="shared" si="0"/>
        <v xml:space="preserve"> </v>
      </c>
      <c r="AB56" s="11" t="str">
        <f>IF($X56&lt;RAF,SUM(AA56:INDEX(Cay,RAF-BeginnAlter))," ")</f>
        <v xml:space="preserve"> </v>
      </c>
      <c r="AC56" s="11" t="str">
        <f t="shared" si="1"/>
        <v xml:space="preserve"> </v>
      </c>
      <c r="AD56" s="11" t="str">
        <f>IF($X56&lt;RAF,SUM(AC56:INDEX(Caiy,RAF-BeginnAlter))," ")</f>
        <v xml:space="preserve"> </v>
      </c>
      <c r="AE56" s="10" t="str">
        <f t="shared" si="35"/>
        <v xml:space="preserve"> </v>
      </c>
      <c r="AF56" s="10" t="str">
        <f t="shared" si="36"/>
        <v xml:space="preserve"> </v>
      </c>
      <c r="AG56" s="89"/>
      <c r="AH56" s="9">
        <f t="shared" si="73"/>
        <v>64</v>
      </c>
      <c r="AI56" s="11">
        <f t="shared" si="37"/>
        <v>21744</v>
      </c>
      <c r="AJ56" s="11">
        <f>IF($AH56&gt;RAF," ",IF($AH56&lt;RAF,SUM(AI56:INDEX(Diy,RAF-BeginnAlter))+INDEX(Ny,RAF-BeginnAlter+1),INDEX(Ny,RAF-BeginnAlter+1)))</f>
        <v>366094</v>
      </c>
      <c r="AK56" s="11" t="str">
        <f>IF($AH56&lt;RAF,SUM(AI56:INDEX(Diy,RAF-BeginnAlter))," ")</f>
        <v xml:space="preserve"> </v>
      </c>
      <c r="AL56" s="10">
        <f t="shared" si="38"/>
        <v>16.837</v>
      </c>
      <c r="AM56" s="10">
        <f t="shared" si="39"/>
        <v>16.378</v>
      </c>
      <c r="AN56" s="10" t="str">
        <f t="shared" si="40"/>
        <v xml:space="preserve"> </v>
      </c>
      <c r="AO56" s="10" t="str">
        <f t="shared" si="41"/>
        <v xml:space="preserve"> </v>
      </c>
      <c r="AP56" s="89"/>
      <c r="AQ56" s="12">
        <f t="shared" si="74"/>
        <v>64</v>
      </c>
      <c r="AR56" s="14">
        <f t="shared" si="42"/>
        <v>21744</v>
      </c>
      <c r="AS56" s="14">
        <f>SUM(AR56:AR$96)</f>
        <v>366094</v>
      </c>
      <c r="AT56" s="27" t="str">
        <f>IF($AQ56&lt;RAF,SUM(AR56:INDEX(Dy,RAF-BeginnAlter))," ")</f>
        <v xml:space="preserve"> </v>
      </c>
      <c r="AU56" s="26">
        <f t="shared" si="43"/>
        <v>16.837</v>
      </c>
      <c r="AV56" s="26">
        <f t="shared" si="44"/>
        <v>16.378</v>
      </c>
      <c r="AW56" s="26" t="str">
        <f t="shared" si="45"/>
        <v xml:space="preserve"> </v>
      </c>
      <c r="AX56" s="26" t="str">
        <f t="shared" si="46"/>
        <v xml:space="preserve"> </v>
      </c>
      <c r="AY56" s="90"/>
      <c r="AZ56" s="12">
        <f t="shared" si="75"/>
        <v>64</v>
      </c>
      <c r="BA56" s="14">
        <f t="shared" si="47"/>
        <v>22060</v>
      </c>
      <c r="BB56" s="14">
        <f>SUM(BA56:BA$96)</f>
        <v>385585</v>
      </c>
      <c r="BC56" s="13">
        <f t="shared" si="48"/>
        <v>17.478999999999999</v>
      </c>
      <c r="BD56" s="13">
        <f t="shared" si="7"/>
        <v>17.021000000000001</v>
      </c>
      <c r="BE56" s="90"/>
      <c r="BF56" s="12">
        <f t="shared" si="54"/>
        <v>47</v>
      </c>
      <c r="BG56" s="13" t="str">
        <f t="shared" si="8"/>
        <v/>
      </c>
      <c r="BH56" s="13" t="str">
        <f t="shared" si="9"/>
        <v/>
      </c>
      <c r="BI56" s="90"/>
      <c r="BJ56" s="12">
        <f t="shared" si="76"/>
        <v>64</v>
      </c>
      <c r="BK56" s="14" t="str">
        <f t="shared" si="10"/>
        <v xml:space="preserve"> </v>
      </c>
      <c r="BL56" s="14" t="str">
        <f>IF(BJ56&lt;RAF,SUM(BK56:INDEX(Daiy,RAF-BeginnAlter))," ")</f>
        <v xml:space="preserve"> </v>
      </c>
      <c r="BM56" s="14" t="str">
        <f>IF(BJ56&lt;RAF,SUM(BL56:INDEX(Naiy,RAF-BeginnAlter))," ")</f>
        <v xml:space="preserve"> </v>
      </c>
      <c r="BN56" s="13" t="str">
        <f t="shared" si="11"/>
        <v xml:space="preserve"> </v>
      </c>
      <c r="BO56" s="13" t="str">
        <f t="shared" si="12"/>
        <v xml:space="preserve"> </v>
      </c>
      <c r="BP56" s="90"/>
      <c r="BQ56" s="12">
        <f t="shared" si="77"/>
        <v>64</v>
      </c>
      <c r="BR56" s="14" t="str">
        <f t="shared" si="13"/>
        <v xml:space="preserve"> </v>
      </c>
      <c r="BS56" s="14" t="str">
        <f>IF(BQ56&lt;RAF,SUM(BR56:INDEX(Daiys,RAF-BeginnAlter))," ")</f>
        <v xml:space="preserve"> </v>
      </c>
      <c r="BT56" s="14" t="str">
        <f>IF(BQ56&lt;RAF,SUM(BS56:INDEX(Naiys,RAF-BeginnAlter))," ")</f>
        <v xml:space="preserve"> </v>
      </c>
      <c r="BU56" s="13" t="str">
        <f t="shared" si="14"/>
        <v xml:space="preserve"> </v>
      </c>
      <c r="BV56" s="13" t="str">
        <f t="shared" si="15"/>
        <v xml:space="preserve"> </v>
      </c>
      <c r="BW56" s="90"/>
      <c r="BX56" s="9">
        <f t="shared" si="78"/>
        <v>64</v>
      </c>
      <c r="BY56" s="10" t="str">
        <f t="shared" si="16"/>
        <v/>
      </c>
      <c r="BZ56" s="11" t="str">
        <f t="shared" si="17"/>
        <v/>
      </c>
      <c r="CA56" s="11" t="str">
        <f>IF(S57&lt;=RAK,IF($BX56&lt;RAF,SUM(BZ56:INDEX(Dazy,RAF-BeginnAlter)),""),"")</f>
        <v/>
      </c>
      <c r="CB56" s="10" t="str">
        <f t="shared" si="18"/>
        <v/>
      </c>
      <c r="CC56" s="11">
        <f t="shared" si="19"/>
        <v>18458</v>
      </c>
      <c r="CD56" s="10">
        <f t="shared" si="20"/>
        <v>14.105</v>
      </c>
      <c r="CE56" s="10">
        <f t="shared" si="21"/>
        <v>8.0000000000000002E-3</v>
      </c>
      <c r="CF56" s="89"/>
      <c r="CG56" s="9">
        <f t="shared" si="79"/>
        <v>64</v>
      </c>
      <c r="CH56" s="11" t="str">
        <f>IF(CG56&lt;RAF,ROUND(v^($CG56+FaktorAlter)*$H56*($B56*0.5*($P56+$P57)*(VLOOKUP(TRUNC(0.5*($Q56+$Q57),0),Männer!$AZ$9:$BD$95,5)+(0.5*($Q56+$Q57)-TRUNC(0.5*($Q56+$Q57),0))*(VLOOKUP(TRUNC(0.5*($Q56+$Q57)+1,0),Männer!$AZ$9:$BD$95,5)-VLOOKUP(TRUNC(0.5*($Q56+$Q57),0),Männer!$AZ$9:$BD$95,5)))+$C56*0.5*($CN56+$CN57)),RundDx),"")</f>
        <v/>
      </c>
      <c r="CI56" s="11" t="str">
        <f>IF(CG56&lt;RAF,ROUND(SUM(CH56:INDEX(Dawy,RAF-BeginnAlter))+INDEX(Day,RAF-BeginnAlter+1)*INDEX(äwy,1),RundDx),"")</f>
        <v/>
      </c>
      <c r="CJ56" s="11" t="str">
        <f>IF(CG56&lt;RAF,ROUND(SUM(CI56:INDEX(Nawy,RAF-BeginnAlter))+INDEX(Day,RAF-BeginnAlter+1)*INDEX(äwy,1),RundDx),"")</f>
        <v/>
      </c>
      <c r="CK56" s="10" t="str">
        <f t="shared" si="22"/>
        <v/>
      </c>
      <c r="CL56" s="11" t="str">
        <f>IF(CG56&lt;RAF,ROUND(v^($CG56+FaktorAlter)*$L56*$D56*0.5*($P56+$P57)*(VLOOKUP(TRUNC(0.5*($Q56+$Q57),0),Männer!$AZ$9:$BD$95,5)+(0.5*($Q56+$Q57)-TRUNC(0.5*($Q56+$Q57),0))*(VLOOKUP(TRUNC(0.5*($Q56+$Q57)+1,0),Männer!$AZ$9:$BD$95,5)-VLOOKUP(TRUNC(0.5*($Q56+$Q57),0),Männer!$AZ$9:$BD$95,5))),RundDx),"")</f>
        <v/>
      </c>
      <c r="CM56" s="11" t="str">
        <f>IF(CG56&lt;RAF,SUM(CL56:INDEX(Diwy,RAF-BeginnAlter))+INDEX(Diy,RAF-BeginnAlter+1)*INDEX(äwy,1),"")</f>
        <v/>
      </c>
      <c r="CN56" s="10">
        <f t="shared" si="23"/>
        <v>0.11600000000000001</v>
      </c>
      <c r="CO56" s="89"/>
      <c r="CP56" s="12">
        <f t="shared" si="59"/>
        <v>111</v>
      </c>
      <c r="CQ56" s="14"/>
      <c r="CR56" s="14"/>
      <c r="CS56" s="13"/>
      <c r="CT56" s="90"/>
      <c r="CU56" s="36">
        <f t="shared" si="60"/>
        <v>64</v>
      </c>
      <c r="CV56" s="27" t="str">
        <f>IF($CU56&gt;=RAF,"",IF($CU56-CV$103&lt;BeginnAlter,"",ROUND(v^($CU56+FaktorAlter)*$L56*$D56*0.5*(VLOOKUP($CU56-CV$103,Männer!$G$9:$J$102,4)+VLOOKUP($CU56-CV$103+1,Männer!$G$9:$J$102,4))*0.5*(VLOOKUP($CU56-CV$103,Männer!$AZ$9:$BD$102,5)+VLOOKUP($CU56-CV$103+1,Männer!$AZ$9:$BD$102,5)),RundDx)))</f>
        <v/>
      </c>
      <c r="CW56" s="27" t="str">
        <f>IF($CU56&gt;=RAF,"",IF($CU56-CW$103&lt;BeginnAlter,"",ROUND(v^($CU56+FaktorAlter)*$L56*$D56*0.5*(VLOOKUP($CU56-CW$103,Männer!$G$9:$J$102,4)+VLOOKUP($CU56-CW$103+1,Männer!$G$9:$J$102,4))*0.5*(VLOOKUP($CU56-CW$103,Männer!$AZ$9:$BD$102,5)+VLOOKUP($CU56-CW$103+1,Männer!$AZ$9:$BD$102,5)),RundDx)))</f>
        <v/>
      </c>
      <c r="CX56" s="27" t="str">
        <f>IF($CU56&gt;=RAF,"",IF($CU56-CX$103&lt;BeginnAlter,"",ROUND(v^($CU56+FaktorAlter)*$L56*$D56*0.5*(VLOOKUP($CU56-CX$103,Männer!$G$9:$J$102,4)+VLOOKUP($CU56-CX$103+1,Männer!$G$9:$J$102,4))*0.5*(VLOOKUP($CU56-CX$103,Männer!$AZ$9:$BD$102,5)+VLOOKUP($CU56-CX$103+1,Männer!$AZ$9:$BD$102,5)),RundDx)))</f>
        <v/>
      </c>
      <c r="CY56" s="27" t="str">
        <f>IF($CU56&gt;=RAF,"",IF($CU56-CY$103&lt;BeginnAlter,"",ROUND(v^($CU56+FaktorAlter)*$L56*$D56*0.5*(VLOOKUP($CU56-CY$103,Männer!$G$9:$J$102,4)+VLOOKUP($CU56-CY$103+1,Männer!$G$9:$J$102,4))*0.5*(VLOOKUP($CU56-CY$103,Männer!$AZ$9:$BD$102,5)+VLOOKUP($CU56-CY$103+1,Männer!$AZ$9:$BD$102,5)),RundDx)))</f>
        <v/>
      </c>
      <c r="CZ56" s="27" t="str">
        <f>IF($CU56&gt;=RAF,"",IF($CU56-CZ$103&lt;BeginnAlter,"",ROUND(v^($CU56+FaktorAlter)*$L56*$D56*0.5*(VLOOKUP($CU56-CZ$103,Männer!$G$9:$J$102,4)+VLOOKUP($CU56-CZ$103+1,Männer!$G$9:$J$102,4))*0.5*(VLOOKUP($CU56-CZ$103,Männer!$AZ$9:$BD$102,5)+VLOOKUP($CU56-CZ$103+1,Männer!$AZ$9:$BD$102,5)),RundDx)))</f>
        <v/>
      </c>
      <c r="DA56" s="27" t="str">
        <f>IF($CU56&gt;=RAF,"",IF($CU56-DA$103&lt;BeginnAlter,"",ROUND(v^($CU56+FaktorAlter)*$L56*$D56*0.5*(VLOOKUP($CU56-DA$103,Männer!$G$9:$J$102,4)+VLOOKUP($CU56-DA$103+1,Männer!$G$9:$J$102,4))*0.5*(VLOOKUP($CU56-DA$103,Männer!$AZ$9:$BD$102,5)+VLOOKUP($CU56-DA$103+1,Männer!$AZ$9:$BD$102,5)),RundDx)))</f>
        <v/>
      </c>
      <c r="DB56" s="27" t="str">
        <f>IF($CU56&gt;=RAF,"",IF($CU56-DB$103&lt;BeginnAlter,"",ROUND(v^($CU56+FaktorAlter)*$L56*$D56*0.5*(VLOOKUP($CU56-DB$103,Männer!$G$9:$J$102,4)+VLOOKUP($CU56-DB$103+1,Männer!$G$9:$J$102,4))*0.5*(VLOOKUP($CU56-DB$103,Männer!$AZ$9:$BD$102,5)+VLOOKUP($CU56-DB$103+1,Männer!$AZ$9:$BD$102,5)),RundDx)))</f>
        <v/>
      </c>
      <c r="DC56" s="27" t="str">
        <f>IF($CU56&gt;=RAF,"",IF($CU56-DC$103&lt;BeginnAlter,"",ROUND(v^($CU56+FaktorAlter)*$L56*$D56*0.5*(VLOOKUP($CU56-DC$103,Männer!$G$9:$J$102,4)+VLOOKUP($CU56-DC$103+1,Männer!$G$9:$J$102,4))*0.5*(VLOOKUP($CU56-DC$103,Männer!$AZ$9:$BD$102,5)+VLOOKUP($CU56-DC$103+1,Männer!$AZ$9:$BD$102,5)),RundDx)))</f>
        <v/>
      </c>
      <c r="DD56" s="27" t="str">
        <f>IF($CU56&gt;=RAF,"",IF($CU56-DD$103&lt;BeginnAlter,"",ROUND(v^($CU56+FaktorAlter)*$L56*$D56*0.5*(VLOOKUP($CU56-DD$103,Männer!$G$9:$J$102,4)+VLOOKUP($CU56-DD$103+1,Männer!$G$9:$J$102,4))*0.5*(VLOOKUP($CU56-DD$103,Männer!$AZ$9:$BD$102,5)+VLOOKUP($CU56-DD$103+1,Männer!$AZ$9:$BD$102,5)),RundDx)))</f>
        <v/>
      </c>
      <c r="DE56" s="27" t="str">
        <f>IF($CU56&gt;=RAF,"",IF($CU56-DE$103&lt;BeginnAlter,"",ROUND(v^($CU56+FaktorAlter)*$L56*$D56*0.5*(VLOOKUP($CU56-DE$103,Männer!$G$9:$J$102,4)+VLOOKUP($CU56-DE$103+1,Männer!$G$9:$J$102,4))*0.5*(VLOOKUP($CU56-DE$103,Männer!$AZ$9:$BD$102,5)+VLOOKUP($CU56-DE$103+1,Männer!$AZ$9:$BD$102,5)),RundDx)))</f>
        <v/>
      </c>
      <c r="DF56" s="27" t="str">
        <f>IF($CU56&gt;=RAF,"",IF($CU56-DF$103&lt;BeginnAlter,"",ROUND(v^($CU56+FaktorAlter)*$L56*$D56*0.5*(VLOOKUP($CU56-DF$103,Männer!$G$9:$J$102,4)+VLOOKUP($CU56-DF$103+1,Männer!$G$9:$J$102,4))*0.5*(VLOOKUP($CU56-DF$103,Männer!$AZ$9:$BD$102,5)+VLOOKUP($CU56-DF$103+1,Männer!$AZ$9:$BD$102,5)),RundDx)))</f>
        <v/>
      </c>
      <c r="DG56" s="27" t="str">
        <f>IF($CU56&gt;=RAF,"",IF($CU56-DG$103&lt;BeginnAlter,"",ROUND(v^($CU56+FaktorAlter)*$L56*$D56*0.5*(VLOOKUP($CU56-DG$103,Männer!$G$9:$J$102,4)+VLOOKUP($CU56-DG$103+1,Männer!$G$9:$J$102,4))*0.5*(VLOOKUP($CU56-DG$103,Männer!$AZ$9:$BD$102,5)+VLOOKUP($CU56-DG$103+1,Männer!$AZ$9:$BD$102,5)),RundDx)))</f>
        <v/>
      </c>
      <c r="DH56" s="27" t="str">
        <f>IF($CU56&gt;=RAF,"",IF($CU56-DH$103&lt;BeginnAlter,"",ROUND(v^($CU56+FaktorAlter)*$L56*$D56*0.5*(VLOOKUP($CU56-DH$103,Männer!$G$9:$J$102,4)+VLOOKUP($CU56-DH$103+1,Männer!$G$9:$J$102,4))*0.5*(VLOOKUP($CU56-DH$103,Männer!$AZ$9:$BD$102,5)+VLOOKUP($CU56-DH$103+1,Männer!$AZ$9:$BD$102,5)),RundDx)))</f>
        <v/>
      </c>
      <c r="DI56" s="27" t="str">
        <f>IF($CU56&gt;=RAF,"",IF($CU56-DI$103&lt;BeginnAlter,"",ROUND(v^($CU56+FaktorAlter)*$L56*$D56*0.5*(VLOOKUP($CU56-DI$103,Männer!$G$9:$J$102,4)+VLOOKUP($CU56-DI$103+1,Männer!$G$9:$J$102,4))*0.5*(VLOOKUP($CU56-DI$103,Männer!$AZ$9:$BD$102,5)+VLOOKUP($CU56-DI$103+1,Männer!$AZ$9:$BD$102,5)),RundDx)))</f>
        <v/>
      </c>
      <c r="DJ56" s="27" t="str">
        <f>IF($CU56&gt;=RAF,"",IF($CU56-DJ$103&lt;BeginnAlter,"",ROUND(v^($CU56+FaktorAlter)*$L56*$D56*0.5*(VLOOKUP($CU56-DJ$103,Männer!$G$9:$J$102,4)+VLOOKUP($CU56-DJ$103+1,Männer!$G$9:$J$102,4))*0.5*(VLOOKUP($CU56-DJ$103,Männer!$AZ$9:$BD$102,5)+VLOOKUP($CU56-DJ$103+1,Männer!$AZ$9:$BD$102,5)),RundDx)))</f>
        <v/>
      </c>
      <c r="DK56" s="27" t="str">
        <f>IF($CU56&gt;=RAF,"",IF($CU56-DK$103&lt;BeginnAlter,"",ROUND(v^($CU56+FaktorAlter)*$L56*$D56*0.5*(VLOOKUP($CU56-DK$103,Männer!$G$9:$J$102,4)+VLOOKUP($CU56-DK$103+1,Männer!$G$9:$J$102,4))*0.5*(VLOOKUP($CU56-DK$103,Männer!$AZ$9:$BD$102,5)+VLOOKUP($CU56-DK$103+1,Männer!$AZ$9:$BD$102,5)),RundDx)))</f>
        <v/>
      </c>
      <c r="DL56" s="27" t="str">
        <f>IF($CU56&gt;=RAF,"",IF($CU56-DL$103&lt;BeginnAlter,"",ROUND(v^($CU56+FaktorAlter)*$L56*$D56*0.5*(VLOOKUP($CU56-DL$103,Männer!$G$9:$J$102,4)+VLOOKUP($CU56-DL$103+1,Männer!$G$9:$J$102,4))*0.5*(VLOOKUP($CU56-DL$103,Männer!$AZ$9:$BD$102,5)+VLOOKUP($CU56-DL$103+1,Männer!$AZ$9:$BD$102,5)),RundDx)))</f>
        <v/>
      </c>
      <c r="DM56" s="27" t="str">
        <f>IF($CU56&gt;=RAF,"",IF($CU56-DM$103&lt;BeginnAlter,"",ROUND(v^($CU56+FaktorAlter)*$L56*$D56*0.5*(VLOOKUP($CU56-DM$103,Männer!$G$9:$J$102,4)+VLOOKUP($CU56-DM$103+1,Männer!$G$9:$J$102,4))*0.5*(VLOOKUP($CU56-DM$103,Männer!$AZ$9:$BD$102,5)+VLOOKUP($CU56-DM$103+1,Männer!$AZ$9:$BD$102,5)),RundDx)))</f>
        <v/>
      </c>
      <c r="DN56" s="27" t="str">
        <f>IF($CU56&gt;=RAF,"",IF($CU56-DN$103&lt;BeginnAlter,"",ROUND(v^($CU56+FaktorAlter)*$L56*$D56*0.5*(VLOOKUP($CU56-DN$103,Männer!$G$9:$J$102,4)+VLOOKUP($CU56-DN$103+1,Männer!$G$9:$J$102,4))*0.5*(VLOOKUP($CU56-DN$103,Männer!$AZ$9:$BD$102,5)+VLOOKUP($CU56-DN$103+1,Männer!$AZ$9:$BD$102,5)),RundDx)))</f>
        <v/>
      </c>
      <c r="DO56" s="27" t="str">
        <f>IF($CU56&gt;=RAF,"",IF($CU56-DO$103&lt;BeginnAlter,"",ROUND(v^($CU56+FaktorAlter)*$L56*$D56*0.5*(VLOOKUP($CU56-DO$103,Männer!$G$9:$J$102,4)+VLOOKUP($CU56-DO$103+1,Männer!$G$9:$J$102,4))*0.5*(VLOOKUP($CU56-DO$103,Männer!$AZ$9:$BD$102,5)+VLOOKUP($CU56-DO$103+1,Männer!$AZ$9:$BD$102,5)),RundDx)))</f>
        <v/>
      </c>
      <c r="DP56" s="27" t="str">
        <f>IF($CU56&gt;=RAF,"",IF($CU56-DP$103&lt;BeginnAlter,"",ROUND(v^($CU56+FaktorAlter)*$L56*$D56*0.5*(VLOOKUP($CU56-DP$103,Männer!$G$9:$J$102,4)+VLOOKUP($CU56-DP$103+1,Männer!$G$9:$J$102,4))*0.5*(VLOOKUP($CU56-DP$103,Männer!$AZ$9:$BD$102,5)+VLOOKUP($CU56-DP$103+1,Männer!$AZ$9:$BD$102,5)),RundDx)))</f>
        <v/>
      </c>
      <c r="DQ56" s="27" t="str">
        <f>IF($CU56&gt;=RAF,"",IF($CU56-DQ$103&lt;BeginnAlter,"",ROUND(v^($CU56+FaktorAlter)*$L56*$D56*0.5*(VLOOKUP($CU56-DQ$103,Männer!$G$9:$J$102,4)+VLOOKUP($CU56-DQ$103+1,Männer!$G$9:$J$102,4))*0.5*(VLOOKUP($CU56-DQ$103,Männer!$AZ$9:$BD$102,5)+VLOOKUP($CU56-DQ$103+1,Männer!$AZ$9:$BD$102,5)),RundDx)))</f>
        <v/>
      </c>
      <c r="DR56" s="27" t="str">
        <f>IF($CU56&gt;=RAF,"",IF($CU56-DR$103&lt;BeginnAlter,"",ROUND(v^($CU56+FaktorAlter)*$L56*$D56*0.5*(VLOOKUP($CU56-DR$103,Männer!$G$9:$J$102,4)+VLOOKUP($CU56-DR$103+1,Männer!$G$9:$J$102,4))*0.5*(VLOOKUP($CU56-DR$103,Männer!$AZ$9:$BD$102,5)+VLOOKUP($CU56-DR$103+1,Männer!$AZ$9:$BD$102,5)),RundDx)))</f>
        <v/>
      </c>
      <c r="DS56" s="27" t="str">
        <f>IF($CU56&gt;=RAF,"",IF($CU56-DS$103&lt;BeginnAlter,"",ROUND(v^($CU56+FaktorAlter)*$L56*$D56*0.5*(VLOOKUP($CU56-DS$103,Männer!$G$9:$J$102,4)+VLOOKUP($CU56-DS$103+1,Männer!$G$9:$J$102,4))*0.5*(VLOOKUP($CU56-DS$103,Männer!$AZ$9:$BD$102,5)+VLOOKUP($CU56-DS$103+1,Männer!$AZ$9:$BD$102,5)),RundDx)))</f>
        <v/>
      </c>
      <c r="DT56" s="27" t="str">
        <f>IF($CU56&gt;=RAF,"",IF($CU56-DT$103&lt;BeginnAlter,"",ROUND(v^($CU56+FaktorAlter)*$L56*$D56*0.5*(VLOOKUP($CU56-DT$103,Männer!$G$9:$J$102,4)+VLOOKUP($CU56-DT$103+1,Männer!$G$9:$J$102,4))*0.5*(VLOOKUP($CU56-DT$103,Männer!$AZ$9:$BD$102,5)+VLOOKUP($CU56-DT$103+1,Männer!$AZ$9:$BD$102,5)),RundDx)))</f>
        <v/>
      </c>
      <c r="DU56" s="27" t="str">
        <f>IF($CU56&gt;=RAF,"",IF($CU56-DU$103&lt;BeginnAlter,"",ROUND(v^($CU56+FaktorAlter)*$L56*$D56*0.5*(VLOOKUP($CU56-DU$103,Männer!$G$9:$J$102,4)+VLOOKUP($CU56-DU$103+1,Männer!$G$9:$J$102,4))*0.5*(VLOOKUP($CU56-DU$103,Männer!$AZ$9:$BD$102,5)+VLOOKUP($CU56-DU$103+1,Männer!$AZ$9:$BD$102,5)),RundDx)))</f>
        <v/>
      </c>
      <c r="DV56" s="27" t="str">
        <f>IF($CU56&gt;=RAF,"",IF($CU56-DV$103&lt;BeginnAlter,"",ROUND(v^($CU56+FaktorAlter)*$L56*$D56*0.5*(VLOOKUP($CU56-DV$103,Männer!$G$9:$J$102,4)+VLOOKUP($CU56-DV$103+1,Männer!$G$9:$J$102,4))*0.5*(VLOOKUP($CU56-DV$103,Männer!$AZ$9:$BD$102,5)+VLOOKUP($CU56-DV$103+1,Männer!$AZ$9:$BD$102,5)),RundDx)))</f>
        <v/>
      </c>
      <c r="DW56" s="27" t="str">
        <f>IF($CU56&gt;=RAF,"",IF($CU56-DW$103&lt;BeginnAlter,"",ROUND(v^($CU56+FaktorAlter)*$L56*$D56*0.5*(VLOOKUP($CU56-DW$103,Männer!$G$9:$J$102,4)+VLOOKUP($CU56-DW$103+1,Männer!$G$9:$J$102,4))*0.5*(VLOOKUP($CU56-DW$103,Männer!$AZ$9:$BD$102,5)+VLOOKUP($CU56-DW$103+1,Männer!$AZ$9:$BD$102,5)),RundDx)))</f>
        <v/>
      </c>
      <c r="DX56" s="27" t="str">
        <f>IF($CU56&gt;=RAF,"",IF($CU56-DX$103&lt;BeginnAlter,"",ROUND(v^($CU56+FaktorAlter)*$L56*$D56*0.5*(VLOOKUP($CU56-DX$103,Männer!$G$9:$J$102,4)+VLOOKUP($CU56-DX$103+1,Männer!$G$9:$J$102,4))*0.5*(VLOOKUP($CU56-DX$103,Männer!$AZ$9:$BD$102,5)+VLOOKUP($CU56-DX$103+1,Männer!$AZ$9:$BD$102,5)),RundDx)))</f>
        <v/>
      </c>
      <c r="DY56" s="27" t="str">
        <f>IF($CU56&gt;=RAF,"",IF($CU56-DY$103&lt;BeginnAlter,"",ROUND(v^($CU56+FaktorAlter)*$L56*$D56*0.5*(VLOOKUP($CU56-DY$103,Männer!$G$9:$J$102,4)+VLOOKUP($CU56-DY$103+1,Männer!$G$9:$J$102,4))*0.5*(VLOOKUP($CU56-DY$103,Männer!$AZ$9:$BD$102,5)+VLOOKUP($CU56-DY$103+1,Männer!$AZ$9:$BD$102,5)),RundDx)))</f>
        <v/>
      </c>
      <c r="DZ56" s="27" t="str">
        <f>IF($CU56&gt;=RAF,"",IF($CU56-DZ$103&lt;BeginnAlter,"",ROUND(v^($CU56+FaktorAlter)*$L56*$D56*0.5*(VLOOKUP($CU56-DZ$103,Männer!$G$9:$J$102,4)+VLOOKUP($CU56-DZ$103+1,Männer!$G$9:$J$102,4))*0.5*(VLOOKUP($CU56-DZ$103,Männer!$AZ$9:$BD$102,5)+VLOOKUP($CU56-DZ$103+1,Männer!$AZ$9:$BD$102,5)),RundDx)))</f>
        <v/>
      </c>
      <c r="EA56" s="37" t="str">
        <f>IF($CU56&gt;=RAF,"",IF($CU56-EA$103&lt;BeginnAlter,"",ROUND((SUM(CV56:CV$56)+SUM(FN$9:FN$56))/VLOOKUP($CU56,$AH$9:$AI$102,2)/VLOOKUP($CU56-EA$103,Männer!$G$9:$J$102,4),Rundäx)))</f>
        <v/>
      </c>
      <c r="EB56" s="37" t="str">
        <f>IF($CU56&gt;=RAF,"",IF($CU56-EB$103&lt;BeginnAlter,"",ROUND((SUM(CW56:CW$56)+SUM(FO$9:FO$56))/VLOOKUP($CU56,$AH$9:$AI$102,2)/VLOOKUP($CU56-EB$103,Männer!$G$9:$J$102,4),Rundäx)))</f>
        <v/>
      </c>
      <c r="EC56" s="37" t="str">
        <f>IF($CU56&gt;=RAF,"",IF($CU56-EC$103&lt;BeginnAlter,"",ROUND((SUM(CX56:CX$56)+SUM(FP$9:FP$56))/VLOOKUP($CU56,$AH$9:$AI$102,2)/VLOOKUP($CU56-EC$103,Männer!$G$9:$J$102,4),Rundäx)))</f>
        <v/>
      </c>
      <c r="ED56" s="37" t="str">
        <f>IF($CU56&gt;=RAF,"",IF($CU56-ED$103&lt;BeginnAlter,"",ROUND((SUM(CY56:CY$56)+SUM(FQ$9:FQ$56))/VLOOKUP($CU56,$AH$9:$AI$102,2)/VLOOKUP($CU56-ED$103,Männer!$G$9:$J$102,4),Rundäx)))</f>
        <v/>
      </c>
      <c r="EE56" s="37" t="str">
        <f>IF($CU56&gt;=RAF,"",IF($CU56-EE$103&lt;BeginnAlter,"",ROUND((SUM(CZ56:CZ$56)+SUM(FR$9:FR$56))/VLOOKUP($CU56,$AH$9:$AI$102,2)/VLOOKUP($CU56-EE$103,Männer!$G$9:$J$102,4),Rundäx)))</f>
        <v/>
      </c>
      <c r="EF56" s="37" t="str">
        <f>IF($CU56&gt;=RAF,"",IF($CU56-EF$103&lt;BeginnAlter,"",ROUND((SUM(DA56:DA$56)+SUM(FS$9:FS$56))/VLOOKUP($CU56,$AH$9:$AI$102,2)/VLOOKUP($CU56-EF$103,Männer!$G$9:$J$102,4),Rundäx)))</f>
        <v/>
      </c>
      <c r="EG56" s="37" t="str">
        <f>IF($CU56&gt;=RAF,"",IF($CU56-EG$103&lt;BeginnAlter,"",ROUND((SUM(DB56:DB$56)+SUM(FT$9:FT$56))/VLOOKUP($CU56,$AH$9:$AI$102,2)/VLOOKUP($CU56-EG$103,Männer!$G$9:$J$102,4),Rundäx)))</f>
        <v/>
      </c>
      <c r="EH56" s="37" t="str">
        <f>IF($CU56&gt;=RAF,"",IF($CU56-EH$103&lt;BeginnAlter,"",ROUND((SUM(DC56:DC$56)+SUM(FU$9:FU$56))/VLOOKUP($CU56,$AH$9:$AI$102,2)/VLOOKUP($CU56-EH$103,Männer!$G$9:$J$102,4),Rundäx)))</f>
        <v/>
      </c>
      <c r="EI56" s="90"/>
      <c r="EJ56" s="36">
        <f t="shared" si="61"/>
        <v>64</v>
      </c>
      <c r="EK56" s="37" t="str">
        <f>IF($CU56&gt;=RAF,"",IF($CU56-EK$103&lt;BeginnAlter,"",ROUND((SUM(DD56:DD$56)+SUM(FV$9:FV$56))/VLOOKUP($CU56,$AH$9:$AI$102,2)/VLOOKUP($CU56-EK$103,Männer!$G$9:$J$102,4),Rundäx)))</f>
        <v/>
      </c>
      <c r="EL56" s="37" t="str">
        <f>IF($CU56&gt;=RAF,"",IF($CU56-EL$103&lt;BeginnAlter,"",ROUND((SUM(DE56:DE$56)+SUM(FW$9:FW$56))/VLOOKUP($CU56,$AH$9:$AI$102,2)/VLOOKUP($CU56-EL$103,Männer!$G$9:$J$102,4),Rundäx)))</f>
        <v/>
      </c>
      <c r="EM56" s="37" t="str">
        <f>IF($CU56&gt;=RAF,"",IF($CU56-EM$103&lt;BeginnAlter,"",ROUND((SUM(DF56:DF$56)+SUM(FX$9:FX$56))/VLOOKUP($CU56,$AH$9:$AI$102,2)/VLOOKUP($CU56-EM$103,Männer!$G$9:$J$102,4),Rundäx)))</f>
        <v/>
      </c>
      <c r="EN56" s="37" t="str">
        <f>IF($CU56&gt;=RAF,"",IF($CU56-EN$103&lt;BeginnAlter,"",ROUND((SUM(DG56:DG$56)+SUM(FY$9:FY$56))/VLOOKUP($CU56,$AH$9:$AI$102,2)/VLOOKUP($CU56-EN$103,Männer!$G$9:$J$102,4),Rundäx)))</f>
        <v/>
      </c>
      <c r="EO56" s="37" t="str">
        <f>IF($CU56&gt;=RAF,"",IF($CU56-EO$103&lt;BeginnAlter,"",ROUND((SUM(DH56:DH$56)+SUM(FZ$9:FZ$56))/VLOOKUP($CU56,$AH$9:$AI$102,2)/VLOOKUP($CU56-EO$103,Männer!$G$9:$J$102,4),Rundäx)))</f>
        <v/>
      </c>
      <c r="EP56" s="37" t="str">
        <f>IF($CU56&gt;=RAF,"",IF($CU56-EP$103&lt;BeginnAlter,"",ROUND((SUM(DI56:DI$56)+SUM(GA$9:GA$56))/VLOOKUP($CU56,$AH$9:$AI$102,2)/VLOOKUP($CU56-EP$103,Männer!$G$9:$J$102,4),Rundäx)))</f>
        <v/>
      </c>
      <c r="EQ56" s="37" t="str">
        <f>IF($CU56&gt;=RAF,"",IF($CU56-EQ$103&lt;BeginnAlter,"",ROUND((SUM(DJ56:DJ$56)+SUM(GB$9:GB$56))/VLOOKUP($CU56,$AH$9:$AI$102,2)/VLOOKUP($CU56-EQ$103,Männer!$G$9:$J$102,4),Rundäx)))</f>
        <v/>
      </c>
      <c r="ER56" s="37" t="str">
        <f>IF($CU56&gt;=RAF,"",IF($CU56-ER$103&lt;BeginnAlter,"",ROUND((SUM(DK56:DK$56)+SUM(GC$9:GC$56))/VLOOKUP($CU56,$AH$9:$AI$102,2)/VLOOKUP($CU56-ER$103,Männer!$G$9:$J$102,4),Rundäx)))</f>
        <v/>
      </c>
      <c r="ES56" s="90"/>
      <c r="ET56" s="36">
        <f t="shared" si="62"/>
        <v>64</v>
      </c>
      <c r="EU56" s="37" t="str">
        <f>IF($CU56&gt;=RAF,"",IF($CU56-EU$103&lt;BeginnAlter,"",ROUND((SUM(DL56:DL$56)+SUM(GD$9:GD$56))/VLOOKUP($CU56,$AH$9:$AI$102,2)/VLOOKUP($CU56-EU$103,Männer!$G$9:$J$102,4),Rundäx)))</f>
        <v/>
      </c>
      <c r="EV56" s="37" t="str">
        <f>IF($CU56&gt;=RAF,"",IF($CU56-EV$103&lt;BeginnAlter,"",ROUND((SUM(DM56:DM$56)+SUM(GE$9:GE$56))/VLOOKUP($CU56,$AH$9:$AI$102,2)/VLOOKUP($CU56-EV$103,Männer!$G$9:$J$102,4),Rundäx)))</f>
        <v/>
      </c>
      <c r="EW56" s="37" t="str">
        <f>IF($CU56&gt;=RAF,"",IF($CU56-EW$103&lt;BeginnAlter,"",ROUND((SUM(DN56:DN$56)+SUM(GF$9:GF$56))/VLOOKUP($CU56,$AH$9:$AI$102,2)/VLOOKUP($CU56-EW$103,Männer!$G$9:$J$102,4),Rundäx)))</f>
        <v/>
      </c>
      <c r="EX56" s="37" t="str">
        <f>IF($CU56&gt;=RAF,"",IF($CU56-EX$103&lt;BeginnAlter,"",ROUND((SUM(DO56:DO$56)+SUM(GG$9:GG$56))/VLOOKUP($CU56,$AH$9:$AI$102,2)/VLOOKUP($CU56-EX$103,Männer!$G$9:$J$102,4),Rundäx)))</f>
        <v/>
      </c>
      <c r="EY56" s="37" t="str">
        <f>IF($CU56&gt;=RAF,"",IF($CU56-EY$103&lt;BeginnAlter,"",ROUND((SUM(DP56:DP$56)+SUM(GH$9:GH$56))/VLOOKUP($CU56,$AH$9:$AI$102,2)/VLOOKUP($CU56-EY$103,Männer!$G$9:$J$102,4),Rundäx)))</f>
        <v/>
      </c>
      <c r="EZ56" s="37" t="str">
        <f>IF($CU56&gt;=RAF,"",IF($CU56-EZ$103&lt;BeginnAlter,"",ROUND((SUM(DQ56:DQ$56)+SUM(GI$9:GI$56))/VLOOKUP($CU56,$AH$9:$AI$102,2)/VLOOKUP($CU56-EZ$103,Männer!$G$9:$J$102,4),Rundäx)))</f>
        <v/>
      </c>
      <c r="FA56" s="37" t="str">
        <f>IF($CU56&gt;=RAF,"",IF($CU56-FA$103&lt;BeginnAlter,"",ROUND((SUM(DR56:DR$56)+SUM(GJ$9:GJ$56))/VLOOKUP($CU56,$AH$9:$AI$102,2)/VLOOKUP($CU56-FA$103,Männer!$G$9:$J$102,4),Rundäx)))</f>
        <v/>
      </c>
      <c r="FB56" s="37" t="str">
        <f>IF($CU56&gt;=RAF,"",IF($CU56-FB$103&lt;BeginnAlter,"",ROUND((SUM(DS56:DS$56)+SUM(GK$9:GK$56))/VLOOKUP($CU56,$AH$9:$AI$102,2)/VLOOKUP($CU56-FB$103,Männer!$G$9:$J$102,4),Rundäx)))</f>
        <v/>
      </c>
      <c r="FC56" s="90"/>
      <c r="FD56" s="36">
        <f t="shared" si="63"/>
        <v>64</v>
      </c>
      <c r="FE56" s="37" t="str">
        <f>IF($CU56&gt;=RAF,"",IF($CU56-FE$103&lt;BeginnAlter,"",ROUND((SUM(DT56:DT$56)+SUM(GL$9:GL$56))/VLOOKUP($CU56,$AH$9:$AI$102,2)/VLOOKUP($CU56-FE$103,Männer!$G$9:$J$102,4),Rundäx)))</f>
        <v/>
      </c>
      <c r="FF56" s="37" t="str">
        <f>IF($CU56&gt;=RAF,"",IF($CU56-FF$103&lt;BeginnAlter,"",ROUND((SUM(DU56:DU$56)+SUM(GM$9:GM$56))/VLOOKUP($CU56,$AH$9:$AI$102,2)/VLOOKUP($CU56-FF$103,Männer!$G$9:$J$102,4),Rundäx)))</f>
        <v/>
      </c>
      <c r="FG56" s="37" t="str">
        <f>IF($CU56&gt;=RAF,"",IF($CU56-FG$103&lt;BeginnAlter,"",ROUND((SUM(DV56:DV$56)+SUM(GN$9:GN$56))/VLOOKUP($CU56,$AH$9:$AI$102,2)/VLOOKUP($CU56-FG$103,Männer!$G$9:$J$102,4),Rundäx)))</f>
        <v/>
      </c>
      <c r="FH56" s="37" t="str">
        <f>IF($CU56&gt;=RAF,"",IF($CU56-FH$103&lt;BeginnAlter,"",ROUND((SUM(DW56:DW$56)+SUM(GO$9:GO$56))/VLOOKUP($CU56,$AH$9:$AI$102,2)/VLOOKUP($CU56-FH$103,Männer!$G$9:$J$102,4),Rundäx)))</f>
        <v/>
      </c>
      <c r="FI56" s="37" t="str">
        <f>IF($CU56&gt;=RAF,"",IF($CU56-FI$103&lt;BeginnAlter,"",ROUND((SUM(DX56:DX$56)+SUM(GP$9:GP$56))/VLOOKUP($CU56,$AH$9:$AI$102,2)/VLOOKUP($CU56-FI$103,Männer!$G$9:$J$102,4),Rundäx)))</f>
        <v/>
      </c>
      <c r="FJ56" s="37" t="str">
        <f>IF($CU56&gt;=RAF,"",IF($CU56-FJ$103&lt;BeginnAlter,"",ROUND((SUM(DY56:DY$56)+SUM(GQ$9:GQ$56))/VLOOKUP($CU56,$AH$9:$AI$102,2)/VLOOKUP($CU56-FJ$103,Männer!$G$9:$J$102,4),Rundäx)))</f>
        <v/>
      </c>
      <c r="FK56" s="37" t="str">
        <f>IF($CU56&gt;=RAF,"",IF($CU56-FK$103&lt;BeginnAlter,"",ROUND((SUM(DZ56:DZ$56)+SUM(GR$9:GR$56))/VLOOKUP($CU56,$AH$9:$AI$102,2)/VLOOKUP($CU56-FK$103,Männer!$G$9:$J$102,4),Rundäx)))</f>
        <v/>
      </c>
      <c r="FL56" s="90"/>
      <c r="FM56" s="36">
        <f t="shared" si="64"/>
        <v>111</v>
      </c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6"/>
      <c r="GT56" s="26"/>
      <c r="GU56" s="26"/>
      <c r="GV56" s="26"/>
      <c r="GW56" s="26"/>
      <c r="GX56" s="26"/>
      <c r="GY56" s="26" t="str">
        <f>IF(FM56&gt;=RAF," ",#REF!/$AI56/Frauen!$J56)</f>
        <v xml:space="preserve"> </v>
      </c>
      <c r="GZ56" s="26"/>
      <c r="HA56" s="90"/>
      <c r="HB56" s="36">
        <f t="shared" si="65"/>
        <v>111</v>
      </c>
      <c r="HC56" s="26"/>
      <c r="HD56" s="26"/>
      <c r="HE56" s="26"/>
      <c r="HF56" s="26"/>
      <c r="HG56" s="26"/>
      <c r="HH56" s="26"/>
      <c r="HI56" s="26"/>
      <c r="HJ56" s="26"/>
      <c r="HK56" s="90"/>
      <c r="HL56" s="36">
        <f t="shared" si="66"/>
        <v>111</v>
      </c>
      <c r="HM56" s="26"/>
      <c r="HN56" s="26"/>
      <c r="HO56" s="26"/>
      <c r="HP56" s="26"/>
      <c r="HQ56" s="26"/>
      <c r="HR56" s="26"/>
      <c r="HS56" s="26"/>
      <c r="HT56" s="26"/>
      <c r="HU56" s="90"/>
      <c r="HV56" s="36">
        <f t="shared" si="67"/>
        <v>111</v>
      </c>
      <c r="HW56" s="26"/>
      <c r="HX56" s="26"/>
      <c r="HY56" s="26"/>
      <c r="HZ56" s="26"/>
      <c r="IA56" s="26"/>
      <c r="IB56" s="26"/>
      <c r="IC56" s="26"/>
      <c r="ID56" s="90"/>
      <c r="IE56" s="9">
        <f t="shared" si="80"/>
        <v>64</v>
      </c>
      <c r="IF56" s="11" t="str">
        <f t="shared" si="25"/>
        <v/>
      </c>
      <c r="IG56" s="11" t="str">
        <f>IF($IE56&lt;RAF,IF(S57&lt;=RAK,ROUND(SUM(IF56:INDEX(Daky,RAF-BeginnAlter))+INDEX(Day,RAF-BeginnAlter+1)*INDEX(äky,1),RundDx),0),"")</f>
        <v/>
      </c>
      <c r="IH56" s="11" t="str">
        <f>IF($IE56&lt;RAF,IF(S57&lt;=RAK,ROUND(SUM(IG56:INDEX(Naky,RAF-BeginnAlter))+INDEX(Day,RAF-BeginnAlter+1)*INDEX(äky,1),RundDx),0),"")</f>
        <v/>
      </c>
      <c r="II56" s="10" t="str">
        <f t="shared" si="26"/>
        <v/>
      </c>
      <c r="IJ56" s="11" t="str">
        <f t="shared" si="27"/>
        <v/>
      </c>
      <c r="IK56" s="11" t="str">
        <f>IF($IE56&lt;RAF,IF(S57&lt;=RAK,SUM(IJ56:INDEX(Diky,RAF-BeginnAlter))+INDEX(Diy,RAF-BeginnAlter+1)*INDEX(äky,1),0),"")</f>
        <v/>
      </c>
      <c r="IL56" s="10">
        <f t="shared" si="28"/>
        <v>0</v>
      </c>
      <c r="IM56" s="89"/>
      <c r="IN56" s="12">
        <f t="shared" si="29"/>
        <v>111</v>
      </c>
      <c r="IO56" s="14"/>
      <c r="IP56" s="14"/>
      <c r="IQ56" s="13"/>
      <c r="IR56" s="87"/>
    </row>
    <row r="57" spans="1:252" ht="15.75" customHeight="1" thickBot="1" x14ac:dyDescent="0.3">
      <c r="A57" s="9">
        <f>1+A56</f>
        <v>65</v>
      </c>
      <c r="B57" s="93"/>
      <c r="C57" s="93"/>
      <c r="D57" s="93"/>
      <c r="E57" s="93">
        <v>1.1435000000000001E-2</v>
      </c>
      <c r="F57" s="89"/>
      <c r="G57" s="9">
        <f>1+G56</f>
        <v>65</v>
      </c>
      <c r="H57" s="11" t="str">
        <f t="shared" si="30"/>
        <v/>
      </c>
      <c r="I57" s="25" t="str">
        <f t="shared" si="31"/>
        <v/>
      </c>
      <c r="J57" s="25">
        <f t="shared" si="32"/>
        <v>89374</v>
      </c>
      <c r="K57" s="30">
        <f>IF(J57&gt;0,ROUND(SUM(J57:J$102)/J57-0.5,Rundex),"")</f>
        <v>20.37</v>
      </c>
      <c r="L57" s="25">
        <f t="shared" si="6"/>
        <v>89374</v>
      </c>
      <c r="M57" s="30">
        <f>IF(L57&gt;0,ROUND(SUM(L57:L$102)/L57-0.5,Rundex),"")</f>
        <v>20.37</v>
      </c>
      <c r="N57" s="89"/>
      <c r="O57" s="9">
        <f>1+O56</f>
        <v>65</v>
      </c>
      <c r="P57" s="94">
        <v>0.11704353918253173</v>
      </c>
      <c r="Q57" s="95">
        <v>66.643117220948085</v>
      </c>
      <c r="R57" s="94">
        <v>1.4410423383464143E-3</v>
      </c>
      <c r="S57" s="95">
        <v>20.32</v>
      </c>
      <c r="T57" s="28">
        <v>8.5755541992205385E-3</v>
      </c>
      <c r="U57" s="11">
        <f t="shared" si="33"/>
        <v>90887</v>
      </c>
      <c r="V57" s="30">
        <f>IF(U57&gt;0,ROUND(SUM(U57:U$102)/U57-0.5,Rundex),"")</f>
        <v>21.3</v>
      </c>
      <c r="W57" s="89"/>
      <c r="X57" s="12">
        <f>1+X56</f>
        <v>65</v>
      </c>
      <c r="Y57" s="14" t="str">
        <f t="shared" si="34"/>
        <v xml:space="preserve"> </v>
      </c>
      <c r="Z57" s="14" t="str">
        <f>IF($X57&lt;RAF,SUM(Y57:INDEX(Day,RAF-BeginnAlter))," ")</f>
        <v xml:space="preserve"> </v>
      </c>
      <c r="AA57" s="14" t="str">
        <f t="shared" si="0"/>
        <v xml:space="preserve"> </v>
      </c>
      <c r="AB57" s="14" t="str">
        <f>IF($X57&lt;RAF,SUM(AA57:INDEX(Cay,RAF-BeginnAlter))," ")</f>
        <v xml:space="preserve"> </v>
      </c>
      <c r="AC57" s="14" t="str">
        <f t="shared" si="1"/>
        <v xml:space="preserve"> </v>
      </c>
      <c r="AD57" s="14" t="str">
        <f>IF($X57&lt;RAF,SUM(AC57:INDEX(Caiy,RAF-BeginnAlter))," ")</f>
        <v xml:space="preserve"> </v>
      </c>
      <c r="AE57" s="13" t="str">
        <f t="shared" si="35"/>
        <v xml:space="preserve"> </v>
      </c>
      <c r="AF57" s="13" t="str">
        <f t="shared" si="36"/>
        <v xml:space="preserve"> </v>
      </c>
      <c r="AG57" s="90"/>
      <c r="AH57" s="12">
        <f>1+AH56</f>
        <v>65</v>
      </c>
      <c r="AI57" s="14" t="str">
        <f t="shared" si="37"/>
        <v xml:space="preserve"> </v>
      </c>
      <c r="AJ57" s="14" t="str">
        <f>IF($AH57&gt;RAF," ",IF($AH57&lt;RAF,SUM(AI57:INDEX(Diy,RAF-BeginnAlter))+INDEX(Ny,RAF-BeginnAlter+1),INDEX(Ny,RAF-BeginnAlter+1)))</f>
        <v xml:space="preserve"> </v>
      </c>
      <c r="AK57" s="14" t="str">
        <f>IF($AH57&lt;RAF,SUM(AI57:INDEX(Diy,RAF-BeginnAlter))," ")</f>
        <v xml:space="preserve"> </v>
      </c>
      <c r="AL57" s="13" t="str">
        <f t="shared" si="38"/>
        <v xml:space="preserve"> </v>
      </c>
      <c r="AM57" s="13" t="str">
        <f t="shared" si="39"/>
        <v xml:space="preserve"> </v>
      </c>
      <c r="AN57" s="13" t="str">
        <f t="shared" si="40"/>
        <v xml:space="preserve"> </v>
      </c>
      <c r="AO57" s="13" t="str">
        <f t="shared" si="41"/>
        <v xml:space="preserve"> </v>
      </c>
      <c r="AP57" s="90"/>
      <c r="AQ57" s="9">
        <f>1+AQ56</f>
        <v>65</v>
      </c>
      <c r="AR57" s="11">
        <f t="shared" si="42"/>
        <v>21042</v>
      </c>
      <c r="AS57" s="11">
        <f>SUM(AR57:AR$96)</f>
        <v>344350</v>
      </c>
      <c r="AT57" s="25" t="str">
        <f>IF($AQ57&lt;RAF,SUM(AR57:INDEX(Dy,RAF-BeginnAlter))," ")</f>
        <v xml:space="preserve"> </v>
      </c>
      <c r="AU57" s="24">
        <f t="shared" si="43"/>
        <v>16.364999999999998</v>
      </c>
      <c r="AV57" s="24">
        <f t="shared" si="44"/>
        <v>15.907</v>
      </c>
      <c r="AW57" s="24" t="str">
        <f t="shared" si="45"/>
        <v xml:space="preserve"> </v>
      </c>
      <c r="AX57" s="24" t="str">
        <f t="shared" si="46"/>
        <v xml:space="preserve"> </v>
      </c>
      <c r="AY57" s="89"/>
      <c r="AZ57" s="9">
        <f>1+AZ56</f>
        <v>65</v>
      </c>
      <c r="BA57" s="11">
        <f t="shared" si="47"/>
        <v>21399</v>
      </c>
      <c r="BB57" s="11">
        <f>SUM(BA57:BA$96)</f>
        <v>363525</v>
      </c>
      <c r="BC57" s="10">
        <f t="shared" si="48"/>
        <v>16.988</v>
      </c>
      <c r="BD57" s="10">
        <f t="shared" si="7"/>
        <v>16.53</v>
      </c>
      <c r="BE57" s="89"/>
      <c r="BF57" s="9">
        <f>1+BF56</f>
        <v>48</v>
      </c>
      <c r="BG57" s="10" t="str">
        <f t="shared" si="8"/>
        <v/>
      </c>
      <c r="BH57" s="10" t="str">
        <f t="shared" si="9"/>
        <v/>
      </c>
      <c r="BI57" s="89"/>
      <c r="BJ57" s="9">
        <f>1+BJ56</f>
        <v>65</v>
      </c>
      <c r="BK57" s="11" t="str">
        <f t="shared" si="10"/>
        <v xml:space="preserve"> </v>
      </c>
      <c r="BL57" s="11" t="str">
        <f>IF(BJ57&lt;RAF,SUM(BK57:INDEX(Daiy,RAF-BeginnAlter))," ")</f>
        <v xml:space="preserve"> </v>
      </c>
      <c r="BM57" s="11" t="str">
        <f>IF(BJ57&lt;RAF,SUM(BL57:INDEX(Naiy,RAF-BeginnAlter))," ")</f>
        <v xml:space="preserve"> </v>
      </c>
      <c r="BN57" s="10" t="str">
        <f t="shared" si="11"/>
        <v xml:space="preserve"> </v>
      </c>
      <c r="BO57" s="10" t="str">
        <f t="shared" si="12"/>
        <v xml:space="preserve"> </v>
      </c>
      <c r="BP57" s="89"/>
      <c r="BQ57" s="9">
        <f>1+BQ56</f>
        <v>65</v>
      </c>
      <c r="BR57" s="11" t="str">
        <f t="shared" si="13"/>
        <v xml:space="preserve"> </v>
      </c>
      <c r="BS57" s="11" t="str">
        <f>IF(BQ57&lt;RAF,SUM(BR57:INDEX(Daiys,RAF-BeginnAlter))," ")</f>
        <v xml:space="preserve"> </v>
      </c>
      <c r="BT57" s="11" t="str">
        <f>IF(BQ57&lt;RAF,SUM(BS57:INDEX(Naiys,RAF-BeginnAlter))," ")</f>
        <v xml:space="preserve"> </v>
      </c>
      <c r="BU57" s="10" t="str">
        <f t="shared" si="14"/>
        <v xml:space="preserve"> </v>
      </c>
      <c r="BV57" s="10" t="str">
        <f t="shared" si="15"/>
        <v xml:space="preserve"> </v>
      </c>
      <c r="BW57" s="89"/>
      <c r="BX57" s="12">
        <f>1+BX56</f>
        <v>65</v>
      </c>
      <c r="BY57" s="13" t="str">
        <f t="shared" si="16"/>
        <v/>
      </c>
      <c r="BZ57" s="14" t="str">
        <f t="shared" si="17"/>
        <v/>
      </c>
      <c r="CA57" s="14" t="str">
        <f>IF(S58&lt;=RAK,IF($BX57&lt;RAF,SUM(BZ57:INDEX(Dazy,RAF-BeginnAlter)),""),"")</f>
        <v/>
      </c>
      <c r="CB57" s="13" t="str">
        <f t="shared" si="18"/>
        <v/>
      </c>
      <c r="CC57" s="14">
        <f t="shared" si="19"/>
        <v>17842</v>
      </c>
      <c r="CD57" s="13">
        <f t="shared" si="20"/>
        <v>13.654999999999999</v>
      </c>
      <c r="CE57" s="13" t="str">
        <f t="shared" si="21"/>
        <v/>
      </c>
      <c r="CF57" s="90"/>
      <c r="CG57" s="12">
        <f>1+CG56</f>
        <v>65</v>
      </c>
      <c r="CH57" s="14" t="str">
        <f>IF(CG57&lt;RAF,ROUND(v^($CG57+FaktorAlter)*$H57*($B57*0.5*($P57+$P58)*(VLOOKUP(TRUNC(0.5*($Q57+$Q58),0),Männer!$AZ$9:$BD$95,5)+(0.5*($Q57+$Q58)-TRUNC(0.5*($Q57+$Q58),0))*(VLOOKUP(TRUNC(0.5*($Q57+$Q58)+1,0),Männer!$AZ$9:$BD$95,5)-VLOOKUP(TRUNC(0.5*($Q57+$Q58),0),Männer!$AZ$9:$BD$95,5)))+$C57*0.5*($CN57+$CN58)),RundDx),"")</f>
        <v/>
      </c>
      <c r="CI57" s="14" t="str">
        <f>IF(CG57&lt;RAF,ROUND(SUM(CH57:INDEX(Dawy,RAF-BeginnAlter))+INDEX(Day,RAF-BeginnAlter+1)*INDEX(äwy,1),RundDx),"")</f>
        <v/>
      </c>
      <c r="CJ57" s="14" t="str">
        <f>IF(CG57&lt;RAF,ROUND(SUM(CI57:INDEX(Nawy,RAF-BeginnAlter))+INDEX(Day,RAF-BeginnAlter+1)*INDEX(äwy,1),RundDx),"")</f>
        <v/>
      </c>
      <c r="CK57" s="13" t="str">
        <f t="shared" si="22"/>
        <v/>
      </c>
      <c r="CL57" s="14" t="str">
        <f>IF(CG57&lt;RAF,ROUND(v^($CG57+FaktorAlter)*$L57*$D57*0.5*($P57+$P58)*(VLOOKUP(TRUNC(0.5*($Q57+$Q58),0),Männer!$AZ$9:$BD$95,5)+(0.5*($Q57+$Q58)-TRUNC(0.5*($Q57+$Q58),0))*(VLOOKUP(TRUNC(0.5*($Q57+$Q58)+1,0),Männer!$AZ$9:$BD$95,5)-VLOOKUP(TRUNC(0.5*($Q57+$Q58),0),Männer!$AZ$9:$BD$95,5))),RundDx),"")</f>
        <v/>
      </c>
      <c r="CM57" s="14" t="str">
        <f>IF(CG57&lt;RAF,SUM(CL57:INDEX(Diwy,RAF-BeginnAlter))+INDEX(Diy,RAF-BeginnAlter+1)*INDEX(äwy,1),"")</f>
        <v/>
      </c>
      <c r="CN57" s="13" t="str">
        <f t="shared" si="23"/>
        <v/>
      </c>
      <c r="CO57" s="90"/>
      <c r="CP57" s="9">
        <f t="shared" si="59"/>
        <v>112</v>
      </c>
      <c r="CQ57" s="11"/>
      <c r="CR57" s="11"/>
      <c r="CS57" s="65"/>
      <c r="CT57" s="89"/>
      <c r="CU57" s="35">
        <f t="shared" si="60"/>
        <v>65</v>
      </c>
      <c r="CV57" s="25" t="str">
        <f>IF($CU57&gt;=RAF,"",IF($CU57-CV$103&lt;BeginnAlter,"",ROUND(v^($CU57+FaktorAlter)*$L57*$D57*0.5*(VLOOKUP($CU57-CV$103,Männer!$G$9:$J$102,4)+VLOOKUP($CU57-CV$103+1,Männer!$G$9:$J$102,4))*0.5*(VLOOKUP($CU57-CV$103,Männer!$AZ$9:$BD$102,5)+VLOOKUP($CU57-CV$103+1,Männer!$AZ$9:$BD$102,5)),RundDx)))</f>
        <v/>
      </c>
      <c r="CW57" s="25" t="str">
        <f>IF($CU57&gt;=RAF,"",IF($CU57-CW$103&lt;BeginnAlter,"",ROUND(v^($CU57+FaktorAlter)*$L57*$D57*0.5*(VLOOKUP($CU57-CW$103,Männer!$G$9:$J$102,4)+VLOOKUP($CU57-CW$103+1,Männer!$G$9:$J$102,4))*0.5*(VLOOKUP($CU57-CW$103,Männer!$AZ$9:$BD$102,5)+VLOOKUP($CU57-CW$103+1,Männer!$AZ$9:$BD$102,5)),RundDx)))</f>
        <v/>
      </c>
      <c r="CX57" s="25" t="str">
        <f>IF($CU57&gt;=RAF,"",IF($CU57-CX$103&lt;BeginnAlter,"",ROUND(v^($CU57+FaktorAlter)*$L57*$D57*0.5*(VLOOKUP($CU57-CX$103,Männer!$G$9:$J$102,4)+VLOOKUP($CU57-CX$103+1,Männer!$G$9:$J$102,4))*0.5*(VLOOKUP($CU57-CX$103,Männer!$AZ$9:$BD$102,5)+VLOOKUP($CU57-CX$103+1,Männer!$AZ$9:$BD$102,5)),RundDx)))</f>
        <v/>
      </c>
      <c r="CY57" s="25" t="str">
        <f>IF($CU57&gt;=RAF,"",IF($CU57-CY$103&lt;BeginnAlter,"",ROUND(v^($CU57+FaktorAlter)*$L57*$D57*0.5*(VLOOKUP($CU57-CY$103,Männer!$G$9:$J$102,4)+VLOOKUP($CU57-CY$103+1,Männer!$G$9:$J$102,4))*0.5*(VLOOKUP($CU57-CY$103,Männer!$AZ$9:$BD$102,5)+VLOOKUP($CU57-CY$103+1,Männer!$AZ$9:$BD$102,5)),RundDx)))</f>
        <v/>
      </c>
      <c r="CZ57" s="25" t="str">
        <f>IF($CU57&gt;=RAF,"",IF($CU57-CZ$103&lt;BeginnAlter,"",ROUND(v^($CU57+FaktorAlter)*$L57*$D57*0.5*(VLOOKUP($CU57-CZ$103,Männer!$G$9:$J$102,4)+VLOOKUP($CU57-CZ$103+1,Männer!$G$9:$J$102,4))*0.5*(VLOOKUP($CU57-CZ$103,Männer!$AZ$9:$BD$102,5)+VLOOKUP($CU57-CZ$103+1,Männer!$AZ$9:$BD$102,5)),RundDx)))</f>
        <v/>
      </c>
      <c r="DA57" s="25" t="str">
        <f>IF($CU57&gt;=RAF,"",IF($CU57-DA$103&lt;BeginnAlter,"",ROUND(v^($CU57+FaktorAlter)*$L57*$D57*0.5*(VLOOKUP($CU57-DA$103,Männer!$G$9:$J$102,4)+VLOOKUP($CU57-DA$103+1,Männer!$G$9:$J$102,4))*0.5*(VLOOKUP($CU57-DA$103,Männer!$AZ$9:$BD$102,5)+VLOOKUP($CU57-DA$103+1,Männer!$AZ$9:$BD$102,5)),RundDx)))</f>
        <v/>
      </c>
      <c r="DB57" s="25" t="str">
        <f>IF($CU57&gt;=RAF,"",IF($CU57-DB$103&lt;BeginnAlter,"",ROUND(v^($CU57+FaktorAlter)*$L57*$D57*0.5*(VLOOKUP($CU57-DB$103,Männer!$G$9:$J$102,4)+VLOOKUP($CU57-DB$103+1,Männer!$G$9:$J$102,4))*0.5*(VLOOKUP($CU57-DB$103,Männer!$AZ$9:$BD$102,5)+VLOOKUP($CU57-DB$103+1,Männer!$AZ$9:$BD$102,5)),RundDx)))</f>
        <v/>
      </c>
      <c r="DC57" s="25" t="str">
        <f>IF($CU57&gt;=RAF,"",IF($CU57-DC$103&lt;BeginnAlter,"",ROUND(v^($CU57+FaktorAlter)*$L57*$D57*0.5*(VLOOKUP($CU57-DC$103,Männer!$G$9:$J$102,4)+VLOOKUP($CU57-DC$103+1,Männer!$G$9:$J$102,4))*0.5*(VLOOKUP($CU57-DC$103,Männer!$AZ$9:$BD$102,5)+VLOOKUP($CU57-DC$103+1,Männer!$AZ$9:$BD$102,5)),RundDx)))</f>
        <v/>
      </c>
      <c r="DD57" s="25" t="str">
        <f>IF($CU57&gt;=RAF,"",IF($CU57-DD$103&lt;BeginnAlter,"",ROUND(v^($CU57+FaktorAlter)*$L57*$D57*0.5*(VLOOKUP($CU57-DD$103,Männer!$G$9:$J$102,4)+VLOOKUP($CU57-DD$103+1,Männer!$G$9:$J$102,4))*0.5*(VLOOKUP($CU57-DD$103,Männer!$AZ$9:$BD$102,5)+VLOOKUP($CU57-DD$103+1,Männer!$AZ$9:$BD$102,5)),RundDx)))</f>
        <v/>
      </c>
      <c r="DE57" s="25" t="str">
        <f>IF($CU57&gt;=RAF,"",IF($CU57-DE$103&lt;BeginnAlter,"",ROUND(v^($CU57+FaktorAlter)*$L57*$D57*0.5*(VLOOKUP($CU57-DE$103,Männer!$G$9:$J$102,4)+VLOOKUP($CU57-DE$103+1,Männer!$G$9:$J$102,4))*0.5*(VLOOKUP($CU57-DE$103,Männer!$AZ$9:$BD$102,5)+VLOOKUP($CU57-DE$103+1,Männer!$AZ$9:$BD$102,5)),RundDx)))</f>
        <v/>
      </c>
      <c r="DF57" s="25" t="str">
        <f>IF($CU57&gt;=RAF,"",IF($CU57-DF$103&lt;BeginnAlter,"",ROUND(v^($CU57+FaktorAlter)*$L57*$D57*0.5*(VLOOKUP($CU57-DF$103,Männer!$G$9:$J$102,4)+VLOOKUP($CU57-DF$103+1,Männer!$G$9:$J$102,4))*0.5*(VLOOKUP($CU57-DF$103,Männer!$AZ$9:$BD$102,5)+VLOOKUP($CU57-DF$103+1,Männer!$AZ$9:$BD$102,5)),RundDx)))</f>
        <v/>
      </c>
      <c r="DG57" s="25" t="str">
        <f>IF($CU57&gt;=RAF,"",IF($CU57-DG$103&lt;BeginnAlter,"",ROUND(v^($CU57+FaktorAlter)*$L57*$D57*0.5*(VLOOKUP($CU57-DG$103,Männer!$G$9:$J$102,4)+VLOOKUP($CU57-DG$103+1,Männer!$G$9:$J$102,4))*0.5*(VLOOKUP($CU57-DG$103,Männer!$AZ$9:$BD$102,5)+VLOOKUP($CU57-DG$103+1,Männer!$AZ$9:$BD$102,5)),RundDx)))</f>
        <v/>
      </c>
      <c r="DH57" s="25" t="str">
        <f>IF($CU57&gt;=RAF,"",IF($CU57-DH$103&lt;BeginnAlter,"",ROUND(v^($CU57+FaktorAlter)*$L57*$D57*0.5*(VLOOKUP($CU57-DH$103,Männer!$G$9:$J$102,4)+VLOOKUP($CU57-DH$103+1,Männer!$G$9:$J$102,4))*0.5*(VLOOKUP($CU57-DH$103,Männer!$AZ$9:$BD$102,5)+VLOOKUP($CU57-DH$103+1,Männer!$AZ$9:$BD$102,5)),RundDx)))</f>
        <v/>
      </c>
      <c r="DI57" s="25" t="str">
        <f>IF($CU57&gt;=RAF,"",IF($CU57-DI$103&lt;BeginnAlter,"",ROUND(v^($CU57+FaktorAlter)*$L57*$D57*0.5*(VLOOKUP($CU57-DI$103,Männer!$G$9:$J$102,4)+VLOOKUP($CU57-DI$103+1,Männer!$G$9:$J$102,4))*0.5*(VLOOKUP($CU57-DI$103,Männer!$AZ$9:$BD$102,5)+VLOOKUP($CU57-DI$103+1,Männer!$AZ$9:$BD$102,5)),RundDx)))</f>
        <v/>
      </c>
      <c r="DJ57" s="25" t="str">
        <f>IF($CU57&gt;=RAF,"",IF($CU57-DJ$103&lt;BeginnAlter,"",ROUND(v^($CU57+FaktorAlter)*$L57*$D57*0.5*(VLOOKUP($CU57-DJ$103,Männer!$G$9:$J$102,4)+VLOOKUP($CU57-DJ$103+1,Männer!$G$9:$J$102,4))*0.5*(VLOOKUP($CU57-DJ$103,Männer!$AZ$9:$BD$102,5)+VLOOKUP($CU57-DJ$103+1,Männer!$AZ$9:$BD$102,5)),RundDx)))</f>
        <v/>
      </c>
      <c r="DK57" s="25" t="str">
        <f>IF($CU57&gt;=RAF,"",IF($CU57-DK$103&lt;BeginnAlter,"",ROUND(v^($CU57+FaktorAlter)*$L57*$D57*0.5*(VLOOKUP($CU57-DK$103,Männer!$G$9:$J$102,4)+VLOOKUP($CU57-DK$103+1,Männer!$G$9:$J$102,4))*0.5*(VLOOKUP($CU57-DK$103,Männer!$AZ$9:$BD$102,5)+VLOOKUP($CU57-DK$103+1,Männer!$AZ$9:$BD$102,5)),RundDx)))</f>
        <v/>
      </c>
      <c r="DL57" s="25" t="str">
        <f>IF($CU57&gt;=RAF,"",IF($CU57-DL$103&lt;BeginnAlter,"",ROUND(v^($CU57+FaktorAlter)*$L57*$D57*0.5*(VLOOKUP($CU57-DL$103,Männer!$G$9:$J$102,4)+VLOOKUP($CU57-DL$103+1,Männer!$G$9:$J$102,4))*0.5*(VLOOKUP($CU57-DL$103,Männer!$AZ$9:$BD$102,5)+VLOOKUP($CU57-DL$103+1,Männer!$AZ$9:$BD$102,5)),RundDx)))</f>
        <v/>
      </c>
      <c r="DM57" s="25" t="str">
        <f>IF($CU57&gt;=RAF,"",IF($CU57-DM$103&lt;BeginnAlter,"",ROUND(v^($CU57+FaktorAlter)*$L57*$D57*0.5*(VLOOKUP($CU57-DM$103,Männer!$G$9:$J$102,4)+VLOOKUP($CU57-DM$103+1,Männer!$G$9:$J$102,4))*0.5*(VLOOKUP($CU57-DM$103,Männer!$AZ$9:$BD$102,5)+VLOOKUP($CU57-DM$103+1,Männer!$AZ$9:$BD$102,5)),RundDx)))</f>
        <v/>
      </c>
      <c r="DN57" s="25" t="str">
        <f>IF($CU57&gt;=RAF,"",IF($CU57-DN$103&lt;BeginnAlter,"",ROUND(v^($CU57+FaktorAlter)*$L57*$D57*0.5*(VLOOKUP($CU57-DN$103,Männer!$G$9:$J$102,4)+VLOOKUP($CU57-DN$103+1,Männer!$G$9:$J$102,4))*0.5*(VLOOKUP($CU57-DN$103,Männer!$AZ$9:$BD$102,5)+VLOOKUP($CU57-DN$103+1,Männer!$AZ$9:$BD$102,5)),RundDx)))</f>
        <v/>
      </c>
      <c r="DO57" s="25" t="str">
        <f>IF($CU57&gt;=RAF,"",IF($CU57-DO$103&lt;BeginnAlter,"",ROUND(v^($CU57+FaktorAlter)*$L57*$D57*0.5*(VLOOKUP($CU57-DO$103,Männer!$G$9:$J$102,4)+VLOOKUP($CU57-DO$103+1,Männer!$G$9:$J$102,4))*0.5*(VLOOKUP($CU57-DO$103,Männer!$AZ$9:$BD$102,5)+VLOOKUP($CU57-DO$103+1,Männer!$AZ$9:$BD$102,5)),RundDx)))</f>
        <v/>
      </c>
      <c r="DP57" s="25" t="str">
        <f>IF($CU57&gt;=RAF,"",IF($CU57-DP$103&lt;BeginnAlter,"",ROUND(v^($CU57+FaktorAlter)*$L57*$D57*0.5*(VLOOKUP($CU57-DP$103,Männer!$G$9:$J$102,4)+VLOOKUP($CU57-DP$103+1,Männer!$G$9:$J$102,4))*0.5*(VLOOKUP($CU57-DP$103,Männer!$AZ$9:$BD$102,5)+VLOOKUP($CU57-DP$103+1,Männer!$AZ$9:$BD$102,5)),RundDx)))</f>
        <v/>
      </c>
      <c r="DQ57" s="25" t="str">
        <f>IF($CU57&gt;=RAF,"",IF($CU57-DQ$103&lt;BeginnAlter,"",ROUND(v^($CU57+FaktorAlter)*$L57*$D57*0.5*(VLOOKUP($CU57-DQ$103,Männer!$G$9:$J$102,4)+VLOOKUP($CU57-DQ$103+1,Männer!$G$9:$J$102,4))*0.5*(VLOOKUP($CU57-DQ$103,Männer!$AZ$9:$BD$102,5)+VLOOKUP($CU57-DQ$103+1,Männer!$AZ$9:$BD$102,5)),RundDx)))</f>
        <v/>
      </c>
      <c r="DR57" s="25" t="str">
        <f>IF($CU57&gt;=RAF,"",IF($CU57-DR$103&lt;BeginnAlter,"",ROUND(v^($CU57+FaktorAlter)*$L57*$D57*0.5*(VLOOKUP($CU57-DR$103,Männer!$G$9:$J$102,4)+VLOOKUP($CU57-DR$103+1,Männer!$G$9:$J$102,4))*0.5*(VLOOKUP($CU57-DR$103,Männer!$AZ$9:$BD$102,5)+VLOOKUP($CU57-DR$103+1,Männer!$AZ$9:$BD$102,5)),RundDx)))</f>
        <v/>
      </c>
      <c r="DS57" s="25" t="str">
        <f>IF($CU57&gt;=RAF,"",IF($CU57-DS$103&lt;BeginnAlter,"",ROUND(v^($CU57+FaktorAlter)*$L57*$D57*0.5*(VLOOKUP($CU57-DS$103,Männer!$G$9:$J$102,4)+VLOOKUP($CU57-DS$103+1,Männer!$G$9:$J$102,4))*0.5*(VLOOKUP($CU57-DS$103,Männer!$AZ$9:$BD$102,5)+VLOOKUP($CU57-DS$103+1,Männer!$AZ$9:$BD$102,5)),RundDx)))</f>
        <v/>
      </c>
      <c r="DT57" s="25" t="str">
        <f>IF($CU57&gt;=RAF,"",IF($CU57-DT$103&lt;BeginnAlter,"",ROUND(v^($CU57+FaktorAlter)*$L57*$D57*0.5*(VLOOKUP($CU57-DT$103,Männer!$G$9:$J$102,4)+VLOOKUP($CU57-DT$103+1,Männer!$G$9:$J$102,4))*0.5*(VLOOKUP($CU57-DT$103,Männer!$AZ$9:$BD$102,5)+VLOOKUP($CU57-DT$103+1,Männer!$AZ$9:$BD$102,5)),RundDx)))</f>
        <v/>
      </c>
      <c r="DU57" s="25" t="str">
        <f>IF($CU57&gt;=RAF,"",IF($CU57-DU$103&lt;BeginnAlter,"",ROUND(v^($CU57+FaktorAlter)*$L57*$D57*0.5*(VLOOKUP($CU57-DU$103,Männer!$G$9:$J$102,4)+VLOOKUP($CU57-DU$103+1,Männer!$G$9:$J$102,4))*0.5*(VLOOKUP($CU57-DU$103,Männer!$AZ$9:$BD$102,5)+VLOOKUP($CU57-DU$103+1,Männer!$AZ$9:$BD$102,5)),RundDx)))</f>
        <v/>
      </c>
      <c r="DV57" s="25" t="str">
        <f>IF($CU57&gt;=RAF,"",IF($CU57-DV$103&lt;BeginnAlter,"",ROUND(v^($CU57+FaktorAlter)*$L57*$D57*0.5*(VLOOKUP($CU57-DV$103,Männer!$G$9:$J$102,4)+VLOOKUP($CU57-DV$103+1,Männer!$G$9:$J$102,4))*0.5*(VLOOKUP($CU57-DV$103,Männer!$AZ$9:$BD$102,5)+VLOOKUP($CU57-DV$103+1,Männer!$AZ$9:$BD$102,5)),RundDx)))</f>
        <v/>
      </c>
      <c r="DW57" s="25" t="str">
        <f>IF($CU57&gt;=RAF,"",IF($CU57-DW$103&lt;BeginnAlter,"",ROUND(v^($CU57+FaktorAlter)*$L57*$D57*0.5*(VLOOKUP($CU57-DW$103,Männer!$G$9:$J$102,4)+VLOOKUP($CU57-DW$103+1,Männer!$G$9:$J$102,4))*0.5*(VLOOKUP($CU57-DW$103,Männer!$AZ$9:$BD$102,5)+VLOOKUP($CU57-DW$103+1,Männer!$AZ$9:$BD$102,5)),RundDx)))</f>
        <v/>
      </c>
      <c r="DX57" s="25" t="str">
        <f>IF($CU57&gt;=RAF,"",IF($CU57-DX$103&lt;BeginnAlter,"",ROUND(v^($CU57+FaktorAlter)*$L57*$D57*0.5*(VLOOKUP($CU57-DX$103,Männer!$G$9:$J$102,4)+VLOOKUP($CU57-DX$103+1,Männer!$G$9:$J$102,4))*0.5*(VLOOKUP($CU57-DX$103,Männer!$AZ$9:$BD$102,5)+VLOOKUP($CU57-DX$103+1,Männer!$AZ$9:$BD$102,5)),RundDx)))</f>
        <v/>
      </c>
      <c r="DY57" s="25" t="str">
        <f>IF($CU57&gt;=RAF,"",IF($CU57-DY$103&lt;BeginnAlter,"",ROUND(v^($CU57+FaktorAlter)*$L57*$D57*0.5*(VLOOKUP($CU57-DY$103,Männer!$G$9:$J$102,4)+VLOOKUP($CU57-DY$103+1,Männer!$G$9:$J$102,4))*0.5*(VLOOKUP($CU57-DY$103,Männer!$AZ$9:$BD$102,5)+VLOOKUP($CU57-DY$103+1,Männer!$AZ$9:$BD$102,5)),RundDx)))</f>
        <v/>
      </c>
      <c r="DZ57" s="25" t="str">
        <f>IF($CU57&gt;=RAF,"",IF($CU57-DZ$103&lt;BeginnAlter,"",ROUND(v^($CU57+FaktorAlter)*$L57*$D57*0.5*(VLOOKUP($CU57-DZ$103,Männer!$G$9:$J$102,4)+VLOOKUP($CU57-DZ$103+1,Männer!$G$9:$J$102,4))*0.5*(VLOOKUP($CU57-DZ$103,Männer!$AZ$9:$BD$102,5)+VLOOKUP($CU57-DZ$103+1,Männer!$AZ$9:$BD$102,5)),RundDx)))</f>
        <v/>
      </c>
      <c r="EA57" s="43" t="str">
        <f>IF($CU57&gt;=RAF,"",IF($CU57-EA$103&lt;BeginnAlter,"",ROUND((SUM(CV$56:CV57)+SUM(FN$9:FN$56))/VLOOKUP($CU57,$AH$9:$AI$102,2)/VLOOKUP($CU57-EA$103,Männer!$G$9:$J$102,4),Rundäx)))</f>
        <v/>
      </c>
      <c r="EB57" s="43" t="str">
        <f>IF($CU57&gt;=RAF,"",IF($CU57-EB$103&lt;BeginnAlter,"",ROUND((SUM(CW$56:CW57)+SUM(FO$9:FO$56))/VLOOKUP($CU57,$AH$9:$AI$102,2)/VLOOKUP($CU57-EB$103,Männer!$G$9:$J$102,4),Rundäx)))</f>
        <v/>
      </c>
      <c r="EC57" s="43" t="str">
        <f>IF($CU57&gt;=RAF,"",IF($CU57-EC$103&lt;BeginnAlter,"",ROUND((SUM(CX$56:CX57)+SUM(FP$9:FP$56))/VLOOKUP($CU57,$AH$9:$AI$102,2)/VLOOKUP($CU57-EC$103,Männer!$G$9:$J$102,4),Rundäx)))</f>
        <v/>
      </c>
      <c r="ED57" s="43" t="str">
        <f>IF($CU57&gt;=RAF,"",IF($CU57-ED$103&lt;BeginnAlter,"",ROUND((SUM(CY$56:CY57)+SUM(FQ$9:FQ$56))/VLOOKUP($CU57,$AH$9:$AI$102,2)/VLOOKUP($CU57-ED$103,Männer!$G$9:$J$102,4),Rundäx)))</f>
        <v/>
      </c>
      <c r="EE57" s="43" t="str">
        <f>IF($CU57&gt;=RAF,"",IF($CU57-EE$103&lt;BeginnAlter,"",ROUND((SUM(CZ$56:CZ57)+SUM(FR$9:FR$56))/VLOOKUP($CU57,$AH$9:$AI$102,2)/VLOOKUP($CU57-EE$103,Männer!$G$9:$J$102,4),Rundäx)))</f>
        <v/>
      </c>
      <c r="EF57" s="43" t="str">
        <f>IF($CU57&gt;=RAF,"",IF($CU57-EF$103&lt;BeginnAlter,"",ROUND((SUM(DA$56:DA57)+SUM(FS$9:FS$56))/VLOOKUP($CU57,$AH$9:$AI$102,2)/VLOOKUP($CU57-EF$103,Männer!$G$9:$J$102,4),Rundäx)))</f>
        <v/>
      </c>
      <c r="EG57" s="43" t="str">
        <f>IF($CU57&gt;=RAF,"",IF($CU57-EG$103&lt;BeginnAlter,"",ROUND((SUM(DB$56:DB57)+SUM(FT$9:FT$56))/VLOOKUP($CU57,$AH$9:$AI$102,2)/VLOOKUP($CU57-EG$103,Männer!$G$9:$J$102,4),Rundäx)))</f>
        <v/>
      </c>
      <c r="EH57" s="43" t="str">
        <f>IF($CU57&gt;=RAF,"",IF($CU57-EH$103&lt;BeginnAlter,"",ROUND((SUM(DC$56:DC57)+SUM(FU$9:FU$56))/VLOOKUP($CU57,$AH$9:$AI$102,2)/VLOOKUP($CU57-EH$103,Männer!$G$9:$J$102,4),Rundäx)))</f>
        <v/>
      </c>
      <c r="EI57" s="89"/>
      <c r="EJ57" s="35">
        <f t="shared" si="61"/>
        <v>65</v>
      </c>
      <c r="EK57" s="43" t="str">
        <f>IF($CU57&gt;=RAF,"",IF($CU57-EK$103&lt;BeginnAlter,"",ROUND((SUM(DD$56:DD57)+SUM(FV$9:FV$56))/VLOOKUP($CU57,$AH$9:$AI$102,2)/VLOOKUP($CU57-EK$103,Männer!$G$9:$J$102,4),Rundäx)))</f>
        <v/>
      </c>
      <c r="EL57" s="43" t="str">
        <f>IF($CU57&gt;=RAF,"",IF($CU57-EL$103&lt;BeginnAlter,"",ROUND((SUM(DE$56:DE57)+SUM(FW$9:FW$56))/VLOOKUP($CU57,$AH$9:$AI$102,2)/VLOOKUP($CU57-EL$103,Männer!$G$9:$J$102,4),Rundäx)))</f>
        <v/>
      </c>
      <c r="EM57" s="43" t="str">
        <f>IF($CU57&gt;=RAF,"",IF($CU57-EM$103&lt;BeginnAlter,"",ROUND((SUM(DF$56:DF57)+SUM(FX$9:FX$56))/VLOOKUP($CU57,$AH$9:$AI$102,2)/VLOOKUP($CU57-EM$103,Männer!$G$9:$J$102,4),Rundäx)))</f>
        <v/>
      </c>
      <c r="EN57" s="43" t="str">
        <f>IF($CU57&gt;=RAF,"",IF($CU57-EN$103&lt;BeginnAlter,"",ROUND((SUM(DG$56:DG57)+SUM(FY$9:FY$56))/VLOOKUP($CU57,$AH$9:$AI$102,2)/VLOOKUP($CU57-EN$103,Männer!$G$9:$J$102,4),Rundäx)))</f>
        <v/>
      </c>
      <c r="EO57" s="43" t="str">
        <f>IF($CU57&gt;=RAF,"",IF($CU57-EO$103&lt;BeginnAlter,"",ROUND((SUM(DH$56:DH57)+SUM(FZ$9:FZ$56))/VLOOKUP($CU57,$AH$9:$AI$102,2)/VLOOKUP($CU57-EO$103,Männer!$G$9:$J$102,4),Rundäx)))</f>
        <v/>
      </c>
      <c r="EP57" s="43" t="str">
        <f>IF($CU57&gt;=RAF,"",IF($CU57-EP$103&lt;BeginnAlter,"",ROUND((SUM(DI$56:DI57)+SUM(GA$9:GA$56))/VLOOKUP($CU57,$AH$9:$AI$102,2)/VLOOKUP($CU57-EP$103,Männer!$G$9:$J$102,4),Rundäx)))</f>
        <v/>
      </c>
      <c r="EQ57" s="43" t="str">
        <f>IF($CU57&gt;=RAF,"",IF($CU57-EQ$103&lt;BeginnAlter,"",ROUND((SUM(DJ$56:DJ57)+SUM(GB$9:GB$56))/VLOOKUP($CU57,$AH$9:$AI$102,2)/VLOOKUP($CU57-EQ$103,Männer!$G$9:$J$102,4),Rundäx)))</f>
        <v/>
      </c>
      <c r="ER57" s="43" t="str">
        <f>IF($CU57&gt;=RAF,"",IF($CU57-ER$103&lt;BeginnAlter,"",ROUND((SUM(DK$56:DK57)+SUM(GC$9:GC$56))/VLOOKUP($CU57,$AH$9:$AI$102,2)/VLOOKUP($CU57-ER$103,Männer!$G$9:$J$102,4),Rundäx)))</f>
        <v/>
      </c>
      <c r="ES57" s="89"/>
      <c r="ET57" s="35">
        <f t="shared" si="62"/>
        <v>65</v>
      </c>
      <c r="EU57" s="43" t="str">
        <f>IF($CU57&gt;=RAF,"",IF($CU57-EU$103&lt;BeginnAlter,"",ROUND((SUM(DL$56:DL57)+SUM(GD$9:GD$56))/VLOOKUP($CU57,$AH$9:$AI$102,2)/VLOOKUP($CU57-EU$103,Männer!$G$9:$J$102,4),Rundäx)))</f>
        <v/>
      </c>
      <c r="EV57" s="43" t="str">
        <f>IF($CU57&gt;=RAF,"",IF($CU57-EV$103&lt;BeginnAlter,"",ROUND((SUM(DM$56:DM57)+SUM(GE$9:GE$56))/VLOOKUP($CU57,$AH$9:$AI$102,2)/VLOOKUP($CU57-EV$103,Männer!$G$9:$J$102,4),Rundäx)))</f>
        <v/>
      </c>
      <c r="EW57" s="43" t="str">
        <f>IF($CU57&gt;=RAF,"",IF($CU57-EW$103&lt;BeginnAlter,"",ROUND((SUM(DN$56:DN57)+SUM(GF$9:GF$56))/VLOOKUP($CU57,$AH$9:$AI$102,2)/VLOOKUP($CU57-EW$103,Männer!$G$9:$J$102,4),Rundäx)))</f>
        <v/>
      </c>
      <c r="EX57" s="43" t="str">
        <f>IF($CU57&gt;=RAF,"",IF($CU57-EX$103&lt;BeginnAlter,"",ROUND((SUM(DO$56:DO57)+SUM(GG$9:GG$56))/VLOOKUP($CU57,$AH$9:$AI$102,2)/VLOOKUP($CU57-EX$103,Männer!$G$9:$J$102,4),Rundäx)))</f>
        <v/>
      </c>
      <c r="EY57" s="43" t="str">
        <f>IF($CU57&gt;=RAF,"",IF($CU57-EY$103&lt;BeginnAlter,"",ROUND((SUM(DP$56:DP57)+SUM(GH$9:GH$56))/VLOOKUP($CU57,$AH$9:$AI$102,2)/VLOOKUP($CU57-EY$103,Männer!$G$9:$J$102,4),Rundäx)))</f>
        <v/>
      </c>
      <c r="EZ57" s="43" t="str">
        <f>IF($CU57&gt;=RAF,"",IF($CU57-EZ$103&lt;BeginnAlter,"",ROUND((SUM(DQ$56:DQ57)+SUM(GI$9:GI$56))/VLOOKUP($CU57,$AH$9:$AI$102,2)/VLOOKUP($CU57-EZ$103,Männer!$G$9:$J$102,4),Rundäx)))</f>
        <v/>
      </c>
      <c r="FA57" s="43" t="str">
        <f>IF($CU57&gt;=RAF,"",IF($CU57-FA$103&lt;BeginnAlter,"",ROUND((SUM(DR$56:DR57)+SUM(GJ$9:GJ$56))/VLOOKUP($CU57,$AH$9:$AI$102,2)/VLOOKUP($CU57-FA$103,Männer!$G$9:$J$102,4),Rundäx)))</f>
        <v/>
      </c>
      <c r="FB57" s="43" t="str">
        <f>IF($CU57&gt;=RAF,"",IF($CU57-FB$103&lt;BeginnAlter,"",ROUND((SUM(DS$56:DS57)+SUM(GK$9:GK$56))/VLOOKUP($CU57,$AH$9:$AI$102,2)/VLOOKUP($CU57-FB$103,Männer!$G$9:$J$102,4),Rundäx)))</f>
        <v/>
      </c>
      <c r="FC57" s="89"/>
      <c r="FD57" s="35">
        <f t="shared" si="63"/>
        <v>65</v>
      </c>
      <c r="FE57" s="43" t="str">
        <f>IF($CU57&gt;=RAF,"",IF($CU57-FE$103&lt;BeginnAlter,"",ROUND((SUM(DT$56:DT57)+SUM(GL$9:GL$56))/VLOOKUP($CU57,$AH$9:$AI$102,2)/VLOOKUP($CU57-FE$103,Männer!$G$9:$J$102,4),Rundäx)))</f>
        <v/>
      </c>
      <c r="FF57" s="43" t="str">
        <f>IF($CU57&gt;=RAF,"",IF($CU57-FF$103&lt;BeginnAlter,"",ROUND((SUM(DU$56:DU57)+SUM(GM$9:GM$56))/VLOOKUP($CU57,$AH$9:$AI$102,2)/VLOOKUP($CU57-FF$103,Männer!$G$9:$J$102,4),Rundäx)))</f>
        <v/>
      </c>
      <c r="FG57" s="43" t="str">
        <f>IF($CU57&gt;=RAF,"",IF($CU57-FG$103&lt;BeginnAlter,"",ROUND((SUM(DV$56:DV57)+SUM(GN$9:GN$56))/VLOOKUP($CU57,$AH$9:$AI$102,2)/VLOOKUP($CU57-FG$103,Männer!$G$9:$J$102,4),Rundäx)))</f>
        <v/>
      </c>
      <c r="FH57" s="43" t="str">
        <f>IF($CU57&gt;=RAF,"",IF($CU57-FH$103&lt;BeginnAlter,"",ROUND((SUM(DW$56:DW57)+SUM(GO$9:GO$56))/VLOOKUP($CU57,$AH$9:$AI$102,2)/VLOOKUP($CU57-FH$103,Männer!$G$9:$J$102,4),Rundäx)))</f>
        <v/>
      </c>
      <c r="FI57" s="43" t="str">
        <f>IF($CU57&gt;=RAF,"",IF($CU57-FI$103&lt;BeginnAlter,"",ROUND((SUM(DX$56:DX57)+SUM(GP$9:GP$56))/VLOOKUP($CU57,$AH$9:$AI$102,2)/VLOOKUP($CU57-FI$103,Männer!$G$9:$J$102,4),Rundäx)))</f>
        <v/>
      </c>
      <c r="FJ57" s="43" t="str">
        <f>IF($CU57&gt;=RAF,"",IF($CU57-FJ$103&lt;BeginnAlter,"",ROUND((SUM(DY$56:DY57)+SUM(GQ$9:GQ$56))/VLOOKUP($CU57,$AH$9:$AI$102,2)/VLOOKUP($CU57-FJ$103,Männer!$G$9:$J$102,4),Rundäx)))</f>
        <v/>
      </c>
      <c r="FK57" s="43" t="str">
        <f>IF($CU57&gt;=RAF,"",IF($CU57-FK$103&lt;BeginnAlter,"",ROUND((SUM(DZ$56:DZ57)+SUM(GR$9:GR$56))/VLOOKUP($CU57,$AH$9:$AI$102,2)/VLOOKUP($CU57-FK$103,Männer!$G$9:$J$102,4),Rundäx)))</f>
        <v/>
      </c>
      <c r="FL57" s="89"/>
      <c r="FM57" s="35">
        <f t="shared" si="64"/>
        <v>112</v>
      </c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4"/>
      <c r="GT57" s="24"/>
      <c r="GU57" s="24" t="str">
        <f>IF(FM57&gt;=RAF," ",#REF!/$AI57/Frauen!$J45)</f>
        <v xml:space="preserve"> </v>
      </c>
      <c r="GV57" s="24" t="str">
        <f>IF(FM57&gt;=RAF," ",#REF!/$AI57/Frauen!$J48)</f>
        <v xml:space="preserve"> </v>
      </c>
      <c r="GW57" s="24" t="str">
        <f>IF(FM57&gt;=RAF," ",#REF!/$AI57/Frauen!$J51)</f>
        <v xml:space="preserve"> </v>
      </c>
      <c r="GX57" s="24" t="str">
        <f>IF(FM57&gt;=RAF," ",#REF!/$AI57/Frauen!$J54)</f>
        <v xml:space="preserve"> </v>
      </c>
      <c r="GY57" s="24" t="str">
        <f>IF(FM57&gt;=RAF," ",#REF!/$AI57/Frauen!$J57)</f>
        <v xml:space="preserve"> </v>
      </c>
      <c r="GZ57" s="24" t="str">
        <f>IF(FM57&gt;=RAF," ",#REF!/$AI57/Frauen!$J60)</f>
        <v xml:space="preserve"> </v>
      </c>
      <c r="HA57" s="89"/>
      <c r="HB57" s="35">
        <f t="shared" si="65"/>
        <v>112</v>
      </c>
      <c r="HC57" s="24"/>
      <c r="HD57" s="24"/>
      <c r="HE57" s="24"/>
      <c r="HF57" s="24"/>
      <c r="HG57" s="24"/>
      <c r="HH57" s="24"/>
      <c r="HI57" s="24"/>
      <c r="HJ57" s="24"/>
      <c r="HK57" s="89"/>
      <c r="HL57" s="35">
        <f t="shared" si="66"/>
        <v>112</v>
      </c>
      <c r="HM57" s="24"/>
      <c r="HN57" s="24"/>
      <c r="HO57" s="24"/>
      <c r="HP57" s="24"/>
      <c r="HQ57" s="24"/>
      <c r="HR57" s="24"/>
      <c r="HS57" s="24"/>
      <c r="HT57" s="24"/>
      <c r="HU57" s="89"/>
      <c r="HV57" s="35">
        <f t="shared" si="67"/>
        <v>112</v>
      </c>
      <c r="HW57" s="24"/>
      <c r="HX57" s="24"/>
      <c r="HY57" s="24"/>
      <c r="HZ57" s="24"/>
      <c r="IA57" s="24"/>
      <c r="IB57" s="24"/>
      <c r="IC57" s="24"/>
      <c r="ID57" s="89"/>
      <c r="IE57" s="12">
        <f>1+IE56</f>
        <v>65</v>
      </c>
      <c r="IF57" s="14" t="str">
        <f t="shared" si="25"/>
        <v/>
      </c>
      <c r="IG57" s="14" t="str">
        <f>IF($IE57&lt;RAF,IF(S58&lt;=RAK,ROUND(SUM(IF57:INDEX(Daky,RAF-BeginnAlter))+INDEX(Day,RAF-BeginnAlter+1)*INDEX(äky,1),RundDx),0),"")</f>
        <v/>
      </c>
      <c r="IH57" s="14" t="str">
        <f>IF($IE57&lt;RAF,IF(S58&lt;=RAK,ROUND(SUM(IG57:INDEX(Naky,RAF-BeginnAlter))+INDEX(Day,RAF-BeginnAlter+1)*INDEX(äky,1),RundDx),0),"")</f>
        <v/>
      </c>
      <c r="II57" s="13" t="str">
        <f t="shared" si="26"/>
        <v/>
      </c>
      <c r="IJ57" s="14" t="str">
        <f t="shared" si="27"/>
        <v/>
      </c>
      <c r="IK57" s="14" t="str">
        <f>IF($IE57&lt;RAF,IF(S58&lt;=RAK,SUM(IJ57:INDEX(Diky,RAF-BeginnAlter))+INDEX(Diy,RAF-BeginnAlter+1)*INDEX(äky,1),0),"")</f>
        <v/>
      </c>
      <c r="IL57" s="13" t="str">
        <f t="shared" si="28"/>
        <v/>
      </c>
      <c r="IM57" s="90"/>
      <c r="IN57" s="9">
        <f t="shared" si="29"/>
        <v>112</v>
      </c>
      <c r="IO57" s="11"/>
      <c r="IP57" s="11"/>
      <c r="IQ57" s="65"/>
      <c r="IR57" s="86"/>
    </row>
    <row r="58" spans="1:252" ht="15.75" customHeight="1" x14ac:dyDescent="0.25">
      <c r="A58" s="9">
        <f t="shared" si="69"/>
        <v>66</v>
      </c>
      <c r="B58" s="93"/>
      <c r="C58" s="93"/>
      <c r="D58" s="93"/>
      <c r="E58" s="93">
        <v>1.21E-2</v>
      </c>
      <c r="F58" s="89"/>
      <c r="G58" s="9">
        <f t="shared" si="70"/>
        <v>66</v>
      </c>
      <c r="H58" s="11" t="str">
        <f t="shared" si="30"/>
        <v/>
      </c>
      <c r="I58" s="25" t="str">
        <f t="shared" si="31"/>
        <v/>
      </c>
      <c r="J58" s="25">
        <f t="shared" si="32"/>
        <v>88352</v>
      </c>
      <c r="K58" s="30">
        <f>IF(J58&gt;0,ROUND(SUM(J58:J$102)/J58-0.5,Rundex),"")</f>
        <v>19.600000000000001</v>
      </c>
      <c r="L58" s="25">
        <f t="shared" si="6"/>
        <v>88352</v>
      </c>
      <c r="M58" s="30">
        <f>IF(L58&gt;0,ROUND(SUM(L58:L$102)/L58-0.5,Rundex),"")</f>
        <v>19.600000000000001</v>
      </c>
      <c r="N58" s="89"/>
      <c r="O58" s="9">
        <f t="shared" si="71"/>
        <v>66</v>
      </c>
      <c r="P58" s="94">
        <v>0.10507669525561923</v>
      </c>
      <c r="Q58" s="95">
        <v>67.580648301687944</v>
      </c>
      <c r="R58" s="94">
        <v>1.1710423383464142E-3</v>
      </c>
      <c r="S58" s="95">
        <v>20.399999999999999</v>
      </c>
      <c r="T58" s="28">
        <v>8.9815319885329335E-3</v>
      </c>
      <c r="U58" s="11">
        <f t="shared" si="33"/>
        <v>90108</v>
      </c>
      <c r="V58" s="30">
        <f>IF(U58&gt;0,ROUND(SUM(U58:U$102)/U58-0.5,Rundex),"")</f>
        <v>20.48</v>
      </c>
      <c r="W58" s="89"/>
      <c r="X58" s="9">
        <f t="shared" si="72"/>
        <v>66</v>
      </c>
      <c r="Y58" s="11" t="str">
        <f t="shared" si="34"/>
        <v xml:space="preserve"> </v>
      </c>
      <c r="Z58" s="11" t="str">
        <f>IF($X58&lt;RAF,SUM(Y58:INDEX(Day,RAF-BeginnAlter))," ")</f>
        <v xml:space="preserve"> </v>
      </c>
      <c r="AA58" s="11" t="str">
        <f t="shared" si="0"/>
        <v xml:space="preserve"> </v>
      </c>
      <c r="AB58" s="11" t="str">
        <f>IF($X58&lt;RAF,SUM(AA58:INDEX(Cay,RAF-BeginnAlter))," ")</f>
        <v xml:space="preserve"> </v>
      </c>
      <c r="AC58" s="11" t="str">
        <f t="shared" si="1"/>
        <v xml:space="preserve"> </v>
      </c>
      <c r="AD58" s="11" t="str">
        <f>IF($X58&lt;RAF,SUM(AC58:INDEX(Caiy,RAF-BeginnAlter))," ")</f>
        <v xml:space="preserve"> </v>
      </c>
      <c r="AE58" s="10" t="str">
        <f t="shared" si="35"/>
        <v xml:space="preserve"> </v>
      </c>
      <c r="AF58" s="10" t="str">
        <f t="shared" si="36"/>
        <v xml:space="preserve"> </v>
      </c>
      <c r="AG58" s="89"/>
      <c r="AH58" s="9">
        <f t="shared" si="73"/>
        <v>66</v>
      </c>
      <c r="AI58" s="11" t="str">
        <f t="shared" si="37"/>
        <v xml:space="preserve"> </v>
      </c>
      <c r="AJ58" s="11" t="str">
        <f>IF($AH58&gt;RAF," ",IF($AH58&lt;RAF,SUM(AI58:INDEX(Diy,RAF-BeginnAlter))+INDEX(Ny,RAF-BeginnAlter+1),INDEX(Ny,RAF-BeginnAlter+1)))</f>
        <v xml:space="preserve"> </v>
      </c>
      <c r="AK58" s="11" t="str">
        <f>IF($AH58&lt;RAF,SUM(AI58:INDEX(Diy,RAF-BeginnAlter))," ")</f>
        <v xml:space="preserve"> </v>
      </c>
      <c r="AL58" s="10" t="str">
        <f t="shared" si="38"/>
        <v xml:space="preserve"> </v>
      </c>
      <c r="AM58" s="10" t="str">
        <f t="shared" si="39"/>
        <v xml:space="preserve"> </v>
      </c>
      <c r="AN58" s="10" t="str">
        <f t="shared" si="40"/>
        <v xml:space="preserve"> </v>
      </c>
      <c r="AO58" s="10" t="str">
        <f t="shared" si="41"/>
        <v xml:space="preserve"> </v>
      </c>
      <c r="AP58" s="89"/>
      <c r="AQ58" s="9">
        <f t="shared" si="74"/>
        <v>66</v>
      </c>
      <c r="AR58" s="11">
        <f t="shared" si="42"/>
        <v>20344</v>
      </c>
      <c r="AS58" s="11">
        <f>SUM(AR58:AR$96)</f>
        <v>323308</v>
      </c>
      <c r="AT58" s="25" t="str">
        <f>IF($AQ58&lt;RAF,SUM(AR58:INDEX(Dy,RAF-BeginnAlter))," ")</f>
        <v xml:space="preserve"> </v>
      </c>
      <c r="AU58" s="24">
        <f t="shared" si="43"/>
        <v>15.891999999999999</v>
      </c>
      <c r="AV58" s="24">
        <f t="shared" si="44"/>
        <v>15.433999999999999</v>
      </c>
      <c r="AW58" s="24" t="str">
        <f t="shared" si="45"/>
        <v xml:space="preserve"> </v>
      </c>
      <c r="AX58" s="24" t="str">
        <f t="shared" si="46"/>
        <v xml:space="preserve"> </v>
      </c>
      <c r="AY58" s="89"/>
      <c r="AZ58" s="9">
        <f t="shared" si="75"/>
        <v>66</v>
      </c>
      <c r="BA58" s="11">
        <f t="shared" si="47"/>
        <v>20748</v>
      </c>
      <c r="BB58" s="11">
        <f>SUM(BA58:BA$96)</f>
        <v>342126</v>
      </c>
      <c r="BC58" s="10">
        <f t="shared" si="48"/>
        <v>16.489999999999998</v>
      </c>
      <c r="BD58" s="10">
        <f t="shared" si="7"/>
        <v>16.030999999999999</v>
      </c>
      <c r="BE58" s="89"/>
      <c r="BF58" s="9">
        <f t="shared" si="54"/>
        <v>49</v>
      </c>
      <c r="BG58" s="10" t="str">
        <f t="shared" si="8"/>
        <v/>
      </c>
      <c r="BH58" s="10" t="str">
        <f t="shared" si="9"/>
        <v/>
      </c>
      <c r="BI58" s="89"/>
      <c r="BJ58" s="9">
        <f t="shared" si="76"/>
        <v>66</v>
      </c>
      <c r="BK58" s="11" t="str">
        <f t="shared" si="10"/>
        <v xml:space="preserve"> </v>
      </c>
      <c r="BL58" s="11" t="str">
        <f>IF(BJ58&lt;RAF,SUM(BK58:INDEX(Daiy,RAF-BeginnAlter))," ")</f>
        <v xml:space="preserve"> </v>
      </c>
      <c r="BM58" s="11" t="str">
        <f>IF(BJ58&lt;RAF,SUM(BL58:INDEX(Naiy,RAF-BeginnAlter))," ")</f>
        <v xml:space="preserve"> </v>
      </c>
      <c r="BN58" s="10" t="str">
        <f t="shared" si="11"/>
        <v xml:space="preserve"> </v>
      </c>
      <c r="BO58" s="10" t="str">
        <f t="shared" si="12"/>
        <v xml:space="preserve"> </v>
      </c>
      <c r="BP58" s="89"/>
      <c r="BQ58" s="9">
        <f t="shared" si="77"/>
        <v>66</v>
      </c>
      <c r="BR58" s="11" t="str">
        <f t="shared" si="13"/>
        <v xml:space="preserve"> </v>
      </c>
      <c r="BS58" s="11" t="str">
        <f>IF(BQ58&lt;RAF,SUM(BR58:INDEX(Daiys,RAF-BeginnAlter))," ")</f>
        <v xml:space="preserve"> </v>
      </c>
      <c r="BT58" s="11" t="str">
        <f>IF(BQ58&lt;RAF,SUM(BS58:INDEX(Naiys,RAF-BeginnAlter))," ")</f>
        <v xml:space="preserve"> </v>
      </c>
      <c r="BU58" s="10" t="str">
        <f t="shared" si="14"/>
        <v xml:space="preserve"> </v>
      </c>
      <c r="BV58" s="10" t="str">
        <f t="shared" si="15"/>
        <v xml:space="preserve"> </v>
      </c>
      <c r="BW58" s="89"/>
      <c r="BX58" s="9">
        <f t="shared" si="78"/>
        <v>66</v>
      </c>
      <c r="BY58" s="10" t="str">
        <f t="shared" si="16"/>
        <v/>
      </c>
      <c r="BZ58" s="11" t="str">
        <f t="shared" si="17"/>
        <v/>
      </c>
      <c r="CA58" s="11" t="str">
        <f>IF(S59&lt;=RAK,IF($BX58&lt;RAF,SUM(BZ58:INDEX(Dazy,RAF-BeginnAlter)),""),"")</f>
        <v/>
      </c>
      <c r="CB58" s="10" t="str">
        <f t="shared" si="18"/>
        <v/>
      </c>
      <c r="CC58" s="11">
        <f t="shared" si="19"/>
        <v>17235</v>
      </c>
      <c r="CD58" s="10">
        <f t="shared" si="20"/>
        <v>13.199</v>
      </c>
      <c r="CE58" s="10" t="str">
        <f t="shared" si="21"/>
        <v/>
      </c>
      <c r="CF58" s="89"/>
      <c r="CG58" s="9">
        <f t="shared" si="79"/>
        <v>66</v>
      </c>
      <c r="CH58" s="11" t="str">
        <f>IF(CG58&lt;RAF,ROUND(v^($CG58+FaktorAlter)*$H58*($B58*0.5*($P58+$P59)*(VLOOKUP(TRUNC(0.5*($Q58+$Q59),0),Männer!$AZ$9:$BD$95,5)+(0.5*($Q58+$Q59)-TRUNC(0.5*($Q58+$Q59),0))*(VLOOKUP(TRUNC(0.5*($Q58+$Q59)+1,0),Männer!$AZ$9:$BD$95,5)-VLOOKUP(TRUNC(0.5*($Q58+$Q59),0),Männer!$AZ$9:$BD$95,5)))+$C58*0.5*($CN58+$CN59)),RundDx),"")</f>
        <v/>
      </c>
      <c r="CI58" s="11" t="str">
        <f>IF(CG58&lt;RAF,ROUND(SUM(CH58:INDEX(Dawy,RAF-BeginnAlter))+INDEX(Day,RAF-BeginnAlter+1)*INDEX(äwy,1),RundDx),"")</f>
        <v/>
      </c>
      <c r="CJ58" s="11" t="str">
        <f>IF(CG58&lt;RAF,ROUND(SUM(CI58:INDEX(Nawy,RAF-BeginnAlter))+INDEX(Day,RAF-BeginnAlter+1)*INDEX(äwy,1),RundDx),"")</f>
        <v/>
      </c>
      <c r="CK58" s="10" t="str">
        <f t="shared" si="22"/>
        <v/>
      </c>
      <c r="CL58" s="11" t="str">
        <f>IF(CG58&lt;RAF,ROUND(v^($CG58+FaktorAlter)*$L58*$D58*0.5*($P58+$P59)*(VLOOKUP(TRUNC(0.5*($Q58+$Q59),0),Männer!$AZ$9:$BD$95,5)+(0.5*($Q58+$Q59)-TRUNC(0.5*($Q58+$Q59),0))*(VLOOKUP(TRUNC(0.5*($Q58+$Q59)+1,0),Männer!$AZ$9:$BD$95,5)-VLOOKUP(TRUNC(0.5*($Q58+$Q59),0),Männer!$AZ$9:$BD$95,5))),RundDx),"")</f>
        <v/>
      </c>
      <c r="CM58" s="11" t="str">
        <f>IF(CG58&lt;RAF,SUM(CL58:INDEX(Diwy,RAF-BeginnAlter))+INDEX(Diy,RAF-BeginnAlter+1)*INDEX(äwy,1),"")</f>
        <v/>
      </c>
      <c r="CN58" s="10" t="str">
        <f t="shared" si="23"/>
        <v/>
      </c>
      <c r="CO58" s="89"/>
      <c r="CP58" s="9">
        <f t="shared" si="59"/>
        <v>113</v>
      </c>
      <c r="CQ58" s="11"/>
      <c r="CR58" s="11"/>
      <c r="CS58" s="10"/>
      <c r="CT58" s="89"/>
      <c r="CU58" s="35">
        <f t="shared" si="60"/>
        <v>66</v>
      </c>
      <c r="CV58" s="25" t="str">
        <f>IF($CU58&gt;=RAF,"",IF($CU58-CV$103&lt;BeginnAlter,"",ROUND(v^($CU58+FaktorAlter)*$L58*$D58*0.5*(VLOOKUP($CU58-CV$103,Männer!$G$9:$J$102,4)+VLOOKUP($CU58-CV$103+1,Männer!$G$9:$J$102,4))*0.5*(VLOOKUP($CU58-CV$103,Männer!$AZ$9:$BD$102,5)+VLOOKUP($CU58-CV$103+1,Männer!$AZ$9:$BD$102,5)),RundDx)))</f>
        <v/>
      </c>
      <c r="CW58" s="25" t="str">
        <f>IF($CU58&gt;=RAF,"",IF($CU58-CW$103&lt;BeginnAlter,"",ROUND(v^($CU58+FaktorAlter)*$L58*$D58*0.5*(VLOOKUP($CU58-CW$103,Männer!$G$9:$J$102,4)+VLOOKUP($CU58-CW$103+1,Männer!$G$9:$J$102,4))*0.5*(VLOOKUP($CU58-CW$103,Männer!$AZ$9:$BD$102,5)+VLOOKUP($CU58-CW$103+1,Männer!$AZ$9:$BD$102,5)),RundDx)))</f>
        <v/>
      </c>
      <c r="CX58" s="25" t="str">
        <f>IF($CU58&gt;=RAF,"",IF($CU58-CX$103&lt;BeginnAlter,"",ROUND(v^($CU58+FaktorAlter)*$L58*$D58*0.5*(VLOOKUP($CU58-CX$103,Männer!$G$9:$J$102,4)+VLOOKUP($CU58-CX$103+1,Männer!$G$9:$J$102,4))*0.5*(VLOOKUP($CU58-CX$103,Männer!$AZ$9:$BD$102,5)+VLOOKUP($CU58-CX$103+1,Männer!$AZ$9:$BD$102,5)),RundDx)))</f>
        <v/>
      </c>
      <c r="CY58" s="25" t="str">
        <f>IF($CU58&gt;=RAF,"",IF($CU58-CY$103&lt;BeginnAlter,"",ROUND(v^($CU58+FaktorAlter)*$L58*$D58*0.5*(VLOOKUP($CU58-CY$103,Männer!$G$9:$J$102,4)+VLOOKUP($CU58-CY$103+1,Männer!$G$9:$J$102,4))*0.5*(VLOOKUP($CU58-CY$103,Männer!$AZ$9:$BD$102,5)+VLOOKUP($CU58-CY$103+1,Männer!$AZ$9:$BD$102,5)),RundDx)))</f>
        <v/>
      </c>
      <c r="CZ58" s="25" t="str">
        <f>IF($CU58&gt;=RAF,"",IF($CU58-CZ$103&lt;BeginnAlter,"",ROUND(v^($CU58+FaktorAlter)*$L58*$D58*0.5*(VLOOKUP($CU58-CZ$103,Männer!$G$9:$J$102,4)+VLOOKUP($CU58-CZ$103+1,Männer!$G$9:$J$102,4))*0.5*(VLOOKUP($CU58-CZ$103,Männer!$AZ$9:$BD$102,5)+VLOOKUP($CU58-CZ$103+1,Männer!$AZ$9:$BD$102,5)),RundDx)))</f>
        <v/>
      </c>
      <c r="DA58" s="25" t="str">
        <f>IF($CU58&gt;=RAF,"",IF($CU58-DA$103&lt;BeginnAlter,"",ROUND(v^($CU58+FaktorAlter)*$L58*$D58*0.5*(VLOOKUP($CU58-DA$103,Männer!$G$9:$J$102,4)+VLOOKUP($CU58-DA$103+1,Männer!$G$9:$J$102,4))*0.5*(VLOOKUP($CU58-DA$103,Männer!$AZ$9:$BD$102,5)+VLOOKUP($CU58-DA$103+1,Männer!$AZ$9:$BD$102,5)),RundDx)))</f>
        <v/>
      </c>
      <c r="DB58" s="25" t="str">
        <f>IF($CU58&gt;=RAF,"",IF($CU58-DB$103&lt;BeginnAlter,"",ROUND(v^($CU58+FaktorAlter)*$L58*$D58*0.5*(VLOOKUP($CU58-DB$103,Männer!$G$9:$J$102,4)+VLOOKUP($CU58-DB$103+1,Männer!$G$9:$J$102,4))*0.5*(VLOOKUP($CU58-DB$103,Männer!$AZ$9:$BD$102,5)+VLOOKUP($CU58-DB$103+1,Männer!$AZ$9:$BD$102,5)),RundDx)))</f>
        <v/>
      </c>
      <c r="DC58" s="25" t="str">
        <f>IF($CU58&gt;=RAF,"",IF($CU58-DC$103&lt;BeginnAlter,"",ROUND(v^($CU58+FaktorAlter)*$L58*$D58*0.5*(VLOOKUP($CU58-DC$103,Männer!$G$9:$J$102,4)+VLOOKUP($CU58-DC$103+1,Männer!$G$9:$J$102,4))*0.5*(VLOOKUP($CU58-DC$103,Männer!$AZ$9:$BD$102,5)+VLOOKUP($CU58-DC$103+1,Männer!$AZ$9:$BD$102,5)),RundDx)))</f>
        <v/>
      </c>
      <c r="DD58" s="25" t="str">
        <f>IF($CU58&gt;=RAF,"",IF($CU58-DD$103&lt;BeginnAlter,"",ROUND(v^($CU58+FaktorAlter)*$L58*$D58*0.5*(VLOOKUP($CU58-DD$103,Männer!$G$9:$J$102,4)+VLOOKUP($CU58-DD$103+1,Männer!$G$9:$J$102,4))*0.5*(VLOOKUP($CU58-DD$103,Männer!$AZ$9:$BD$102,5)+VLOOKUP($CU58-DD$103+1,Männer!$AZ$9:$BD$102,5)),RundDx)))</f>
        <v/>
      </c>
      <c r="DE58" s="25" t="str">
        <f>IF($CU58&gt;=RAF,"",IF($CU58-DE$103&lt;BeginnAlter,"",ROUND(v^($CU58+FaktorAlter)*$L58*$D58*0.5*(VLOOKUP($CU58-DE$103,Männer!$G$9:$J$102,4)+VLOOKUP($CU58-DE$103+1,Männer!$G$9:$J$102,4))*0.5*(VLOOKUP($CU58-DE$103,Männer!$AZ$9:$BD$102,5)+VLOOKUP($CU58-DE$103+1,Männer!$AZ$9:$BD$102,5)),RundDx)))</f>
        <v/>
      </c>
      <c r="DF58" s="25" t="str">
        <f>IF($CU58&gt;=RAF,"",IF($CU58-DF$103&lt;BeginnAlter,"",ROUND(v^($CU58+FaktorAlter)*$L58*$D58*0.5*(VLOOKUP($CU58-DF$103,Männer!$G$9:$J$102,4)+VLOOKUP($CU58-DF$103+1,Männer!$G$9:$J$102,4))*0.5*(VLOOKUP($CU58-DF$103,Männer!$AZ$9:$BD$102,5)+VLOOKUP($CU58-DF$103+1,Männer!$AZ$9:$BD$102,5)),RundDx)))</f>
        <v/>
      </c>
      <c r="DG58" s="25" t="str">
        <f>IF($CU58&gt;=RAF,"",IF($CU58-DG$103&lt;BeginnAlter,"",ROUND(v^($CU58+FaktorAlter)*$L58*$D58*0.5*(VLOOKUP($CU58-DG$103,Männer!$G$9:$J$102,4)+VLOOKUP($CU58-DG$103+1,Männer!$G$9:$J$102,4))*0.5*(VLOOKUP($CU58-DG$103,Männer!$AZ$9:$BD$102,5)+VLOOKUP($CU58-DG$103+1,Männer!$AZ$9:$BD$102,5)),RundDx)))</f>
        <v/>
      </c>
      <c r="DH58" s="25" t="str">
        <f>IF($CU58&gt;=RAF,"",IF($CU58-DH$103&lt;BeginnAlter,"",ROUND(v^($CU58+FaktorAlter)*$L58*$D58*0.5*(VLOOKUP($CU58-DH$103,Männer!$G$9:$J$102,4)+VLOOKUP($CU58-DH$103+1,Männer!$G$9:$J$102,4))*0.5*(VLOOKUP($CU58-DH$103,Männer!$AZ$9:$BD$102,5)+VLOOKUP($CU58-DH$103+1,Männer!$AZ$9:$BD$102,5)),RundDx)))</f>
        <v/>
      </c>
      <c r="DI58" s="25" t="str">
        <f>IF($CU58&gt;=RAF,"",IF($CU58-DI$103&lt;BeginnAlter,"",ROUND(v^($CU58+FaktorAlter)*$L58*$D58*0.5*(VLOOKUP($CU58-DI$103,Männer!$G$9:$J$102,4)+VLOOKUP($CU58-DI$103+1,Männer!$G$9:$J$102,4))*0.5*(VLOOKUP($CU58-DI$103,Männer!$AZ$9:$BD$102,5)+VLOOKUP($CU58-DI$103+1,Männer!$AZ$9:$BD$102,5)),RundDx)))</f>
        <v/>
      </c>
      <c r="DJ58" s="25" t="str">
        <f>IF($CU58&gt;=RAF,"",IF($CU58-DJ$103&lt;BeginnAlter,"",ROUND(v^($CU58+FaktorAlter)*$L58*$D58*0.5*(VLOOKUP($CU58-DJ$103,Männer!$G$9:$J$102,4)+VLOOKUP($CU58-DJ$103+1,Männer!$G$9:$J$102,4))*0.5*(VLOOKUP($CU58-DJ$103,Männer!$AZ$9:$BD$102,5)+VLOOKUP($CU58-DJ$103+1,Männer!$AZ$9:$BD$102,5)),RundDx)))</f>
        <v/>
      </c>
      <c r="DK58" s="25" t="str">
        <f>IF($CU58&gt;=RAF,"",IF($CU58-DK$103&lt;BeginnAlter,"",ROUND(v^($CU58+FaktorAlter)*$L58*$D58*0.5*(VLOOKUP($CU58-DK$103,Männer!$G$9:$J$102,4)+VLOOKUP($CU58-DK$103+1,Männer!$G$9:$J$102,4))*0.5*(VLOOKUP($CU58-DK$103,Männer!$AZ$9:$BD$102,5)+VLOOKUP($CU58-DK$103+1,Männer!$AZ$9:$BD$102,5)),RundDx)))</f>
        <v/>
      </c>
      <c r="DL58" s="25" t="str">
        <f>IF($CU58&gt;=RAF,"",IF($CU58-DL$103&lt;BeginnAlter,"",ROUND(v^($CU58+FaktorAlter)*$L58*$D58*0.5*(VLOOKUP($CU58-DL$103,Männer!$G$9:$J$102,4)+VLOOKUP($CU58-DL$103+1,Männer!$G$9:$J$102,4))*0.5*(VLOOKUP($CU58-DL$103,Männer!$AZ$9:$BD$102,5)+VLOOKUP($CU58-DL$103+1,Männer!$AZ$9:$BD$102,5)),RundDx)))</f>
        <v/>
      </c>
      <c r="DM58" s="25" t="str">
        <f>IF($CU58&gt;=RAF,"",IF($CU58-DM$103&lt;BeginnAlter,"",ROUND(v^($CU58+FaktorAlter)*$L58*$D58*0.5*(VLOOKUP($CU58-DM$103,Männer!$G$9:$J$102,4)+VLOOKUP($CU58-DM$103+1,Männer!$G$9:$J$102,4))*0.5*(VLOOKUP($CU58-DM$103,Männer!$AZ$9:$BD$102,5)+VLOOKUP($CU58-DM$103+1,Männer!$AZ$9:$BD$102,5)),RundDx)))</f>
        <v/>
      </c>
      <c r="DN58" s="25" t="str">
        <f>IF($CU58&gt;=RAF,"",IF($CU58-DN$103&lt;BeginnAlter,"",ROUND(v^($CU58+FaktorAlter)*$L58*$D58*0.5*(VLOOKUP($CU58-DN$103,Männer!$G$9:$J$102,4)+VLOOKUP($CU58-DN$103+1,Männer!$G$9:$J$102,4))*0.5*(VLOOKUP($CU58-DN$103,Männer!$AZ$9:$BD$102,5)+VLOOKUP($CU58-DN$103+1,Männer!$AZ$9:$BD$102,5)),RundDx)))</f>
        <v/>
      </c>
      <c r="DO58" s="25" t="str">
        <f>IF($CU58&gt;=RAF,"",IF($CU58-DO$103&lt;BeginnAlter,"",ROUND(v^($CU58+FaktorAlter)*$L58*$D58*0.5*(VLOOKUP($CU58-DO$103,Männer!$G$9:$J$102,4)+VLOOKUP($CU58-DO$103+1,Männer!$G$9:$J$102,4))*0.5*(VLOOKUP($CU58-DO$103,Männer!$AZ$9:$BD$102,5)+VLOOKUP($CU58-DO$103+1,Männer!$AZ$9:$BD$102,5)),RundDx)))</f>
        <v/>
      </c>
      <c r="DP58" s="25" t="str">
        <f>IF($CU58&gt;=RAF,"",IF($CU58-DP$103&lt;BeginnAlter,"",ROUND(v^($CU58+FaktorAlter)*$L58*$D58*0.5*(VLOOKUP($CU58-DP$103,Männer!$G$9:$J$102,4)+VLOOKUP($CU58-DP$103+1,Männer!$G$9:$J$102,4))*0.5*(VLOOKUP($CU58-DP$103,Männer!$AZ$9:$BD$102,5)+VLOOKUP($CU58-DP$103+1,Männer!$AZ$9:$BD$102,5)),RundDx)))</f>
        <v/>
      </c>
      <c r="DQ58" s="25" t="str">
        <f>IF($CU58&gt;=RAF,"",IF($CU58-DQ$103&lt;BeginnAlter,"",ROUND(v^($CU58+FaktorAlter)*$L58*$D58*0.5*(VLOOKUP($CU58-DQ$103,Männer!$G$9:$J$102,4)+VLOOKUP($CU58-DQ$103+1,Männer!$G$9:$J$102,4))*0.5*(VLOOKUP($CU58-DQ$103,Männer!$AZ$9:$BD$102,5)+VLOOKUP($CU58-DQ$103+1,Männer!$AZ$9:$BD$102,5)),RundDx)))</f>
        <v/>
      </c>
      <c r="DR58" s="25" t="str">
        <f>IF($CU58&gt;=RAF,"",IF($CU58-DR$103&lt;BeginnAlter,"",ROUND(v^($CU58+FaktorAlter)*$L58*$D58*0.5*(VLOOKUP($CU58-DR$103,Männer!$G$9:$J$102,4)+VLOOKUP($CU58-DR$103+1,Männer!$G$9:$J$102,4))*0.5*(VLOOKUP($CU58-DR$103,Männer!$AZ$9:$BD$102,5)+VLOOKUP($CU58-DR$103+1,Männer!$AZ$9:$BD$102,5)),RundDx)))</f>
        <v/>
      </c>
      <c r="DS58" s="25" t="str">
        <f>IF($CU58&gt;=RAF,"",IF($CU58-DS$103&lt;BeginnAlter,"",ROUND(v^($CU58+FaktorAlter)*$L58*$D58*0.5*(VLOOKUP($CU58-DS$103,Männer!$G$9:$J$102,4)+VLOOKUP($CU58-DS$103+1,Männer!$G$9:$J$102,4))*0.5*(VLOOKUP($CU58-DS$103,Männer!$AZ$9:$BD$102,5)+VLOOKUP($CU58-DS$103+1,Männer!$AZ$9:$BD$102,5)),RundDx)))</f>
        <v/>
      </c>
      <c r="DT58" s="25" t="str">
        <f>IF($CU58&gt;=RAF,"",IF($CU58-DT$103&lt;BeginnAlter,"",ROUND(v^($CU58+FaktorAlter)*$L58*$D58*0.5*(VLOOKUP($CU58-DT$103,Männer!$G$9:$J$102,4)+VLOOKUP($CU58-DT$103+1,Männer!$G$9:$J$102,4))*0.5*(VLOOKUP($CU58-DT$103,Männer!$AZ$9:$BD$102,5)+VLOOKUP($CU58-DT$103+1,Männer!$AZ$9:$BD$102,5)),RundDx)))</f>
        <v/>
      </c>
      <c r="DU58" s="25" t="str">
        <f>IF($CU58&gt;=RAF,"",IF($CU58-DU$103&lt;BeginnAlter,"",ROUND(v^($CU58+FaktorAlter)*$L58*$D58*0.5*(VLOOKUP($CU58-DU$103,Männer!$G$9:$J$102,4)+VLOOKUP($CU58-DU$103+1,Männer!$G$9:$J$102,4))*0.5*(VLOOKUP($CU58-DU$103,Männer!$AZ$9:$BD$102,5)+VLOOKUP($CU58-DU$103+1,Männer!$AZ$9:$BD$102,5)),RundDx)))</f>
        <v/>
      </c>
      <c r="DV58" s="25" t="str">
        <f>IF($CU58&gt;=RAF,"",IF($CU58-DV$103&lt;BeginnAlter,"",ROUND(v^($CU58+FaktorAlter)*$L58*$D58*0.5*(VLOOKUP($CU58-DV$103,Männer!$G$9:$J$102,4)+VLOOKUP($CU58-DV$103+1,Männer!$G$9:$J$102,4))*0.5*(VLOOKUP($CU58-DV$103,Männer!$AZ$9:$BD$102,5)+VLOOKUP($CU58-DV$103+1,Männer!$AZ$9:$BD$102,5)),RundDx)))</f>
        <v/>
      </c>
      <c r="DW58" s="25" t="str">
        <f>IF($CU58&gt;=RAF,"",IF($CU58-DW$103&lt;BeginnAlter,"",ROUND(v^($CU58+FaktorAlter)*$L58*$D58*0.5*(VLOOKUP($CU58-DW$103,Männer!$G$9:$J$102,4)+VLOOKUP($CU58-DW$103+1,Männer!$G$9:$J$102,4))*0.5*(VLOOKUP($CU58-DW$103,Männer!$AZ$9:$BD$102,5)+VLOOKUP($CU58-DW$103+1,Männer!$AZ$9:$BD$102,5)),RundDx)))</f>
        <v/>
      </c>
      <c r="DX58" s="25" t="str">
        <f>IF($CU58&gt;=RAF,"",IF($CU58-DX$103&lt;BeginnAlter,"",ROUND(v^($CU58+FaktorAlter)*$L58*$D58*0.5*(VLOOKUP($CU58-DX$103,Männer!$G$9:$J$102,4)+VLOOKUP($CU58-DX$103+1,Männer!$G$9:$J$102,4))*0.5*(VLOOKUP($CU58-DX$103,Männer!$AZ$9:$BD$102,5)+VLOOKUP($CU58-DX$103+1,Männer!$AZ$9:$BD$102,5)),RundDx)))</f>
        <v/>
      </c>
      <c r="DY58" s="25" t="str">
        <f>IF($CU58&gt;=RAF,"",IF($CU58-DY$103&lt;BeginnAlter,"",ROUND(v^($CU58+FaktorAlter)*$L58*$D58*0.5*(VLOOKUP($CU58-DY$103,Männer!$G$9:$J$102,4)+VLOOKUP($CU58-DY$103+1,Männer!$G$9:$J$102,4))*0.5*(VLOOKUP($CU58-DY$103,Männer!$AZ$9:$BD$102,5)+VLOOKUP($CU58-DY$103+1,Männer!$AZ$9:$BD$102,5)),RundDx)))</f>
        <v/>
      </c>
      <c r="DZ58" s="25" t="str">
        <f>IF($CU58&gt;=RAF,"",IF($CU58-DZ$103&lt;BeginnAlter,"",ROUND(v^($CU58+FaktorAlter)*$L58*$D58*0.5*(VLOOKUP($CU58-DZ$103,Männer!$G$9:$J$102,4)+VLOOKUP($CU58-DZ$103+1,Männer!$G$9:$J$102,4))*0.5*(VLOOKUP($CU58-DZ$103,Männer!$AZ$9:$BD$102,5)+VLOOKUP($CU58-DZ$103+1,Männer!$AZ$9:$BD$102,5)),RundDx)))</f>
        <v/>
      </c>
      <c r="EA58" s="43" t="str">
        <f>IF($CU58&gt;=RAF,"",IF($CU58-EA$103&lt;BeginnAlter,"",ROUND((SUM(CV$56:CV58)+SUM(FN$9:FN$56))/VLOOKUP($CU58,$AH$9:$AI$102,2)/VLOOKUP($CU58-EA$103,Männer!$G$9:$J$102,4),Rundäx)))</f>
        <v/>
      </c>
      <c r="EB58" s="43" t="str">
        <f>IF($CU58&gt;=RAF,"",IF($CU58-EB$103&lt;BeginnAlter,"",ROUND((SUM(CW$56:CW58)+SUM(FO$9:FO$56))/VLOOKUP($CU58,$AH$9:$AI$102,2)/VLOOKUP($CU58-EB$103,Männer!$G$9:$J$102,4),Rundäx)))</f>
        <v/>
      </c>
      <c r="EC58" s="43" t="str">
        <f>IF($CU58&gt;=RAF,"",IF($CU58-EC$103&lt;BeginnAlter,"",ROUND((SUM(CX$56:CX58)+SUM(FP$9:FP$56))/VLOOKUP($CU58,$AH$9:$AI$102,2)/VLOOKUP($CU58-EC$103,Männer!$G$9:$J$102,4),Rundäx)))</f>
        <v/>
      </c>
      <c r="ED58" s="43" t="str">
        <f>IF($CU58&gt;=RAF,"",IF($CU58-ED$103&lt;BeginnAlter,"",ROUND((SUM(CY$56:CY58)+SUM(FQ$9:FQ$56))/VLOOKUP($CU58,$AH$9:$AI$102,2)/VLOOKUP($CU58-ED$103,Männer!$G$9:$J$102,4),Rundäx)))</f>
        <v/>
      </c>
      <c r="EE58" s="43" t="str">
        <f>IF($CU58&gt;=RAF,"",IF($CU58-EE$103&lt;BeginnAlter,"",ROUND((SUM(CZ$56:CZ58)+SUM(FR$9:FR$56))/VLOOKUP($CU58,$AH$9:$AI$102,2)/VLOOKUP($CU58-EE$103,Männer!$G$9:$J$102,4),Rundäx)))</f>
        <v/>
      </c>
      <c r="EF58" s="43" t="str">
        <f>IF($CU58&gt;=RAF,"",IF($CU58-EF$103&lt;BeginnAlter,"",ROUND((SUM(DA$56:DA58)+SUM(FS$9:FS$56))/VLOOKUP($CU58,$AH$9:$AI$102,2)/VLOOKUP($CU58-EF$103,Männer!$G$9:$J$102,4),Rundäx)))</f>
        <v/>
      </c>
      <c r="EG58" s="43" t="str">
        <f>IF($CU58&gt;=RAF,"",IF($CU58-EG$103&lt;BeginnAlter,"",ROUND((SUM(DB$56:DB58)+SUM(FT$9:FT$56))/VLOOKUP($CU58,$AH$9:$AI$102,2)/VLOOKUP($CU58-EG$103,Männer!$G$9:$J$102,4),Rundäx)))</f>
        <v/>
      </c>
      <c r="EH58" s="43" t="str">
        <f>IF($CU58&gt;=RAF,"",IF($CU58-EH$103&lt;BeginnAlter,"",ROUND((SUM(DC$56:DC58)+SUM(FU$9:FU$56))/VLOOKUP($CU58,$AH$9:$AI$102,2)/VLOOKUP($CU58-EH$103,Männer!$G$9:$J$102,4),Rundäx)))</f>
        <v/>
      </c>
      <c r="EI58" s="89"/>
      <c r="EJ58" s="35">
        <f t="shared" si="61"/>
        <v>66</v>
      </c>
      <c r="EK58" s="43" t="str">
        <f>IF($CU58&gt;=RAF,"",IF($CU58-EK$103&lt;BeginnAlter,"",ROUND((SUM(DD$56:DD58)+SUM(FV$9:FV$56))/VLOOKUP($CU58,$AH$9:$AI$102,2)/VLOOKUP($CU58-EK$103,Männer!$G$9:$J$102,4),Rundäx)))</f>
        <v/>
      </c>
      <c r="EL58" s="43" t="str">
        <f>IF($CU58&gt;=RAF,"",IF($CU58-EL$103&lt;BeginnAlter,"",ROUND((SUM(DE$56:DE58)+SUM(FW$9:FW$56))/VLOOKUP($CU58,$AH$9:$AI$102,2)/VLOOKUP($CU58-EL$103,Männer!$G$9:$J$102,4),Rundäx)))</f>
        <v/>
      </c>
      <c r="EM58" s="43" t="str">
        <f>IF($CU58&gt;=RAF,"",IF($CU58-EM$103&lt;BeginnAlter,"",ROUND((SUM(DF$56:DF58)+SUM(FX$9:FX$56))/VLOOKUP($CU58,$AH$9:$AI$102,2)/VLOOKUP($CU58-EM$103,Männer!$G$9:$J$102,4),Rundäx)))</f>
        <v/>
      </c>
      <c r="EN58" s="43" t="str">
        <f>IF($CU58&gt;=RAF,"",IF($CU58-EN$103&lt;BeginnAlter,"",ROUND((SUM(DG$56:DG58)+SUM(FY$9:FY$56))/VLOOKUP($CU58,$AH$9:$AI$102,2)/VLOOKUP($CU58-EN$103,Männer!$G$9:$J$102,4),Rundäx)))</f>
        <v/>
      </c>
      <c r="EO58" s="43" t="str">
        <f>IF($CU58&gt;=RAF,"",IF($CU58-EO$103&lt;BeginnAlter,"",ROUND((SUM(DH$56:DH58)+SUM(FZ$9:FZ$56))/VLOOKUP($CU58,$AH$9:$AI$102,2)/VLOOKUP($CU58-EO$103,Männer!$G$9:$J$102,4),Rundäx)))</f>
        <v/>
      </c>
      <c r="EP58" s="43" t="str">
        <f>IF($CU58&gt;=RAF,"",IF($CU58-EP$103&lt;BeginnAlter,"",ROUND((SUM(DI$56:DI58)+SUM(GA$9:GA$56))/VLOOKUP($CU58,$AH$9:$AI$102,2)/VLOOKUP($CU58-EP$103,Männer!$G$9:$J$102,4),Rundäx)))</f>
        <v/>
      </c>
      <c r="EQ58" s="43" t="str">
        <f>IF($CU58&gt;=RAF,"",IF($CU58-EQ$103&lt;BeginnAlter,"",ROUND((SUM(DJ$56:DJ58)+SUM(GB$9:GB$56))/VLOOKUP($CU58,$AH$9:$AI$102,2)/VLOOKUP($CU58-EQ$103,Männer!$G$9:$J$102,4),Rundäx)))</f>
        <v/>
      </c>
      <c r="ER58" s="43" t="str">
        <f>IF($CU58&gt;=RAF,"",IF($CU58-ER$103&lt;BeginnAlter,"",ROUND((SUM(DK$56:DK58)+SUM(GC$9:GC$56))/VLOOKUP($CU58,$AH$9:$AI$102,2)/VLOOKUP($CU58-ER$103,Männer!$G$9:$J$102,4),Rundäx)))</f>
        <v/>
      </c>
      <c r="ES58" s="89"/>
      <c r="ET58" s="35">
        <f t="shared" si="62"/>
        <v>66</v>
      </c>
      <c r="EU58" s="43" t="str">
        <f>IF($CU58&gt;=RAF,"",IF($CU58-EU$103&lt;BeginnAlter,"",ROUND((SUM(DL$56:DL58)+SUM(GD$9:GD$56))/VLOOKUP($CU58,$AH$9:$AI$102,2)/VLOOKUP($CU58-EU$103,Männer!$G$9:$J$102,4),Rundäx)))</f>
        <v/>
      </c>
      <c r="EV58" s="43" t="str">
        <f>IF($CU58&gt;=RAF,"",IF($CU58-EV$103&lt;BeginnAlter,"",ROUND((SUM(DM$56:DM58)+SUM(GE$9:GE$56))/VLOOKUP($CU58,$AH$9:$AI$102,2)/VLOOKUP($CU58-EV$103,Männer!$G$9:$J$102,4),Rundäx)))</f>
        <v/>
      </c>
      <c r="EW58" s="43" t="str">
        <f>IF($CU58&gt;=RAF,"",IF($CU58-EW$103&lt;BeginnAlter,"",ROUND((SUM(DN$56:DN58)+SUM(GF$9:GF$56))/VLOOKUP($CU58,$AH$9:$AI$102,2)/VLOOKUP($CU58-EW$103,Männer!$G$9:$J$102,4),Rundäx)))</f>
        <v/>
      </c>
      <c r="EX58" s="43" t="str">
        <f>IF($CU58&gt;=RAF,"",IF($CU58-EX$103&lt;BeginnAlter,"",ROUND((SUM(DO$56:DO58)+SUM(GG$9:GG$56))/VLOOKUP($CU58,$AH$9:$AI$102,2)/VLOOKUP($CU58-EX$103,Männer!$G$9:$J$102,4),Rundäx)))</f>
        <v/>
      </c>
      <c r="EY58" s="43" t="str">
        <f>IF($CU58&gt;=RAF,"",IF($CU58-EY$103&lt;BeginnAlter,"",ROUND((SUM(DP$56:DP58)+SUM(GH$9:GH$56))/VLOOKUP($CU58,$AH$9:$AI$102,2)/VLOOKUP($CU58-EY$103,Männer!$G$9:$J$102,4),Rundäx)))</f>
        <v/>
      </c>
      <c r="EZ58" s="43" t="str">
        <f>IF($CU58&gt;=RAF,"",IF($CU58-EZ$103&lt;BeginnAlter,"",ROUND((SUM(DQ$56:DQ58)+SUM(GI$9:GI$56))/VLOOKUP($CU58,$AH$9:$AI$102,2)/VLOOKUP($CU58-EZ$103,Männer!$G$9:$J$102,4),Rundäx)))</f>
        <v/>
      </c>
      <c r="FA58" s="43" t="str">
        <f>IF($CU58&gt;=RAF,"",IF($CU58-FA$103&lt;BeginnAlter,"",ROUND((SUM(DR$56:DR58)+SUM(GJ$9:GJ$56))/VLOOKUP($CU58,$AH$9:$AI$102,2)/VLOOKUP($CU58-FA$103,Männer!$G$9:$J$102,4),Rundäx)))</f>
        <v/>
      </c>
      <c r="FB58" s="43" t="str">
        <f>IF($CU58&gt;=RAF,"",IF($CU58-FB$103&lt;BeginnAlter,"",ROUND((SUM(DS$56:DS58)+SUM(GK$9:GK$56))/VLOOKUP($CU58,$AH$9:$AI$102,2)/VLOOKUP($CU58-FB$103,Männer!$G$9:$J$102,4),Rundäx)))</f>
        <v/>
      </c>
      <c r="FC58" s="89"/>
      <c r="FD58" s="35">
        <f t="shared" si="63"/>
        <v>66</v>
      </c>
      <c r="FE58" s="43" t="str">
        <f>IF($CU58&gt;=RAF,"",IF($CU58-FE$103&lt;BeginnAlter,"",ROUND((SUM(DT$56:DT58)+SUM(GL$9:GL$56))/VLOOKUP($CU58,$AH$9:$AI$102,2)/VLOOKUP($CU58-FE$103,Männer!$G$9:$J$102,4),Rundäx)))</f>
        <v/>
      </c>
      <c r="FF58" s="43" t="str">
        <f>IF($CU58&gt;=RAF,"",IF($CU58-FF$103&lt;BeginnAlter,"",ROUND((SUM(DU$56:DU58)+SUM(GM$9:GM$56))/VLOOKUP($CU58,$AH$9:$AI$102,2)/VLOOKUP($CU58-FF$103,Männer!$G$9:$J$102,4),Rundäx)))</f>
        <v/>
      </c>
      <c r="FG58" s="43" t="str">
        <f>IF($CU58&gt;=RAF,"",IF($CU58-FG$103&lt;BeginnAlter,"",ROUND((SUM(DV$56:DV58)+SUM(GN$9:GN$56))/VLOOKUP($CU58,$AH$9:$AI$102,2)/VLOOKUP($CU58-FG$103,Männer!$G$9:$J$102,4),Rundäx)))</f>
        <v/>
      </c>
      <c r="FH58" s="43" t="str">
        <f>IF($CU58&gt;=RAF,"",IF($CU58-FH$103&lt;BeginnAlter,"",ROUND((SUM(DW$56:DW58)+SUM(GO$9:GO$56))/VLOOKUP($CU58,$AH$9:$AI$102,2)/VLOOKUP($CU58-FH$103,Männer!$G$9:$J$102,4),Rundäx)))</f>
        <v/>
      </c>
      <c r="FI58" s="43" t="str">
        <f>IF($CU58&gt;=RAF,"",IF($CU58-FI$103&lt;BeginnAlter,"",ROUND((SUM(DX$56:DX58)+SUM(GP$9:GP$56))/VLOOKUP($CU58,$AH$9:$AI$102,2)/VLOOKUP($CU58-FI$103,Männer!$G$9:$J$102,4),Rundäx)))</f>
        <v/>
      </c>
      <c r="FJ58" s="43" t="str">
        <f>IF($CU58&gt;=RAF,"",IF($CU58-FJ$103&lt;BeginnAlter,"",ROUND((SUM(DY$56:DY58)+SUM(GQ$9:GQ$56))/VLOOKUP($CU58,$AH$9:$AI$102,2)/VLOOKUP($CU58-FJ$103,Männer!$G$9:$J$102,4),Rundäx)))</f>
        <v/>
      </c>
      <c r="FK58" s="43" t="str">
        <f>IF($CU58&gt;=RAF,"",IF($CU58-FK$103&lt;BeginnAlter,"",ROUND((SUM(DZ$56:DZ58)+SUM(GR$9:GR$56))/VLOOKUP($CU58,$AH$9:$AI$102,2)/VLOOKUP($CU58-FK$103,Männer!$G$9:$J$102,4),Rundäx)))</f>
        <v/>
      </c>
      <c r="FL58" s="89"/>
      <c r="FM58" s="35">
        <f t="shared" si="64"/>
        <v>113</v>
      </c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4"/>
      <c r="GT58" s="24"/>
      <c r="GU58" s="24" t="str">
        <f>IF(FM58&gt;=RAF," ",#REF!/$AI58/Frauen!$J46)</f>
        <v xml:space="preserve"> </v>
      </c>
      <c r="GV58" s="24" t="str">
        <f>IF(FM58&gt;=RAF," ",#REF!/$AI58/Frauen!$J49)</f>
        <v xml:space="preserve"> </v>
      </c>
      <c r="GW58" s="24" t="str">
        <f>IF(FM58&gt;=RAF," ",#REF!/$AI58/Frauen!$J52)</f>
        <v xml:space="preserve"> </v>
      </c>
      <c r="GX58" s="24" t="str">
        <f>IF(FM58&gt;=RAF," ",#REF!/$AI58/Frauen!$J55)</f>
        <v xml:space="preserve"> </v>
      </c>
      <c r="GY58" s="24" t="str">
        <f>IF(FM58&gt;=RAF," ",#REF!/$AI58/Frauen!$J58)</f>
        <v xml:space="preserve"> </v>
      </c>
      <c r="GZ58" s="24" t="str">
        <f>IF(FM58&gt;=RAF," ",#REF!/$AI58/Frauen!$J61)</f>
        <v xml:space="preserve"> </v>
      </c>
      <c r="HA58" s="89"/>
      <c r="HB58" s="35">
        <f t="shared" si="65"/>
        <v>113</v>
      </c>
      <c r="HC58" s="24"/>
      <c r="HD58" s="24"/>
      <c r="HE58" s="24"/>
      <c r="HF58" s="24"/>
      <c r="HG58" s="24"/>
      <c r="HH58" s="24"/>
      <c r="HI58" s="24"/>
      <c r="HJ58" s="24"/>
      <c r="HK58" s="89"/>
      <c r="HL58" s="35">
        <f t="shared" si="66"/>
        <v>113</v>
      </c>
      <c r="HM58" s="24"/>
      <c r="HN58" s="24"/>
      <c r="HO58" s="24"/>
      <c r="HP58" s="24"/>
      <c r="HQ58" s="24"/>
      <c r="HR58" s="24"/>
      <c r="HS58" s="24"/>
      <c r="HT58" s="24"/>
      <c r="HU58" s="89"/>
      <c r="HV58" s="35">
        <f t="shared" si="67"/>
        <v>113</v>
      </c>
      <c r="HW58" s="24"/>
      <c r="HX58" s="24"/>
      <c r="HY58" s="24"/>
      <c r="HZ58" s="24"/>
      <c r="IA58" s="24"/>
      <c r="IB58" s="24"/>
      <c r="IC58" s="24"/>
      <c r="ID58" s="89"/>
      <c r="IE58" s="9">
        <f t="shared" si="80"/>
        <v>66</v>
      </c>
      <c r="IF58" s="11" t="str">
        <f t="shared" si="25"/>
        <v/>
      </c>
      <c r="IG58" s="11" t="str">
        <f>IF($IE58&lt;RAF,IF(S59&lt;=RAK,ROUND(SUM(IF58:INDEX(Daky,RAF-BeginnAlter))+INDEX(Day,RAF-BeginnAlter+1)*INDEX(äky,1),RundDx),0),"")</f>
        <v/>
      </c>
      <c r="IH58" s="11" t="str">
        <f>IF($IE58&lt;RAF,IF(S59&lt;=RAK,ROUND(SUM(IG58:INDEX(Naky,RAF-BeginnAlter))+INDEX(Day,RAF-BeginnAlter+1)*INDEX(äky,1),RundDx),0),"")</f>
        <v/>
      </c>
      <c r="II58" s="10" t="str">
        <f t="shared" si="26"/>
        <v/>
      </c>
      <c r="IJ58" s="11" t="str">
        <f t="shared" si="27"/>
        <v/>
      </c>
      <c r="IK58" s="11" t="str">
        <f>IF($IE58&lt;RAF,IF(S59&lt;=RAK,SUM(IJ58:INDEX(Diky,RAF-BeginnAlter))+INDEX(Diy,RAF-BeginnAlter+1)*INDEX(äky,1),0),"")</f>
        <v/>
      </c>
      <c r="IL58" s="10" t="str">
        <f t="shared" si="28"/>
        <v/>
      </c>
      <c r="IM58" s="89"/>
      <c r="IN58" s="9">
        <f t="shared" si="29"/>
        <v>113</v>
      </c>
      <c r="IO58" s="11"/>
      <c r="IP58" s="11"/>
      <c r="IQ58" s="10"/>
      <c r="IR58" s="86"/>
    </row>
    <row r="59" spans="1:252" ht="15.75" customHeight="1" x14ac:dyDescent="0.25">
      <c r="A59" s="9">
        <f t="shared" si="69"/>
        <v>67</v>
      </c>
      <c r="B59" s="93"/>
      <c r="C59" s="93"/>
      <c r="D59" s="93"/>
      <c r="E59" s="93">
        <v>1.2999999999999999E-2</v>
      </c>
      <c r="F59" s="89"/>
      <c r="G59" s="9">
        <f t="shared" si="70"/>
        <v>67</v>
      </c>
      <c r="H59" s="11" t="str">
        <f t="shared" si="30"/>
        <v/>
      </c>
      <c r="I59" s="25" t="str">
        <f t="shared" si="31"/>
        <v/>
      </c>
      <c r="J59" s="25">
        <f t="shared" si="32"/>
        <v>87283</v>
      </c>
      <c r="K59" s="30">
        <f>IF(J59&gt;0,ROUND(SUM(J59:J$102)/J59-0.5,Rundex),"")</f>
        <v>18.84</v>
      </c>
      <c r="L59" s="25">
        <f t="shared" si="6"/>
        <v>87283</v>
      </c>
      <c r="M59" s="30">
        <f>IF(L59&gt;0,ROUND(SUM(L59:L$102)/L59-0.5,Rundex),"")</f>
        <v>18.84</v>
      </c>
      <c r="N59" s="89"/>
      <c r="O59" s="9">
        <f t="shared" si="71"/>
        <v>67</v>
      </c>
      <c r="P59" s="94">
        <v>9.3625302736698654E-2</v>
      </c>
      <c r="Q59" s="95">
        <v>68.518179382427832</v>
      </c>
      <c r="R59" s="94">
        <v>9.0104233834641416E-4</v>
      </c>
      <c r="S59" s="95">
        <v>20.48</v>
      </c>
      <c r="T59" s="28">
        <v>9.4116554270161877E-3</v>
      </c>
      <c r="U59" s="11">
        <f t="shared" si="33"/>
        <v>89299</v>
      </c>
      <c r="V59" s="30">
        <f>IF(U59&gt;0,ROUND(SUM(U59:U$102)/U59-0.5,Rundex),"")</f>
        <v>19.66</v>
      </c>
      <c r="W59" s="89"/>
      <c r="X59" s="9">
        <f t="shared" si="72"/>
        <v>67</v>
      </c>
      <c r="Y59" s="11" t="str">
        <f t="shared" si="34"/>
        <v xml:space="preserve"> </v>
      </c>
      <c r="Z59" s="11" t="str">
        <f>IF($X59&lt;RAF,SUM(Y59:INDEX(Day,RAF-BeginnAlter))," ")</f>
        <v xml:space="preserve"> </v>
      </c>
      <c r="AA59" s="11" t="str">
        <f t="shared" si="0"/>
        <v xml:space="preserve"> </v>
      </c>
      <c r="AB59" s="11" t="str">
        <f>IF($X59&lt;RAF,SUM(AA59:INDEX(Cay,RAF-BeginnAlter))," ")</f>
        <v xml:space="preserve"> </v>
      </c>
      <c r="AC59" s="11" t="str">
        <f t="shared" si="1"/>
        <v xml:space="preserve"> </v>
      </c>
      <c r="AD59" s="11" t="str">
        <f>IF($X59&lt;RAF,SUM(AC59:INDEX(Caiy,RAF-BeginnAlter))," ")</f>
        <v xml:space="preserve"> </v>
      </c>
      <c r="AE59" s="10" t="str">
        <f t="shared" si="35"/>
        <v xml:space="preserve"> </v>
      </c>
      <c r="AF59" s="10" t="str">
        <f t="shared" si="36"/>
        <v xml:space="preserve"> </v>
      </c>
      <c r="AG59" s="89"/>
      <c r="AH59" s="9">
        <f t="shared" si="73"/>
        <v>67</v>
      </c>
      <c r="AI59" s="11" t="str">
        <f t="shared" si="37"/>
        <v xml:space="preserve"> </v>
      </c>
      <c r="AJ59" s="11" t="str">
        <f>IF($AH59&gt;RAF," ",IF($AH59&lt;RAF,SUM(AI59:INDEX(Diy,RAF-BeginnAlter))+INDEX(Ny,RAF-BeginnAlter+1),INDEX(Ny,RAF-BeginnAlter+1)))</f>
        <v xml:space="preserve"> </v>
      </c>
      <c r="AK59" s="11" t="str">
        <f>IF($AH59&lt;RAF,SUM(AI59:INDEX(Diy,RAF-BeginnAlter))," ")</f>
        <v xml:space="preserve"> </v>
      </c>
      <c r="AL59" s="10" t="str">
        <f t="shared" si="38"/>
        <v xml:space="preserve"> </v>
      </c>
      <c r="AM59" s="10" t="str">
        <f t="shared" si="39"/>
        <v xml:space="preserve"> </v>
      </c>
      <c r="AN59" s="10" t="str">
        <f t="shared" si="40"/>
        <v xml:space="preserve"> </v>
      </c>
      <c r="AO59" s="10" t="str">
        <f t="shared" si="41"/>
        <v xml:space="preserve"> </v>
      </c>
      <c r="AP59" s="89"/>
      <c r="AQ59" s="9">
        <f t="shared" si="74"/>
        <v>67</v>
      </c>
      <c r="AR59" s="11">
        <f t="shared" si="42"/>
        <v>19656</v>
      </c>
      <c r="AS59" s="11">
        <f>SUM(AR59:AR$96)</f>
        <v>302964</v>
      </c>
      <c r="AT59" s="25" t="str">
        <f>IF($AQ59&lt;RAF,SUM(AR59:INDEX(Dy,RAF-BeginnAlter))," ")</f>
        <v xml:space="preserve"> </v>
      </c>
      <c r="AU59" s="24">
        <f t="shared" si="43"/>
        <v>15.413</v>
      </c>
      <c r="AV59" s="24">
        <f t="shared" si="44"/>
        <v>14.955</v>
      </c>
      <c r="AW59" s="24" t="str">
        <f t="shared" si="45"/>
        <v xml:space="preserve"> </v>
      </c>
      <c r="AX59" s="24" t="str">
        <f t="shared" si="46"/>
        <v xml:space="preserve"> </v>
      </c>
      <c r="AY59" s="89"/>
      <c r="AZ59" s="9">
        <f t="shared" si="75"/>
        <v>67</v>
      </c>
      <c r="BA59" s="11">
        <f t="shared" si="47"/>
        <v>20110</v>
      </c>
      <c r="BB59" s="11">
        <f>SUM(BA59:BA$96)</f>
        <v>321378</v>
      </c>
      <c r="BC59" s="10">
        <f t="shared" si="48"/>
        <v>15.981</v>
      </c>
      <c r="BD59" s="10">
        <f t="shared" si="7"/>
        <v>15.523</v>
      </c>
      <c r="BE59" s="89"/>
      <c r="BF59" s="9">
        <f t="shared" si="54"/>
        <v>50</v>
      </c>
      <c r="BG59" s="10" t="str">
        <f t="shared" si="8"/>
        <v/>
      </c>
      <c r="BH59" s="10" t="str">
        <f t="shared" si="9"/>
        <v/>
      </c>
      <c r="BI59" s="89"/>
      <c r="BJ59" s="9">
        <f t="shared" si="76"/>
        <v>67</v>
      </c>
      <c r="BK59" s="11" t="str">
        <f t="shared" si="10"/>
        <v xml:space="preserve"> </v>
      </c>
      <c r="BL59" s="11" t="str">
        <f>IF(BJ59&lt;RAF,SUM(BK59:INDEX(Daiy,RAF-BeginnAlter))," ")</f>
        <v xml:space="preserve"> </v>
      </c>
      <c r="BM59" s="11" t="str">
        <f>IF(BJ59&lt;RAF,SUM(BL59:INDEX(Naiy,RAF-BeginnAlter))," ")</f>
        <v xml:space="preserve"> </v>
      </c>
      <c r="BN59" s="10" t="str">
        <f t="shared" si="11"/>
        <v xml:space="preserve"> </v>
      </c>
      <c r="BO59" s="10" t="str">
        <f t="shared" si="12"/>
        <v xml:space="preserve"> </v>
      </c>
      <c r="BP59" s="89"/>
      <c r="BQ59" s="9">
        <f t="shared" si="77"/>
        <v>67</v>
      </c>
      <c r="BR59" s="11" t="str">
        <f t="shared" si="13"/>
        <v xml:space="preserve"> </v>
      </c>
      <c r="BS59" s="11" t="str">
        <f>IF(BQ59&lt;RAF,SUM(BR59:INDEX(Daiys,RAF-BeginnAlter))," ")</f>
        <v xml:space="preserve"> </v>
      </c>
      <c r="BT59" s="11" t="str">
        <f>IF(BQ59&lt;RAF,SUM(BS59:INDEX(Naiys,RAF-BeginnAlter))," ")</f>
        <v xml:space="preserve"> </v>
      </c>
      <c r="BU59" s="10" t="str">
        <f t="shared" si="14"/>
        <v xml:space="preserve"> </v>
      </c>
      <c r="BV59" s="10" t="str">
        <f t="shared" si="15"/>
        <v xml:space="preserve"> </v>
      </c>
      <c r="BW59" s="89"/>
      <c r="BX59" s="9">
        <f t="shared" si="78"/>
        <v>67</v>
      </c>
      <c r="BY59" s="10" t="str">
        <f t="shared" si="16"/>
        <v/>
      </c>
      <c r="BZ59" s="11" t="str">
        <f t="shared" si="17"/>
        <v/>
      </c>
      <c r="CA59" s="11" t="str">
        <f>IF(S60&lt;=RAK,IF($BX59&lt;RAF,SUM(BZ59:INDEX(Dazy,RAF-BeginnAlter)),""),"")</f>
        <v/>
      </c>
      <c r="CB59" s="10" t="str">
        <f t="shared" si="18"/>
        <v/>
      </c>
      <c r="CC59" s="11">
        <f t="shared" si="19"/>
        <v>16637</v>
      </c>
      <c r="CD59" s="10">
        <f t="shared" si="20"/>
        <v>12.736000000000001</v>
      </c>
      <c r="CE59" s="10" t="str">
        <f t="shared" si="21"/>
        <v/>
      </c>
      <c r="CF59" s="89"/>
      <c r="CG59" s="9">
        <f t="shared" si="79"/>
        <v>67</v>
      </c>
      <c r="CH59" s="11" t="str">
        <f>IF(CG59&lt;RAF,ROUND(v^($CG59+FaktorAlter)*$H59*($B59*0.5*($P59+$P60)*(VLOOKUP(TRUNC(0.5*($Q59+$Q60),0),Männer!$AZ$9:$BD$95,5)+(0.5*($Q59+$Q60)-TRUNC(0.5*($Q59+$Q60),0))*(VLOOKUP(TRUNC(0.5*($Q59+$Q60)+1,0),Männer!$AZ$9:$BD$95,5)-VLOOKUP(TRUNC(0.5*($Q59+$Q60),0),Männer!$AZ$9:$BD$95,5)))+$C59*0.5*($CN59+$CN60)),RundDx),"")</f>
        <v/>
      </c>
      <c r="CI59" s="11" t="str">
        <f>IF(CG59&lt;RAF,ROUND(SUM(CH59:INDEX(Dawy,RAF-BeginnAlter))+INDEX(Day,RAF-BeginnAlter+1)*INDEX(äwy,1),RundDx),"")</f>
        <v/>
      </c>
      <c r="CJ59" s="11" t="str">
        <f>IF(CG59&lt;RAF,ROUND(SUM(CI59:INDEX(Nawy,RAF-BeginnAlter))+INDEX(Day,RAF-BeginnAlter+1)*INDEX(äwy,1),RundDx),"")</f>
        <v/>
      </c>
      <c r="CK59" s="10" t="str">
        <f t="shared" si="22"/>
        <v/>
      </c>
      <c r="CL59" s="11" t="str">
        <f>IF(CG59&lt;RAF,ROUND(v^($CG59+FaktorAlter)*$L59*$D59*0.5*($P59+$P60)*(VLOOKUP(TRUNC(0.5*($Q59+$Q60),0),Männer!$AZ$9:$BD$95,5)+(0.5*($Q59+$Q60)-TRUNC(0.5*($Q59+$Q60),0))*(VLOOKUP(TRUNC(0.5*($Q59+$Q60)+1,0),Männer!$AZ$9:$BD$95,5)-VLOOKUP(TRUNC(0.5*($Q59+$Q60),0),Männer!$AZ$9:$BD$95,5))),RundDx),"")</f>
        <v/>
      </c>
      <c r="CM59" s="11" t="str">
        <f>IF(CG59&lt;RAF,SUM(CL59:INDEX(Diwy,RAF-BeginnAlter))+INDEX(Diy,RAF-BeginnAlter+1)*INDEX(äwy,1),"")</f>
        <v/>
      </c>
      <c r="CN59" s="10" t="str">
        <f t="shared" si="23"/>
        <v/>
      </c>
      <c r="CO59" s="89"/>
      <c r="CP59" s="9">
        <f t="shared" si="59"/>
        <v>114</v>
      </c>
      <c r="CQ59" s="11"/>
      <c r="CR59" s="11"/>
      <c r="CS59" s="10"/>
      <c r="CT59" s="89"/>
      <c r="CU59" s="35">
        <f t="shared" si="60"/>
        <v>67</v>
      </c>
      <c r="CV59" s="25" t="str">
        <f>IF($CU59&gt;=RAF,"",IF($CU59-CV$103&lt;BeginnAlter,"",ROUND(v^($CU59+FaktorAlter)*$L59*$D59*0.5*(VLOOKUP($CU59-CV$103,Männer!$G$9:$J$102,4)+VLOOKUP($CU59-CV$103+1,Männer!$G$9:$J$102,4))*0.5*(VLOOKUP($CU59-CV$103,Männer!$AZ$9:$BD$102,5)+VLOOKUP($CU59-CV$103+1,Männer!$AZ$9:$BD$102,5)),RundDx)))</f>
        <v/>
      </c>
      <c r="CW59" s="25" t="str">
        <f>IF($CU59&gt;=RAF,"",IF($CU59-CW$103&lt;BeginnAlter,"",ROUND(v^($CU59+FaktorAlter)*$L59*$D59*0.5*(VLOOKUP($CU59-CW$103,Männer!$G$9:$J$102,4)+VLOOKUP($CU59-CW$103+1,Männer!$G$9:$J$102,4))*0.5*(VLOOKUP($CU59-CW$103,Männer!$AZ$9:$BD$102,5)+VLOOKUP($CU59-CW$103+1,Männer!$AZ$9:$BD$102,5)),RundDx)))</f>
        <v/>
      </c>
      <c r="CX59" s="25" t="str">
        <f>IF($CU59&gt;=RAF,"",IF($CU59-CX$103&lt;BeginnAlter,"",ROUND(v^($CU59+FaktorAlter)*$L59*$D59*0.5*(VLOOKUP($CU59-CX$103,Männer!$G$9:$J$102,4)+VLOOKUP($CU59-CX$103+1,Männer!$G$9:$J$102,4))*0.5*(VLOOKUP($CU59-CX$103,Männer!$AZ$9:$BD$102,5)+VLOOKUP($CU59-CX$103+1,Männer!$AZ$9:$BD$102,5)),RundDx)))</f>
        <v/>
      </c>
      <c r="CY59" s="25" t="str">
        <f>IF($CU59&gt;=RAF,"",IF($CU59-CY$103&lt;BeginnAlter,"",ROUND(v^($CU59+FaktorAlter)*$L59*$D59*0.5*(VLOOKUP($CU59-CY$103,Männer!$G$9:$J$102,4)+VLOOKUP($CU59-CY$103+1,Männer!$G$9:$J$102,4))*0.5*(VLOOKUP($CU59-CY$103,Männer!$AZ$9:$BD$102,5)+VLOOKUP($CU59-CY$103+1,Männer!$AZ$9:$BD$102,5)),RundDx)))</f>
        <v/>
      </c>
      <c r="CZ59" s="25" t="str">
        <f>IF($CU59&gt;=RAF,"",IF($CU59-CZ$103&lt;BeginnAlter,"",ROUND(v^($CU59+FaktorAlter)*$L59*$D59*0.5*(VLOOKUP($CU59-CZ$103,Männer!$G$9:$J$102,4)+VLOOKUP($CU59-CZ$103+1,Männer!$G$9:$J$102,4))*0.5*(VLOOKUP($CU59-CZ$103,Männer!$AZ$9:$BD$102,5)+VLOOKUP($CU59-CZ$103+1,Männer!$AZ$9:$BD$102,5)),RundDx)))</f>
        <v/>
      </c>
      <c r="DA59" s="25" t="str">
        <f>IF($CU59&gt;=RAF,"",IF($CU59-DA$103&lt;BeginnAlter,"",ROUND(v^($CU59+FaktorAlter)*$L59*$D59*0.5*(VLOOKUP($CU59-DA$103,Männer!$G$9:$J$102,4)+VLOOKUP($CU59-DA$103+1,Männer!$G$9:$J$102,4))*0.5*(VLOOKUP($CU59-DA$103,Männer!$AZ$9:$BD$102,5)+VLOOKUP($CU59-DA$103+1,Männer!$AZ$9:$BD$102,5)),RundDx)))</f>
        <v/>
      </c>
      <c r="DB59" s="25" t="str">
        <f>IF($CU59&gt;=RAF,"",IF($CU59-DB$103&lt;BeginnAlter,"",ROUND(v^($CU59+FaktorAlter)*$L59*$D59*0.5*(VLOOKUP($CU59-DB$103,Männer!$G$9:$J$102,4)+VLOOKUP($CU59-DB$103+1,Männer!$G$9:$J$102,4))*0.5*(VLOOKUP($CU59-DB$103,Männer!$AZ$9:$BD$102,5)+VLOOKUP($CU59-DB$103+1,Männer!$AZ$9:$BD$102,5)),RundDx)))</f>
        <v/>
      </c>
      <c r="DC59" s="25" t="str">
        <f>IF($CU59&gt;=RAF,"",IF($CU59-DC$103&lt;BeginnAlter,"",ROUND(v^($CU59+FaktorAlter)*$L59*$D59*0.5*(VLOOKUP($CU59-DC$103,Männer!$G$9:$J$102,4)+VLOOKUP($CU59-DC$103+1,Männer!$G$9:$J$102,4))*0.5*(VLOOKUP($CU59-DC$103,Männer!$AZ$9:$BD$102,5)+VLOOKUP($CU59-DC$103+1,Männer!$AZ$9:$BD$102,5)),RundDx)))</f>
        <v/>
      </c>
      <c r="DD59" s="25" t="str">
        <f>IF($CU59&gt;=RAF,"",IF($CU59-DD$103&lt;BeginnAlter,"",ROUND(v^($CU59+FaktorAlter)*$L59*$D59*0.5*(VLOOKUP($CU59-DD$103,Männer!$G$9:$J$102,4)+VLOOKUP($CU59-DD$103+1,Männer!$G$9:$J$102,4))*0.5*(VLOOKUP($CU59-DD$103,Männer!$AZ$9:$BD$102,5)+VLOOKUP($CU59-DD$103+1,Männer!$AZ$9:$BD$102,5)),RundDx)))</f>
        <v/>
      </c>
      <c r="DE59" s="25" t="str">
        <f>IF($CU59&gt;=RAF,"",IF($CU59-DE$103&lt;BeginnAlter,"",ROUND(v^($CU59+FaktorAlter)*$L59*$D59*0.5*(VLOOKUP($CU59-DE$103,Männer!$G$9:$J$102,4)+VLOOKUP($CU59-DE$103+1,Männer!$G$9:$J$102,4))*0.5*(VLOOKUP($CU59-DE$103,Männer!$AZ$9:$BD$102,5)+VLOOKUP($CU59-DE$103+1,Männer!$AZ$9:$BD$102,5)),RundDx)))</f>
        <v/>
      </c>
      <c r="DF59" s="25" t="str">
        <f>IF($CU59&gt;=RAF,"",IF($CU59-DF$103&lt;BeginnAlter,"",ROUND(v^($CU59+FaktorAlter)*$L59*$D59*0.5*(VLOOKUP($CU59-DF$103,Männer!$G$9:$J$102,4)+VLOOKUP($CU59-DF$103+1,Männer!$G$9:$J$102,4))*0.5*(VLOOKUP($CU59-DF$103,Männer!$AZ$9:$BD$102,5)+VLOOKUP($CU59-DF$103+1,Männer!$AZ$9:$BD$102,5)),RundDx)))</f>
        <v/>
      </c>
      <c r="DG59" s="25" t="str">
        <f>IF($CU59&gt;=RAF,"",IF($CU59-DG$103&lt;BeginnAlter,"",ROUND(v^($CU59+FaktorAlter)*$L59*$D59*0.5*(VLOOKUP($CU59-DG$103,Männer!$G$9:$J$102,4)+VLOOKUP($CU59-DG$103+1,Männer!$G$9:$J$102,4))*0.5*(VLOOKUP($CU59-DG$103,Männer!$AZ$9:$BD$102,5)+VLOOKUP($CU59-DG$103+1,Männer!$AZ$9:$BD$102,5)),RundDx)))</f>
        <v/>
      </c>
      <c r="DH59" s="25" t="str">
        <f>IF($CU59&gt;=RAF,"",IF($CU59-DH$103&lt;BeginnAlter,"",ROUND(v^($CU59+FaktorAlter)*$L59*$D59*0.5*(VLOOKUP($CU59-DH$103,Männer!$G$9:$J$102,4)+VLOOKUP($CU59-DH$103+1,Männer!$G$9:$J$102,4))*0.5*(VLOOKUP($CU59-DH$103,Männer!$AZ$9:$BD$102,5)+VLOOKUP($CU59-DH$103+1,Männer!$AZ$9:$BD$102,5)),RundDx)))</f>
        <v/>
      </c>
      <c r="DI59" s="25" t="str">
        <f>IF($CU59&gt;=RAF,"",IF($CU59-DI$103&lt;BeginnAlter,"",ROUND(v^($CU59+FaktorAlter)*$L59*$D59*0.5*(VLOOKUP($CU59-DI$103,Männer!$G$9:$J$102,4)+VLOOKUP($CU59-DI$103+1,Männer!$G$9:$J$102,4))*0.5*(VLOOKUP($CU59-DI$103,Männer!$AZ$9:$BD$102,5)+VLOOKUP($CU59-DI$103+1,Männer!$AZ$9:$BD$102,5)),RundDx)))</f>
        <v/>
      </c>
      <c r="DJ59" s="25" t="str">
        <f>IF($CU59&gt;=RAF,"",IF($CU59-DJ$103&lt;BeginnAlter,"",ROUND(v^($CU59+FaktorAlter)*$L59*$D59*0.5*(VLOOKUP($CU59-DJ$103,Männer!$G$9:$J$102,4)+VLOOKUP($CU59-DJ$103+1,Männer!$G$9:$J$102,4))*0.5*(VLOOKUP($CU59-DJ$103,Männer!$AZ$9:$BD$102,5)+VLOOKUP($CU59-DJ$103+1,Männer!$AZ$9:$BD$102,5)),RundDx)))</f>
        <v/>
      </c>
      <c r="DK59" s="25" t="str">
        <f>IF($CU59&gt;=RAF,"",IF($CU59-DK$103&lt;BeginnAlter,"",ROUND(v^($CU59+FaktorAlter)*$L59*$D59*0.5*(VLOOKUP($CU59-DK$103,Männer!$G$9:$J$102,4)+VLOOKUP($CU59-DK$103+1,Männer!$G$9:$J$102,4))*0.5*(VLOOKUP($CU59-DK$103,Männer!$AZ$9:$BD$102,5)+VLOOKUP($CU59-DK$103+1,Männer!$AZ$9:$BD$102,5)),RundDx)))</f>
        <v/>
      </c>
      <c r="DL59" s="25" t="str">
        <f>IF($CU59&gt;=RAF,"",IF($CU59-DL$103&lt;BeginnAlter,"",ROUND(v^($CU59+FaktorAlter)*$L59*$D59*0.5*(VLOOKUP($CU59-DL$103,Männer!$G$9:$J$102,4)+VLOOKUP($CU59-DL$103+1,Männer!$G$9:$J$102,4))*0.5*(VLOOKUP($CU59-DL$103,Männer!$AZ$9:$BD$102,5)+VLOOKUP($CU59-DL$103+1,Männer!$AZ$9:$BD$102,5)),RundDx)))</f>
        <v/>
      </c>
      <c r="DM59" s="25" t="str">
        <f>IF($CU59&gt;=RAF,"",IF($CU59-DM$103&lt;BeginnAlter,"",ROUND(v^($CU59+FaktorAlter)*$L59*$D59*0.5*(VLOOKUP($CU59-DM$103,Männer!$G$9:$J$102,4)+VLOOKUP($CU59-DM$103+1,Männer!$G$9:$J$102,4))*0.5*(VLOOKUP($CU59-DM$103,Männer!$AZ$9:$BD$102,5)+VLOOKUP($CU59-DM$103+1,Männer!$AZ$9:$BD$102,5)),RundDx)))</f>
        <v/>
      </c>
      <c r="DN59" s="25" t="str">
        <f>IF($CU59&gt;=RAF,"",IF($CU59-DN$103&lt;BeginnAlter,"",ROUND(v^($CU59+FaktorAlter)*$L59*$D59*0.5*(VLOOKUP($CU59-DN$103,Männer!$G$9:$J$102,4)+VLOOKUP($CU59-DN$103+1,Männer!$G$9:$J$102,4))*0.5*(VLOOKUP($CU59-DN$103,Männer!$AZ$9:$BD$102,5)+VLOOKUP($CU59-DN$103+1,Männer!$AZ$9:$BD$102,5)),RundDx)))</f>
        <v/>
      </c>
      <c r="DO59" s="25" t="str">
        <f>IF($CU59&gt;=RAF,"",IF($CU59-DO$103&lt;BeginnAlter,"",ROUND(v^($CU59+FaktorAlter)*$L59*$D59*0.5*(VLOOKUP($CU59-DO$103,Männer!$G$9:$J$102,4)+VLOOKUP($CU59-DO$103+1,Männer!$G$9:$J$102,4))*0.5*(VLOOKUP($CU59-DO$103,Männer!$AZ$9:$BD$102,5)+VLOOKUP($CU59-DO$103+1,Männer!$AZ$9:$BD$102,5)),RundDx)))</f>
        <v/>
      </c>
      <c r="DP59" s="25" t="str">
        <f>IF($CU59&gt;=RAF,"",IF($CU59-DP$103&lt;BeginnAlter,"",ROUND(v^($CU59+FaktorAlter)*$L59*$D59*0.5*(VLOOKUP($CU59-DP$103,Männer!$G$9:$J$102,4)+VLOOKUP($CU59-DP$103+1,Männer!$G$9:$J$102,4))*0.5*(VLOOKUP($CU59-DP$103,Männer!$AZ$9:$BD$102,5)+VLOOKUP($CU59-DP$103+1,Männer!$AZ$9:$BD$102,5)),RundDx)))</f>
        <v/>
      </c>
      <c r="DQ59" s="25" t="str">
        <f>IF($CU59&gt;=RAF,"",IF($CU59-DQ$103&lt;BeginnAlter,"",ROUND(v^($CU59+FaktorAlter)*$L59*$D59*0.5*(VLOOKUP($CU59-DQ$103,Männer!$G$9:$J$102,4)+VLOOKUP($CU59-DQ$103+1,Männer!$G$9:$J$102,4))*0.5*(VLOOKUP($CU59-DQ$103,Männer!$AZ$9:$BD$102,5)+VLOOKUP($CU59-DQ$103+1,Männer!$AZ$9:$BD$102,5)),RundDx)))</f>
        <v/>
      </c>
      <c r="DR59" s="25" t="str">
        <f>IF($CU59&gt;=RAF,"",IF($CU59-DR$103&lt;BeginnAlter,"",ROUND(v^($CU59+FaktorAlter)*$L59*$D59*0.5*(VLOOKUP($CU59-DR$103,Männer!$G$9:$J$102,4)+VLOOKUP($CU59-DR$103+1,Männer!$G$9:$J$102,4))*0.5*(VLOOKUP($CU59-DR$103,Männer!$AZ$9:$BD$102,5)+VLOOKUP($CU59-DR$103+1,Männer!$AZ$9:$BD$102,5)),RundDx)))</f>
        <v/>
      </c>
      <c r="DS59" s="25" t="str">
        <f>IF($CU59&gt;=RAF,"",IF($CU59-DS$103&lt;BeginnAlter,"",ROUND(v^($CU59+FaktorAlter)*$L59*$D59*0.5*(VLOOKUP($CU59-DS$103,Männer!$G$9:$J$102,4)+VLOOKUP($CU59-DS$103+1,Männer!$G$9:$J$102,4))*0.5*(VLOOKUP($CU59-DS$103,Männer!$AZ$9:$BD$102,5)+VLOOKUP($CU59-DS$103+1,Männer!$AZ$9:$BD$102,5)),RundDx)))</f>
        <v/>
      </c>
      <c r="DT59" s="25" t="str">
        <f>IF($CU59&gt;=RAF,"",IF($CU59-DT$103&lt;BeginnAlter,"",ROUND(v^($CU59+FaktorAlter)*$L59*$D59*0.5*(VLOOKUP($CU59-DT$103,Männer!$G$9:$J$102,4)+VLOOKUP($CU59-DT$103+1,Männer!$G$9:$J$102,4))*0.5*(VLOOKUP($CU59-DT$103,Männer!$AZ$9:$BD$102,5)+VLOOKUP($CU59-DT$103+1,Männer!$AZ$9:$BD$102,5)),RundDx)))</f>
        <v/>
      </c>
      <c r="DU59" s="25" t="str">
        <f>IF($CU59&gt;=RAF,"",IF($CU59-DU$103&lt;BeginnAlter,"",ROUND(v^($CU59+FaktorAlter)*$L59*$D59*0.5*(VLOOKUP($CU59-DU$103,Männer!$G$9:$J$102,4)+VLOOKUP($CU59-DU$103+1,Männer!$G$9:$J$102,4))*0.5*(VLOOKUP($CU59-DU$103,Männer!$AZ$9:$BD$102,5)+VLOOKUP($CU59-DU$103+1,Männer!$AZ$9:$BD$102,5)),RundDx)))</f>
        <v/>
      </c>
      <c r="DV59" s="25" t="str">
        <f>IF($CU59&gt;=RAF,"",IF($CU59-DV$103&lt;BeginnAlter,"",ROUND(v^($CU59+FaktorAlter)*$L59*$D59*0.5*(VLOOKUP($CU59-DV$103,Männer!$G$9:$J$102,4)+VLOOKUP($CU59-DV$103+1,Männer!$G$9:$J$102,4))*0.5*(VLOOKUP($CU59-DV$103,Männer!$AZ$9:$BD$102,5)+VLOOKUP($CU59-DV$103+1,Männer!$AZ$9:$BD$102,5)),RundDx)))</f>
        <v/>
      </c>
      <c r="DW59" s="25" t="str">
        <f>IF($CU59&gt;=RAF,"",IF($CU59-DW$103&lt;BeginnAlter,"",ROUND(v^($CU59+FaktorAlter)*$L59*$D59*0.5*(VLOOKUP($CU59-DW$103,Männer!$G$9:$J$102,4)+VLOOKUP($CU59-DW$103+1,Männer!$G$9:$J$102,4))*0.5*(VLOOKUP($CU59-DW$103,Männer!$AZ$9:$BD$102,5)+VLOOKUP($CU59-DW$103+1,Männer!$AZ$9:$BD$102,5)),RundDx)))</f>
        <v/>
      </c>
      <c r="DX59" s="25" t="str">
        <f>IF($CU59&gt;=RAF,"",IF($CU59-DX$103&lt;BeginnAlter,"",ROUND(v^($CU59+FaktorAlter)*$L59*$D59*0.5*(VLOOKUP($CU59-DX$103,Männer!$G$9:$J$102,4)+VLOOKUP($CU59-DX$103+1,Männer!$G$9:$J$102,4))*0.5*(VLOOKUP($CU59-DX$103,Männer!$AZ$9:$BD$102,5)+VLOOKUP($CU59-DX$103+1,Männer!$AZ$9:$BD$102,5)),RundDx)))</f>
        <v/>
      </c>
      <c r="DY59" s="25" t="str">
        <f>IF($CU59&gt;=RAF,"",IF($CU59-DY$103&lt;BeginnAlter,"",ROUND(v^($CU59+FaktorAlter)*$L59*$D59*0.5*(VLOOKUP($CU59-DY$103,Männer!$G$9:$J$102,4)+VLOOKUP($CU59-DY$103+1,Männer!$G$9:$J$102,4))*0.5*(VLOOKUP($CU59-DY$103,Männer!$AZ$9:$BD$102,5)+VLOOKUP($CU59-DY$103+1,Männer!$AZ$9:$BD$102,5)),RundDx)))</f>
        <v/>
      </c>
      <c r="DZ59" s="25" t="str">
        <f>IF($CU59&gt;=RAF,"",IF($CU59-DZ$103&lt;BeginnAlter,"",ROUND(v^($CU59+FaktorAlter)*$L59*$D59*0.5*(VLOOKUP($CU59-DZ$103,Männer!$G$9:$J$102,4)+VLOOKUP($CU59-DZ$103+1,Männer!$G$9:$J$102,4))*0.5*(VLOOKUP($CU59-DZ$103,Männer!$AZ$9:$BD$102,5)+VLOOKUP($CU59-DZ$103+1,Männer!$AZ$9:$BD$102,5)),RundDx)))</f>
        <v/>
      </c>
      <c r="EA59" s="43" t="str">
        <f>IF($CU59&gt;=RAF,"",IF($CU59-EA$103&lt;BeginnAlter,"",ROUND((SUM(CV$56:CV59)+SUM(FN$9:FN$56))/VLOOKUP($CU59,$AH$9:$AI$102,2)/VLOOKUP($CU59-EA$103,Männer!$G$9:$J$102,4),Rundäx)))</f>
        <v/>
      </c>
      <c r="EB59" s="43" t="str">
        <f>IF($CU59&gt;=RAF,"",IF($CU59-EB$103&lt;BeginnAlter,"",ROUND((SUM(CW$56:CW59)+SUM(FO$9:FO$56))/VLOOKUP($CU59,$AH$9:$AI$102,2)/VLOOKUP($CU59-EB$103,Männer!$G$9:$J$102,4),Rundäx)))</f>
        <v/>
      </c>
      <c r="EC59" s="43" t="str">
        <f>IF($CU59&gt;=RAF,"",IF($CU59-EC$103&lt;BeginnAlter,"",ROUND((SUM(CX$56:CX59)+SUM(FP$9:FP$56))/VLOOKUP($CU59,$AH$9:$AI$102,2)/VLOOKUP($CU59-EC$103,Männer!$G$9:$J$102,4),Rundäx)))</f>
        <v/>
      </c>
      <c r="ED59" s="43" t="str">
        <f>IF($CU59&gt;=RAF,"",IF($CU59-ED$103&lt;BeginnAlter,"",ROUND((SUM(CY$56:CY59)+SUM(FQ$9:FQ$56))/VLOOKUP($CU59,$AH$9:$AI$102,2)/VLOOKUP($CU59-ED$103,Männer!$G$9:$J$102,4),Rundäx)))</f>
        <v/>
      </c>
      <c r="EE59" s="43" t="str">
        <f>IF($CU59&gt;=RAF,"",IF($CU59-EE$103&lt;BeginnAlter,"",ROUND((SUM(CZ$56:CZ59)+SUM(FR$9:FR$56))/VLOOKUP($CU59,$AH$9:$AI$102,2)/VLOOKUP($CU59-EE$103,Männer!$G$9:$J$102,4),Rundäx)))</f>
        <v/>
      </c>
      <c r="EF59" s="43" t="str">
        <f>IF($CU59&gt;=RAF,"",IF($CU59-EF$103&lt;BeginnAlter,"",ROUND((SUM(DA$56:DA59)+SUM(FS$9:FS$56))/VLOOKUP($CU59,$AH$9:$AI$102,2)/VLOOKUP($CU59-EF$103,Männer!$G$9:$J$102,4),Rundäx)))</f>
        <v/>
      </c>
      <c r="EG59" s="43" t="str">
        <f>IF($CU59&gt;=RAF,"",IF($CU59-EG$103&lt;BeginnAlter,"",ROUND((SUM(DB$56:DB59)+SUM(FT$9:FT$56))/VLOOKUP($CU59,$AH$9:$AI$102,2)/VLOOKUP($CU59-EG$103,Männer!$G$9:$J$102,4),Rundäx)))</f>
        <v/>
      </c>
      <c r="EH59" s="43" t="str">
        <f>IF($CU59&gt;=RAF,"",IF($CU59-EH$103&lt;BeginnAlter,"",ROUND((SUM(DC$56:DC59)+SUM(FU$9:FU$56))/VLOOKUP($CU59,$AH$9:$AI$102,2)/VLOOKUP($CU59-EH$103,Männer!$G$9:$J$102,4),Rundäx)))</f>
        <v/>
      </c>
      <c r="EI59" s="89"/>
      <c r="EJ59" s="35">
        <f t="shared" si="61"/>
        <v>67</v>
      </c>
      <c r="EK59" s="43" t="str">
        <f>IF($CU59&gt;=RAF,"",IF($CU59-EK$103&lt;BeginnAlter,"",ROUND((SUM(DD$56:DD59)+SUM(FV$9:FV$56))/VLOOKUP($CU59,$AH$9:$AI$102,2)/VLOOKUP($CU59-EK$103,Männer!$G$9:$J$102,4),Rundäx)))</f>
        <v/>
      </c>
      <c r="EL59" s="43" t="str">
        <f>IF($CU59&gt;=RAF,"",IF($CU59-EL$103&lt;BeginnAlter,"",ROUND((SUM(DE$56:DE59)+SUM(FW$9:FW$56))/VLOOKUP($CU59,$AH$9:$AI$102,2)/VLOOKUP($CU59-EL$103,Männer!$G$9:$J$102,4),Rundäx)))</f>
        <v/>
      </c>
      <c r="EM59" s="43" t="str">
        <f>IF($CU59&gt;=RAF,"",IF($CU59-EM$103&lt;BeginnAlter,"",ROUND((SUM(DF$56:DF59)+SUM(FX$9:FX$56))/VLOOKUP($CU59,$AH$9:$AI$102,2)/VLOOKUP($CU59-EM$103,Männer!$G$9:$J$102,4),Rundäx)))</f>
        <v/>
      </c>
      <c r="EN59" s="43" t="str">
        <f>IF($CU59&gt;=RAF,"",IF($CU59-EN$103&lt;BeginnAlter,"",ROUND((SUM(DG$56:DG59)+SUM(FY$9:FY$56))/VLOOKUP($CU59,$AH$9:$AI$102,2)/VLOOKUP($CU59-EN$103,Männer!$G$9:$J$102,4),Rundäx)))</f>
        <v/>
      </c>
      <c r="EO59" s="43" t="str">
        <f>IF($CU59&gt;=RAF,"",IF($CU59-EO$103&lt;BeginnAlter,"",ROUND((SUM(DH$56:DH59)+SUM(FZ$9:FZ$56))/VLOOKUP($CU59,$AH$9:$AI$102,2)/VLOOKUP($CU59-EO$103,Männer!$G$9:$J$102,4),Rundäx)))</f>
        <v/>
      </c>
      <c r="EP59" s="43" t="str">
        <f>IF($CU59&gt;=RAF,"",IF($CU59-EP$103&lt;BeginnAlter,"",ROUND((SUM(DI$56:DI59)+SUM(GA$9:GA$56))/VLOOKUP($CU59,$AH$9:$AI$102,2)/VLOOKUP($CU59-EP$103,Männer!$G$9:$J$102,4),Rundäx)))</f>
        <v/>
      </c>
      <c r="EQ59" s="43" t="str">
        <f>IF($CU59&gt;=RAF,"",IF($CU59-EQ$103&lt;BeginnAlter,"",ROUND((SUM(DJ$56:DJ59)+SUM(GB$9:GB$56))/VLOOKUP($CU59,$AH$9:$AI$102,2)/VLOOKUP($CU59-EQ$103,Männer!$G$9:$J$102,4),Rundäx)))</f>
        <v/>
      </c>
      <c r="ER59" s="43" t="str">
        <f>IF($CU59&gt;=RAF,"",IF($CU59-ER$103&lt;BeginnAlter,"",ROUND((SUM(DK$56:DK59)+SUM(GC$9:GC$56))/VLOOKUP($CU59,$AH$9:$AI$102,2)/VLOOKUP($CU59-ER$103,Männer!$G$9:$J$102,4),Rundäx)))</f>
        <v/>
      </c>
      <c r="ES59" s="89"/>
      <c r="ET59" s="35">
        <f t="shared" si="62"/>
        <v>67</v>
      </c>
      <c r="EU59" s="43" t="str">
        <f>IF($CU59&gt;=RAF,"",IF($CU59-EU$103&lt;BeginnAlter,"",ROUND((SUM(DL$56:DL59)+SUM(GD$9:GD$56))/VLOOKUP($CU59,$AH$9:$AI$102,2)/VLOOKUP($CU59-EU$103,Männer!$G$9:$J$102,4),Rundäx)))</f>
        <v/>
      </c>
      <c r="EV59" s="43" t="str">
        <f>IF($CU59&gt;=RAF,"",IF($CU59-EV$103&lt;BeginnAlter,"",ROUND((SUM(DM$56:DM59)+SUM(GE$9:GE$56))/VLOOKUP($CU59,$AH$9:$AI$102,2)/VLOOKUP($CU59-EV$103,Männer!$G$9:$J$102,4),Rundäx)))</f>
        <v/>
      </c>
      <c r="EW59" s="43" t="str">
        <f>IF($CU59&gt;=RAF,"",IF($CU59-EW$103&lt;BeginnAlter,"",ROUND((SUM(DN$56:DN59)+SUM(GF$9:GF$56))/VLOOKUP($CU59,$AH$9:$AI$102,2)/VLOOKUP($CU59-EW$103,Männer!$G$9:$J$102,4),Rundäx)))</f>
        <v/>
      </c>
      <c r="EX59" s="43" t="str">
        <f>IF($CU59&gt;=RAF,"",IF($CU59-EX$103&lt;BeginnAlter,"",ROUND((SUM(DO$56:DO59)+SUM(GG$9:GG$56))/VLOOKUP($CU59,$AH$9:$AI$102,2)/VLOOKUP($CU59-EX$103,Männer!$G$9:$J$102,4),Rundäx)))</f>
        <v/>
      </c>
      <c r="EY59" s="43" t="str">
        <f>IF($CU59&gt;=RAF,"",IF($CU59-EY$103&lt;BeginnAlter,"",ROUND((SUM(DP$56:DP59)+SUM(GH$9:GH$56))/VLOOKUP($CU59,$AH$9:$AI$102,2)/VLOOKUP($CU59-EY$103,Männer!$G$9:$J$102,4),Rundäx)))</f>
        <v/>
      </c>
      <c r="EZ59" s="43" t="str">
        <f>IF($CU59&gt;=RAF,"",IF($CU59-EZ$103&lt;BeginnAlter,"",ROUND((SUM(DQ$56:DQ59)+SUM(GI$9:GI$56))/VLOOKUP($CU59,$AH$9:$AI$102,2)/VLOOKUP($CU59-EZ$103,Männer!$G$9:$J$102,4),Rundäx)))</f>
        <v/>
      </c>
      <c r="FA59" s="43" t="str">
        <f>IF($CU59&gt;=RAF,"",IF($CU59-FA$103&lt;BeginnAlter,"",ROUND((SUM(DR$56:DR59)+SUM(GJ$9:GJ$56))/VLOOKUP($CU59,$AH$9:$AI$102,2)/VLOOKUP($CU59-FA$103,Männer!$G$9:$J$102,4),Rundäx)))</f>
        <v/>
      </c>
      <c r="FB59" s="43" t="str">
        <f>IF($CU59&gt;=RAF,"",IF($CU59-FB$103&lt;BeginnAlter,"",ROUND((SUM(DS$56:DS59)+SUM(GK$9:GK$56))/VLOOKUP($CU59,$AH$9:$AI$102,2)/VLOOKUP($CU59-FB$103,Männer!$G$9:$J$102,4),Rundäx)))</f>
        <v/>
      </c>
      <c r="FC59" s="89"/>
      <c r="FD59" s="35">
        <f t="shared" si="63"/>
        <v>67</v>
      </c>
      <c r="FE59" s="43" t="str">
        <f>IF($CU59&gt;=RAF,"",IF($CU59-FE$103&lt;BeginnAlter,"",ROUND((SUM(DT$56:DT59)+SUM(GL$9:GL$56))/VLOOKUP($CU59,$AH$9:$AI$102,2)/VLOOKUP($CU59-FE$103,Männer!$G$9:$J$102,4),Rundäx)))</f>
        <v/>
      </c>
      <c r="FF59" s="43" t="str">
        <f>IF($CU59&gt;=RAF,"",IF($CU59-FF$103&lt;BeginnAlter,"",ROUND((SUM(DU$56:DU59)+SUM(GM$9:GM$56))/VLOOKUP($CU59,$AH$9:$AI$102,2)/VLOOKUP($CU59-FF$103,Männer!$G$9:$J$102,4),Rundäx)))</f>
        <v/>
      </c>
      <c r="FG59" s="43" t="str">
        <f>IF($CU59&gt;=RAF,"",IF($CU59-FG$103&lt;BeginnAlter,"",ROUND((SUM(DV$56:DV59)+SUM(GN$9:GN$56))/VLOOKUP($CU59,$AH$9:$AI$102,2)/VLOOKUP($CU59-FG$103,Männer!$G$9:$J$102,4),Rundäx)))</f>
        <v/>
      </c>
      <c r="FH59" s="43" t="str">
        <f>IF($CU59&gt;=RAF,"",IF($CU59-FH$103&lt;BeginnAlter,"",ROUND((SUM(DW$56:DW59)+SUM(GO$9:GO$56))/VLOOKUP($CU59,$AH$9:$AI$102,2)/VLOOKUP($CU59-FH$103,Männer!$G$9:$J$102,4),Rundäx)))</f>
        <v/>
      </c>
      <c r="FI59" s="43" t="str">
        <f>IF($CU59&gt;=RAF,"",IF($CU59-FI$103&lt;BeginnAlter,"",ROUND((SUM(DX$56:DX59)+SUM(GP$9:GP$56))/VLOOKUP($CU59,$AH$9:$AI$102,2)/VLOOKUP($CU59-FI$103,Männer!$G$9:$J$102,4),Rundäx)))</f>
        <v/>
      </c>
      <c r="FJ59" s="43" t="str">
        <f>IF($CU59&gt;=RAF,"",IF($CU59-FJ$103&lt;BeginnAlter,"",ROUND((SUM(DY$56:DY59)+SUM(GQ$9:GQ$56))/VLOOKUP($CU59,$AH$9:$AI$102,2)/VLOOKUP($CU59-FJ$103,Männer!$G$9:$J$102,4),Rundäx)))</f>
        <v/>
      </c>
      <c r="FK59" s="43" t="str">
        <f>IF($CU59&gt;=RAF,"",IF($CU59-FK$103&lt;BeginnAlter,"",ROUND((SUM(DZ$56:DZ59)+SUM(GR$9:GR$56))/VLOOKUP($CU59,$AH$9:$AI$102,2)/VLOOKUP($CU59-FK$103,Männer!$G$9:$J$102,4),Rundäx)))</f>
        <v/>
      </c>
      <c r="FL59" s="89"/>
      <c r="FM59" s="35">
        <f t="shared" si="64"/>
        <v>114</v>
      </c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4"/>
      <c r="GT59" s="24"/>
      <c r="GU59" s="24" t="str">
        <f>IF(FM59&gt;=RAF," ",#REF!/$AI59/Frauen!$J47)</f>
        <v xml:space="preserve"> </v>
      </c>
      <c r="GV59" s="24" t="str">
        <f>IF(FM59&gt;=RAF," ",#REF!/$AI59/Frauen!$J50)</f>
        <v xml:space="preserve"> </v>
      </c>
      <c r="GW59" s="24" t="str">
        <f>IF(FM59&gt;=RAF," ",#REF!/$AI59/Frauen!$J53)</f>
        <v xml:space="preserve"> </v>
      </c>
      <c r="GX59" s="24" t="str">
        <f>IF(FM59&gt;=RAF," ",#REF!/$AI59/Frauen!$J56)</f>
        <v xml:space="preserve"> </v>
      </c>
      <c r="GY59" s="24" t="str">
        <f>IF(FM59&gt;=RAF," ",#REF!/$AI59/Frauen!$J59)</f>
        <v xml:space="preserve"> </v>
      </c>
      <c r="GZ59" s="24" t="str">
        <f>IF(FM59&gt;=RAF," ",#REF!/$AI59/Frauen!$J62)</f>
        <v xml:space="preserve"> </v>
      </c>
      <c r="HA59" s="89"/>
      <c r="HB59" s="35">
        <f t="shared" si="65"/>
        <v>114</v>
      </c>
      <c r="HC59" s="24"/>
      <c r="HD59" s="24"/>
      <c r="HE59" s="24"/>
      <c r="HF59" s="24"/>
      <c r="HG59" s="24"/>
      <c r="HH59" s="24"/>
      <c r="HI59" s="24"/>
      <c r="HJ59" s="24"/>
      <c r="HK59" s="89"/>
      <c r="HL59" s="35">
        <f t="shared" si="66"/>
        <v>114</v>
      </c>
      <c r="HM59" s="24"/>
      <c r="HN59" s="24"/>
      <c r="HO59" s="24"/>
      <c r="HP59" s="24"/>
      <c r="HQ59" s="24"/>
      <c r="HR59" s="24"/>
      <c r="HS59" s="24"/>
      <c r="HT59" s="24"/>
      <c r="HU59" s="89"/>
      <c r="HV59" s="35">
        <f t="shared" si="67"/>
        <v>114</v>
      </c>
      <c r="HW59" s="24"/>
      <c r="HX59" s="24"/>
      <c r="HY59" s="24"/>
      <c r="HZ59" s="24"/>
      <c r="IA59" s="24"/>
      <c r="IB59" s="24"/>
      <c r="IC59" s="24"/>
      <c r="ID59" s="89"/>
      <c r="IE59" s="9">
        <f t="shared" si="80"/>
        <v>67</v>
      </c>
      <c r="IF59" s="11" t="str">
        <f t="shared" si="25"/>
        <v/>
      </c>
      <c r="IG59" s="11" t="str">
        <f>IF($IE59&lt;RAF,IF(S60&lt;=RAK,ROUND(SUM(IF59:INDEX(Daky,RAF-BeginnAlter))+INDEX(Day,RAF-BeginnAlter+1)*INDEX(äky,1),RundDx),0),"")</f>
        <v/>
      </c>
      <c r="IH59" s="11" t="str">
        <f>IF($IE59&lt;RAF,IF(S60&lt;=RAK,ROUND(SUM(IG59:INDEX(Naky,RAF-BeginnAlter))+INDEX(Day,RAF-BeginnAlter+1)*INDEX(äky,1),RundDx),0),"")</f>
        <v/>
      </c>
      <c r="II59" s="10" t="str">
        <f t="shared" si="26"/>
        <v/>
      </c>
      <c r="IJ59" s="11" t="str">
        <f t="shared" si="27"/>
        <v/>
      </c>
      <c r="IK59" s="11" t="str">
        <f>IF($IE59&lt;RAF,IF(S60&lt;=RAK,SUM(IJ59:INDEX(Diky,RAF-BeginnAlter))+INDEX(Diy,RAF-BeginnAlter+1)*INDEX(äky,1),0),"")</f>
        <v/>
      </c>
      <c r="IL59" s="10" t="str">
        <f t="shared" si="28"/>
        <v/>
      </c>
      <c r="IM59" s="89"/>
      <c r="IN59" s="9">
        <f t="shared" si="29"/>
        <v>114</v>
      </c>
      <c r="IO59" s="11"/>
      <c r="IP59" s="11"/>
      <c r="IQ59" s="10"/>
      <c r="IR59" s="86"/>
    </row>
    <row r="60" spans="1:252" ht="15.75" customHeight="1" x14ac:dyDescent="0.25">
      <c r="A60" s="9">
        <f t="shared" si="69"/>
        <v>68</v>
      </c>
      <c r="B60" s="93"/>
      <c r="C60" s="93"/>
      <c r="D60" s="93"/>
      <c r="E60" s="93">
        <v>1.4E-2</v>
      </c>
      <c r="F60" s="89"/>
      <c r="G60" s="9">
        <f t="shared" si="70"/>
        <v>68</v>
      </c>
      <c r="H60" s="11" t="str">
        <f t="shared" si="30"/>
        <v/>
      </c>
      <c r="I60" s="25" t="str">
        <f t="shared" si="31"/>
        <v/>
      </c>
      <c r="J60" s="25">
        <f t="shared" si="32"/>
        <v>86148</v>
      </c>
      <c r="K60" s="30">
        <f>IF(J60&gt;0,ROUND(SUM(J60:J$102)/J60-0.5,Rundex),"")</f>
        <v>18.079999999999998</v>
      </c>
      <c r="L60" s="25">
        <f t="shared" si="6"/>
        <v>86148</v>
      </c>
      <c r="M60" s="30">
        <f>IF(L60&gt;0,ROUND(SUM(L60:L$102)/L60-0.5,Rundex),"")</f>
        <v>18.079999999999998</v>
      </c>
      <c r="N60" s="89"/>
      <c r="O60" s="9">
        <f t="shared" si="71"/>
        <v>68</v>
      </c>
      <c r="P60" s="94">
        <v>8.2750975319252337E-2</v>
      </c>
      <c r="Q60" s="95">
        <v>69.455710463167691</v>
      </c>
      <c r="R60" s="94">
        <v>6.310423383464141E-4</v>
      </c>
      <c r="S60" s="95">
        <v>20.56</v>
      </c>
      <c r="T60" s="28">
        <v>9.893269785818639E-3</v>
      </c>
      <c r="U60" s="11">
        <f t="shared" si="33"/>
        <v>88459</v>
      </c>
      <c r="V60" s="30">
        <f>IF(U60&gt;0,ROUND(SUM(U60:U$102)/U60-0.5,Rundex),"")</f>
        <v>18.84</v>
      </c>
      <c r="W60" s="89"/>
      <c r="X60" s="9">
        <f t="shared" si="72"/>
        <v>68</v>
      </c>
      <c r="Y60" s="11" t="str">
        <f t="shared" si="34"/>
        <v xml:space="preserve"> </v>
      </c>
      <c r="Z60" s="11" t="str">
        <f>IF($X60&lt;RAF,SUM(Y60:INDEX(Day,RAF-BeginnAlter))," ")</f>
        <v xml:space="preserve"> </v>
      </c>
      <c r="AA60" s="11" t="str">
        <f t="shared" si="0"/>
        <v xml:space="preserve"> </v>
      </c>
      <c r="AB60" s="11" t="str">
        <f>IF($X60&lt;RAF,SUM(AA60:INDEX(Cay,RAF-BeginnAlter))," ")</f>
        <v xml:space="preserve"> </v>
      </c>
      <c r="AC60" s="11" t="str">
        <f t="shared" si="1"/>
        <v xml:space="preserve"> </v>
      </c>
      <c r="AD60" s="11" t="str">
        <f>IF($X60&lt;RAF,SUM(AC60:INDEX(Caiy,RAF-BeginnAlter))," ")</f>
        <v xml:space="preserve"> </v>
      </c>
      <c r="AE60" s="10" t="str">
        <f t="shared" si="35"/>
        <v xml:space="preserve"> </v>
      </c>
      <c r="AF60" s="10" t="str">
        <f t="shared" si="36"/>
        <v xml:space="preserve"> </v>
      </c>
      <c r="AG60" s="89"/>
      <c r="AH60" s="9">
        <f t="shared" si="73"/>
        <v>68</v>
      </c>
      <c r="AI60" s="11" t="str">
        <f t="shared" si="37"/>
        <v xml:space="preserve"> </v>
      </c>
      <c r="AJ60" s="11" t="str">
        <f>IF($AH60&gt;RAF," ",IF($AH60&lt;RAF,SUM(AI60:INDEX(Diy,RAF-BeginnAlter))+INDEX(Ny,RAF-BeginnAlter+1),INDEX(Ny,RAF-BeginnAlter+1)))</f>
        <v xml:space="preserve"> </v>
      </c>
      <c r="AK60" s="11" t="str">
        <f>IF($AH60&lt;RAF,SUM(AI60:INDEX(Diy,RAF-BeginnAlter))," ")</f>
        <v xml:space="preserve"> </v>
      </c>
      <c r="AL60" s="10" t="str">
        <f t="shared" si="38"/>
        <v xml:space="preserve"> </v>
      </c>
      <c r="AM60" s="10" t="str">
        <f t="shared" si="39"/>
        <v xml:space="preserve"> </v>
      </c>
      <c r="AN60" s="10" t="str">
        <f t="shared" si="40"/>
        <v xml:space="preserve"> </v>
      </c>
      <c r="AO60" s="10" t="str">
        <f t="shared" si="41"/>
        <v xml:space="preserve"> </v>
      </c>
      <c r="AP60" s="89"/>
      <c r="AQ60" s="9">
        <f t="shared" si="74"/>
        <v>68</v>
      </c>
      <c r="AR60" s="11">
        <f t="shared" si="42"/>
        <v>18973</v>
      </c>
      <c r="AS60" s="11">
        <f>SUM(AR60:AR$96)</f>
        <v>283308</v>
      </c>
      <c r="AT60" s="25" t="str">
        <f>IF($AQ60&lt;RAF,SUM(AR60:INDEX(Dy,RAF-BeginnAlter))," ")</f>
        <v xml:space="preserve"> </v>
      </c>
      <c r="AU60" s="24">
        <f t="shared" si="43"/>
        <v>14.932</v>
      </c>
      <c r="AV60" s="24">
        <f t="shared" si="44"/>
        <v>14.474</v>
      </c>
      <c r="AW60" s="24" t="str">
        <f t="shared" si="45"/>
        <v xml:space="preserve"> </v>
      </c>
      <c r="AX60" s="24" t="str">
        <f t="shared" si="46"/>
        <v xml:space="preserve"> </v>
      </c>
      <c r="AY60" s="89"/>
      <c r="AZ60" s="9">
        <f t="shared" si="75"/>
        <v>68</v>
      </c>
      <c r="BA60" s="11">
        <f t="shared" si="47"/>
        <v>19482</v>
      </c>
      <c r="BB60" s="11">
        <f>SUM(BA60:BA$96)</f>
        <v>301268</v>
      </c>
      <c r="BC60" s="10">
        <f t="shared" si="48"/>
        <v>15.464</v>
      </c>
      <c r="BD60" s="10">
        <f t="shared" si="7"/>
        <v>15.006</v>
      </c>
      <c r="BE60" s="89"/>
      <c r="BF60" s="9">
        <f t="shared" si="54"/>
        <v>51</v>
      </c>
      <c r="BG60" s="10" t="str">
        <f t="shared" si="8"/>
        <v/>
      </c>
      <c r="BH60" s="10" t="str">
        <f t="shared" si="9"/>
        <v/>
      </c>
      <c r="BI60" s="89"/>
      <c r="BJ60" s="9">
        <f t="shared" si="76"/>
        <v>68</v>
      </c>
      <c r="BK60" s="11" t="str">
        <f t="shared" si="10"/>
        <v xml:space="preserve"> </v>
      </c>
      <c r="BL60" s="11" t="str">
        <f>IF(BJ60&lt;RAF,SUM(BK60:INDEX(Daiy,RAF-BeginnAlter))," ")</f>
        <v xml:space="preserve"> </v>
      </c>
      <c r="BM60" s="11" t="str">
        <f>IF(BJ60&lt;RAF,SUM(BL60:INDEX(Naiy,RAF-BeginnAlter))," ")</f>
        <v xml:space="preserve"> </v>
      </c>
      <c r="BN60" s="10" t="str">
        <f t="shared" si="11"/>
        <v xml:space="preserve"> </v>
      </c>
      <c r="BO60" s="10" t="str">
        <f t="shared" si="12"/>
        <v xml:space="preserve"> </v>
      </c>
      <c r="BP60" s="89"/>
      <c r="BQ60" s="9">
        <f t="shared" si="77"/>
        <v>68</v>
      </c>
      <c r="BR60" s="11" t="str">
        <f t="shared" si="13"/>
        <v xml:space="preserve"> </v>
      </c>
      <c r="BS60" s="11" t="str">
        <f>IF(BQ60&lt;RAF,SUM(BR60:INDEX(Daiys,RAF-BeginnAlter))," ")</f>
        <v xml:space="preserve"> </v>
      </c>
      <c r="BT60" s="11" t="str">
        <f>IF(BQ60&lt;RAF,SUM(BS60:INDEX(Naiys,RAF-BeginnAlter))," ")</f>
        <v xml:space="preserve"> </v>
      </c>
      <c r="BU60" s="10" t="str">
        <f t="shared" si="14"/>
        <v xml:space="preserve"> </v>
      </c>
      <c r="BV60" s="10" t="str">
        <f t="shared" si="15"/>
        <v xml:space="preserve"> </v>
      </c>
      <c r="BW60" s="89"/>
      <c r="BX60" s="9">
        <f t="shared" si="78"/>
        <v>68</v>
      </c>
      <c r="BY60" s="10" t="str">
        <f t="shared" si="16"/>
        <v/>
      </c>
      <c r="BZ60" s="11" t="str">
        <f t="shared" si="17"/>
        <v/>
      </c>
      <c r="CA60" s="11" t="str">
        <f>IF(S61&lt;=RAK,IF($BX60&lt;RAF,SUM(BZ60:INDEX(Dazy,RAF-BeginnAlter)),""),"")</f>
        <v/>
      </c>
      <c r="CB60" s="10" t="str">
        <f t="shared" si="18"/>
        <v/>
      </c>
      <c r="CC60" s="11">
        <f t="shared" si="19"/>
        <v>16047</v>
      </c>
      <c r="CD60" s="10">
        <f t="shared" si="20"/>
        <v>12.266</v>
      </c>
      <c r="CE60" s="10" t="str">
        <f t="shared" si="21"/>
        <v/>
      </c>
      <c r="CF60" s="89"/>
      <c r="CG60" s="9">
        <f t="shared" si="79"/>
        <v>68</v>
      </c>
      <c r="CH60" s="11" t="str">
        <f>IF(CG60&lt;RAF,ROUND(v^($CG60+FaktorAlter)*$H60*($B60*0.5*($P60+$P61)*(VLOOKUP(TRUNC(0.5*($Q60+$Q61),0),Männer!$AZ$9:$BD$95,5)+(0.5*($Q60+$Q61)-TRUNC(0.5*($Q60+$Q61),0))*(VLOOKUP(TRUNC(0.5*($Q60+$Q61)+1,0),Männer!$AZ$9:$BD$95,5)-VLOOKUP(TRUNC(0.5*($Q60+$Q61),0),Männer!$AZ$9:$BD$95,5)))+$C60*0.5*($CN60+$CN61)),RundDx),"")</f>
        <v/>
      </c>
      <c r="CI60" s="11" t="str">
        <f>IF(CG60&lt;RAF,ROUND(SUM(CH60:INDEX(Dawy,RAF-BeginnAlter))+INDEX(Day,RAF-BeginnAlter+1)*INDEX(äwy,1),RundDx),"")</f>
        <v/>
      </c>
      <c r="CJ60" s="11" t="str">
        <f>IF(CG60&lt;RAF,ROUND(SUM(CI60:INDEX(Nawy,RAF-BeginnAlter))+INDEX(Day,RAF-BeginnAlter+1)*INDEX(äwy,1),RundDx),"")</f>
        <v/>
      </c>
      <c r="CK60" s="10" t="str">
        <f t="shared" si="22"/>
        <v/>
      </c>
      <c r="CL60" s="11" t="str">
        <f>IF(CG60&lt;RAF,ROUND(v^($CG60+FaktorAlter)*$L60*$D60*0.5*($P60+$P61)*(VLOOKUP(TRUNC(0.5*($Q60+$Q61),0),Männer!$AZ$9:$BD$95,5)+(0.5*($Q60+$Q61)-TRUNC(0.5*($Q60+$Q61),0))*(VLOOKUP(TRUNC(0.5*($Q60+$Q61)+1,0),Männer!$AZ$9:$BD$95,5)-VLOOKUP(TRUNC(0.5*($Q60+$Q61),0),Männer!$AZ$9:$BD$95,5))),RundDx),"")</f>
        <v/>
      </c>
      <c r="CM60" s="11" t="str">
        <f>IF(CG60&lt;RAF,SUM(CL60:INDEX(Diwy,RAF-BeginnAlter))+INDEX(Diy,RAF-BeginnAlter+1)*INDEX(äwy,1),"")</f>
        <v/>
      </c>
      <c r="CN60" s="10" t="str">
        <f t="shared" si="23"/>
        <v/>
      </c>
      <c r="CO60" s="89"/>
      <c r="CP60" s="9">
        <f t="shared" si="59"/>
        <v>115</v>
      </c>
      <c r="CQ60" s="11"/>
      <c r="CR60" s="11"/>
      <c r="CS60" s="10"/>
      <c r="CT60" s="89"/>
      <c r="CU60" s="35">
        <f t="shared" si="60"/>
        <v>68</v>
      </c>
      <c r="CV60" s="25" t="str">
        <f>IF($CU60&gt;=RAF,"",IF($CU60-CV$103&lt;BeginnAlter,"",ROUND(v^($CU60+FaktorAlter)*$L60*$D60*0.5*(VLOOKUP($CU60-CV$103,Männer!$G$9:$J$102,4)+VLOOKUP($CU60-CV$103+1,Männer!$G$9:$J$102,4))*0.5*(VLOOKUP($CU60-CV$103,Männer!$AZ$9:$BD$102,5)+VLOOKUP($CU60-CV$103+1,Männer!$AZ$9:$BD$102,5)),RundDx)))</f>
        <v/>
      </c>
      <c r="CW60" s="25" t="str">
        <f>IF($CU60&gt;=RAF,"",IF($CU60-CW$103&lt;BeginnAlter,"",ROUND(v^($CU60+FaktorAlter)*$L60*$D60*0.5*(VLOOKUP($CU60-CW$103,Männer!$G$9:$J$102,4)+VLOOKUP($CU60-CW$103+1,Männer!$G$9:$J$102,4))*0.5*(VLOOKUP($CU60-CW$103,Männer!$AZ$9:$BD$102,5)+VLOOKUP($CU60-CW$103+1,Männer!$AZ$9:$BD$102,5)),RundDx)))</f>
        <v/>
      </c>
      <c r="CX60" s="25" t="str">
        <f>IF($CU60&gt;=RAF,"",IF($CU60-CX$103&lt;BeginnAlter,"",ROUND(v^($CU60+FaktorAlter)*$L60*$D60*0.5*(VLOOKUP($CU60-CX$103,Männer!$G$9:$J$102,4)+VLOOKUP($CU60-CX$103+1,Männer!$G$9:$J$102,4))*0.5*(VLOOKUP($CU60-CX$103,Männer!$AZ$9:$BD$102,5)+VLOOKUP($CU60-CX$103+1,Männer!$AZ$9:$BD$102,5)),RundDx)))</f>
        <v/>
      </c>
      <c r="CY60" s="25" t="str">
        <f>IF($CU60&gt;=RAF,"",IF($CU60-CY$103&lt;BeginnAlter,"",ROUND(v^($CU60+FaktorAlter)*$L60*$D60*0.5*(VLOOKUP($CU60-CY$103,Männer!$G$9:$J$102,4)+VLOOKUP($CU60-CY$103+1,Männer!$G$9:$J$102,4))*0.5*(VLOOKUP($CU60-CY$103,Männer!$AZ$9:$BD$102,5)+VLOOKUP($CU60-CY$103+1,Männer!$AZ$9:$BD$102,5)),RundDx)))</f>
        <v/>
      </c>
      <c r="CZ60" s="25" t="str">
        <f>IF($CU60&gt;=RAF,"",IF($CU60-CZ$103&lt;BeginnAlter,"",ROUND(v^($CU60+FaktorAlter)*$L60*$D60*0.5*(VLOOKUP($CU60-CZ$103,Männer!$G$9:$J$102,4)+VLOOKUP($CU60-CZ$103+1,Männer!$G$9:$J$102,4))*0.5*(VLOOKUP($CU60-CZ$103,Männer!$AZ$9:$BD$102,5)+VLOOKUP($CU60-CZ$103+1,Männer!$AZ$9:$BD$102,5)),RundDx)))</f>
        <v/>
      </c>
      <c r="DA60" s="25" t="str">
        <f>IF($CU60&gt;=RAF,"",IF($CU60-DA$103&lt;BeginnAlter,"",ROUND(v^($CU60+FaktorAlter)*$L60*$D60*0.5*(VLOOKUP($CU60-DA$103,Männer!$G$9:$J$102,4)+VLOOKUP($CU60-DA$103+1,Männer!$G$9:$J$102,4))*0.5*(VLOOKUP($CU60-DA$103,Männer!$AZ$9:$BD$102,5)+VLOOKUP($CU60-DA$103+1,Männer!$AZ$9:$BD$102,5)),RundDx)))</f>
        <v/>
      </c>
      <c r="DB60" s="25" t="str">
        <f>IF($CU60&gt;=RAF,"",IF($CU60-DB$103&lt;BeginnAlter,"",ROUND(v^($CU60+FaktorAlter)*$L60*$D60*0.5*(VLOOKUP($CU60-DB$103,Männer!$G$9:$J$102,4)+VLOOKUP($CU60-DB$103+1,Männer!$G$9:$J$102,4))*0.5*(VLOOKUP($CU60-DB$103,Männer!$AZ$9:$BD$102,5)+VLOOKUP($CU60-DB$103+1,Männer!$AZ$9:$BD$102,5)),RundDx)))</f>
        <v/>
      </c>
      <c r="DC60" s="25" t="str">
        <f>IF($CU60&gt;=RAF,"",IF($CU60-DC$103&lt;BeginnAlter,"",ROUND(v^($CU60+FaktorAlter)*$L60*$D60*0.5*(VLOOKUP($CU60-DC$103,Männer!$G$9:$J$102,4)+VLOOKUP($CU60-DC$103+1,Männer!$G$9:$J$102,4))*0.5*(VLOOKUP($CU60-DC$103,Männer!$AZ$9:$BD$102,5)+VLOOKUP($CU60-DC$103+1,Männer!$AZ$9:$BD$102,5)),RundDx)))</f>
        <v/>
      </c>
      <c r="DD60" s="25" t="str">
        <f>IF($CU60&gt;=RAF,"",IF($CU60-DD$103&lt;BeginnAlter,"",ROUND(v^($CU60+FaktorAlter)*$L60*$D60*0.5*(VLOOKUP($CU60-DD$103,Männer!$G$9:$J$102,4)+VLOOKUP($CU60-DD$103+1,Männer!$G$9:$J$102,4))*0.5*(VLOOKUP($CU60-DD$103,Männer!$AZ$9:$BD$102,5)+VLOOKUP($CU60-DD$103+1,Männer!$AZ$9:$BD$102,5)),RundDx)))</f>
        <v/>
      </c>
      <c r="DE60" s="25" t="str">
        <f>IF($CU60&gt;=RAF,"",IF($CU60-DE$103&lt;BeginnAlter,"",ROUND(v^($CU60+FaktorAlter)*$L60*$D60*0.5*(VLOOKUP($CU60-DE$103,Männer!$G$9:$J$102,4)+VLOOKUP($CU60-DE$103+1,Männer!$G$9:$J$102,4))*0.5*(VLOOKUP($CU60-DE$103,Männer!$AZ$9:$BD$102,5)+VLOOKUP($CU60-DE$103+1,Männer!$AZ$9:$BD$102,5)),RundDx)))</f>
        <v/>
      </c>
      <c r="DF60" s="25" t="str">
        <f>IF($CU60&gt;=RAF,"",IF($CU60-DF$103&lt;BeginnAlter,"",ROUND(v^($CU60+FaktorAlter)*$L60*$D60*0.5*(VLOOKUP($CU60-DF$103,Männer!$G$9:$J$102,4)+VLOOKUP($CU60-DF$103+1,Männer!$G$9:$J$102,4))*0.5*(VLOOKUP($CU60-DF$103,Männer!$AZ$9:$BD$102,5)+VLOOKUP($CU60-DF$103+1,Männer!$AZ$9:$BD$102,5)),RundDx)))</f>
        <v/>
      </c>
      <c r="DG60" s="25" t="str">
        <f>IF($CU60&gt;=RAF,"",IF($CU60-DG$103&lt;BeginnAlter,"",ROUND(v^($CU60+FaktorAlter)*$L60*$D60*0.5*(VLOOKUP($CU60-DG$103,Männer!$G$9:$J$102,4)+VLOOKUP($CU60-DG$103+1,Männer!$G$9:$J$102,4))*0.5*(VLOOKUP($CU60-DG$103,Männer!$AZ$9:$BD$102,5)+VLOOKUP($CU60-DG$103+1,Männer!$AZ$9:$BD$102,5)),RundDx)))</f>
        <v/>
      </c>
      <c r="DH60" s="25" t="str">
        <f>IF($CU60&gt;=RAF,"",IF($CU60-DH$103&lt;BeginnAlter,"",ROUND(v^($CU60+FaktorAlter)*$L60*$D60*0.5*(VLOOKUP($CU60-DH$103,Männer!$G$9:$J$102,4)+VLOOKUP($CU60-DH$103+1,Männer!$G$9:$J$102,4))*0.5*(VLOOKUP($CU60-DH$103,Männer!$AZ$9:$BD$102,5)+VLOOKUP($CU60-DH$103+1,Männer!$AZ$9:$BD$102,5)),RundDx)))</f>
        <v/>
      </c>
      <c r="DI60" s="25" t="str">
        <f>IF($CU60&gt;=RAF,"",IF($CU60-DI$103&lt;BeginnAlter,"",ROUND(v^($CU60+FaktorAlter)*$L60*$D60*0.5*(VLOOKUP($CU60-DI$103,Männer!$G$9:$J$102,4)+VLOOKUP($CU60-DI$103+1,Männer!$G$9:$J$102,4))*0.5*(VLOOKUP($CU60-DI$103,Männer!$AZ$9:$BD$102,5)+VLOOKUP($CU60-DI$103+1,Männer!$AZ$9:$BD$102,5)),RundDx)))</f>
        <v/>
      </c>
      <c r="DJ60" s="25" t="str">
        <f>IF($CU60&gt;=RAF,"",IF($CU60-DJ$103&lt;BeginnAlter,"",ROUND(v^($CU60+FaktorAlter)*$L60*$D60*0.5*(VLOOKUP($CU60-DJ$103,Männer!$G$9:$J$102,4)+VLOOKUP($CU60-DJ$103+1,Männer!$G$9:$J$102,4))*0.5*(VLOOKUP($CU60-DJ$103,Männer!$AZ$9:$BD$102,5)+VLOOKUP($CU60-DJ$103+1,Männer!$AZ$9:$BD$102,5)),RundDx)))</f>
        <v/>
      </c>
      <c r="DK60" s="25" t="str">
        <f>IF($CU60&gt;=RAF,"",IF($CU60-DK$103&lt;BeginnAlter,"",ROUND(v^($CU60+FaktorAlter)*$L60*$D60*0.5*(VLOOKUP($CU60-DK$103,Männer!$G$9:$J$102,4)+VLOOKUP($CU60-DK$103+1,Männer!$G$9:$J$102,4))*0.5*(VLOOKUP($CU60-DK$103,Männer!$AZ$9:$BD$102,5)+VLOOKUP($CU60-DK$103+1,Männer!$AZ$9:$BD$102,5)),RundDx)))</f>
        <v/>
      </c>
      <c r="DL60" s="25" t="str">
        <f>IF($CU60&gt;=RAF,"",IF($CU60-DL$103&lt;BeginnAlter,"",ROUND(v^($CU60+FaktorAlter)*$L60*$D60*0.5*(VLOOKUP($CU60-DL$103,Männer!$G$9:$J$102,4)+VLOOKUP($CU60-DL$103+1,Männer!$G$9:$J$102,4))*0.5*(VLOOKUP($CU60-DL$103,Männer!$AZ$9:$BD$102,5)+VLOOKUP($CU60-DL$103+1,Männer!$AZ$9:$BD$102,5)),RundDx)))</f>
        <v/>
      </c>
      <c r="DM60" s="25" t="str">
        <f>IF($CU60&gt;=RAF,"",IF($CU60-DM$103&lt;BeginnAlter,"",ROUND(v^($CU60+FaktorAlter)*$L60*$D60*0.5*(VLOOKUP($CU60-DM$103,Männer!$G$9:$J$102,4)+VLOOKUP($CU60-DM$103+1,Männer!$G$9:$J$102,4))*0.5*(VLOOKUP($CU60-DM$103,Männer!$AZ$9:$BD$102,5)+VLOOKUP($CU60-DM$103+1,Männer!$AZ$9:$BD$102,5)),RundDx)))</f>
        <v/>
      </c>
      <c r="DN60" s="25" t="str">
        <f>IF($CU60&gt;=RAF,"",IF($CU60-DN$103&lt;BeginnAlter,"",ROUND(v^($CU60+FaktorAlter)*$L60*$D60*0.5*(VLOOKUP($CU60-DN$103,Männer!$G$9:$J$102,4)+VLOOKUP($CU60-DN$103+1,Männer!$G$9:$J$102,4))*0.5*(VLOOKUP($CU60-DN$103,Männer!$AZ$9:$BD$102,5)+VLOOKUP($CU60-DN$103+1,Männer!$AZ$9:$BD$102,5)),RundDx)))</f>
        <v/>
      </c>
      <c r="DO60" s="25" t="str">
        <f>IF($CU60&gt;=RAF,"",IF($CU60-DO$103&lt;BeginnAlter,"",ROUND(v^($CU60+FaktorAlter)*$L60*$D60*0.5*(VLOOKUP($CU60-DO$103,Männer!$G$9:$J$102,4)+VLOOKUP($CU60-DO$103+1,Männer!$G$9:$J$102,4))*0.5*(VLOOKUP($CU60-DO$103,Männer!$AZ$9:$BD$102,5)+VLOOKUP($CU60-DO$103+1,Männer!$AZ$9:$BD$102,5)),RundDx)))</f>
        <v/>
      </c>
      <c r="DP60" s="25" t="str">
        <f>IF($CU60&gt;=RAF,"",IF($CU60-DP$103&lt;BeginnAlter,"",ROUND(v^($CU60+FaktorAlter)*$L60*$D60*0.5*(VLOOKUP($CU60-DP$103,Männer!$G$9:$J$102,4)+VLOOKUP($CU60-DP$103+1,Männer!$G$9:$J$102,4))*0.5*(VLOOKUP($CU60-DP$103,Männer!$AZ$9:$BD$102,5)+VLOOKUP($CU60-DP$103+1,Männer!$AZ$9:$BD$102,5)),RundDx)))</f>
        <v/>
      </c>
      <c r="DQ60" s="25" t="str">
        <f>IF($CU60&gt;=RAF,"",IF($CU60-DQ$103&lt;BeginnAlter,"",ROUND(v^($CU60+FaktorAlter)*$L60*$D60*0.5*(VLOOKUP($CU60-DQ$103,Männer!$G$9:$J$102,4)+VLOOKUP($CU60-DQ$103+1,Männer!$G$9:$J$102,4))*0.5*(VLOOKUP($CU60-DQ$103,Männer!$AZ$9:$BD$102,5)+VLOOKUP($CU60-DQ$103+1,Männer!$AZ$9:$BD$102,5)),RundDx)))</f>
        <v/>
      </c>
      <c r="DR60" s="25" t="str">
        <f>IF($CU60&gt;=RAF,"",IF($CU60-DR$103&lt;BeginnAlter,"",ROUND(v^($CU60+FaktorAlter)*$L60*$D60*0.5*(VLOOKUP($CU60-DR$103,Männer!$G$9:$J$102,4)+VLOOKUP($CU60-DR$103+1,Männer!$G$9:$J$102,4))*0.5*(VLOOKUP($CU60-DR$103,Männer!$AZ$9:$BD$102,5)+VLOOKUP($CU60-DR$103+1,Männer!$AZ$9:$BD$102,5)),RundDx)))</f>
        <v/>
      </c>
      <c r="DS60" s="25" t="str">
        <f>IF($CU60&gt;=RAF,"",IF($CU60-DS$103&lt;BeginnAlter,"",ROUND(v^($CU60+FaktorAlter)*$L60*$D60*0.5*(VLOOKUP($CU60-DS$103,Männer!$G$9:$J$102,4)+VLOOKUP($CU60-DS$103+1,Männer!$G$9:$J$102,4))*0.5*(VLOOKUP($CU60-DS$103,Männer!$AZ$9:$BD$102,5)+VLOOKUP($CU60-DS$103+1,Männer!$AZ$9:$BD$102,5)),RundDx)))</f>
        <v/>
      </c>
      <c r="DT60" s="25" t="str">
        <f>IF($CU60&gt;=RAF,"",IF($CU60-DT$103&lt;BeginnAlter,"",ROUND(v^($CU60+FaktorAlter)*$L60*$D60*0.5*(VLOOKUP($CU60-DT$103,Männer!$G$9:$J$102,4)+VLOOKUP($CU60-DT$103+1,Männer!$G$9:$J$102,4))*0.5*(VLOOKUP($CU60-DT$103,Männer!$AZ$9:$BD$102,5)+VLOOKUP($CU60-DT$103+1,Männer!$AZ$9:$BD$102,5)),RundDx)))</f>
        <v/>
      </c>
      <c r="DU60" s="25" t="str">
        <f>IF($CU60&gt;=RAF,"",IF($CU60-DU$103&lt;BeginnAlter,"",ROUND(v^($CU60+FaktorAlter)*$L60*$D60*0.5*(VLOOKUP($CU60-DU$103,Männer!$G$9:$J$102,4)+VLOOKUP($CU60-DU$103+1,Männer!$G$9:$J$102,4))*0.5*(VLOOKUP($CU60-DU$103,Männer!$AZ$9:$BD$102,5)+VLOOKUP($CU60-DU$103+1,Männer!$AZ$9:$BD$102,5)),RundDx)))</f>
        <v/>
      </c>
      <c r="DV60" s="25" t="str">
        <f>IF($CU60&gt;=RAF,"",IF($CU60-DV$103&lt;BeginnAlter,"",ROUND(v^($CU60+FaktorAlter)*$L60*$D60*0.5*(VLOOKUP($CU60-DV$103,Männer!$G$9:$J$102,4)+VLOOKUP($CU60-DV$103+1,Männer!$G$9:$J$102,4))*0.5*(VLOOKUP($CU60-DV$103,Männer!$AZ$9:$BD$102,5)+VLOOKUP($CU60-DV$103+1,Männer!$AZ$9:$BD$102,5)),RundDx)))</f>
        <v/>
      </c>
      <c r="DW60" s="25" t="str">
        <f>IF($CU60&gt;=RAF,"",IF($CU60-DW$103&lt;BeginnAlter,"",ROUND(v^($CU60+FaktorAlter)*$L60*$D60*0.5*(VLOOKUP($CU60-DW$103,Männer!$G$9:$J$102,4)+VLOOKUP($CU60-DW$103+1,Männer!$G$9:$J$102,4))*0.5*(VLOOKUP($CU60-DW$103,Männer!$AZ$9:$BD$102,5)+VLOOKUP($CU60-DW$103+1,Männer!$AZ$9:$BD$102,5)),RundDx)))</f>
        <v/>
      </c>
      <c r="DX60" s="25" t="str">
        <f>IF($CU60&gt;=RAF,"",IF($CU60-DX$103&lt;BeginnAlter,"",ROUND(v^($CU60+FaktorAlter)*$L60*$D60*0.5*(VLOOKUP($CU60-DX$103,Männer!$G$9:$J$102,4)+VLOOKUP($CU60-DX$103+1,Männer!$G$9:$J$102,4))*0.5*(VLOOKUP($CU60-DX$103,Männer!$AZ$9:$BD$102,5)+VLOOKUP($CU60-DX$103+1,Männer!$AZ$9:$BD$102,5)),RundDx)))</f>
        <v/>
      </c>
      <c r="DY60" s="25" t="str">
        <f>IF($CU60&gt;=RAF,"",IF($CU60-DY$103&lt;BeginnAlter,"",ROUND(v^($CU60+FaktorAlter)*$L60*$D60*0.5*(VLOOKUP($CU60-DY$103,Männer!$G$9:$J$102,4)+VLOOKUP($CU60-DY$103+1,Männer!$G$9:$J$102,4))*0.5*(VLOOKUP($CU60-DY$103,Männer!$AZ$9:$BD$102,5)+VLOOKUP($CU60-DY$103+1,Männer!$AZ$9:$BD$102,5)),RundDx)))</f>
        <v/>
      </c>
      <c r="DZ60" s="25" t="str">
        <f>IF($CU60&gt;=RAF,"",IF($CU60-DZ$103&lt;BeginnAlter,"",ROUND(v^($CU60+FaktorAlter)*$L60*$D60*0.5*(VLOOKUP($CU60-DZ$103,Männer!$G$9:$J$102,4)+VLOOKUP($CU60-DZ$103+1,Männer!$G$9:$J$102,4))*0.5*(VLOOKUP($CU60-DZ$103,Männer!$AZ$9:$BD$102,5)+VLOOKUP($CU60-DZ$103+1,Männer!$AZ$9:$BD$102,5)),RundDx)))</f>
        <v/>
      </c>
      <c r="EA60" s="43" t="str">
        <f>IF($CU60&gt;=RAF,"",IF($CU60-EA$103&lt;BeginnAlter,"",ROUND((SUM(CV$56:CV60)+SUM(FN$9:FN$56))/VLOOKUP($CU60,$AH$9:$AI$102,2)/VLOOKUP($CU60-EA$103,Männer!$G$9:$J$102,4),Rundäx)))</f>
        <v/>
      </c>
      <c r="EB60" s="43" t="str">
        <f>IF($CU60&gt;=RAF,"",IF($CU60-EB$103&lt;BeginnAlter,"",ROUND((SUM(CW$56:CW60)+SUM(FO$9:FO$56))/VLOOKUP($CU60,$AH$9:$AI$102,2)/VLOOKUP($CU60-EB$103,Männer!$G$9:$J$102,4),Rundäx)))</f>
        <v/>
      </c>
      <c r="EC60" s="43" t="str">
        <f>IF($CU60&gt;=RAF,"",IF($CU60-EC$103&lt;BeginnAlter,"",ROUND((SUM(CX$56:CX60)+SUM(FP$9:FP$56))/VLOOKUP($CU60,$AH$9:$AI$102,2)/VLOOKUP($CU60-EC$103,Männer!$G$9:$J$102,4),Rundäx)))</f>
        <v/>
      </c>
      <c r="ED60" s="43" t="str">
        <f>IF($CU60&gt;=RAF,"",IF($CU60-ED$103&lt;BeginnAlter,"",ROUND((SUM(CY$56:CY60)+SUM(FQ$9:FQ$56))/VLOOKUP($CU60,$AH$9:$AI$102,2)/VLOOKUP($CU60-ED$103,Männer!$G$9:$J$102,4),Rundäx)))</f>
        <v/>
      </c>
      <c r="EE60" s="43" t="str">
        <f>IF($CU60&gt;=RAF,"",IF($CU60-EE$103&lt;BeginnAlter,"",ROUND((SUM(CZ$56:CZ60)+SUM(FR$9:FR$56))/VLOOKUP($CU60,$AH$9:$AI$102,2)/VLOOKUP($CU60-EE$103,Männer!$G$9:$J$102,4),Rundäx)))</f>
        <v/>
      </c>
      <c r="EF60" s="43" t="str">
        <f>IF($CU60&gt;=RAF,"",IF($CU60-EF$103&lt;BeginnAlter,"",ROUND((SUM(DA$56:DA60)+SUM(FS$9:FS$56))/VLOOKUP($CU60,$AH$9:$AI$102,2)/VLOOKUP($CU60-EF$103,Männer!$G$9:$J$102,4),Rundäx)))</f>
        <v/>
      </c>
      <c r="EG60" s="43" t="str">
        <f>IF($CU60&gt;=RAF,"",IF($CU60-EG$103&lt;BeginnAlter,"",ROUND((SUM(DB$56:DB60)+SUM(FT$9:FT$56))/VLOOKUP($CU60,$AH$9:$AI$102,2)/VLOOKUP($CU60-EG$103,Männer!$G$9:$J$102,4),Rundäx)))</f>
        <v/>
      </c>
      <c r="EH60" s="43" t="str">
        <f>IF($CU60&gt;=RAF,"",IF($CU60-EH$103&lt;BeginnAlter,"",ROUND((SUM(DC$56:DC60)+SUM(FU$9:FU$56))/VLOOKUP($CU60,$AH$9:$AI$102,2)/VLOOKUP($CU60-EH$103,Männer!$G$9:$J$102,4),Rundäx)))</f>
        <v/>
      </c>
      <c r="EI60" s="89"/>
      <c r="EJ60" s="35">
        <f t="shared" si="61"/>
        <v>68</v>
      </c>
      <c r="EK60" s="43" t="str">
        <f>IF($CU60&gt;=RAF,"",IF($CU60-EK$103&lt;BeginnAlter,"",ROUND((SUM(DD$56:DD60)+SUM(FV$9:FV$56))/VLOOKUP($CU60,$AH$9:$AI$102,2)/VLOOKUP($CU60-EK$103,Männer!$G$9:$J$102,4),Rundäx)))</f>
        <v/>
      </c>
      <c r="EL60" s="43" t="str">
        <f>IF($CU60&gt;=RAF,"",IF($CU60-EL$103&lt;BeginnAlter,"",ROUND((SUM(DE$56:DE60)+SUM(FW$9:FW$56))/VLOOKUP($CU60,$AH$9:$AI$102,2)/VLOOKUP($CU60-EL$103,Männer!$G$9:$J$102,4),Rundäx)))</f>
        <v/>
      </c>
      <c r="EM60" s="43" t="str">
        <f>IF($CU60&gt;=RAF,"",IF($CU60-EM$103&lt;BeginnAlter,"",ROUND((SUM(DF$56:DF60)+SUM(FX$9:FX$56))/VLOOKUP($CU60,$AH$9:$AI$102,2)/VLOOKUP($CU60-EM$103,Männer!$G$9:$J$102,4),Rundäx)))</f>
        <v/>
      </c>
      <c r="EN60" s="43" t="str">
        <f>IF($CU60&gt;=RAF,"",IF($CU60-EN$103&lt;BeginnAlter,"",ROUND((SUM(DG$56:DG60)+SUM(FY$9:FY$56))/VLOOKUP($CU60,$AH$9:$AI$102,2)/VLOOKUP($CU60-EN$103,Männer!$G$9:$J$102,4),Rundäx)))</f>
        <v/>
      </c>
      <c r="EO60" s="43" t="str">
        <f>IF($CU60&gt;=RAF,"",IF($CU60-EO$103&lt;BeginnAlter,"",ROUND((SUM(DH$56:DH60)+SUM(FZ$9:FZ$56))/VLOOKUP($CU60,$AH$9:$AI$102,2)/VLOOKUP($CU60-EO$103,Männer!$G$9:$J$102,4),Rundäx)))</f>
        <v/>
      </c>
      <c r="EP60" s="43" t="str">
        <f>IF($CU60&gt;=RAF,"",IF($CU60-EP$103&lt;BeginnAlter,"",ROUND((SUM(DI$56:DI60)+SUM(GA$9:GA$56))/VLOOKUP($CU60,$AH$9:$AI$102,2)/VLOOKUP($CU60-EP$103,Männer!$G$9:$J$102,4),Rundäx)))</f>
        <v/>
      </c>
      <c r="EQ60" s="43" t="str">
        <f>IF($CU60&gt;=RAF,"",IF($CU60-EQ$103&lt;BeginnAlter,"",ROUND((SUM(DJ$56:DJ60)+SUM(GB$9:GB$56))/VLOOKUP($CU60,$AH$9:$AI$102,2)/VLOOKUP($CU60-EQ$103,Männer!$G$9:$J$102,4),Rundäx)))</f>
        <v/>
      </c>
      <c r="ER60" s="43" t="str">
        <f>IF($CU60&gt;=RAF,"",IF($CU60-ER$103&lt;BeginnAlter,"",ROUND((SUM(DK$56:DK60)+SUM(GC$9:GC$56))/VLOOKUP($CU60,$AH$9:$AI$102,2)/VLOOKUP($CU60-ER$103,Männer!$G$9:$J$102,4),Rundäx)))</f>
        <v/>
      </c>
      <c r="ES60" s="89"/>
      <c r="ET60" s="35">
        <f t="shared" si="62"/>
        <v>68</v>
      </c>
      <c r="EU60" s="43" t="str">
        <f>IF($CU60&gt;=RAF,"",IF($CU60-EU$103&lt;BeginnAlter,"",ROUND((SUM(DL$56:DL60)+SUM(GD$9:GD$56))/VLOOKUP($CU60,$AH$9:$AI$102,2)/VLOOKUP($CU60-EU$103,Männer!$G$9:$J$102,4),Rundäx)))</f>
        <v/>
      </c>
      <c r="EV60" s="43" t="str">
        <f>IF($CU60&gt;=RAF,"",IF($CU60-EV$103&lt;BeginnAlter,"",ROUND((SUM(DM$56:DM60)+SUM(GE$9:GE$56))/VLOOKUP($CU60,$AH$9:$AI$102,2)/VLOOKUP($CU60-EV$103,Männer!$G$9:$J$102,4),Rundäx)))</f>
        <v/>
      </c>
      <c r="EW60" s="43" t="str">
        <f>IF($CU60&gt;=RAF,"",IF($CU60-EW$103&lt;BeginnAlter,"",ROUND((SUM(DN$56:DN60)+SUM(GF$9:GF$56))/VLOOKUP($CU60,$AH$9:$AI$102,2)/VLOOKUP($CU60-EW$103,Männer!$G$9:$J$102,4),Rundäx)))</f>
        <v/>
      </c>
      <c r="EX60" s="43" t="str">
        <f>IF($CU60&gt;=RAF,"",IF($CU60-EX$103&lt;BeginnAlter,"",ROUND((SUM(DO$56:DO60)+SUM(GG$9:GG$56))/VLOOKUP($CU60,$AH$9:$AI$102,2)/VLOOKUP($CU60-EX$103,Männer!$G$9:$J$102,4),Rundäx)))</f>
        <v/>
      </c>
      <c r="EY60" s="43" t="str">
        <f>IF($CU60&gt;=RAF,"",IF($CU60-EY$103&lt;BeginnAlter,"",ROUND((SUM(DP$56:DP60)+SUM(GH$9:GH$56))/VLOOKUP($CU60,$AH$9:$AI$102,2)/VLOOKUP($CU60-EY$103,Männer!$G$9:$J$102,4),Rundäx)))</f>
        <v/>
      </c>
      <c r="EZ60" s="43" t="str">
        <f>IF($CU60&gt;=RAF,"",IF($CU60-EZ$103&lt;BeginnAlter,"",ROUND((SUM(DQ$56:DQ60)+SUM(GI$9:GI$56))/VLOOKUP($CU60,$AH$9:$AI$102,2)/VLOOKUP($CU60-EZ$103,Männer!$G$9:$J$102,4),Rundäx)))</f>
        <v/>
      </c>
      <c r="FA60" s="43" t="str">
        <f>IF($CU60&gt;=RAF,"",IF($CU60-FA$103&lt;BeginnAlter,"",ROUND((SUM(DR$56:DR60)+SUM(GJ$9:GJ$56))/VLOOKUP($CU60,$AH$9:$AI$102,2)/VLOOKUP($CU60-FA$103,Männer!$G$9:$J$102,4),Rundäx)))</f>
        <v/>
      </c>
      <c r="FB60" s="43" t="str">
        <f>IF($CU60&gt;=RAF,"",IF($CU60-FB$103&lt;BeginnAlter,"",ROUND((SUM(DS$56:DS60)+SUM(GK$9:GK$56))/VLOOKUP($CU60,$AH$9:$AI$102,2)/VLOOKUP($CU60-FB$103,Männer!$G$9:$J$102,4),Rundäx)))</f>
        <v/>
      </c>
      <c r="FC60" s="89"/>
      <c r="FD60" s="35">
        <f t="shared" si="63"/>
        <v>68</v>
      </c>
      <c r="FE60" s="43" t="str">
        <f>IF($CU60&gt;=RAF,"",IF($CU60-FE$103&lt;BeginnAlter,"",ROUND((SUM(DT$56:DT60)+SUM(GL$9:GL$56))/VLOOKUP($CU60,$AH$9:$AI$102,2)/VLOOKUP($CU60-FE$103,Männer!$G$9:$J$102,4),Rundäx)))</f>
        <v/>
      </c>
      <c r="FF60" s="43" t="str">
        <f>IF($CU60&gt;=RAF,"",IF($CU60-FF$103&lt;BeginnAlter,"",ROUND((SUM(DU$56:DU60)+SUM(GM$9:GM$56))/VLOOKUP($CU60,$AH$9:$AI$102,2)/VLOOKUP($CU60-FF$103,Männer!$G$9:$J$102,4),Rundäx)))</f>
        <v/>
      </c>
      <c r="FG60" s="43" t="str">
        <f>IF($CU60&gt;=RAF,"",IF($CU60-FG$103&lt;BeginnAlter,"",ROUND((SUM(DV$56:DV60)+SUM(GN$9:GN$56))/VLOOKUP($CU60,$AH$9:$AI$102,2)/VLOOKUP($CU60-FG$103,Männer!$G$9:$J$102,4),Rundäx)))</f>
        <v/>
      </c>
      <c r="FH60" s="43" t="str">
        <f>IF($CU60&gt;=RAF,"",IF($CU60-FH$103&lt;BeginnAlter,"",ROUND((SUM(DW$56:DW60)+SUM(GO$9:GO$56))/VLOOKUP($CU60,$AH$9:$AI$102,2)/VLOOKUP($CU60-FH$103,Männer!$G$9:$J$102,4),Rundäx)))</f>
        <v/>
      </c>
      <c r="FI60" s="43" t="str">
        <f>IF($CU60&gt;=RAF,"",IF($CU60-FI$103&lt;BeginnAlter,"",ROUND((SUM(DX$56:DX60)+SUM(GP$9:GP$56))/VLOOKUP($CU60,$AH$9:$AI$102,2)/VLOOKUP($CU60-FI$103,Männer!$G$9:$J$102,4),Rundäx)))</f>
        <v/>
      </c>
      <c r="FJ60" s="43" t="str">
        <f>IF($CU60&gt;=RAF,"",IF($CU60-FJ$103&lt;BeginnAlter,"",ROUND((SUM(DY$56:DY60)+SUM(GQ$9:GQ$56))/VLOOKUP($CU60,$AH$9:$AI$102,2)/VLOOKUP($CU60-FJ$103,Männer!$G$9:$J$102,4),Rundäx)))</f>
        <v/>
      </c>
      <c r="FK60" s="43" t="str">
        <f>IF($CU60&gt;=RAF,"",IF($CU60-FK$103&lt;BeginnAlter,"",ROUND((SUM(DZ$56:DZ60)+SUM(GR$9:GR$56))/VLOOKUP($CU60,$AH$9:$AI$102,2)/VLOOKUP($CU60-FK$103,Männer!$G$9:$J$102,4),Rundäx)))</f>
        <v/>
      </c>
      <c r="FL60" s="89"/>
      <c r="FM60" s="35">
        <f t="shared" si="64"/>
        <v>115</v>
      </c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4"/>
      <c r="GT60" s="24"/>
      <c r="GU60" s="24" t="str">
        <f>IF(FM60&gt;=RAF," ",#REF!/$AI60/Frauen!$J48)</f>
        <v xml:space="preserve"> </v>
      </c>
      <c r="GV60" s="24" t="str">
        <f>IF(FM60&gt;=RAF," ",#REF!/$AI60/Frauen!$J51)</f>
        <v xml:space="preserve"> </v>
      </c>
      <c r="GW60" s="24" t="str">
        <f>IF(FM60&gt;=RAF," ",#REF!/$AI60/Frauen!$J54)</f>
        <v xml:space="preserve"> </v>
      </c>
      <c r="GX60" s="24" t="str">
        <f>IF(FM60&gt;=RAF," ",#REF!/$AI60/Frauen!$J57)</f>
        <v xml:space="preserve"> </v>
      </c>
      <c r="GY60" s="24" t="str">
        <f>IF(FM60&gt;=RAF," ",#REF!/$AI60/Frauen!$J60)</f>
        <v xml:space="preserve"> </v>
      </c>
      <c r="GZ60" s="24" t="str">
        <f>IF(FM60&gt;=RAF," ",#REF!/$AI60/Frauen!$J63)</f>
        <v xml:space="preserve"> </v>
      </c>
      <c r="HA60" s="89"/>
      <c r="HB60" s="35">
        <f t="shared" si="65"/>
        <v>115</v>
      </c>
      <c r="HC60" s="24"/>
      <c r="HD60" s="24"/>
      <c r="HE60" s="24"/>
      <c r="HF60" s="24"/>
      <c r="HG60" s="24"/>
      <c r="HH60" s="24"/>
      <c r="HI60" s="24"/>
      <c r="HJ60" s="24"/>
      <c r="HK60" s="89"/>
      <c r="HL60" s="35">
        <f t="shared" si="66"/>
        <v>115</v>
      </c>
      <c r="HM60" s="24"/>
      <c r="HN60" s="24"/>
      <c r="HO60" s="24"/>
      <c r="HP60" s="24"/>
      <c r="HQ60" s="24"/>
      <c r="HR60" s="24"/>
      <c r="HS60" s="24"/>
      <c r="HT60" s="24"/>
      <c r="HU60" s="89"/>
      <c r="HV60" s="35">
        <f t="shared" si="67"/>
        <v>115</v>
      </c>
      <c r="HW60" s="24"/>
      <c r="HX60" s="24"/>
      <c r="HY60" s="24"/>
      <c r="HZ60" s="24"/>
      <c r="IA60" s="24"/>
      <c r="IB60" s="24"/>
      <c r="IC60" s="24"/>
      <c r="ID60" s="89"/>
      <c r="IE60" s="9">
        <f t="shared" si="80"/>
        <v>68</v>
      </c>
      <c r="IF60" s="11" t="str">
        <f t="shared" si="25"/>
        <v/>
      </c>
      <c r="IG60" s="11" t="str">
        <f>IF($IE60&lt;RAF,IF(S61&lt;=RAK,ROUND(SUM(IF60:INDEX(Daky,RAF-BeginnAlter))+INDEX(Day,RAF-BeginnAlter+1)*INDEX(äky,1),RundDx),0),"")</f>
        <v/>
      </c>
      <c r="IH60" s="11" t="str">
        <f>IF($IE60&lt;RAF,IF(S61&lt;=RAK,ROUND(SUM(IG60:INDEX(Naky,RAF-BeginnAlter))+INDEX(Day,RAF-BeginnAlter+1)*INDEX(äky,1),RundDx),0),"")</f>
        <v/>
      </c>
      <c r="II60" s="10" t="str">
        <f t="shared" si="26"/>
        <v/>
      </c>
      <c r="IJ60" s="11" t="str">
        <f t="shared" si="27"/>
        <v/>
      </c>
      <c r="IK60" s="11" t="str">
        <f>IF($IE60&lt;RAF,IF(S61&lt;=RAK,SUM(IJ60:INDEX(Diky,RAF-BeginnAlter))+INDEX(Diy,RAF-BeginnAlter+1)*INDEX(äky,1),0),"")</f>
        <v/>
      </c>
      <c r="IL60" s="10" t="str">
        <f t="shared" si="28"/>
        <v/>
      </c>
      <c r="IM60" s="89"/>
      <c r="IN60" s="9">
        <f t="shared" si="29"/>
        <v>115</v>
      </c>
      <c r="IO60" s="11"/>
      <c r="IP60" s="11"/>
      <c r="IQ60" s="10"/>
      <c r="IR60" s="86"/>
    </row>
    <row r="61" spans="1:252" ht="15.75" customHeight="1" x14ac:dyDescent="0.25">
      <c r="A61" s="9">
        <f t="shared" si="69"/>
        <v>69</v>
      </c>
      <c r="B61" s="93"/>
      <c r="C61" s="93"/>
      <c r="D61" s="93"/>
      <c r="E61" s="93">
        <v>1.4800000000000001E-2</v>
      </c>
      <c r="F61" s="89"/>
      <c r="G61" s="9">
        <f t="shared" si="70"/>
        <v>69</v>
      </c>
      <c r="H61" s="11" t="str">
        <f t="shared" si="30"/>
        <v/>
      </c>
      <c r="I61" s="25" t="str">
        <f t="shared" si="31"/>
        <v/>
      </c>
      <c r="J61" s="25">
        <f t="shared" si="32"/>
        <v>84942</v>
      </c>
      <c r="K61" s="30">
        <f>IF(J61&gt;0,ROUND(SUM(J61:J$102)/J61-0.5,Rundex),"")</f>
        <v>17.329999999999998</v>
      </c>
      <c r="L61" s="25">
        <f t="shared" si="6"/>
        <v>84942</v>
      </c>
      <c r="M61" s="30">
        <f>IF(L61&gt;0,ROUND(SUM(L61:L$102)/L61-0.5,Rundex),"")</f>
        <v>17.329999999999998</v>
      </c>
      <c r="N61" s="89"/>
      <c r="O61" s="9">
        <f t="shared" si="71"/>
        <v>69</v>
      </c>
      <c r="P61" s="94">
        <v>7.2506332103582136E-2</v>
      </c>
      <c r="Q61" s="95">
        <v>70.393241543907578</v>
      </c>
      <c r="R61" s="94"/>
      <c r="S61" s="95"/>
      <c r="T61" s="28">
        <v>1.0459219854254822E-2</v>
      </c>
      <c r="U61" s="11">
        <f t="shared" si="33"/>
        <v>87584</v>
      </c>
      <c r="V61" s="30">
        <f>IF(U61&gt;0,ROUND(SUM(U61:U$102)/U61-0.5,Rundex),"")</f>
        <v>18.02</v>
      </c>
      <c r="W61" s="89"/>
      <c r="X61" s="9">
        <f t="shared" si="72"/>
        <v>69</v>
      </c>
      <c r="Y61" s="11" t="str">
        <f t="shared" si="34"/>
        <v xml:space="preserve"> </v>
      </c>
      <c r="Z61" s="11" t="str">
        <f>IF($X61&lt;RAF,SUM(Y61:INDEX(Day,RAF-BeginnAlter))," ")</f>
        <v xml:space="preserve"> </v>
      </c>
      <c r="AA61" s="11" t="str">
        <f t="shared" si="0"/>
        <v xml:space="preserve"> </v>
      </c>
      <c r="AB61" s="11" t="str">
        <f>IF($X61&lt;RAF,SUM(AA61:INDEX(Cay,RAF-BeginnAlter))," ")</f>
        <v xml:space="preserve"> </v>
      </c>
      <c r="AC61" s="11" t="str">
        <f t="shared" si="1"/>
        <v xml:space="preserve"> </v>
      </c>
      <c r="AD61" s="11" t="str">
        <f>IF($X61&lt;RAF,SUM(AC61:INDEX(Caiy,RAF-BeginnAlter))," ")</f>
        <v xml:space="preserve"> </v>
      </c>
      <c r="AE61" s="10" t="str">
        <f t="shared" si="35"/>
        <v xml:space="preserve"> </v>
      </c>
      <c r="AF61" s="10" t="str">
        <f t="shared" si="36"/>
        <v xml:space="preserve"> </v>
      </c>
      <c r="AG61" s="89"/>
      <c r="AH61" s="9">
        <f t="shared" si="73"/>
        <v>69</v>
      </c>
      <c r="AI61" s="11" t="str">
        <f t="shared" si="37"/>
        <v xml:space="preserve"> </v>
      </c>
      <c r="AJ61" s="11" t="str">
        <f>IF($AH61&gt;RAF," ",IF($AH61&lt;RAF,SUM(AI61:INDEX(Diy,RAF-BeginnAlter))+INDEX(Ny,RAF-BeginnAlter+1),INDEX(Ny,RAF-BeginnAlter+1)))</f>
        <v xml:space="preserve"> </v>
      </c>
      <c r="AK61" s="11" t="str">
        <f>IF($AH61&lt;RAF,SUM(AI61:INDEX(Diy,RAF-BeginnAlter))," ")</f>
        <v xml:space="preserve"> </v>
      </c>
      <c r="AL61" s="10" t="str">
        <f t="shared" si="38"/>
        <v xml:space="preserve"> </v>
      </c>
      <c r="AM61" s="10" t="str">
        <f t="shared" si="39"/>
        <v xml:space="preserve"> </v>
      </c>
      <c r="AN61" s="10" t="str">
        <f t="shared" si="40"/>
        <v xml:space="preserve"> </v>
      </c>
      <c r="AO61" s="10" t="str">
        <f t="shared" si="41"/>
        <v xml:space="preserve"> </v>
      </c>
      <c r="AP61" s="89"/>
      <c r="AQ61" s="9">
        <f t="shared" si="74"/>
        <v>69</v>
      </c>
      <c r="AR61" s="11">
        <f t="shared" si="42"/>
        <v>18296</v>
      </c>
      <c r="AS61" s="11">
        <f>SUM(AR61:AR$96)</f>
        <v>264335</v>
      </c>
      <c r="AT61" s="25" t="str">
        <f>IF($AQ61&lt;RAF,SUM(AR61:INDEX(Dy,RAF-BeginnAlter))," ")</f>
        <v xml:space="preserve"> </v>
      </c>
      <c r="AU61" s="24">
        <f t="shared" si="43"/>
        <v>14.448</v>
      </c>
      <c r="AV61" s="24">
        <f t="shared" si="44"/>
        <v>13.989000000000001</v>
      </c>
      <c r="AW61" s="24" t="str">
        <f t="shared" si="45"/>
        <v xml:space="preserve"> </v>
      </c>
      <c r="AX61" s="24" t="str">
        <f t="shared" si="46"/>
        <v xml:space="preserve"> </v>
      </c>
      <c r="AY61" s="89"/>
      <c r="AZ61" s="9">
        <f t="shared" si="75"/>
        <v>69</v>
      </c>
      <c r="BA61" s="11">
        <f t="shared" si="47"/>
        <v>18865</v>
      </c>
      <c r="BB61" s="11">
        <f>SUM(BA61:BA$96)</f>
        <v>281786</v>
      </c>
      <c r="BC61" s="10">
        <f t="shared" si="48"/>
        <v>14.936999999999999</v>
      </c>
      <c r="BD61" s="10">
        <f t="shared" si="7"/>
        <v>14.478999999999999</v>
      </c>
      <c r="BE61" s="89"/>
      <c r="BF61" s="9">
        <f t="shared" si="54"/>
        <v>52</v>
      </c>
      <c r="BG61" s="10" t="str">
        <f t="shared" si="8"/>
        <v/>
      </c>
      <c r="BH61" s="10" t="str">
        <f t="shared" si="9"/>
        <v/>
      </c>
      <c r="BI61" s="89"/>
      <c r="BJ61" s="9">
        <f t="shared" si="76"/>
        <v>69</v>
      </c>
      <c r="BK61" s="11" t="str">
        <f t="shared" si="10"/>
        <v xml:space="preserve"> </v>
      </c>
      <c r="BL61" s="11" t="str">
        <f>IF(BJ61&lt;RAF,SUM(BK61:INDEX(Daiy,RAF-BeginnAlter))," ")</f>
        <v xml:space="preserve"> </v>
      </c>
      <c r="BM61" s="11" t="str">
        <f>IF(BJ61&lt;RAF,SUM(BL61:INDEX(Naiy,RAF-BeginnAlter))," ")</f>
        <v xml:space="preserve"> </v>
      </c>
      <c r="BN61" s="10" t="str">
        <f t="shared" si="11"/>
        <v xml:space="preserve"> </v>
      </c>
      <c r="BO61" s="10" t="str">
        <f t="shared" si="12"/>
        <v xml:space="preserve"> </v>
      </c>
      <c r="BP61" s="89"/>
      <c r="BQ61" s="9">
        <f t="shared" si="77"/>
        <v>69</v>
      </c>
      <c r="BR61" s="11" t="str">
        <f t="shared" si="13"/>
        <v xml:space="preserve"> </v>
      </c>
      <c r="BS61" s="11" t="str">
        <f>IF(BQ61&lt;RAF,SUM(BR61:INDEX(Daiys,RAF-BeginnAlter))," ")</f>
        <v xml:space="preserve"> </v>
      </c>
      <c r="BT61" s="11" t="str">
        <f>IF(BQ61&lt;RAF,SUM(BS61:INDEX(Naiys,RAF-BeginnAlter))," ")</f>
        <v xml:space="preserve"> </v>
      </c>
      <c r="BU61" s="10" t="str">
        <f t="shared" si="14"/>
        <v xml:space="preserve"> </v>
      </c>
      <c r="BV61" s="10" t="str">
        <f t="shared" si="15"/>
        <v xml:space="preserve"> </v>
      </c>
      <c r="BW61" s="89"/>
      <c r="BX61" s="9">
        <f t="shared" si="78"/>
        <v>69</v>
      </c>
      <c r="BY61" s="10" t="str">
        <f t="shared" si="16"/>
        <v/>
      </c>
      <c r="BZ61" s="11" t="str">
        <f t="shared" si="17"/>
        <v/>
      </c>
      <c r="CA61" s="11" t="str">
        <f>IF(S62&lt;=RAK,IF($BX61&lt;RAF,SUM(BZ61:INDEX(Dazy,RAF-BeginnAlter)),""),"")</f>
        <v/>
      </c>
      <c r="CB61" s="10" t="str">
        <f t="shared" si="18"/>
        <v/>
      </c>
      <c r="CC61" s="11">
        <f t="shared" si="19"/>
        <v>0</v>
      </c>
      <c r="CD61" s="10">
        <f t="shared" si="20"/>
        <v>0</v>
      </c>
      <c r="CE61" s="10" t="str">
        <f t="shared" si="21"/>
        <v/>
      </c>
      <c r="CF61" s="89"/>
      <c r="CG61" s="9">
        <f t="shared" si="79"/>
        <v>69</v>
      </c>
      <c r="CH61" s="11" t="str">
        <f>IF(CG61&lt;RAF,ROUND(v^($CG61+FaktorAlter)*$H61*($B61*0.5*($P61+$P62)*(VLOOKUP(TRUNC(0.5*($Q61+$Q62),0),Männer!$AZ$9:$BD$95,5)+(0.5*($Q61+$Q62)-TRUNC(0.5*($Q61+$Q62),0))*(VLOOKUP(TRUNC(0.5*($Q61+$Q62)+1,0),Männer!$AZ$9:$BD$95,5)-VLOOKUP(TRUNC(0.5*($Q61+$Q62),0),Männer!$AZ$9:$BD$95,5)))+$C61*0.5*($CN61+$CN62)),RundDx),"")</f>
        <v/>
      </c>
      <c r="CI61" s="11" t="str">
        <f>IF(CG61&lt;RAF,ROUND(SUM(CH61:INDEX(Dawy,RAF-BeginnAlter))+INDEX(Day,RAF-BeginnAlter+1)*INDEX(äwy,1),RundDx),"")</f>
        <v/>
      </c>
      <c r="CJ61" s="11" t="str">
        <f>IF(CG61&lt;RAF,ROUND(SUM(CI61:INDEX(Nawy,RAF-BeginnAlter))+INDEX(Day,RAF-BeginnAlter+1)*INDEX(äwy,1),RundDx),"")</f>
        <v/>
      </c>
      <c r="CK61" s="10" t="str">
        <f t="shared" si="22"/>
        <v/>
      </c>
      <c r="CL61" s="11" t="str">
        <f>IF(CG61&lt;RAF,ROUND(v^($CG61+FaktorAlter)*$L61*$D61*0.5*($P61+$P62)*(VLOOKUP(TRUNC(0.5*($Q61+$Q62),0),Männer!$AZ$9:$BD$95,5)+(0.5*($Q61+$Q62)-TRUNC(0.5*($Q61+$Q62),0))*(VLOOKUP(TRUNC(0.5*($Q61+$Q62)+1,0),Männer!$AZ$9:$BD$95,5)-VLOOKUP(TRUNC(0.5*($Q61+$Q62),0),Männer!$AZ$9:$BD$95,5))),RundDx),"")</f>
        <v/>
      </c>
      <c r="CM61" s="11" t="str">
        <f>IF(CG61&lt;RAF,SUM(CL61:INDEX(Diwy,RAF-BeginnAlter))+INDEX(Diy,RAF-BeginnAlter+1)*INDEX(äwy,1),"")</f>
        <v/>
      </c>
      <c r="CN61" s="10" t="str">
        <f t="shared" si="23"/>
        <v/>
      </c>
      <c r="CO61" s="89"/>
      <c r="CP61" s="9">
        <f t="shared" si="59"/>
        <v>116</v>
      </c>
      <c r="CQ61" s="11"/>
      <c r="CR61" s="11"/>
      <c r="CS61" s="10"/>
      <c r="CT61" s="89"/>
      <c r="CU61" s="35">
        <f t="shared" si="60"/>
        <v>69</v>
      </c>
      <c r="CV61" s="25" t="str">
        <f>IF($CU61&gt;=RAF,"",IF($CU61-CV$103&lt;BeginnAlter,"",ROUND(v^($CU61+FaktorAlter)*$L61*$D61*0.5*(VLOOKUP($CU61-CV$103,Männer!$G$9:$J$102,4)+VLOOKUP($CU61-CV$103+1,Männer!$G$9:$J$102,4))*0.5*(VLOOKUP($CU61-CV$103,Männer!$AZ$9:$BD$102,5)+VLOOKUP($CU61-CV$103+1,Männer!$AZ$9:$BD$102,5)),RundDx)))</f>
        <v/>
      </c>
      <c r="CW61" s="25" t="str">
        <f>IF($CU61&gt;=RAF,"",IF($CU61-CW$103&lt;BeginnAlter,"",ROUND(v^($CU61+FaktorAlter)*$L61*$D61*0.5*(VLOOKUP($CU61-CW$103,Männer!$G$9:$J$102,4)+VLOOKUP($CU61-CW$103+1,Männer!$G$9:$J$102,4))*0.5*(VLOOKUP($CU61-CW$103,Männer!$AZ$9:$BD$102,5)+VLOOKUP($CU61-CW$103+1,Männer!$AZ$9:$BD$102,5)),RundDx)))</f>
        <v/>
      </c>
      <c r="CX61" s="25" t="str">
        <f>IF($CU61&gt;=RAF,"",IF($CU61-CX$103&lt;BeginnAlter,"",ROUND(v^($CU61+FaktorAlter)*$L61*$D61*0.5*(VLOOKUP($CU61-CX$103,Männer!$G$9:$J$102,4)+VLOOKUP($CU61-CX$103+1,Männer!$G$9:$J$102,4))*0.5*(VLOOKUP($CU61-CX$103,Männer!$AZ$9:$BD$102,5)+VLOOKUP($CU61-CX$103+1,Männer!$AZ$9:$BD$102,5)),RundDx)))</f>
        <v/>
      </c>
      <c r="CY61" s="25" t="str">
        <f>IF($CU61&gt;=RAF,"",IF($CU61-CY$103&lt;BeginnAlter,"",ROUND(v^($CU61+FaktorAlter)*$L61*$D61*0.5*(VLOOKUP($CU61-CY$103,Männer!$G$9:$J$102,4)+VLOOKUP($CU61-CY$103+1,Männer!$G$9:$J$102,4))*0.5*(VLOOKUP($CU61-CY$103,Männer!$AZ$9:$BD$102,5)+VLOOKUP($CU61-CY$103+1,Männer!$AZ$9:$BD$102,5)),RundDx)))</f>
        <v/>
      </c>
      <c r="CZ61" s="25" t="str">
        <f>IF($CU61&gt;=RAF,"",IF($CU61-CZ$103&lt;BeginnAlter,"",ROUND(v^($CU61+FaktorAlter)*$L61*$D61*0.5*(VLOOKUP($CU61-CZ$103,Männer!$G$9:$J$102,4)+VLOOKUP($CU61-CZ$103+1,Männer!$G$9:$J$102,4))*0.5*(VLOOKUP($CU61-CZ$103,Männer!$AZ$9:$BD$102,5)+VLOOKUP($CU61-CZ$103+1,Männer!$AZ$9:$BD$102,5)),RundDx)))</f>
        <v/>
      </c>
      <c r="DA61" s="25" t="str">
        <f>IF($CU61&gt;=RAF,"",IF($CU61-DA$103&lt;BeginnAlter,"",ROUND(v^($CU61+FaktorAlter)*$L61*$D61*0.5*(VLOOKUP($CU61-DA$103,Männer!$G$9:$J$102,4)+VLOOKUP($CU61-DA$103+1,Männer!$G$9:$J$102,4))*0.5*(VLOOKUP($CU61-DA$103,Männer!$AZ$9:$BD$102,5)+VLOOKUP($CU61-DA$103+1,Männer!$AZ$9:$BD$102,5)),RundDx)))</f>
        <v/>
      </c>
      <c r="DB61" s="25" t="str">
        <f>IF($CU61&gt;=RAF,"",IF($CU61-DB$103&lt;BeginnAlter,"",ROUND(v^($CU61+FaktorAlter)*$L61*$D61*0.5*(VLOOKUP($CU61-DB$103,Männer!$G$9:$J$102,4)+VLOOKUP($CU61-DB$103+1,Männer!$G$9:$J$102,4))*0.5*(VLOOKUP($CU61-DB$103,Männer!$AZ$9:$BD$102,5)+VLOOKUP($CU61-DB$103+1,Männer!$AZ$9:$BD$102,5)),RundDx)))</f>
        <v/>
      </c>
      <c r="DC61" s="25" t="str">
        <f>IF($CU61&gt;=RAF,"",IF($CU61-DC$103&lt;BeginnAlter,"",ROUND(v^($CU61+FaktorAlter)*$L61*$D61*0.5*(VLOOKUP($CU61-DC$103,Männer!$G$9:$J$102,4)+VLOOKUP($CU61-DC$103+1,Männer!$G$9:$J$102,4))*0.5*(VLOOKUP($CU61-DC$103,Männer!$AZ$9:$BD$102,5)+VLOOKUP($CU61-DC$103+1,Männer!$AZ$9:$BD$102,5)),RundDx)))</f>
        <v/>
      </c>
      <c r="DD61" s="25" t="str">
        <f>IF($CU61&gt;=RAF,"",IF($CU61-DD$103&lt;BeginnAlter,"",ROUND(v^($CU61+FaktorAlter)*$L61*$D61*0.5*(VLOOKUP($CU61-DD$103,Männer!$G$9:$J$102,4)+VLOOKUP($CU61-DD$103+1,Männer!$G$9:$J$102,4))*0.5*(VLOOKUP($CU61-DD$103,Männer!$AZ$9:$BD$102,5)+VLOOKUP($CU61-DD$103+1,Männer!$AZ$9:$BD$102,5)),RundDx)))</f>
        <v/>
      </c>
      <c r="DE61" s="25" t="str">
        <f>IF($CU61&gt;=RAF,"",IF($CU61-DE$103&lt;BeginnAlter,"",ROUND(v^($CU61+FaktorAlter)*$L61*$D61*0.5*(VLOOKUP($CU61-DE$103,Männer!$G$9:$J$102,4)+VLOOKUP($CU61-DE$103+1,Männer!$G$9:$J$102,4))*0.5*(VLOOKUP($CU61-DE$103,Männer!$AZ$9:$BD$102,5)+VLOOKUP($CU61-DE$103+1,Männer!$AZ$9:$BD$102,5)),RundDx)))</f>
        <v/>
      </c>
      <c r="DF61" s="25" t="str">
        <f>IF($CU61&gt;=RAF,"",IF($CU61-DF$103&lt;BeginnAlter,"",ROUND(v^($CU61+FaktorAlter)*$L61*$D61*0.5*(VLOOKUP($CU61-DF$103,Männer!$G$9:$J$102,4)+VLOOKUP($CU61-DF$103+1,Männer!$G$9:$J$102,4))*0.5*(VLOOKUP($CU61-DF$103,Männer!$AZ$9:$BD$102,5)+VLOOKUP($CU61-DF$103+1,Männer!$AZ$9:$BD$102,5)),RundDx)))</f>
        <v/>
      </c>
      <c r="DG61" s="25" t="str">
        <f>IF($CU61&gt;=RAF,"",IF($CU61-DG$103&lt;BeginnAlter,"",ROUND(v^($CU61+FaktorAlter)*$L61*$D61*0.5*(VLOOKUP($CU61-DG$103,Männer!$G$9:$J$102,4)+VLOOKUP($CU61-DG$103+1,Männer!$G$9:$J$102,4))*0.5*(VLOOKUP($CU61-DG$103,Männer!$AZ$9:$BD$102,5)+VLOOKUP($CU61-DG$103+1,Männer!$AZ$9:$BD$102,5)),RundDx)))</f>
        <v/>
      </c>
      <c r="DH61" s="25" t="str">
        <f>IF($CU61&gt;=RAF,"",IF($CU61-DH$103&lt;BeginnAlter,"",ROUND(v^($CU61+FaktorAlter)*$L61*$D61*0.5*(VLOOKUP($CU61-DH$103,Männer!$G$9:$J$102,4)+VLOOKUP($CU61-DH$103+1,Männer!$G$9:$J$102,4))*0.5*(VLOOKUP($CU61-DH$103,Männer!$AZ$9:$BD$102,5)+VLOOKUP($CU61-DH$103+1,Männer!$AZ$9:$BD$102,5)),RundDx)))</f>
        <v/>
      </c>
      <c r="DI61" s="25" t="str">
        <f>IF($CU61&gt;=RAF,"",IF($CU61-DI$103&lt;BeginnAlter,"",ROUND(v^($CU61+FaktorAlter)*$L61*$D61*0.5*(VLOOKUP($CU61-DI$103,Männer!$G$9:$J$102,4)+VLOOKUP($CU61-DI$103+1,Männer!$G$9:$J$102,4))*0.5*(VLOOKUP($CU61-DI$103,Männer!$AZ$9:$BD$102,5)+VLOOKUP($CU61-DI$103+1,Männer!$AZ$9:$BD$102,5)),RundDx)))</f>
        <v/>
      </c>
      <c r="DJ61" s="25" t="str">
        <f>IF($CU61&gt;=RAF,"",IF($CU61-DJ$103&lt;BeginnAlter,"",ROUND(v^($CU61+FaktorAlter)*$L61*$D61*0.5*(VLOOKUP($CU61-DJ$103,Männer!$G$9:$J$102,4)+VLOOKUP($CU61-DJ$103+1,Männer!$G$9:$J$102,4))*0.5*(VLOOKUP($CU61-DJ$103,Männer!$AZ$9:$BD$102,5)+VLOOKUP($CU61-DJ$103+1,Männer!$AZ$9:$BD$102,5)),RundDx)))</f>
        <v/>
      </c>
      <c r="DK61" s="25" t="str">
        <f>IF($CU61&gt;=RAF,"",IF($CU61-DK$103&lt;BeginnAlter,"",ROUND(v^($CU61+FaktorAlter)*$L61*$D61*0.5*(VLOOKUP($CU61-DK$103,Männer!$G$9:$J$102,4)+VLOOKUP($CU61-DK$103+1,Männer!$G$9:$J$102,4))*0.5*(VLOOKUP($CU61-DK$103,Männer!$AZ$9:$BD$102,5)+VLOOKUP($CU61-DK$103+1,Männer!$AZ$9:$BD$102,5)),RundDx)))</f>
        <v/>
      </c>
      <c r="DL61" s="25" t="str">
        <f>IF($CU61&gt;=RAF,"",IF($CU61-DL$103&lt;BeginnAlter,"",ROUND(v^($CU61+FaktorAlter)*$L61*$D61*0.5*(VLOOKUP($CU61-DL$103,Männer!$G$9:$J$102,4)+VLOOKUP($CU61-DL$103+1,Männer!$G$9:$J$102,4))*0.5*(VLOOKUP($CU61-DL$103,Männer!$AZ$9:$BD$102,5)+VLOOKUP($CU61-DL$103+1,Männer!$AZ$9:$BD$102,5)),RundDx)))</f>
        <v/>
      </c>
      <c r="DM61" s="25" t="str">
        <f>IF($CU61&gt;=RAF,"",IF($CU61-DM$103&lt;BeginnAlter,"",ROUND(v^($CU61+FaktorAlter)*$L61*$D61*0.5*(VLOOKUP($CU61-DM$103,Männer!$G$9:$J$102,4)+VLOOKUP($CU61-DM$103+1,Männer!$G$9:$J$102,4))*0.5*(VLOOKUP($CU61-DM$103,Männer!$AZ$9:$BD$102,5)+VLOOKUP($CU61-DM$103+1,Männer!$AZ$9:$BD$102,5)),RundDx)))</f>
        <v/>
      </c>
      <c r="DN61" s="25" t="str">
        <f>IF($CU61&gt;=RAF,"",IF($CU61-DN$103&lt;BeginnAlter,"",ROUND(v^($CU61+FaktorAlter)*$L61*$D61*0.5*(VLOOKUP($CU61-DN$103,Männer!$G$9:$J$102,4)+VLOOKUP($CU61-DN$103+1,Männer!$G$9:$J$102,4))*0.5*(VLOOKUP($CU61-DN$103,Männer!$AZ$9:$BD$102,5)+VLOOKUP($CU61-DN$103+1,Männer!$AZ$9:$BD$102,5)),RundDx)))</f>
        <v/>
      </c>
      <c r="DO61" s="25" t="str">
        <f>IF($CU61&gt;=RAF,"",IF($CU61-DO$103&lt;BeginnAlter,"",ROUND(v^($CU61+FaktorAlter)*$L61*$D61*0.5*(VLOOKUP($CU61-DO$103,Männer!$G$9:$J$102,4)+VLOOKUP($CU61-DO$103+1,Männer!$G$9:$J$102,4))*0.5*(VLOOKUP($CU61-DO$103,Männer!$AZ$9:$BD$102,5)+VLOOKUP($CU61-DO$103+1,Männer!$AZ$9:$BD$102,5)),RundDx)))</f>
        <v/>
      </c>
      <c r="DP61" s="25" t="str">
        <f>IF($CU61&gt;=RAF,"",IF($CU61-DP$103&lt;BeginnAlter,"",ROUND(v^($CU61+FaktorAlter)*$L61*$D61*0.5*(VLOOKUP($CU61-DP$103,Männer!$G$9:$J$102,4)+VLOOKUP($CU61-DP$103+1,Männer!$G$9:$J$102,4))*0.5*(VLOOKUP($CU61-DP$103,Männer!$AZ$9:$BD$102,5)+VLOOKUP($CU61-DP$103+1,Männer!$AZ$9:$BD$102,5)),RundDx)))</f>
        <v/>
      </c>
      <c r="DQ61" s="25" t="str">
        <f>IF($CU61&gt;=RAF,"",IF($CU61-DQ$103&lt;BeginnAlter,"",ROUND(v^($CU61+FaktorAlter)*$L61*$D61*0.5*(VLOOKUP($CU61-DQ$103,Männer!$G$9:$J$102,4)+VLOOKUP($CU61-DQ$103+1,Männer!$G$9:$J$102,4))*0.5*(VLOOKUP($CU61-DQ$103,Männer!$AZ$9:$BD$102,5)+VLOOKUP($CU61-DQ$103+1,Männer!$AZ$9:$BD$102,5)),RundDx)))</f>
        <v/>
      </c>
      <c r="DR61" s="25" t="str">
        <f>IF($CU61&gt;=RAF,"",IF($CU61-DR$103&lt;BeginnAlter,"",ROUND(v^($CU61+FaktorAlter)*$L61*$D61*0.5*(VLOOKUP($CU61-DR$103,Männer!$G$9:$J$102,4)+VLOOKUP($CU61-DR$103+1,Männer!$G$9:$J$102,4))*0.5*(VLOOKUP($CU61-DR$103,Männer!$AZ$9:$BD$102,5)+VLOOKUP($CU61-DR$103+1,Männer!$AZ$9:$BD$102,5)),RundDx)))</f>
        <v/>
      </c>
      <c r="DS61" s="25" t="str">
        <f>IF($CU61&gt;=RAF,"",IF($CU61-DS$103&lt;BeginnAlter,"",ROUND(v^($CU61+FaktorAlter)*$L61*$D61*0.5*(VLOOKUP($CU61-DS$103,Männer!$G$9:$J$102,4)+VLOOKUP($CU61-DS$103+1,Männer!$G$9:$J$102,4))*0.5*(VLOOKUP($CU61-DS$103,Männer!$AZ$9:$BD$102,5)+VLOOKUP($CU61-DS$103+1,Männer!$AZ$9:$BD$102,5)),RundDx)))</f>
        <v/>
      </c>
      <c r="DT61" s="25" t="str">
        <f>IF($CU61&gt;=RAF,"",IF($CU61-DT$103&lt;BeginnAlter,"",ROUND(v^($CU61+FaktorAlter)*$L61*$D61*0.5*(VLOOKUP($CU61-DT$103,Männer!$G$9:$J$102,4)+VLOOKUP($CU61-DT$103+1,Männer!$G$9:$J$102,4))*0.5*(VLOOKUP($CU61-DT$103,Männer!$AZ$9:$BD$102,5)+VLOOKUP($CU61-DT$103+1,Männer!$AZ$9:$BD$102,5)),RundDx)))</f>
        <v/>
      </c>
      <c r="DU61" s="25" t="str">
        <f>IF($CU61&gt;=RAF,"",IF($CU61-DU$103&lt;BeginnAlter,"",ROUND(v^($CU61+FaktorAlter)*$L61*$D61*0.5*(VLOOKUP($CU61-DU$103,Männer!$G$9:$J$102,4)+VLOOKUP($CU61-DU$103+1,Männer!$G$9:$J$102,4))*0.5*(VLOOKUP($CU61-DU$103,Männer!$AZ$9:$BD$102,5)+VLOOKUP($CU61-DU$103+1,Männer!$AZ$9:$BD$102,5)),RundDx)))</f>
        <v/>
      </c>
      <c r="DV61" s="25" t="str">
        <f>IF($CU61&gt;=RAF,"",IF($CU61-DV$103&lt;BeginnAlter,"",ROUND(v^($CU61+FaktorAlter)*$L61*$D61*0.5*(VLOOKUP($CU61-DV$103,Männer!$G$9:$J$102,4)+VLOOKUP($CU61-DV$103+1,Männer!$G$9:$J$102,4))*0.5*(VLOOKUP($CU61-DV$103,Männer!$AZ$9:$BD$102,5)+VLOOKUP($CU61-DV$103+1,Männer!$AZ$9:$BD$102,5)),RundDx)))</f>
        <v/>
      </c>
      <c r="DW61" s="25" t="str">
        <f>IF($CU61&gt;=RAF,"",IF($CU61-DW$103&lt;BeginnAlter,"",ROUND(v^($CU61+FaktorAlter)*$L61*$D61*0.5*(VLOOKUP($CU61-DW$103,Männer!$G$9:$J$102,4)+VLOOKUP($CU61-DW$103+1,Männer!$G$9:$J$102,4))*0.5*(VLOOKUP($CU61-DW$103,Männer!$AZ$9:$BD$102,5)+VLOOKUP($CU61-DW$103+1,Männer!$AZ$9:$BD$102,5)),RundDx)))</f>
        <v/>
      </c>
      <c r="DX61" s="25" t="str">
        <f>IF($CU61&gt;=RAF,"",IF($CU61-DX$103&lt;BeginnAlter,"",ROUND(v^($CU61+FaktorAlter)*$L61*$D61*0.5*(VLOOKUP($CU61-DX$103,Männer!$G$9:$J$102,4)+VLOOKUP($CU61-DX$103+1,Männer!$G$9:$J$102,4))*0.5*(VLOOKUP($CU61-DX$103,Männer!$AZ$9:$BD$102,5)+VLOOKUP($CU61-DX$103+1,Männer!$AZ$9:$BD$102,5)),RundDx)))</f>
        <v/>
      </c>
      <c r="DY61" s="25" t="str">
        <f>IF($CU61&gt;=RAF,"",IF($CU61-DY$103&lt;BeginnAlter,"",ROUND(v^($CU61+FaktorAlter)*$L61*$D61*0.5*(VLOOKUP($CU61-DY$103,Männer!$G$9:$J$102,4)+VLOOKUP($CU61-DY$103+1,Männer!$G$9:$J$102,4))*0.5*(VLOOKUP($CU61-DY$103,Männer!$AZ$9:$BD$102,5)+VLOOKUP($CU61-DY$103+1,Männer!$AZ$9:$BD$102,5)),RundDx)))</f>
        <v/>
      </c>
      <c r="DZ61" s="25" t="str">
        <f>IF($CU61&gt;=RAF,"",IF($CU61-DZ$103&lt;BeginnAlter,"",ROUND(v^($CU61+FaktorAlter)*$L61*$D61*0.5*(VLOOKUP($CU61-DZ$103,Männer!$G$9:$J$102,4)+VLOOKUP($CU61-DZ$103+1,Männer!$G$9:$J$102,4))*0.5*(VLOOKUP($CU61-DZ$103,Männer!$AZ$9:$BD$102,5)+VLOOKUP($CU61-DZ$103+1,Männer!$AZ$9:$BD$102,5)),RundDx)))</f>
        <v/>
      </c>
      <c r="EA61" s="43" t="str">
        <f>IF($CU61&gt;=RAF,"",IF($CU61-EA$103&lt;BeginnAlter,"",ROUND((SUM(CV$56:CV61)+SUM(FN$9:FN$56))/VLOOKUP($CU61,$AH$9:$AI$102,2)/VLOOKUP($CU61-EA$103,Männer!$G$9:$J$102,4),Rundäx)))</f>
        <v/>
      </c>
      <c r="EB61" s="43" t="str">
        <f>IF($CU61&gt;=RAF,"",IF($CU61-EB$103&lt;BeginnAlter,"",ROUND((SUM(CW$56:CW61)+SUM(FO$9:FO$56))/VLOOKUP($CU61,$AH$9:$AI$102,2)/VLOOKUP($CU61-EB$103,Männer!$G$9:$J$102,4),Rundäx)))</f>
        <v/>
      </c>
      <c r="EC61" s="43" t="str">
        <f>IF($CU61&gt;=RAF,"",IF($CU61-EC$103&lt;BeginnAlter,"",ROUND((SUM(CX$56:CX61)+SUM(FP$9:FP$56))/VLOOKUP($CU61,$AH$9:$AI$102,2)/VLOOKUP($CU61-EC$103,Männer!$G$9:$J$102,4),Rundäx)))</f>
        <v/>
      </c>
      <c r="ED61" s="43" t="str">
        <f>IF($CU61&gt;=RAF,"",IF($CU61-ED$103&lt;BeginnAlter,"",ROUND((SUM(CY$56:CY61)+SUM(FQ$9:FQ$56))/VLOOKUP($CU61,$AH$9:$AI$102,2)/VLOOKUP($CU61-ED$103,Männer!$G$9:$J$102,4),Rundäx)))</f>
        <v/>
      </c>
      <c r="EE61" s="43" t="str">
        <f>IF($CU61&gt;=RAF,"",IF($CU61-EE$103&lt;BeginnAlter,"",ROUND((SUM(CZ$56:CZ61)+SUM(FR$9:FR$56))/VLOOKUP($CU61,$AH$9:$AI$102,2)/VLOOKUP($CU61-EE$103,Männer!$G$9:$J$102,4),Rundäx)))</f>
        <v/>
      </c>
      <c r="EF61" s="43" t="str">
        <f>IF($CU61&gt;=RAF,"",IF($CU61-EF$103&lt;BeginnAlter,"",ROUND((SUM(DA$56:DA61)+SUM(FS$9:FS$56))/VLOOKUP($CU61,$AH$9:$AI$102,2)/VLOOKUP($CU61-EF$103,Männer!$G$9:$J$102,4),Rundäx)))</f>
        <v/>
      </c>
      <c r="EG61" s="43" t="str">
        <f>IF($CU61&gt;=RAF,"",IF($CU61-EG$103&lt;BeginnAlter,"",ROUND((SUM(DB$56:DB61)+SUM(FT$9:FT$56))/VLOOKUP($CU61,$AH$9:$AI$102,2)/VLOOKUP($CU61-EG$103,Männer!$G$9:$J$102,4),Rundäx)))</f>
        <v/>
      </c>
      <c r="EH61" s="43" t="str">
        <f>IF($CU61&gt;=RAF,"",IF($CU61-EH$103&lt;BeginnAlter,"",ROUND((SUM(DC$56:DC61)+SUM(FU$9:FU$56))/VLOOKUP($CU61,$AH$9:$AI$102,2)/VLOOKUP($CU61-EH$103,Männer!$G$9:$J$102,4),Rundäx)))</f>
        <v/>
      </c>
      <c r="EI61" s="89"/>
      <c r="EJ61" s="35">
        <f t="shared" si="61"/>
        <v>69</v>
      </c>
      <c r="EK61" s="43" t="str">
        <f>IF($CU61&gt;=RAF,"",IF($CU61-EK$103&lt;BeginnAlter,"",ROUND((SUM(DD$56:DD61)+SUM(FV$9:FV$56))/VLOOKUP($CU61,$AH$9:$AI$102,2)/VLOOKUP($CU61-EK$103,Männer!$G$9:$J$102,4),Rundäx)))</f>
        <v/>
      </c>
      <c r="EL61" s="43" t="str">
        <f>IF($CU61&gt;=RAF,"",IF($CU61-EL$103&lt;BeginnAlter,"",ROUND((SUM(DE$56:DE61)+SUM(FW$9:FW$56))/VLOOKUP($CU61,$AH$9:$AI$102,2)/VLOOKUP($CU61-EL$103,Männer!$G$9:$J$102,4),Rundäx)))</f>
        <v/>
      </c>
      <c r="EM61" s="43" t="str">
        <f>IF($CU61&gt;=RAF,"",IF($CU61-EM$103&lt;BeginnAlter,"",ROUND((SUM(DF$56:DF61)+SUM(FX$9:FX$56))/VLOOKUP($CU61,$AH$9:$AI$102,2)/VLOOKUP($CU61-EM$103,Männer!$G$9:$J$102,4),Rundäx)))</f>
        <v/>
      </c>
      <c r="EN61" s="43" t="str">
        <f>IF($CU61&gt;=RAF,"",IF($CU61-EN$103&lt;BeginnAlter,"",ROUND((SUM(DG$56:DG61)+SUM(FY$9:FY$56))/VLOOKUP($CU61,$AH$9:$AI$102,2)/VLOOKUP($CU61-EN$103,Männer!$G$9:$J$102,4),Rundäx)))</f>
        <v/>
      </c>
      <c r="EO61" s="43" t="str">
        <f>IF($CU61&gt;=RAF,"",IF($CU61-EO$103&lt;BeginnAlter,"",ROUND((SUM(DH$56:DH61)+SUM(FZ$9:FZ$56))/VLOOKUP($CU61,$AH$9:$AI$102,2)/VLOOKUP($CU61-EO$103,Männer!$G$9:$J$102,4),Rundäx)))</f>
        <v/>
      </c>
      <c r="EP61" s="43" t="str">
        <f>IF($CU61&gt;=RAF,"",IF($CU61-EP$103&lt;BeginnAlter,"",ROUND((SUM(DI$56:DI61)+SUM(GA$9:GA$56))/VLOOKUP($CU61,$AH$9:$AI$102,2)/VLOOKUP($CU61-EP$103,Männer!$G$9:$J$102,4),Rundäx)))</f>
        <v/>
      </c>
      <c r="EQ61" s="43" t="str">
        <f>IF($CU61&gt;=RAF,"",IF($CU61-EQ$103&lt;BeginnAlter,"",ROUND((SUM(DJ$56:DJ61)+SUM(GB$9:GB$56))/VLOOKUP($CU61,$AH$9:$AI$102,2)/VLOOKUP($CU61-EQ$103,Männer!$G$9:$J$102,4),Rundäx)))</f>
        <v/>
      </c>
      <c r="ER61" s="43" t="str">
        <f>IF($CU61&gt;=RAF,"",IF($CU61-ER$103&lt;BeginnAlter,"",ROUND((SUM(DK$56:DK61)+SUM(GC$9:GC$56))/VLOOKUP($CU61,$AH$9:$AI$102,2)/VLOOKUP($CU61-ER$103,Männer!$G$9:$J$102,4),Rundäx)))</f>
        <v/>
      </c>
      <c r="ES61" s="89"/>
      <c r="ET61" s="35">
        <f t="shared" si="62"/>
        <v>69</v>
      </c>
      <c r="EU61" s="43" t="str">
        <f>IF($CU61&gt;=RAF,"",IF($CU61-EU$103&lt;BeginnAlter,"",ROUND((SUM(DL$56:DL61)+SUM(GD$9:GD$56))/VLOOKUP($CU61,$AH$9:$AI$102,2)/VLOOKUP($CU61-EU$103,Männer!$G$9:$J$102,4),Rundäx)))</f>
        <v/>
      </c>
      <c r="EV61" s="43" t="str">
        <f>IF($CU61&gt;=RAF,"",IF($CU61-EV$103&lt;BeginnAlter,"",ROUND((SUM(DM$56:DM61)+SUM(GE$9:GE$56))/VLOOKUP($CU61,$AH$9:$AI$102,2)/VLOOKUP($CU61-EV$103,Männer!$G$9:$J$102,4),Rundäx)))</f>
        <v/>
      </c>
      <c r="EW61" s="43" t="str">
        <f>IF($CU61&gt;=RAF,"",IF($CU61-EW$103&lt;BeginnAlter,"",ROUND((SUM(DN$56:DN61)+SUM(GF$9:GF$56))/VLOOKUP($CU61,$AH$9:$AI$102,2)/VLOOKUP($CU61-EW$103,Männer!$G$9:$J$102,4),Rundäx)))</f>
        <v/>
      </c>
      <c r="EX61" s="43" t="str">
        <f>IF($CU61&gt;=RAF,"",IF($CU61-EX$103&lt;BeginnAlter,"",ROUND((SUM(DO$56:DO61)+SUM(GG$9:GG$56))/VLOOKUP($CU61,$AH$9:$AI$102,2)/VLOOKUP($CU61-EX$103,Männer!$G$9:$J$102,4),Rundäx)))</f>
        <v/>
      </c>
      <c r="EY61" s="43" t="str">
        <f>IF($CU61&gt;=RAF,"",IF($CU61-EY$103&lt;BeginnAlter,"",ROUND((SUM(DP$56:DP61)+SUM(GH$9:GH$56))/VLOOKUP($CU61,$AH$9:$AI$102,2)/VLOOKUP($CU61-EY$103,Männer!$G$9:$J$102,4),Rundäx)))</f>
        <v/>
      </c>
      <c r="EZ61" s="43" t="str">
        <f>IF($CU61&gt;=RAF,"",IF($CU61-EZ$103&lt;BeginnAlter,"",ROUND((SUM(DQ$56:DQ61)+SUM(GI$9:GI$56))/VLOOKUP($CU61,$AH$9:$AI$102,2)/VLOOKUP($CU61-EZ$103,Männer!$G$9:$J$102,4),Rundäx)))</f>
        <v/>
      </c>
      <c r="FA61" s="43" t="str">
        <f>IF($CU61&gt;=RAF,"",IF($CU61-FA$103&lt;BeginnAlter,"",ROUND((SUM(DR$56:DR61)+SUM(GJ$9:GJ$56))/VLOOKUP($CU61,$AH$9:$AI$102,2)/VLOOKUP($CU61-FA$103,Männer!$G$9:$J$102,4),Rundäx)))</f>
        <v/>
      </c>
      <c r="FB61" s="43" t="str">
        <f>IF($CU61&gt;=RAF,"",IF($CU61-FB$103&lt;BeginnAlter,"",ROUND((SUM(DS$56:DS61)+SUM(GK$9:GK$56))/VLOOKUP($CU61,$AH$9:$AI$102,2)/VLOOKUP($CU61-FB$103,Männer!$G$9:$J$102,4),Rundäx)))</f>
        <v/>
      </c>
      <c r="FC61" s="89"/>
      <c r="FD61" s="35">
        <f t="shared" si="63"/>
        <v>69</v>
      </c>
      <c r="FE61" s="43" t="str">
        <f>IF($CU61&gt;=RAF,"",IF($CU61-FE$103&lt;BeginnAlter,"",ROUND((SUM(DT$56:DT61)+SUM(GL$9:GL$56))/VLOOKUP($CU61,$AH$9:$AI$102,2)/VLOOKUP($CU61-FE$103,Männer!$G$9:$J$102,4),Rundäx)))</f>
        <v/>
      </c>
      <c r="FF61" s="43" t="str">
        <f>IF($CU61&gt;=RAF,"",IF($CU61-FF$103&lt;BeginnAlter,"",ROUND((SUM(DU$56:DU61)+SUM(GM$9:GM$56))/VLOOKUP($CU61,$AH$9:$AI$102,2)/VLOOKUP($CU61-FF$103,Männer!$G$9:$J$102,4),Rundäx)))</f>
        <v/>
      </c>
      <c r="FG61" s="43" t="str">
        <f>IF($CU61&gt;=RAF,"",IF($CU61-FG$103&lt;BeginnAlter,"",ROUND((SUM(DV$56:DV61)+SUM(GN$9:GN$56))/VLOOKUP($CU61,$AH$9:$AI$102,2)/VLOOKUP($CU61-FG$103,Männer!$G$9:$J$102,4),Rundäx)))</f>
        <v/>
      </c>
      <c r="FH61" s="43" t="str">
        <f>IF($CU61&gt;=RAF,"",IF($CU61-FH$103&lt;BeginnAlter,"",ROUND((SUM(DW$56:DW61)+SUM(GO$9:GO$56))/VLOOKUP($CU61,$AH$9:$AI$102,2)/VLOOKUP($CU61-FH$103,Männer!$G$9:$J$102,4),Rundäx)))</f>
        <v/>
      </c>
      <c r="FI61" s="43" t="str">
        <f>IF($CU61&gt;=RAF,"",IF($CU61-FI$103&lt;BeginnAlter,"",ROUND((SUM(DX$56:DX61)+SUM(GP$9:GP$56))/VLOOKUP($CU61,$AH$9:$AI$102,2)/VLOOKUP($CU61-FI$103,Männer!$G$9:$J$102,4),Rundäx)))</f>
        <v/>
      </c>
      <c r="FJ61" s="43" t="str">
        <f>IF($CU61&gt;=RAF,"",IF($CU61-FJ$103&lt;BeginnAlter,"",ROUND((SUM(DY$56:DY61)+SUM(GQ$9:GQ$56))/VLOOKUP($CU61,$AH$9:$AI$102,2)/VLOOKUP($CU61-FJ$103,Männer!$G$9:$J$102,4),Rundäx)))</f>
        <v/>
      </c>
      <c r="FK61" s="43" t="str">
        <f>IF($CU61&gt;=RAF,"",IF($CU61-FK$103&lt;BeginnAlter,"",ROUND((SUM(DZ$56:DZ61)+SUM(GR$9:GR$56))/VLOOKUP($CU61,$AH$9:$AI$102,2)/VLOOKUP($CU61-FK$103,Männer!$G$9:$J$102,4),Rundäx)))</f>
        <v/>
      </c>
      <c r="FL61" s="89"/>
      <c r="FM61" s="35">
        <f t="shared" si="64"/>
        <v>116</v>
      </c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4"/>
      <c r="GT61" s="24"/>
      <c r="GU61" s="24" t="str">
        <f>IF(FM61&gt;=RAF," ",#REF!/$AI61/Frauen!$J49)</f>
        <v xml:space="preserve"> </v>
      </c>
      <c r="GV61" s="24" t="str">
        <f>IF(FM61&gt;=RAF," ",#REF!/$AI61/Frauen!$J52)</f>
        <v xml:space="preserve"> </v>
      </c>
      <c r="GW61" s="24" t="str">
        <f>IF(FM61&gt;=RAF," ",#REF!/$AI61/Frauen!$J55)</f>
        <v xml:space="preserve"> </v>
      </c>
      <c r="GX61" s="24" t="str">
        <f>IF(FM61&gt;=RAF," ",#REF!/$AI61/Frauen!$J58)</f>
        <v xml:space="preserve"> </v>
      </c>
      <c r="GY61" s="24" t="str">
        <f>IF(FM61&gt;=RAF," ",#REF!/$AI61/Frauen!$J61)</f>
        <v xml:space="preserve"> </v>
      </c>
      <c r="GZ61" s="24" t="str">
        <f>IF(FM61&gt;=RAF," ",#REF!/$AI61/Frauen!$J64)</f>
        <v xml:space="preserve"> </v>
      </c>
      <c r="HA61" s="89"/>
      <c r="HB61" s="35">
        <f t="shared" si="65"/>
        <v>116</v>
      </c>
      <c r="HC61" s="24"/>
      <c r="HD61" s="24"/>
      <c r="HE61" s="24"/>
      <c r="HF61" s="24"/>
      <c r="HG61" s="24"/>
      <c r="HH61" s="24"/>
      <c r="HI61" s="24"/>
      <c r="HJ61" s="24"/>
      <c r="HK61" s="89"/>
      <c r="HL61" s="35">
        <f t="shared" si="66"/>
        <v>116</v>
      </c>
      <c r="HM61" s="24"/>
      <c r="HN61" s="24"/>
      <c r="HO61" s="24"/>
      <c r="HP61" s="24"/>
      <c r="HQ61" s="24"/>
      <c r="HR61" s="24"/>
      <c r="HS61" s="24"/>
      <c r="HT61" s="24"/>
      <c r="HU61" s="89"/>
      <c r="HV61" s="35">
        <f t="shared" si="67"/>
        <v>116</v>
      </c>
      <c r="HW61" s="24"/>
      <c r="HX61" s="24"/>
      <c r="HY61" s="24"/>
      <c r="HZ61" s="24"/>
      <c r="IA61" s="24"/>
      <c r="IB61" s="24"/>
      <c r="IC61" s="24"/>
      <c r="ID61" s="89"/>
      <c r="IE61" s="9">
        <f t="shared" si="80"/>
        <v>69</v>
      </c>
      <c r="IF61" s="11" t="str">
        <f t="shared" si="25"/>
        <v/>
      </c>
      <c r="IG61" s="11" t="str">
        <f>IF($IE61&lt;RAF,IF(S62&lt;=RAK,ROUND(SUM(IF61:INDEX(Daky,RAF-BeginnAlter))+INDEX(Day,RAF-BeginnAlter+1)*INDEX(äky,1),RundDx),0),"")</f>
        <v/>
      </c>
      <c r="IH61" s="11" t="str">
        <f>IF($IE61&lt;RAF,IF(S62&lt;=RAK,ROUND(SUM(IG61:INDEX(Naky,RAF-BeginnAlter))+INDEX(Day,RAF-BeginnAlter+1)*INDEX(äky,1),RundDx),0),"")</f>
        <v/>
      </c>
      <c r="II61" s="10" t="str">
        <f t="shared" si="26"/>
        <v/>
      </c>
      <c r="IJ61" s="11" t="str">
        <f t="shared" si="27"/>
        <v/>
      </c>
      <c r="IK61" s="11" t="str">
        <f>IF($IE61&lt;RAF,IF(S62&lt;=RAK,SUM(IJ61:INDEX(Diky,RAF-BeginnAlter))+INDEX(Diy,RAF-BeginnAlter+1)*INDEX(äky,1),0),"")</f>
        <v/>
      </c>
      <c r="IL61" s="10" t="str">
        <f t="shared" si="28"/>
        <v/>
      </c>
      <c r="IM61" s="89"/>
      <c r="IN61" s="9">
        <f t="shared" si="29"/>
        <v>116</v>
      </c>
      <c r="IO61" s="11"/>
      <c r="IP61" s="11"/>
      <c r="IQ61" s="10"/>
      <c r="IR61" s="86"/>
    </row>
    <row r="62" spans="1:252" ht="15.75" customHeight="1" x14ac:dyDescent="0.25">
      <c r="A62" s="9">
        <f t="shared" si="69"/>
        <v>70</v>
      </c>
      <c r="B62" s="93"/>
      <c r="C62" s="93"/>
      <c r="D62" s="93"/>
      <c r="E62" s="93">
        <v>1.55E-2</v>
      </c>
      <c r="F62" s="89"/>
      <c r="G62" s="9">
        <f t="shared" si="70"/>
        <v>70</v>
      </c>
      <c r="H62" s="11" t="str">
        <f t="shared" si="30"/>
        <v/>
      </c>
      <c r="I62" s="25" t="str">
        <f t="shared" si="31"/>
        <v/>
      </c>
      <c r="J62" s="25">
        <f t="shared" si="32"/>
        <v>83685</v>
      </c>
      <c r="K62" s="30">
        <f>IF(J62&gt;0,ROUND(SUM(J62:J$102)/J62-0.5,Rundex),"")</f>
        <v>16.579999999999998</v>
      </c>
      <c r="L62" s="25">
        <f t="shared" si="6"/>
        <v>83685</v>
      </c>
      <c r="M62" s="30">
        <f>IF(L62&gt;0,ROUND(SUM(L62:L$102)/L62-0.5,Rundex),"")</f>
        <v>16.579999999999998</v>
      </c>
      <c r="N62" s="89"/>
      <c r="O62" s="9">
        <f t="shared" si="71"/>
        <v>70</v>
      </c>
      <c r="P62" s="94">
        <v>6.2934814688948112E-2</v>
      </c>
      <c r="Q62" s="95">
        <v>71.330772624647452</v>
      </c>
      <c r="R62" s="94"/>
      <c r="S62" s="95"/>
      <c r="T62" s="28">
        <v>1.1147749806007991E-2</v>
      </c>
      <c r="U62" s="11">
        <f t="shared" si="33"/>
        <v>86668</v>
      </c>
      <c r="V62" s="30">
        <f>IF(U62&gt;0,ROUND(SUM(U62:U$102)/U62-0.5,Rundex),"")</f>
        <v>17.21</v>
      </c>
      <c r="W62" s="89"/>
      <c r="X62" s="9">
        <f t="shared" si="72"/>
        <v>70</v>
      </c>
      <c r="Y62" s="11" t="str">
        <f t="shared" si="34"/>
        <v xml:space="preserve"> </v>
      </c>
      <c r="Z62" s="11" t="str">
        <f>IF($X62&lt;RAF,SUM(Y62:INDEX(Day,RAF-BeginnAlter))," ")</f>
        <v xml:space="preserve"> </v>
      </c>
      <c r="AA62" s="11" t="str">
        <f t="shared" si="0"/>
        <v xml:space="preserve"> </v>
      </c>
      <c r="AB62" s="11" t="str">
        <f>IF($X62&lt;RAF,SUM(AA62:INDEX(Cay,RAF-BeginnAlter))," ")</f>
        <v xml:space="preserve"> </v>
      </c>
      <c r="AC62" s="11" t="str">
        <f t="shared" si="1"/>
        <v xml:space="preserve"> </v>
      </c>
      <c r="AD62" s="11" t="str">
        <f>IF($X62&lt;RAF,SUM(AC62:INDEX(Caiy,RAF-BeginnAlter))," ")</f>
        <v xml:space="preserve"> </v>
      </c>
      <c r="AE62" s="10" t="str">
        <f t="shared" si="35"/>
        <v xml:space="preserve"> </v>
      </c>
      <c r="AF62" s="10" t="str">
        <f t="shared" si="36"/>
        <v xml:space="preserve"> </v>
      </c>
      <c r="AG62" s="89"/>
      <c r="AH62" s="9">
        <f t="shared" si="73"/>
        <v>70</v>
      </c>
      <c r="AI62" s="11" t="str">
        <f t="shared" si="37"/>
        <v xml:space="preserve"> </v>
      </c>
      <c r="AJ62" s="11" t="str">
        <f>IF($AH62&gt;RAF," ",IF($AH62&lt;RAF,SUM(AI62:INDEX(Diy,RAF-BeginnAlter))+INDEX(Ny,RAF-BeginnAlter+1),INDEX(Ny,RAF-BeginnAlter+1)))</f>
        <v xml:space="preserve"> </v>
      </c>
      <c r="AK62" s="11" t="str">
        <f>IF($AH62&lt;RAF,SUM(AI62:INDEX(Diy,RAF-BeginnAlter))," ")</f>
        <v xml:space="preserve"> </v>
      </c>
      <c r="AL62" s="10" t="str">
        <f t="shared" si="38"/>
        <v xml:space="preserve"> </v>
      </c>
      <c r="AM62" s="10" t="str">
        <f t="shared" si="39"/>
        <v xml:space="preserve"> </v>
      </c>
      <c r="AN62" s="10" t="str">
        <f t="shared" si="40"/>
        <v xml:space="preserve"> </v>
      </c>
      <c r="AO62" s="10" t="str">
        <f t="shared" si="41"/>
        <v xml:space="preserve"> </v>
      </c>
      <c r="AP62" s="89"/>
      <c r="AQ62" s="9">
        <f t="shared" si="74"/>
        <v>70</v>
      </c>
      <c r="AR62" s="11">
        <f t="shared" si="42"/>
        <v>17629</v>
      </c>
      <c r="AS62" s="11">
        <f>SUM(AR62:AR$96)</f>
        <v>246039</v>
      </c>
      <c r="AT62" s="25" t="str">
        <f>IF($AQ62&lt;RAF,SUM(AR62:INDEX(Dy,RAF-BeginnAlter))," ")</f>
        <v xml:space="preserve"> </v>
      </c>
      <c r="AU62" s="24">
        <f t="shared" si="43"/>
        <v>13.956</v>
      </c>
      <c r="AV62" s="24">
        <f t="shared" si="44"/>
        <v>13.497999999999999</v>
      </c>
      <c r="AW62" s="24" t="str">
        <f t="shared" si="45"/>
        <v xml:space="preserve"> </v>
      </c>
      <c r="AX62" s="24" t="str">
        <f t="shared" si="46"/>
        <v xml:space="preserve"> </v>
      </c>
      <c r="AY62" s="89"/>
      <c r="AZ62" s="9">
        <f t="shared" si="75"/>
        <v>70</v>
      </c>
      <c r="BA62" s="11">
        <f t="shared" si="47"/>
        <v>18257</v>
      </c>
      <c r="BB62" s="11">
        <f>SUM(BA62:BA$96)</f>
        <v>262921</v>
      </c>
      <c r="BC62" s="10">
        <f t="shared" si="48"/>
        <v>14.401</v>
      </c>
      <c r="BD62" s="10">
        <f t="shared" si="7"/>
        <v>13.943</v>
      </c>
      <c r="BE62" s="89"/>
      <c r="BF62" s="9">
        <f t="shared" si="54"/>
        <v>53</v>
      </c>
      <c r="BG62" s="10" t="str">
        <f t="shared" si="8"/>
        <v/>
      </c>
      <c r="BH62" s="10" t="str">
        <f t="shared" si="9"/>
        <v/>
      </c>
      <c r="BI62" s="89"/>
      <c r="BJ62" s="9">
        <f t="shared" si="76"/>
        <v>70</v>
      </c>
      <c r="BK62" s="11" t="str">
        <f t="shared" si="10"/>
        <v xml:space="preserve"> </v>
      </c>
      <c r="BL62" s="11" t="str">
        <f>IF(BJ62&lt;RAF,SUM(BK62:INDEX(Daiy,RAF-BeginnAlter))," ")</f>
        <v xml:space="preserve"> </v>
      </c>
      <c r="BM62" s="11" t="str">
        <f>IF(BJ62&lt;RAF,SUM(BL62:INDEX(Naiy,RAF-BeginnAlter))," ")</f>
        <v xml:space="preserve"> </v>
      </c>
      <c r="BN62" s="10" t="str">
        <f t="shared" si="11"/>
        <v xml:space="preserve"> </v>
      </c>
      <c r="BO62" s="10" t="str">
        <f t="shared" si="12"/>
        <v xml:space="preserve"> </v>
      </c>
      <c r="BP62" s="89"/>
      <c r="BQ62" s="9">
        <f t="shared" si="77"/>
        <v>70</v>
      </c>
      <c r="BR62" s="11" t="str">
        <f t="shared" si="13"/>
        <v xml:space="preserve"> </v>
      </c>
      <c r="BS62" s="11" t="str">
        <f>IF(BQ62&lt;RAF,SUM(BR62:INDEX(Daiys,RAF-BeginnAlter))," ")</f>
        <v xml:space="preserve"> </v>
      </c>
      <c r="BT62" s="11" t="str">
        <f>IF(BQ62&lt;RAF,SUM(BS62:INDEX(Naiys,RAF-BeginnAlter))," ")</f>
        <v xml:space="preserve"> </v>
      </c>
      <c r="BU62" s="10" t="str">
        <f t="shared" si="14"/>
        <v xml:space="preserve"> </v>
      </c>
      <c r="BV62" s="10" t="str">
        <f t="shared" si="15"/>
        <v xml:space="preserve"> </v>
      </c>
      <c r="BW62" s="89"/>
      <c r="BX62" s="9">
        <f t="shared" si="78"/>
        <v>70</v>
      </c>
      <c r="BY62" s="10" t="str">
        <f t="shared" si="16"/>
        <v/>
      </c>
      <c r="BZ62" s="11" t="str">
        <f t="shared" si="17"/>
        <v/>
      </c>
      <c r="CA62" s="11" t="str">
        <f>IF(S63&lt;=RAK,IF($BX62&lt;RAF,SUM(BZ62:INDEX(Dazy,RAF-BeginnAlter)),""),"")</f>
        <v/>
      </c>
      <c r="CB62" s="10" t="str">
        <f t="shared" si="18"/>
        <v/>
      </c>
      <c r="CC62" s="11">
        <f t="shared" si="19"/>
        <v>0</v>
      </c>
      <c r="CD62" s="10">
        <f t="shared" si="20"/>
        <v>0</v>
      </c>
      <c r="CE62" s="10" t="str">
        <f t="shared" si="21"/>
        <v/>
      </c>
      <c r="CF62" s="89"/>
      <c r="CG62" s="9">
        <f t="shared" si="79"/>
        <v>70</v>
      </c>
      <c r="CH62" s="11" t="str">
        <f>IF(CG62&lt;RAF,ROUND(v^($CG62+FaktorAlter)*$H62*($B62*0.5*($P62+$P63)*(VLOOKUP(TRUNC(0.5*($Q62+$Q63),0),Männer!$AZ$9:$BD$95,5)+(0.5*($Q62+$Q63)-TRUNC(0.5*($Q62+$Q63),0))*(VLOOKUP(TRUNC(0.5*($Q62+$Q63)+1,0),Männer!$AZ$9:$BD$95,5)-VLOOKUP(TRUNC(0.5*($Q62+$Q63),0),Männer!$AZ$9:$BD$95,5)))+$C62*0.5*($CN62+$CN63)),RundDx),"")</f>
        <v/>
      </c>
      <c r="CI62" s="11" t="str">
        <f>IF(CG62&lt;RAF,ROUND(SUM(CH62:INDEX(Dawy,RAF-BeginnAlter))+INDEX(Day,RAF-BeginnAlter+1)*INDEX(äwy,1),RundDx),"")</f>
        <v/>
      </c>
      <c r="CJ62" s="11" t="str">
        <f>IF(CG62&lt;RAF,ROUND(SUM(CI62:INDEX(Nawy,RAF-BeginnAlter))+INDEX(Day,RAF-BeginnAlter+1)*INDEX(äwy,1),RundDx),"")</f>
        <v/>
      </c>
      <c r="CK62" s="10" t="str">
        <f t="shared" si="22"/>
        <v/>
      </c>
      <c r="CL62" s="11" t="str">
        <f>IF(CG62&lt;RAF,ROUND(v^($CG62+FaktorAlter)*$L62*$D62*0.5*($P62+$P63)*(VLOOKUP(TRUNC(0.5*($Q62+$Q63),0),Männer!$AZ$9:$BD$95,5)+(0.5*($Q62+$Q63)-TRUNC(0.5*($Q62+$Q63),0))*(VLOOKUP(TRUNC(0.5*($Q62+$Q63)+1,0),Männer!$AZ$9:$BD$95,5)-VLOOKUP(TRUNC(0.5*($Q62+$Q63),0),Männer!$AZ$9:$BD$95,5))),RundDx),"")</f>
        <v/>
      </c>
      <c r="CM62" s="11" t="str">
        <f>IF(CG62&lt;RAF,SUM(CL62:INDEX(Diwy,RAF-BeginnAlter))+INDEX(Diy,RAF-BeginnAlter+1)*INDEX(äwy,1),"")</f>
        <v/>
      </c>
      <c r="CN62" s="10" t="str">
        <f t="shared" si="23"/>
        <v/>
      </c>
      <c r="CO62" s="89"/>
      <c r="CP62" s="9">
        <f t="shared" si="59"/>
        <v>117</v>
      </c>
      <c r="CQ62" s="11"/>
      <c r="CR62" s="11"/>
      <c r="CS62" s="10"/>
      <c r="CT62" s="89"/>
      <c r="CU62" s="35">
        <f t="shared" si="60"/>
        <v>70</v>
      </c>
      <c r="CV62" s="25" t="str">
        <f>IF($CU62&gt;=RAF,"",IF($CU62-CV$103&lt;BeginnAlter,"",ROUND(v^($CU62+FaktorAlter)*$L62*$D62*0.5*(VLOOKUP($CU62-CV$103,Männer!$G$9:$J$102,4)+VLOOKUP($CU62-CV$103+1,Männer!$G$9:$J$102,4))*0.5*(VLOOKUP($CU62-CV$103,Männer!$AZ$9:$BD$102,5)+VLOOKUP($CU62-CV$103+1,Männer!$AZ$9:$BD$102,5)),RundDx)))</f>
        <v/>
      </c>
      <c r="CW62" s="25" t="str">
        <f>IF($CU62&gt;=RAF,"",IF($CU62-CW$103&lt;BeginnAlter,"",ROUND(v^($CU62+FaktorAlter)*$L62*$D62*0.5*(VLOOKUP($CU62-CW$103,Männer!$G$9:$J$102,4)+VLOOKUP($CU62-CW$103+1,Männer!$G$9:$J$102,4))*0.5*(VLOOKUP($CU62-CW$103,Männer!$AZ$9:$BD$102,5)+VLOOKUP($CU62-CW$103+1,Männer!$AZ$9:$BD$102,5)),RundDx)))</f>
        <v/>
      </c>
      <c r="CX62" s="25" t="str">
        <f>IF($CU62&gt;=RAF,"",IF($CU62-CX$103&lt;BeginnAlter,"",ROUND(v^($CU62+FaktorAlter)*$L62*$D62*0.5*(VLOOKUP($CU62-CX$103,Männer!$G$9:$J$102,4)+VLOOKUP($CU62-CX$103+1,Männer!$G$9:$J$102,4))*0.5*(VLOOKUP($CU62-CX$103,Männer!$AZ$9:$BD$102,5)+VLOOKUP($CU62-CX$103+1,Männer!$AZ$9:$BD$102,5)),RundDx)))</f>
        <v/>
      </c>
      <c r="CY62" s="25" t="str">
        <f>IF($CU62&gt;=RAF,"",IF($CU62-CY$103&lt;BeginnAlter,"",ROUND(v^($CU62+FaktorAlter)*$L62*$D62*0.5*(VLOOKUP($CU62-CY$103,Männer!$G$9:$J$102,4)+VLOOKUP($CU62-CY$103+1,Männer!$G$9:$J$102,4))*0.5*(VLOOKUP($CU62-CY$103,Männer!$AZ$9:$BD$102,5)+VLOOKUP($CU62-CY$103+1,Männer!$AZ$9:$BD$102,5)),RundDx)))</f>
        <v/>
      </c>
      <c r="CZ62" s="25" t="str">
        <f>IF($CU62&gt;=RAF,"",IF($CU62-CZ$103&lt;BeginnAlter,"",ROUND(v^($CU62+FaktorAlter)*$L62*$D62*0.5*(VLOOKUP($CU62-CZ$103,Männer!$G$9:$J$102,4)+VLOOKUP($CU62-CZ$103+1,Männer!$G$9:$J$102,4))*0.5*(VLOOKUP($CU62-CZ$103,Männer!$AZ$9:$BD$102,5)+VLOOKUP($CU62-CZ$103+1,Männer!$AZ$9:$BD$102,5)),RundDx)))</f>
        <v/>
      </c>
      <c r="DA62" s="25" t="str">
        <f>IF($CU62&gt;=RAF,"",IF($CU62-DA$103&lt;BeginnAlter,"",ROUND(v^($CU62+FaktorAlter)*$L62*$D62*0.5*(VLOOKUP($CU62-DA$103,Männer!$G$9:$J$102,4)+VLOOKUP($CU62-DA$103+1,Männer!$G$9:$J$102,4))*0.5*(VLOOKUP($CU62-DA$103,Männer!$AZ$9:$BD$102,5)+VLOOKUP($CU62-DA$103+1,Männer!$AZ$9:$BD$102,5)),RundDx)))</f>
        <v/>
      </c>
      <c r="DB62" s="25" t="str">
        <f>IF($CU62&gt;=RAF,"",IF($CU62-DB$103&lt;BeginnAlter,"",ROUND(v^($CU62+FaktorAlter)*$L62*$D62*0.5*(VLOOKUP($CU62-DB$103,Männer!$G$9:$J$102,4)+VLOOKUP($CU62-DB$103+1,Männer!$G$9:$J$102,4))*0.5*(VLOOKUP($CU62-DB$103,Männer!$AZ$9:$BD$102,5)+VLOOKUP($CU62-DB$103+1,Männer!$AZ$9:$BD$102,5)),RundDx)))</f>
        <v/>
      </c>
      <c r="DC62" s="25" t="str">
        <f>IF($CU62&gt;=RAF,"",IF($CU62-DC$103&lt;BeginnAlter,"",ROUND(v^($CU62+FaktorAlter)*$L62*$D62*0.5*(VLOOKUP($CU62-DC$103,Männer!$G$9:$J$102,4)+VLOOKUP($CU62-DC$103+1,Männer!$G$9:$J$102,4))*0.5*(VLOOKUP($CU62-DC$103,Männer!$AZ$9:$BD$102,5)+VLOOKUP($CU62-DC$103+1,Männer!$AZ$9:$BD$102,5)),RundDx)))</f>
        <v/>
      </c>
      <c r="DD62" s="25" t="str">
        <f>IF($CU62&gt;=RAF,"",IF($CU62-DD$103&lt;BeginnAlter,"",ROUND(v^($CU62+FaktorAlter)*$L62*$D62*0.5*(VLOOKUP($CU62-DD$103,Männer!$G$9:$J$102,4)+VLOOKUP($CU62-DD$103+1,Männer!$G$9:$J$102,4))*0.5*(VLOOKUP($CU62-DD$103,Männer!$AZ$9:$BD$102,5)+VLOOKUP($CU62-DD$103+1,Männer!$AZ$9:$BD$102,5)),RundDx)))</f>
        <v/>
      </c>
      <c r="DE62" s="25" t="str">
        <f>IF($CU62&gt;=RAF,"",IF($CU62-DE$103&lt;BeginnAlter,"",ROUND(v^($CU62+FaktorAlter)*$L62*$D62*0.5*(VLOOKUP($CU62-DE$103,Männer!$G$9:$J$102,4)+VLOOKUP($CU62-DE$103+1,Männer!$G$9:$J$102,4))*0.5*(VLOOKUP($CU62-DE$103,Männer!$AZ$9:$BD$102,5)+VLOOKUP($CU62-DE$103+1,Männer!$AZ$9:$BD$102,5)),RundDx)))</f>
        <v/>
      </c>
      <c r="DF62" s="25" t="str">
        <f>IF($CU62&gt;=RAF,"",IF($CU62-DF$103&lt;BeginnAlter,"",ROUND(v^($CU62+FaktorAlter)*$L62*$D62*0.5*(VLOOKUP($CU62-DF$103,Männer!$G$9:$J$102,4)+VLOOKUP($CU62-DF$103+1,Männer!$G$9:$J$102,4))*0.5*(VLOOKUP($CU62-DF$103,Männer!$AZ$9:$BD$102,5)+VLOOKUP($CU62-DF$103+1,Männer!$AZ$9:$BD$102,5)),RundDx)))</f>
        <v/>
      </c>
      <c r="DG62" s="25" t="str">
        <f>IF($CU62&gt;=RAF,"",IF($CU62-DG$103&lt;BeginnAlter,"",ROUND(v^($CU62+FaktorAlter)*$L62*$D62*0.5*(VLOOKUP($CU62-DG$103,Männer!$G$9:$J$102,4)+VLOOKUP($CU62-DG$103+1,Männer!$G$9:$J$102,4))*0.5*(VLOOKUP($CU62-DG$103,Männer!$AZ$9:$BD$102,5)+VLOOKUP($CU62-DG$103+1,Männer!$AZ$9:$BD$102,5)),RundDx)))</f>
        <v/>
      </c>
      <c r="DH62" s="25" t="str">
        <f>IF($CU62&gt;=RAF,"",IF($CU62-DH$103&lt;BeginnAlter,"",ROUND(v^($CU62+FaktorAlter)*$L62*$D62*0.5*(VLOOKUP($CU62-DH$103,Männer!$G$9:$J$102,4)+VLOOKUP($CU62-DH$103+1,Männer!$G$9:$J$102,4))*0.5*(VLOOKUP($CU62-DH$103,Männer!$AZ$9:$BD$102,5)+VLOOKUP($CU62-DH$103+1,Männer!$AZ$9:$BD$102,5)),RundDx)))</f>
        <v/>
      </c>
      <c r="DI62" s="25" t="str">
        <f>IF($CU62&gt;=RAF,"",IF($CU62-DI$103&lt;BeginnAlter,"",ROUND(v^($CU62+FaktorAlter)*$L62*$D62*0.5*(VLOOKUP($CU62-DI$103,Männer!$G$9:$J$102,4)+VLOOKUP($CU62-DI$103+1,Männer!$G$9:$J$102,4))*0.5*(VLOOKUP($CU62-DI$103,Männer!$AZ$9:$BD$102,5)+VLOOKUP($CU62-DI$103+1,Männer!$AZ$9:$BD$102,5)),RundDx)))</f>
        <v/>
      </c>
      <c r="DJ62" s="25" t="str">
        <f>IF($CU62&gt;=RAF,"",IF($CU62-DJ$103&lt;BeginnAlter,"",ROUND(v^($CU62+FaktorAlter)*$L62*$D62*0.5*(VLOOKUP($CU62-DJ$103,Männer!$G$9:$J$102,4)+VLOOKUP($CU62-DJ$103+1,Männer!$G$9:$J$102,4))*0.5*(VLOOKUP($CU62-DJ$103,Männer!$AZ$9:$BD$102,5)+VLOOKUP($CU62-DJ$103+1,Männer!$AZ$9:$BD$102,5)),RundDx)))</f>
        <v/>
      </c>
      <c r="DK62" s="25" t="str">
        <f>IF($CU62&gt;=RAF,"",IF($CU62-DK$103&lt;BeginnAlter,"",ROUND(v^($CU62+FaktorAlter)*$L62*$D62*0.5*(VLOOKUP($CU62-DK$103,Männer!$G$9:$J$102,4)+VLOOKUP($CU62-DK$103+1,Männer!$G$9:$J$102,4))*0.5*(VLOOKUP($CU62-DK$103,Männer!$AZ$9:$BD$102,5)+VLOOKUP($CU62-DK$103+1,Männer!$AZ$9:$BD$102,5)),RundDx)))</f>
        <v/>
      </c>
      <c r="DL62" s="25" t="str">
        <f>IF($CU62&gt;=RAF,"",IF($CU62-DL$103&lt;BeginnAlter,"",ROUND(v^($CU62+FaktorAlter)*$L62*$D62*0.5*(VLOOKUP($CU62-DL$103,Männer!$G$9:$J$102,4)+VLOOKUP($CU62-DL$103+1,Männer!$G$9:$J$102,4))*0.5*(VLOOKUP($CU62-DL$103,Männer!$AZ$9:$BD$102,5)+VLOOKUP($CU62-DL$103+1,Männer!$AZ$9:$BD$102,5)),RundDx)))</f>
        <v/>
      </c>
      <c r="DM62" s="25" t="str">
        <f>IF($CU62&gt;=RAF,"",IF($CU62-DM$103&lt;BeginnAlter,"",ROUND(v^($CU62+FaktorAlter)*$L62*$D62*0.5*(VLOOKUP($CU62-DM$103,Männer!$G$9:$J$102,4)+VLOOKUP($CU62-DM$103+1,Männer!$G$9:$J$102,4))*0.5*(VLOOKUP($CU62-DM$103,Männer!$AZ$9:$BD$102,5)+VLOOKUP($CU62-DM$103+1,Männer!$AZ$9:$BD$102,5)),RundDx)))</f>
        <v/>
      </c>
      <c r="DN62" s="25" t="str">
        <f>IF($CU62&gt;=RAF,"",IF($CU62-DN$103&lt;BeginnAlter,"",ROUND(v^($CU62+FaktorAlter)*$L62*$D62*0.5*(VLOOKUP($CU62-DN$103,Männer!$G$9:$J$102,4)+VLOOKUP($CU62-DN$103+1,Männer!$G$9:$J$102,4))*0.5*(VLOOKUP($CU62-DN$103,Männer!$AZ$9:$BD$102,5)+VLOOKUP($CU62-DN$103+1,Männer!$AZ$9:$BD$102,5)),RundDx)))</f>
        <v/>
      </c>
      <c r="DO62" s="25" t="str">
        <f>IF($CU62&gt;=RAF,"",IF($CU62-DO$103&lt;BeginnAlter,"",ROUND(v^($CU62+FaktorAlter)*$L62*$D62*0.5*(VLOOKUP($CU62-DO$103,Männer!$G$9:$J$102,4)+VLOOKUP($CU62-DO$103+1,Männer!$G$9:$J$102,4))*0.5*(VLOOKUP($CU62-DO$103,Männer!$AZ$9:$BD$102,5)+VLOOKUP($CU62-DO$103+1,Männer!$AZ$9:$BD$102,5)),RundDx)))</f>
        <v/>
      </c>
      <c r="DP62" s="25" t="str">
        <f>IF($CU62&gt;=RAF,"",IF($CU62-DP$103&lt;BeginnAlter,"",ROUND(v^($CU62+FaktorAlter)*$L62*$D62*0.5*(VLOOKUP($CU62-DP$103,Männer!$G$9:$J$102,4)+VLOOKUP($CU62-DP$103+1,Männer!$G$9:$J$102,4))*0.5*(VLOOKUP($CU62-DP$103,Männer!$AZ$9:$BD$102,5)+VLOOKUP($CU62-DP$103+1,Männer!$AZ$9:$BD$102,5)),RundDx)))</f>
        <v/>
      </c>
      <c r="DQ62" s="25" t="str">
        <f>IF($CU62&gt;=RAF,"",IF($CU62-DQ$103&lt;BeginnAlter,"",ROUND(v^($CU62+FaktorAlter)*$L62*$D62*0.5*(VLOOKUP($CU62-DQ$103,Männer!$G$9:$J$102,4)+VLOOKUP($CU62-DQ$103+1,Männer!$G$9:$J$102,4))*0.5*(VLOOKUP($CU62-DQ$103,Männer!$AZ$9:$BD$102,5)+VLOOKUP($CU62-DQ$103+1,Männer!$AZ$9:$BD$102,5)),RundDx)))</f>
        <v/>
      </c>
      <c r="DR62" s="25" t="str">
        <f>IF($CU62&gt;=RAF,"",IF($CU62-DR$103&lt;BeginnAlter,"",ROUND(v^($CU62+FaktorAlter)*$L62*$D62*0.5*(VLOOKUP($CU62-DR$103,Männer!$G$9:$J$102,4)+VLOOKUP($CU62-DR$103+1,Männer!$G$9:$J$102,4))*0.5*(VLOOKUP($CU62-DR$103,Männer!$AZ$9:$BD$102,5)+VLOOKUP($CU62-DR$103+1,Männer!$AZ$9:$BD$102,5)),RundDx)))</f>
        <v/>
      </c>
      <c r="DS62" s="25" t="str">
        <f>IF($CU62&gt;=RAF,"",IF($CU62-DS$103&lt;BeginnAlter,"",ROUND(v^($CU62+FaktorAlter)*$L62*$D62*0.5*(VLOOKUP($CU62-DS$103,Männer!$G$9:$J$102,4)+VLOOKUP($CU62-DS$103+1,Männer!$G$9:$J$102,4))*0.5*(VLOOKUP($CU62-DS$103,Männer!$AZ$9:$BD$102,5)+VLOOKUP($CU62-DS$103+1,Männer!$AZ$9:$BD$102,5)),RundDx)))</f>
        <v/>
      </c>
      <c r="DT62" s="25" t="str">
        <f>IF($CU62&gt;=RAF,"",IF($CU62-DT$103&lt;BeginnAlter,"",ROUND(v^($CU62+FaktorAlter)*$L62*$D62*0.5*(VLOOKUP($CU62-DT$103,Männer!$G$9:$J$102,4)+VLOOKUP($CU62-DT$103+1,Männer!$G$9:$J$102,4))*0.5*(VLOOKUP($CU62-DT$103,Männer!$AZ$9:$BD$102,5)+VLOOKUP($CU62-DT$103+1,Männer!$AZ$9:$BD$102,5)),RundDx)))</f>
        <v/>
      </c>
      <c r="DU62" s="25" t="str">
        <f>IF($CU62&gt;=RAF,"",IF($CU62-DU$103&lt;BeginnAlter,"",ROUND(v^($CU62+FaktorAlter)*$L62*$D62*0.5*(VLOOKUP($CU62-DU$103,Männer!$G$9:$J$102,4)+VLOOKUP($CU62-DU$103+1,Männer!$G$9:$J$102,4))*0.5*(VLOOKUP($CU62-DU$103,Männer!$AZ$9:$BD$102,5)+VLOOKUP($CU62-DU$103+1,Männer!$AZ$9:$BD$102,5)),RundDx)))</f>
        <v/>
      </c>
      <c r="DV62" s="25" t="str">
        <f>IF($CU62&gt;=RAF,"",IF($CU62-DV$103&lt;BeginnAlter,"",ROUND(v^($CU62+FaktorAlter)*$L62*$D62*0.5*(VLOOKUP($CU62-DV$103,Männer!$G$9:$J$102,4)+VLOOKUP($CU62-DV$103+1,Männer!$G$9:$J$102,4))*0.5*(VLOOKUP($CU62-DV$103,Männer!$AZ$9:$BD$102,5)+VLOOKUP($CU62-DV$103+1,Männer!$AZ$9:$BD$102,5)),RundDx)))</f>
        <v/>
      </c>
      <c r="DW62" s="25" t="str">
        <f>IF($CU62&gt;=RAF,"",IF($CU62-DW$103&lt;BeginnAlter,"",ROUND(v^($CU62+FaktorAlter)*$L62*$D62*0.5*(VLOOKUP($CU62-DW$103,Männer!$G$9:$J$102,4)+VLOOKUP($CU62-DW$103+1,Männer!$G$9:$J$102,4))*0.5*(VLOOKUP($CU62-DW$103,Männer!$AZ$9:$BD$102,5)+VLOOKUP($CU62-DW$103+1,Männer!$AZ$9:$BD$102,5)),RundDx)))</f>
        <v/>
      </c>
      <c r="DX62" s="25" t="str">
        <f>IF($CU62&gt;=RAF,"",IF($CU62-DX$103&lt;BeginnAlter,"",ROUND(v^($CU62+FaktorAlter)*$L62*$D62*0.5*(VLOOKUP($CU62-DX$103,Männer!$G$9:$J$102,4)+VLOOKUP($CU62-DX$103+1,Männer!$G$9:$J$102,4))*0.5*(VLOOKUP($CU62-DX$103,Männer!$AZ$9:$BD$102,5)+VLOOKUP($CU62-DX$103+1,Männer!$AZ$9:$BD$102,5)),RundDx)))</f>
        <v/>
      </c>
      <c r="DY62" s="25" t="str">
        <f>IF($CU62&gt;=RAF,"",IF($CU62-DY$103&lt;BeginnAlter,"",ROUND(v^($CU62+FaktorAlter)*$L62*$D62*0.5*(VLOOKUP($CU62-DY$103,Männer!$G$9:$J$102,4)+VLOOKUP($CU62-DY$103+1,Männer!$G$9:$J$102,4))*0.5*(VLOOKUP($CU62-DY$103,Männer!$AZ$9:$BD$102,5)+VLOOKUP($CU62-DY$103+1,Männer!$AZ$9:$BD$102,5)),RundDx)))</f>
        <v/>
      </c>
      <c r="DZ62" s="25" t="str">
        <f>IF($CU62&gt;=RAF,"",IF($CU62-DZ$103&lt;BeginnAlter,"",ROUND(v^($CU62+FaktorAlter)*$L62*$D62*0.5*(VLOOKUP($CU62-DZ$103,Männer!$G$9:$J$102,4)+VLOOKUP($CU62-DZ$103+1,Männer!$G$9:$J$102,4))*0.5*(VLOOKUP($CU62-DZ$103,Männer!$AZ$9:$BD$102,5)+VLOOKUP($CU62-DZ$103+1,Männer!$AZ$9:$BD$102,5)),RundDx)))</f>
        <v/>
      </c>
      <c r="EA62" s="43" t="str">
        <f>IF($CU62&gt;=RAF,"",IF($CU62-EA$103&lt;BeginnAlter,"",ROUND((SUM(CV$56:CV62)+SUM(FN$9:FN$56))/VLOOKUP($CU62,$AH$9:$AI$102,2)/VLOOKUP($CU62-EA$103,Männer!$G$9:$J$102,4),Rundäx)))</f>
        <v/>
      </c>
      <c r="EB62" s="43" t="str">
        <f>IF($CU62&gt;=RAF,"",IF($CU62-EB$103&lt;BeginnAlter,"",ROUND((SUM(CW$56:CW62)+SUM(FO$9:FO$56))/VLOOKUP($CU62,$AH$9:$AI$102,2)/VLOOKUP($CU62-EB$103,Männer!$G$9:$J$102,4),Rundäx)))</f>
        <v/>
      </c>
      <c r="EC62" s="43" t="str">
        <f>IF($CU62&gt;=RAF,"",IF($CU62-EC$103&lt;BeginnAlter,"",ROUND((SUM(CX$56:CX62)+SUM(FP$9:FP$56))/VLOOKUP($CU62,$AH$9:$AI$102,2)/VLOOKUP($CU62-EC$103,Männer!$G$9:$J$102,4),Rundäx)))</f>
        <v/>
      </c>
      <c r="ED62" s="43" t="str">
        <f>IF($CU62&gt;=RAF,"",IF($CU62-ED$103&lt;BeginnAlter,"",ROUND((SUM(CY$56:CY62)+SUM(FQ$9:FQ$56))/VLOOKUP($CU62,$AH$9:$AI$102,2)/VLOOKUP($CU62-ED$103,Männer!$G$9:$J$102,4),Rundäx)))</f>
        <v/>
      </c>
      <c r="EE62" s="43" t="str">
        <f>IF($CU62&gt;=RAF,"",IF($CU62-EE$103&lt;BeginnAlter,"",ROUND((SUM(CZ$56:CZ62)+SUM(FR$9:FR$56))/VLOOKUP($CU62,$AH$9:$AI$102,2)/VLOOKUP($CU62-EE$103,Männer!$G$9:$J$102,4),Rundäx)))</f>
        <v/>
      </c>
      <c r="EF62" s="43" t="str">
        <f>IF($CU62&gt;=RAF,"",IF($CU62-EF$103&lt;BeginnAlter,"",ROUND((SUM(DA$56:DA62)+SUM(FS$9:FS$56))/VLOOKUP($CU62,$AH$9:$AI$102,2)/VLOOKUP($CU62-EF$103,Männer!$G$9:$J$102,4),Rundäx)))</f>
        <v/>
      </c>
      <c r="EG62" s="43" t="str">
        <f>IF($CU62&gt;=RAF,"",IF($CU62-EG$103&lt;BeginnAlter,"",ROUND((SUM(DB$56:DB62)+SUM(FT$9:FT$56))/VLOOKUP($CU62,$AH$9:$AI$102,2)/VLOOKUP($CU62-EG$103,Männer!$G$9:$J$102,4),Rundäx)))</f>
        <v/>
      </c>
      <c r="EH62" s="43" t="str">
        <f>IF($CU62&gt;=RAF,"",IF($CU62-EH$103&lt;BeginnAlter,"",ROUND((SUM(DC$56:DC62)+SUM(FU$9:FU$56))/VLOOKUP($CU62,$AH$9:$AI$102,2)/VLOOKUP($CU62-EH$103,Männer!$G$9:$J$102,4),Rundäx)))</f>
        <v/>
      </c>
      <c r="EI62" s="89"/>
      <c r="EJ62" s="35">
        <f t="shared" si="61"/>
        <v>70</v>
      </c>
      <c r="EK62" s="43" t="str">
        <f>IF($CU62&gt;=RAF,"",IF($CU62-EK$103&lt;BeginnAlter,"",ROUND((SUM(DD$56:DD62)+SUM(FV$9:FV$56))/VLOOKUP($CU62,$AH$9:$AI$102,2)/VLOOKUP($CU62-EK$103,Männer!$G$9:$J$102,4),Rundäx)))</f>
        <v/>
      </c>
      <c r="EL62" s="43" t="str">
        <f>IF($CU62&gt;=RAF,"",IF($CU62-EL$103&lt;BeginnAlter,"",ROUND((SUM(DE$56:DE62)+SUM(FW$9:FW$56))/VLOOKUP($CU62,$AH$9:$AI$102,2)/VLOOKUP($CU62-EL$103,Männer!$G$9:$J$102,4),Rundäx)))</f>
        <v/>
      </c>
      <c r="EM62" s="43" t="str">
        <f>IF($CU62&gt;=RAF,"",IF($CU62-EM$103&lt;BeginnAlter,"",ROUND((SUM(DF$56:DF62)+SUM(FX$9:FX$56))/VLOOKUP($CU62,$AH$9:$AI$102,2)/VLOOKUP($CU62-EM$103,Männer!$G$9:$J$102,4),Rundäx)))</f>
        <v/>
      </c>
      <c r="EN62" s="43" t="str">
        <f>IF($CU62&gt;=RAF,"",IF($CU62-EN$103&lt;BeginnAlter,"",ROUND((SUM(DG$56:DG62)+SUM(FY$9:FY$56))/VLOOKUP($CU62,$AH$9:$AI$102,2)/VLOOKUP($CU62-EN$103,Männer!$G$9:$J$102,4),Rundäx)))</f>
        <v/>
      </c>
      <c r="EO62" s="43" t="str">
        <f>IF($CU62&gt;=RAF,"",IF($CU62-EO$103&lt;BeginnAlter,"",ROUND((SUM(DH$56:DH62)+SUM(FZ$9:FZ$56))/VLOOKUP($CU62,$AH$9:$AI$102,2)/VLOOKUP($CU62-EO$103,Männer!$G$9:$J$102,4),Rundäx)))</f>
        <v/>
      </c>
      <c r="EP62" s="43" t="str">
        <f>IF($CU62&gt;=RAF,"",IF($CU62-EP$103&lt;BeginnAlter,"",ROUND((SUM(DI$56:DI62)+SUM(GA$9:GA$56))/VLOOKUP($CU62,$AH$9:$AI$102,2)/VLOOKUP($CU62-EP$103,Männer!$G$9:$J$102,4),Rundäx)))</f>
        <v/>
      </c>
      <c r="EQ62" s="43" t="str">
        <f>IF($CU62&gt;=RAF,"",IF($CU62-EQ$103&lt;BeginnAlter,"",ROUND((SUM(DJ$56:DJ62)+SUM(GB$9:GB$56))/VLOOKUP($CU62,$AH$9:$AI$102,2)/VLOOKUP($CU62-EQ$103,Männer!$G$9:$J$102,4),Rundäx)))</f>
        <v/>
      </c>
      <c r="ER62" s="43" t="str">
        <f>IF($CU62&gt;=RAF,"",IF($CU62-ER$103&lt;BeginnAlter,"",ROUND((SUM(DK$56:DK62)+SUM(GC$9:GC$56))/VLOOKUP($CU62,$AH$9:$AI$102,2)/VLOOKUP($CU62-ER$103,Männer!$G$9:$J$102,4),Rundäx)))</f>
        <v/>
      </c>
      <c r="ES62" s="89"/>
      <c r="ET62" s="35">
        <f t="shared" si="62"/>
        <v>70</v>
      </c>
      <c r="EU62" s="43" t="str">
        <f>IF($CU62&gt;=RAF,"",IF($CU62-EU$103&lt;BeginnAlter,"",ROUND((SUM(DL$56:DL62)+SUM(GD$9:GD$56))/VLOOKUP($CU62,$AH$9:$AI$102,2)/VLOOKUP($CU62-EU$103,Männer!$G$9:$J$102,4),Rundäx)))</f>
        <v/>
      </c>
      <c r="EV62" s="43" t="str">
        <f>IF($CU62&gt;=RAF,"",IF($CU62-EV$103&lt;BeginnAlter,"",ROUND((SUM(DM$56:DM62)+SUM(GE$9:GE$56))/VLOOKUP($CU62,$AH$9:$AI$102,2)/VLOOKUP($CU62-EV$103,Männer!$G$9:$J$102,4),Rundäx)))</f>
        <v/>
      </c>
      <c r="EW62" s="43" t="str">
        <f>IF($CU62&gt;=RAF,"",IF($CU62-EW$103&lt;BeginnAlter,"",ROUND((SUM(DN$56:DN62)+SUM(GF$9:GF$56))/VLOOKUP($CU62,$AH$9:$AI$102,2)/VLOOKUP($CU62-EW$103,Männer!$G$9:$J$102,4),Rundäx)))</f>
        <v/>
      </c>
      <c r="EX62" s="43" t="str">
        <f>IF($CU62&gt;=RAF,"",IF($CU62-EX$103&lt;BeginnAlter,"",ROUND((SUM(DO$56:DO62)+SUM(GG$9:GG$56))/VLOOKUP($CU62,$AH$9:$AI$102,2)/VLOOKUP($CU62-EX$103,Männer!$G$9:$J$102,4),Rundäx)))</f>
        <v/>
      </c>
      <c r="EY62" s="43" t="str">
        <f>IF($CU62&gt;=RAF,"",IF($CU62-EY$103&lt;BeginnAlter,"",ROUND((SUM(DP$56:DP62)+SUM(GH$9:GH$56))/VLOOKUP($CU62,$AH$9:$AI$102,2)/VLOOKUP($CU62-EY$103,Männer!$G$9:$J$102,4),Rundäx)))</f>
        <v/>
      </c>
      <c r="EZ62" s="43" t="str">
        <f>IF($CU62&gt;=RAF,"",IF($CU62-EZ$103&lt;BeginnAlter,"",ROUND((SUM(DQ$56:DQ62)+SUM(GI$9:GI$56))/VLOOKUP($CU62,$AH$9:$AI$102,2)/VLOOKUP($CU62-EZ$103,Männer!$G$9:$J$102,4),Rundäx)))</f>
        <v/>
      </c>
      <c r="FA62" s="43" t="str">
        <f>IF($CU62&gt;=RAF,"",IF($CU62-FA$103&lt;BeginnAlter,"",ROUND((SUM(DR$56:DR62)+SUM(GJ$9:GJ$56))/VLOOKUP($CU62,$AH$9:$AI$102,2)/VLOOKUP($CU62-FA$103,Männer!$G$9:$J$102,4),Rundäx)))</f>
        <v/>
      </c>
      <c r="FB62" s="43" t="str">
        <f>IF($CU62&gt;=RAF,"",IF($CU62-FB$103&lt;BeginnAlter,"",ROUND((SUM(DS$56:DS62)+SUM(GK$9:GK$56))/VLOOKUP($CU62,$AH$9:$AI$102,2)/VLOOKUP($CU62-FB$103,Männer!$G$9:$J$102,4),Rundäx)))</f>
        <v/>
      </c>
      <c r="FC62" s="89"/>
      <c r="FD62" s="35">
        <f t="shared" si="63"/>
        <v>70</v>
      </c>
      <c r="FE62" s="43" t="str">
        <f>IF($CU62&gt;=RAF,"",IF($CU62-FE$103&lt;BeginnAlter,"",ROUND((SUM(DT$56:DT62)+SUM(GL$9:GL$56))/VLOOKUP($CU62,$AH$9:$AI$102,2)/VLOOKUP($CU62-FE$103,Männer!$G$9:$J$102,4),Rundäx)))</f>
        <v/>
      </c>
      <c r="FF62" s="43" t="str">
        <f>IF($CU62&gt;=RAF,"",IF($CU62-FF$103&lt;BeginnAlter,"",ROUND((SUM(DU$56:DU62)+SUM(GM$9:GM$56))/VLOOKUP($CU62,$AH$9:$AI$102,2)/VLOOKUP($CU62-FF$103,Männer!$G$9:$J$102,4),Rundäx)))</f>
        <v/>
      </c>
      <c r="FG62" s="43" t="str">
        <f>IF($CU62&gt;=RAF,"",IF($CU62-FG$103&lt;BeginnAlter,"",ROUND((SUM(DV$56:DV62)+SUM(GN$9:GN$56))/VLOOKUP($CU62,$AH$9:$AI$102,2)/VLOOKUP($CU62-FG$103,Männer!$G$9:$J$102,4),Rundäx)))</f>
        <v/>
      </c>
      <c r="FH62" s="43" t="str">
        <f>IF($CU62&gt;=RAF,"",IF($CU62-FH$103&lt;BeginnAlter,"",ROUND((SUM(DW$56:DW62)+SUM(GO$9:GO$56))/VLOOKUP($CU62,$AH$9:$AI$102,2)/VLOOKUP($CU62-FH$103,Männer!$G$9:$J$102,4),Rundäx)))</f>
        <v/>
      </c>
      <c r="FI62" s="43" t="str">
        <f>IF($CU62&gt;=RAF,"",IF($CU62-FI$103&lt;BeginnAlter,"",ROUND((SUM(DX$56:DX62)+SUM(GP$9:GP$56))/VLOOKUP($CU62,$AH$9:$AI$102,2)/VLOOKUP($CU62-FI$103,Männer!$G$9:$J$102,4),Rundäx)))</f>
        <v/>
      </c>
      <c r="FJ62" s="43" t="str">
        <f>IF($CU62&gt;=RAF,"",IF($CU62-FJ$103&lt;BeginnAlter,"",ROUND((SUM(DY$56:DY62)+SUM(GQ$9:GQ$56))/VLOOKUP($CU62,$AH$9:$AI$102,2)/VLOOKUP($CU62-FJ$103,Männer!$G$9:$J$102,4),Rundäx)))</f>
        <v/>
      </c>
      <c r="FK62" s="43" t="str">
        <f>IF($CU62&gt;=RAF,"",IF($CU62-FK$103&lt;BeginnAlter,"",ROUND((SUM(DZ$56:DZ62)+SUM(GR$9:GR$56))/VLOOKUP($CU62,$AH$9:$AI$102,2)/VLOOKUP($CU62-FK$103,Männer!$G$9:$J$102,4),Rundäx)))</f>
        <v/>
      </c>
      <c r="FL62" s="89"/>
      <c r="FM62" s="35">
        <f t="shared" si="64"/>
        <v>117</v>
      </c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4"/>
      <c r="GT62" s="24"/>
      <c r="GU62" s="24" t="str">
        <f>IF(FM62&gt;=RAF," ",#REF!/$AI62/Frauen!$J50)</f>
        <v xml:space="preserve"> </v>
      </c>
      <c r="GV62" s="24" t="str">
        <f>IF(FM62&gt;=RAF," ",#REF!/$AI62/Frauen!$J53)</f>
        <v xml:space="preserve"> </v>
      </c>
      <c r="GW62" s="24" t="str">
        <f>IF(FM62&gt;=RAF," ",#REF!/$AI62/Frauen!$J56)</f>
        <v xml:space="preserve"> </v>
      </c>
      <c r="GX62" s="24" t="str">
        <f>IF(FM62&gt;=RAF," ",#REF!/$AI62/Frauen!$J59)</f>
        <v xml:space="preserve"> </v>
      </c>
      <c r="GY62" s="24" t="str">
        <f>IF(FM62&gt;=RAF," ",#REF!/$AI62/Frauen!$J62)</f>
        <v xml:space="preserve"> </v>
      </c>
      <c r="GZ62" s="24" t="str">
        <f>IF(FM62&gt;=RAF," ",#REF!/$AI62/Frauen!$J65)</f>
        <v xml:space="preserve"> </v>
      </c>
      <c r="HA62" s="89"/>
      <c r="HB62" s="35">
        <f t="shared" si="65"/>
        <v>117</v>
      </c>
      <c r="HC62" s="24"/>
      <c r="HD62" s="24"/>
      <c r="HE62" s="24"/>
      <c r="HF62" s="24"/>
      <c r="HG62" s="24"/>
      <c r="HH62" s="24"/>
      <c r="HI62" s="24"/>
      <c r="HJ62" s="24"/>
      <c r="HK62" s="89"/>
      <c r="HL62" s="35">
        <f t="shared" si="66"/>
        <v>117</v>
      </c>
      <c r="HM62" s="24"/>
      <c r="HN62" s="24"/>
      <c r="HO62" s="24"/>
      <c r="HP62" s="24"/>
      <c r="HQ62" s="24"/>
      <c r="HR62" s="24"/>
      <c r="HS62" s="24"/>
      <c r="HT62" s="24"/>
      <c r="HU62" s="89"/>
      <c r="HV62" s="35">
        <f t="shared" si="67"/>
        <v>117</v>
      </c>
      <c r="HW62" s="24"/>
      <c r="HX62" s="24"/>
      <c r="HY62" s="24"/>
      <c r="HZ62" s="24"/>
      <c r="IA62" s="24"/>
      <c r="IB62" s="24"/>
      <c r="IC62" s="24"/>
      <c r="ID62" s="89"/>
      <c r="IE62" s="9">
        <f t="shared" si="80"/>
        <v>70</v>
      </c>
      <c r="IF62" s="11" t="str">
        <f t="shared" si="25"/>
        <v/>
      </c>
      <c r="IG62" s="11" t="str">
        <f>IF($IE62&lt;RAF,IF(S63&lt;=RAK,ROUND(SUM(IF62:INDEX(Daky,RAF-BeginnAlter))+INDEX(Day,RAF-BeginnAlter+1)*INDEX(äky,1),RundDx),0),"")</f>
        <v/>
      </c>
      <c r="IH62" s="11" t="str">
        <f>IF($IE62&lt;RAF,IF(S63&lt;=RAK,ROUND(SUM(IG62:INDEX(Naky,RAF-BeginnAlter))+INDEX(Day,RAF-BeginnAlter+1)*INDEX(äky,1),RundDx),0),"")</f>
        <v/>
      </c>
      <c r="II62" s="10" t="str">
        <f t="shared" si="26"/>
        <v/>
      </c>
      <c r="IJ62" s="11" t="str">
        <f t="shared" si="27"/>
        <v/>
      </c>
      <c r="IK62" s="11" t="str">
        <f>IF($IE62&lt;RAF,IF(S63&lt;=RAK,SUM(IJ62:INDEX(Diky,RAF-BeginnAlter))+INDEX(Diy,RAF-BeginnAlter+1)*INDEX(äky,1),0),"")</f>
        <v/>
      </c>
      <c r="IL62" s="10" t="str">
        <f t="shared" si="28"/>
        <v/>
      </c>
      <c r="IM62" s="89"/>
      <c r="IN62" s="9">
        <f t="shared" si="29"/>
        <v>117</v>
      </c>
      <c r="IO62" s="11"/>
      <c r="IP62" s="11"/>
      <c r="IQ62" s="10"/>
      <c r="IR62" s="86"/>
    </row>
    <row r="63" spans="1:252" ht="15.75" customHeight="1" x14ac:dyDescent="0.25">
      <c r="A63" s="9">
        <f t="shared" si="69"/>
        <v>71</v>
      </c>
      <c r="B63" s="93"/>
      <c r="C63" s="93"/>
      <c r="D63" s="93"/>
      <c r="E63" s="93">
        <v>1.6500000000000001E-2</v>
      </c>
      <c r="F63" s="89"/>
      <c r="G63" s="9">
        <f t="shared" si="70"/>
        <v>71</v>
      </c>
      <c r="H63" s="11" t="str">
        <f t="shared" si="30"/>
        <v/>
      </c>
      <c r="I63" s="25" t="str">
        <f t="shared" si="31"/>
        <v/>
      </c>
      <c r="J63" s="25">
        <f t="shared" si="32"/>
        <v>82388</v>
      </c>
      <c r="K63" s="30">
        <f>IF(J63&gt;0,ROUND(SUM(J63:J$102)/J63-0.5,Rundex),"")</f>
        <v>15.83</v>
      </c>
      <c r="L63" s="25">
        <f t="shared" si="6"/>
        <v>82388</v>
      </c>
      <c r="M63" s="30">
        <f>IF(L63&gt;0,ROUND(SUM(L63:L$102)/L63-0.5,Rundex),"")</f>
        <v>15.83</v>
      </c>
      <c r="N63" s="89"/>
      <c r="O63" s="9">
        <f t="shared" si="71"/>
        <v>71</v>
      </c>
      <c r="P63" s="94">
        <v>5.4070579147294393E-2</v>
      </c>
      <c r="Q63" s="95">
        <v>72.268303705387325</v>
      </c>
      <c r="R63" s="94"/>
      <c r="S63" s="95"/>
      <c r="T63" s="28">
        <v>1.2002324714325521E-2</v>
      </c>
      <c r="U63" s="11">
        <f t="shared" si="33"/>
        <v>85702</v>
      </c>
      <c r="V63" s="30">
        <f>IF(U63&gt;0,ROUND(SUM(U63:U$102)/U63-0.5,Rundex),"")</f>
        <v>16.399999999999999</v>
      </c>
      <c r="W63" s="89"/>
      <c r="X63" s="9">
        <f t="shared" si="72"/>
        <v>71</v>
      </c>
      <c r="Y63" s="11" t="str">
        <f t="shared" si="34"/>
        <v xml:space="preserve"> </v>
      </c>
      <c r="Z63" s="11" t="str">
        <f>IF($X63&lt;RAF,SUM(Y63:INDEX(Day,RAF-BeginnAlter))," ")</f>
        <v xml:space="preserve"> </v>
      </c>
      <c r="AA63" s="11" t="str">
        <f t="shared" si="0"/>
        <v xml:space="preserve"> </v>
      </c>
      <c r="AB63" s="11" t="str">
        <f>IF($X63&lt;RAF,SUM(AA63:INDEX(Cay,RAF-BeginnAlter))," ")</f>
        <v xml:space="preserve"> </v>
      </c>
      <c r="AC63" s="11" t="str">
        <f t="shared" si="1"/>
        <v xml:space="preserve"> </v>
      </c>
      <c r="AD63" s="11" t="str">
        <f>IF($X63&lt;RAF,SUM(AC63:INDEX(Caiy,RAF-BeginnAlter))," ")</f>
        <v xml:space="preserve"> </v>
      </c>
      <c r="AE63" s="10" t="str">
        <f t="shared" si="35"/>
        <v xml:space="preserve"> </v>
      </c>
      <c r="AF63" s="10" t="str">
        <f t="shared" si="36"/>
        <v xml:space="preserve"> </v>
      </c>
      <c r="AG63" s="89"/>
      <c r="AH63" s="9">
        <f t="shared" si="73"/>
        <v>71</v>
      </c>
      <c r="AI63" s="11" t="str">
        <f t="shared" si="37"/>
        <v xml:space="preserve"> </v>
      </c>
      <c r="AJ63" s="11" t="str">
        <f>IF($AH63&gt;RAF," ",IF($AH63&lt;RAF,SUM(AI63:INDEX(Diy,RAF-BeginnAlter))+INDEX(Ny,RAF-BeginnAlter+1),INDEX(Ny,RAF-BeginnAlter+1)))</f>
        <v xml:space="preserve"> </v>
      </c>
      <c r="AK63" s="11" t="str">
        <f>IF($AH63&lt;RAF,SUM(AI63:INDEX(Diy,RAF-BeginnAlter))," ")</f>
        <v xml:space="preserve"> </v>
      </c>
      <c r="AL63" s="10" t="str">
        <f t="shared" si="38"/>
        <v xml:space="preserve"> </v>
      </c>
      <c r="AM63" s="10" t="str">
        <f t="shared" si="39"/>
        <v xml:space="preserve"> </v>
      </c>
      <c r="AN63" s="10" t="str">
        <f t="shared" si="40"/>
        <v xml:space="preserve"> </v>
      </c>
      <c r="AO63" s="10" t="str">
        <f t="shared" si="41"/>
        <v xml:space="preserve"> </v>
      </c>
      <c r="AP63" s="89"/>
      <c r="AQ63" s="9">
        <f t="shared" si="74"/>
        <v>71</v>
      </c>
      <c r="AR63" s="11">
        <f t="shared" si="42"/>
        <v>16973</v>
      </c>
      <c r="AS63" s="11">
        <f>SUM(AR63:AR$96)</f>
        <v>228410</v>
      </c>
      <c r="AT63" s="25" t="str">
        <f>IF($AQ63&lt;RAF,SUM(AR63:INDEX(Dy,RAF-BeginnAlter))," ")</f>
        <v xml:space="preserve"> </v>
      </c>
      <c r="AU63" s="24">
        <f t="shared" si="43"/>
        <v>13.457000000000001</v>
      </c>
      <c r="AV63" s="24">
        <f t="shared" si="44"/>
        <v>12.999000000000001</v>
      </c>
      <c r="AW63" s="24" t="str">
        <f t="shared" si="45"/>
        <v xml:space="preserve"> </v>
      </c>
      <c r="AX63" s="24" t="str">
        <f t="shared" si="46"/>
        <v xml:space="preserve"> </v>
      </c>
      <c r="AY63" s="89"/>
      <c r="AZ63" s="9">
        <f t="shared" si="75"/>
        <v>71</v>
      </c>
      <c r="BA63" s="11">
        <f t="shared" si="47"/>
        <v>17656</v>
      </c>
      <c r="BB63" s="11">
        <f>SUM(BA63:BA$96)</f>
        <v>244664</v>
      </c>
      <c r="BC63" s="10">
        <f t="shared" si="48"/>
        <v>13.856999999999999</v>
      </c>
      <c r="BD63" s="10">
        <f t="shared" si="7"/>
        <v>13.398999999999999</v>
      </c>
      <c r="BE63" s="89"/>
      <c r="BF63" s="9">
        <f t="shared" si="54"/>
        <v>54</v>
      </c>
      <c r="BG63" s="10" t="str">
        <f t="shared" si="8"/>
        <v/>
      </c>
      <c r="BH63" s="10" t="str">
        <f t="shared" si="9"/>
        <v/>
      </c>
      <c r="BI63" s="89"/>
      <c r="BJ63" s="9">
        <f t="shared" si="76"/>
        <v>71</v>
      </c>
      <c r="BK63" s="11" t="str">
        <f t="shared" si="10"/>
        <v xml:space="preserve"> </v>
      </c>
      <c r="BL63" s="11" t="str">
        <f>IF(BJ63&lt;RAF,SUM(BK63:INDEX(Daiy,RAF-BeginnAlter))," ")</f>
        <v xml:space="preserve"> </v>
      </c>
      <c r="BM63" s="11" t="str">
        <f>IF(BJ63&lt;RAF,SUM(BL63:INDEX(Naiy,RAF-BeginnAlter))," ")</f>
        <v xml:space="preserve"> </v>
      </c>
      <c r="BN63" s="10" t="str">
        <f t="shared" si="11"/>
        <v xml:space="preserve"> </v>
      </c>
      <c r="BO63" s="10" t="str">
        <f t="shared" si="12"/>
        <v xml:space="preserve"> </v>
      </c>
      <c r="BP63" s="89"/>
      <c r="BQ63" s="9">
        <f t="shared" si="77"/>
        <v>71</v>
      </c>
      <c r="BR63" s="11" t="str">
        <f t="shared" si="13"/>
        <v xml:space="preserve"> </v>
      </c>
      <c r="BS63" s="11" t="str">
        <f>IF(BQ63&lt;RAF,SUM(BR63:INDEX(Daiys,RAF-BeginnAlter))," ")</f>
        <v xml:space="preserve"> </v>
      </c>
      <c r="BT63" s="11" t="str">
        <f>IF(BQ63&lt;RAF,SUM(BS63:INDEX(Naiys,RAF-BeginnAlter))," ")</f>
        <v xml:space="preserve"> </v>
      </c>
      <c r="BU63" s="10" t="str">
        <f t="shared" si="14"/>
        <v xml:space="preserve"> </v>
      </c>
      <c r="BV63" s="10" t="str">
        <f t="shared" si="15"/>
        <v xml:space="preserve"> </v>
      </c>
      <c r="BW63" s="89"/>
      <c r="BX63" s="9">
        <f t="shared" si="78"/>
        <v>71</v>
      </c>
      <c r="BY63" s="10" t="str">
        <f t="shared" si="16"/>
        <v/>
      </c>
      <c r="BZ63" s="11" t="str">
        <f t="shared" si="17"/>
        <v/>
      </c>
      <c r="CA63" s="11" t="str">
        <f>IF(S64&lt;=RAK,IF($BX63&lt;RAF,SUM(BZ63:INDEX(Dazy,RAF-BeginnAlter)),""),"")</f>
        <v/>
      </c>
      <c r="CB63" s="10" t="str">
        <f t="shared" si="18"/>
        <v/>
      </c>
      <c r="CC63" s="11">
        <f t="shared" si="19"/>
        <v>0</v>
      </c>
      <c r="CD63" s="10">
        <f t="shared" si="20"/>
        <v>0</v>
      </c>
      <c r="CE63" s="10" t="str">
        <f t="shared" si="21"/>
        <v/>
      </c>
      <c r="CF63" s="89"/>
      <c r="CG63" s="9">
        <f t="shared" si="79"/>
        <v>71</v>
      </c>
      <c r="CH63" s="11" t="str">
        <f>IF(CG63&lt;RAF,ROUND(v^($CG63+FaktorAlter)*$H63*($B63*0.5*($P63+$P64)*(VLOOKUP(TRUNC(0.5*($Q63+$Q64),0),Männer!$AZ$9:$BD$95,5)+(0.5*($Q63+$Q64)-TRUNC(0.5*($Q63+$Q64),0))*(VLOOKUP(TRUNC(0.5*($Q63+$Q64)+1,0),Männer!$AZ$9:$BD$95,5)-VLOOKUP(TRUNC(0.5*($Q63+$Q64),0),Männer!$AZ$9:$BD$95,5)))+$C63*0.5*($CN63+$CN64)),RundDx),"")</f>
        <v/>
      </c>
      <c r="CI63" s="11" t="str">
        <f>IF(CG63&lt;RAF,ROUND(SUM(CH63:INDEX(Dawy,RAF-BeginnAlter))+INDEX(Day,RAF-BeginnAlter+1)*INDEX(äwy,1),RundDx),"")</f>
        <v/>
      </c>
      <c r="CJ63" s="11" t="str">
        <f>IF(CG63&lt;RAF,ROUND(SUM(CI63:INDEX(Nawy,RAF-BeginnAlter))+INDEX(Day,RAF-BeginnAlter+1)*INDEX(äwy,1),RundDx),"")</f>
        <v/>
      </c>
      <c r="CK63" s="10" t="str">
        <f t="shared" si="22"/>
        <v/>
      </c>
      <c r="CL63" s="11" t="str">
        <f>IF(CG63&lt;RAF,ROUND(v^($CG63+FaktorAlter)*$L63*$D63*0.5*($P63+$P64)*(VLOOKUP(TRUNC(0.5*($Q63+$Q64),0),Männer!$AZ$9:$BD$95,5)+(0.5*($Q63+$Q64)-TRUNC(0.5*($Q63+$Q64),0))*(VLOOKUP(TRUNC(0.5*($Q63+$Q64)+1,0),Männer!$AZ$9:$BD$95,5)-VLOOKUP(TRUNC(0.5*($Q63+$Q64),0),Männer!$AZ$9:$BD$95,5))),RundDx),"")</f>
        <v/>
      </c>
      <c r="CM63" s="11" t="str">
        <f>IF(CG63&lt;RAF,SUM(CL63:INDEX(Diwy,RAF-BeginnAlter))+INDEX(Diy,RAF-BeginnAlter+1)*INDEX(äwy,1),"")</f>
        <v/>
      </c>
      <c r="CN63" s="10" t="str">
        <f t="shared" si="23"/>
        <v/>
      </c>
      <c r="CO63" s="89"/>
      <c r="CP63" s="9">
        <f t="shared" si="59"/>
        <v>118</v>
      </c>
      <c r="CQ63" s="11"/>
      <c r="CR63" s="11"/>
      <c r="CS63" s="10"/>
      <c r="CT63" s="89"/>
      <c r="CU63" s="35">
        <f t="shared" si="60"/>
        <v>71</v>
      </c>
      <c r="CV63" s="25" t="str">
        <f>IF($CU63&gt;=RAF,"",IF($CU63-CV$103&lt;BeginnAlter,"",ROUND(v^($CU63+FaktorAlter)*$L63*$D63*0.5*(VLOOKUP($CU63-CV$103,Männer!$G$9:$J$102,4)+VLOOKUP($CU63-CV$103+1,Männer!$G$9:$J$102,4))*0.5*(VLOOKUP($CU63-CV$103,Männer!$AZ$9:$BD$102,5)+VLOOKUP($CU63-CV$103+1,Männer!$AZ$9:$BD$102,5)),RundDx)))</f>
        <v/>
      </c>
      <c r="CW63" s="25" t="str">
        <f>IF($CU63&gt;=RAF,"",IF($CU63-CW$103&lt;BeginnAlter,"",ROUND(v^($CU63+FaktorAlter)*$L63*$D63*0.5*(VLOOKUP($CU63-CW$103,Männer!$G$9:$J$102,4)+VLOOKUP($CU63-CW$103+1,Männer!$G$9:$J$102,4))*0.5*(VLOOKUP($CU63-CW$103,Männer!$AZ$9:$BD$102,5)+VLOOKUP($CU63-CW$103+1,Männer!$AZ$9:$BD$102,5)),RundDx)))</f>
        <v/>
      </c>
      <c r="CX63" s="25" t="str">
        <f>IF($CU63&gt;=RAF,"",IF($CU63-CX$103&lt;BeginnAlter,"",ROUND(v^($CU63+FaktorAlter)*$L63*$D63*0.5*(VLOOKUP($CU63-CX$103,Männer!$G$9:$J$102,4)+VLOOKUP($CU63-CX$103+1,Männer!$G$9:$J$102,4))*0.5*(VLOOKUP($CU63-CX$103,Männer!$AZ$9:$BD$102,5)+VLOOKUP($CU63-CX$103+1,Männer!$AZ$9:$BD$102,5)),RundDx)))</f>
        <v/>
      </c>
      <c r="CY63" s="25" t="str">
        <f>IF($CU63&gt;=RAF,"",IF($CU63-CY$103&lt;BeginnAlter,"",ROUND(v^($CU63+FaktorAlter)*$L63*$D63*0.5*(VLOOKUP($CU63-CY$103,Männer!$G$9:$J$102,4)+VLOOKUP($CU63-CY$103+1,Männer!$G$9:$J$102,4))*0.5*(VLOOKUP($CU63-CY$103,Männer!$AZ$9:$BD$102,5)+VLOOKUP($CU63-CY$103+1,Männer!$AZ$9:$BD$102,5)),RundDx)))</f>
        <v/>
      </c>
      <c r="CZ63" s="25" t="str">
        <f>IF($CU63&gt;=RAF,"",IF($CU63-CZ$103&lt;BeginnAlter,"",ROUND(v^($CU63+FaktorAlter)*$L63*$D63*0.5*(VLOOKUP($CU63-CZ$103,Männer!$G$9:$J$102,4)+VLOOKUP($CU63-CZ$103+1,Männer!$G$9:$J$102,4))*0.5*(VLOOKUP($CU63-CZ$103,Männer!$AZ$9:$BD$102,5)+VLOOKUP($CU63-CZ$103+1,Männer!$AZ$9:$BD$102,5)),RundDx)))</f>
        <v/>
      </c>
      <c r="DA63" s="25" t="str">
        <f>IF($CU63&gt;=RAF,"",IF($CU63-DA$103&lt;BeginnAlter,"",ROUND(v^($CU63+FaktorAlter)*$L63*$D63*0.5*(VLOOKUP($CU63-DA$103,Männer!$G$9:$J$102,4)+VLOOKUP($CU63-DA$103+1,Männer!$G$9:$J$102,4))*0.5*(VLOOKUP($CU63-DA$103,Männer!$AZ$9:$BD$102,5)+VLOOKUP($CU63-DA$103+1,Männer!$AZ$9:$BD$102,5)),RundDx)))</f>
        <v/>
      </c>
      <c r="DB63" s="25" t="str">
        <f>IF($CU63&gt;=RAF,"",IF($CU63-DB$103&lt;BeginnAlter,"",ROUND(v^($CU63+FaktorAlter)*$L63*$D63*0.5*(VLOOKUP($CU63-DB$103,Männer!$G$9:$J$102,4)+VLOOKUP($CU63-DB$103+1,Männer!$G$9:$J$102,4))*0.5*(VLOOKUP($CU63-DB$103,Männer!$AZ$9:$BD$102,5)+VLOOKUP($CU63-DB$103+1,Männer!$AZ$9:$BD$102,5)),RundDx)))</f>
        <v/>
      </c>
      <c r="DC63" s="25" t="str">
        <f>IF($CU63&gt;=RAF,"",IF($CU63-DC$103&lt;BeginnAlter,"",ROUND(v^($CU63+FaktorAlter)*$L63*$D63*0.5*(VLOOKUP($CU63-DC$103,Männer!$G$9:$J$102,4)+VLOOKUP($CU63-DC$103+1,Männer!$G$9:$J$102,4))*0.5*(VLOOKUP($CU63-DC$103,Männer!$AZ$9:$BD$102,5)+VLOOKUP($CU63-DC$103+1,Männer!$AZ$9:$BD$102,5)),RundDx)))</f>
        <v/>
      </c>
      <c r="DD63" s="25" t="str">
        <f>IF($CU63&gt;=RAF,"",IF($CU63-DD$103&lt;BeginnAlter,"",ROUND(v^($CU63+FaktorAlter)*$L63*$D63*0.5*(VLOOKUP($CU63-DD$103,Männer!$G$9:$J$102,4)+VLOOKUP($CU63-DD$103+1,Männer!$G$9:$J$102,4))*0.5*(VLOOKUP($CU63-DD$103,Männer!$AZ$9:$BD$102,5)+VLOOKUP($CU63-DD$103+1,Männer!$AZ$9:$BD$102,5)),RundDx)))</f>
        <v/>
      </c>
      <c r="DE63" s="25" t="str">
        <f>IF($CU63&gt;=RAF,"",IF($CU63-DE$103&lt;BeginnAlter,"",ROUND(v^($CU63+FaktorAlter)*$L63*$D63*0.5*(VLOOKUP($CU63-DE$103,Männer!$G$9:$J$102,4)+VLOOKUP($CU63-DE$103+1,Männer!$G$9:$J$102,4))*0.5*(VLOOKUP($CU63-DE$103,Männer!$AZ$9:$BD$102,5)+VLOOKUP($CU63-DE$103+1,Männer!$AZ$9:$BD$102,5)),RundDx)))</f>
        <v/>
      </c>
      <c r="DF63" s="25" t="str">
        <f>IF($CU63&gt;=RAF,"",IF($CU63-DF$103&lt;BeginnAlter,"",ROUND(v^($CU63+FaktorAlter)*$L63*$D63*0.5*(VLOOKUP($CU63-DF$103,Männer!$G$9:$J$102,4)+VLOOKUP($CU63-DF$103+1,Männer!$G$9:$J$102,4))*0.5*(VLOOKUP($CU63-DF$103,Männer!$AZ$9:$BD$102,5)+VLOOKUP($CU63-DF$103+1,Männer!$AZ$9:$BD$102,5)),RundDx)))</f>
        <v/>
      </c>
      <c r="DG63" s="25" t="str">
        <f>IF($CU63&gt;=RAF,"",IF($CU63-DG$103&lt;BeginnAlter,"",ROUND(v^($CU63+FaktorAlter)*$L63*$D63*0.5*(VLOOKUP($CU63-DG$103,Männer!$G$9:$J$102,4)+VLOOKUP($CU63-DG$103+1,Männer!$G$9:$J$102,4))*0.5*(VLOOKUP($CU63-DG$103,Männer!$AZ$9:$BD$102,5)+VLOOKUP($CU63-DG$103+1,Männer!$AZ$9:$BD$102,5)),RundDx)))</f>
        <v/>
      </c>
      <c r="DH63" s="25" t="str">
        <f>IF($CU63&gt;=RAF,"",IF($CU63-DH$103&lt;BeginnAlter,"",ROUND(v^($CU63+FaktorAlter)*$L63*$D63*0.5*(VLOOKUP($CU63-DH$103,Männer!$G$9:$J$102,4)+VLOOKUP($CU63-DH$103+1,Männer!$G$9:$J$102,4))*0.5*(VLOOKUP($CU63-DH$103,Männer!$AZ$9:$BD$102,5)+VLOOKUP($CU63-DH$103+1,Männer!$AZ$9:$BD$102,5)),RundDx)))</f>
        <v/>
      </c>
      <c r="DI63" s="25" t="str">
        <f>IF($CU63&gt;=RAF,"",IF($CU63-DI$103&lt;BeginnAlter,"",ROUND(v^($CU63+FaktorAlter)*$L63*$D63*0.5*(VLOOKUP($CU63-DI$103,Männer!$G$9:$J$102,4)+VLOOKUP($CU63-DI$103+1,Männer!$G$9:$J$102,4))*0.5*(VLOOKUP($CU63-DI$103,Männer!$AZ$9:$BD$102,5)+VLOOKUP($CU63-DI$103+1,Männer!$AZ$9:$BD$102,5)),RundDx)))</f>
        <v/>
      </c>
      <c r="DJ63" s="25" t="str">
        <f>IF($CU63&gt;=RAF,"",IF($CU63-DJ$103&lt;BeginnAlter,"",ROUND(v^($CU63+FaktorAlter)*$L63*$D63*0.5*(VLOOKUP($CU63-DJ$103,Männer!$G$9:$J$102,4)+VLOOKUP($CU63-DJ$103+1,Männer!$G$9:$J$102,4))*0.5*(VLOOKUP($CU63-DJ$103,Männer!$AZ$9:$BD$102,5)+VLOOKUP($CU63-DJ$103+1,Männer!$AZ$9:$BD$102,5)),RundDx)))</f>
        <v/>
      </c>
      <c r="DK63" s="25" t="str">
        <f>IF($CU63&gt;=RAF,"",IF($CU63-DK$103&lt;BeginnAlter,"",ROUND(v^($CU63+FaktorAlter)*$L63*$D63*0.5*(VLOOKUP($CU63-DK$103,Männer!$G$9:$J$102,4)+VLOOKUP($CU63-DK$103+1,Männer!$G$9:$J$102,4))*0.5*(VLOOKUP($CU63-DK$103,Männer!$AZ$9:$BD$102,5)+VLOOKUP($CU63-DK$103+1,Männer!$AZ$9:$BD$102,5)),RundDx)))</f>
        <v/>
      </c>
      <c r="DL63" s="25" t="str">
        <f>IF($CU63&gt;=RAF,"",IF($CU63-DL$103&lt;BeginnAlter,"",ROUND(v^($CU63+FaktorAlter)*$L63*$D63*0.5*(VLOOKUP($CU63-DL$103,Männer!$G$9:$J$102,4)+VLOOKUP($CU63-DL$103+1,Männer!$G$9:$J$102,4))*0.5*(VLOOKUP($CU63-DL$103,Männer!$AZ$9:$BD$102,5)+VLOOKUP($CU63-DL$103+1,Männer!$AZ$9:$BD$102,5)),RundDx)))</f>
        <v/>
      </c>
      <c r="DM63" s="25" t="str">
        <f>IF($CU63&gt;=RAF,"",IF($CU63-DM$103&lt;BeginnAlter,"",ROUND(v^($CU63+FaktorAlter)*$L63*$D63*0.5*(VLOOKUP($CU63-DM$103,Männer!$G$9:$J$102,4)+VLOOKUP($CU63-DM$103+1,Männer!$G$9:$J$102,4))*0.5*(VLOOKUP($CU63-DM$103,Männer!$AZ$9:$BD$102,5)+VLOOKUP($CU63-DM$103+1,Männer!$AZ$9:$BD$102,5)),RundDx)))</f>
        <v/>
      </c>
      <c r="DN63" s="25" t="str">
        <f>IF($CU63&gt;=RAF,"",IF($CU63-DN$103&lt;BeginnAlter,"",ROUND(v^($CU63+FaktorAlter)*$L63*$D63*0.5*(VLOOKUP($CU63-DN$103,Männer!$G$9:$J$102,4)+VLOOKUP($CU63-DN$103+1,Männer!$G$9:$J$102,4))*0.5*(VLOOKUP($CU63-DN$103,Männer!$AZ$9:$BD$102,5)+VLOOKUP($CU63-DN$103+1,Männer!$AZ$9:$BD$102,5)),RundDx)))</f>
        <v/>
      </c>
      <c r="DO63" s="25" t="str">
        <f>IF($CU63&gt;=RAF,"",IF($CU63-DO$103&lt;BeginnAlter,"",ROUND(v^($CU63+FaktorAlter)*$L63*$D63*0.5*(VLOOKUP($CU63-DO$103,Männer!$G$9:$J$102,4)+VLOOKUP($CU63-DO$103+1,Männer!$G$9:$J$102,4))*0.5*(VLOOKUP($CU63-DO$103,Männer!$AZ$9:$BD$102,5)+VLOOKUP($CU63-DO$103+1,Männer!$AZ$9:$BD$102,5)),RundDx)))</f>
        <v/>
      </c>
      <c r="DP63" s="25" t="str">
        <f>IF($CU63&gt;=RAF,"",IF($CU63-DP$103&lt;BeginnAlter,"",ROUND(v^($CU63+FaktorAlter)*$L63*$D63*0.5*(VLOOKUP($CU63-DP$103,Männer!$G$9:$J$102,4)+VLOOKUP($CU63-DP$103+1,Männer!$G$9:$J$102,4))*0.5*(VLOOKUP($CU63-DP$103,Männer!$AZ$9:$BD$102,5)+VLOOKUP($CU63-DP$103+1,Männer!$AZ$9:$BD$102,5)),RundDx)))</f>
        <v/>
      </c>
      <c r="DQ63" s="25" t="str">
        <f>IF($CU63&gt;=RAF,"",IF($CU63-DQ$103&lt;BeginnAlter,"",ROUND(v^($CU63+FaktorAlter)*$L63*$D63*0.5*(VLOOKUP($CU63-DQ$103,Männer!$G$9:$J$102,4)+VLOOKUP($CU63-DQ$103+1,Männer!$G$9:$J$102,4))*0.5*(VLOOKUP($CU63-DQ$103,Männer!$AZ$9:$BD$102,5)+VLOOKUP($CU63-DQ$103+1,Männer!$AZ$9:$BD$102,5)),RundDx)))</f>
        <v/>
      </c>
      <c r="DR63" s="25" t="str">
        <f>IF($CU63&gt;=RAF,"",IF($CU63-DR$103&lt;BeginnAlter,"",ROUND(v^($CU63+FaktorAlter)*$L63*$D63*0.5*(VLOOKUP($CU63-DR$103,Männer!$G$9:$J$102,4)+VLOOKUP($CU63-DR$103+1,Männer!$G$9:$J$102,4))*0.5*(VLOOKUP($CU63-DR$103,Männer!$AZ$9:$BD$102,5)+VLOOKUP($CU63-DR$103+1,Männer!$AZ$9:$BD$102,5)),RundDx)))</f>
        <v/>
      </c>
      <c r="DS63" s="25" t="str">
        <f>IF($CU63&gt;=RAF,"",IF($CU63-DS$103&lt;BeginnAlter,"",ROUND(v^($CU63+FaktorAlter)*$L63*$D63*0.5*(VLOOKUP($CU63-DS$103,Männer!$G$9:$J$102,4)+VLOOKUP($CU63-DS$103+1,Männer!$G$9:$J$102,4))*0.5*(VLOOKUP($CU63-DS$103,Männer!$AZ$9:$BD$102,5)+VLOOKUP($CU63-DS$103+1,Männer!$AZ$9:$BD$102,5)),RundDx)))</f>
        <v/>
      </c>
      <c r="DT63" s="25" t="str">
        <f>IF($CU63&gt;=RAF,"",IF($CU63-DT$103&lt;BeginnAlter,"",ROUND(v^($CU63+FaktorAlter)*$L63*$D63*0.5*(VLOOKUP($CU63-DT$103,Männer!$G$9:$J$102,4)+VLOOKUP($CU63-DT$103+1,Männer!$G$9:$J$102,4))*0.5*(VLOOKUP($CU63-DT$103,Männer!$AZ$9:$BD$102,5)+VLOOKUP($CU63-DT$103+1,Männer!$AZ$9:$BD$102,5)),RundDx)))</f>
        <v/>
      </c>
      <c r="DU63" s="25" t="str">
        <f>IF($CU63&gt;=RAF,"",IF($CU63-DU$103&lt;BeginnAlter,"",ROUND(v^($CU63+FaktorAlter)*$L63*$D63*0.5*(VLOOKUP($CU63-DU$103,Männer!$G$9:$J$102,4)+VLOOKUP($CU63-DU$103+1,Männer!$G$9:$J$102,4))*0.5*(VLOOKUP($CU63-DU$103,Männer!$AZ$9:$BD$102,5)+VLOOKUP($CU63-DU$103+1,Männer!$AZ$9:$BD$102,5)),RundDx)))</f>
        <v/>
      </c>
      <c r="DV63" s="25" t="str">
        <f>IF($CU63&gt;=RAF,"",IF($CU63-DV$103&lt;BeginnAlter,"",ROUND(v^($CU63+FaktorAlter)*$L63*$D63*0.5*(VLOOKUP($CU63-DV$103,Männer!$G$9:$J$102,4)+VLOOKUP($CU63-DV$103+1,Männer!$G$9:$J$102,4))*0.5*(VLOOKUP($CU63-DV$103,Männer!$AZ$9:$BD$102,5)+VLOOKUP($CU63-DV$103+1,Männer!$AZ$9:$BD$102,5)),RundDx)))</f>
        <v/>
      </c>
      <c r="DW63" s="25" t="str">
        <f>IF($CU63&gt;=RAF,"",IF($CU63-DW$103&lt;BeginnAlter,"",ROUND(v^($CU63+FaktorAlter)*$L63*$D63*0.5*(VLOOKUP($CU63-DW$103,Männer!$G$9:$J$102,4)+VLOOKUP($CU63-DW$103+1,Männer!$G$9:$J$102,4))*0.5*(VLOOKUP($CU63-DW$103,Männer!$AZ$9:$BD$102,5)+VLOOKUP($CU63-DW$103+1,Männer!$AZ$9:$BD$102,5)),RundDx)))</f>
        <v/>
      </c>
      <c r="DX63" s="25" t="str">
        <f>IF($CU63&gt;=RAF,"",IF($CU63-DX$103&lt;BeginnAlter,"",ROUND(v^($CU63+FaktorAlter)*$L63*$D63*0.5*(VLOOKUP($CU63-DX$103,Männer!$G$9:$J$102,4)+VLOOKUP($CU63-DX$103+1,Männer!$G$9:$J$102,4))*0.5*(VLOOKUP($CU63-DX$103,Männer!$AZ$9:$BD$102,5)+VLOOKUP($CU63-DX$103+1,Männer!$AZ$9:$BD$102,5)),RundDx)))</f>
        <v/>
      </c>
      <c r="DY63" s="25" t="str">
        <f>IF($CU63&gt;=RAF,"",IF($CU63-DY$103&lt;BeginnAlter,"",ROUND(v^($CU63+FaktorAlter)*$L63*$D63*0.5*(VLOOKUP($CU63-DY$103,Männer!$G$9:$J$102,4)+VLOOKUP($CU63-DY$103+1,Männer!$G$9:$J$102,4))*0.5*(VLOOKUP($CU63-DY$103,Männer!$AZ$9:$BD$102,5)+VLOOKUP($CU63-DY$103+1,Männer!$AZ$9:$BD$102,5)),RundDx)))</f>
        <v/>
      </c>
      <c r="DZ63" s="25" t="str">
        <f>IF($CU63&gt;=RAF,"",IF($CU63-DZ$103&lt;BeginnAlter,"",ROUND(v^($CU63+FaktorAlter)*$L63*$D63*0.5*(VLOOKUP($CU63-DZ$103,Männer!$G$9:$J$102,4)+VLOOKUP($CU63-DZ$103+1,Männer!$G$9:$J$102,4))*0.5*(VLOOKUP($CU63-DZ$103,Männer!$AZ$9:$BD$102,5)+VLOOKUP($CU63-DZ$103+1,Männer!$AZ$9:$BD$102,5)),RundDx)))</f>
        <v/>
      </c>
      <c r="EA63" s="43" t="str">
        <f>IF($CU63&gt;=RAF,"",IF($CU63-EA$103&lt;BeginnAlter,"",ROUND((SUM(CV$56:CV63)+SUM(FN$9:FN$56))/VLOOKUP($CU63,$AH$9:$AI$102,2)/VLOOKUP($CU63-EA$103,Männer!$G$9:$J$102,4),Rundäx)))</f>
        <v/>
      </c>
      <c r="EB63" s="43" t="str">
        <f>IF($CU63&gt;=RAF,"",IF($CU63-EB$103&lt;BeginnAlter,"",ROUND((SUM(CW$56:CW63)+SUM(FO$9:FO$56))/VLOOKUP($CU63,$AH$9:$AI$102,2)/VLOOKUP($CU63-EB$103,Männer!$G$9:$J$102,4),Rundäx)))</f>
        <v/>
      </c>
      <c r="EC63" s="43" t="str">
        <f>IF($CU63&gt;=RAF,"",IF($CU63-EC$103&lt;BeginnAlter,"",ROUND((SUM(CX$56:CX63)+SUM(FP$9:FP$56))/VLOOKUP($CU63,$AH$9:$AI$102,2)/VLOOKUP($CU63-EC$103,Männer!$G$9:$J$102,4),Rundäx)))</f>
        <v/>
      </c>
      <c r="ED63" s="43" t="str">
        <f>IF($CU63&gt;=RAF,"",IF($CU63-ED$103&lt;BeginnAlter,"",ROUND((SUM(CY$56:CY63)+SUM(FQ$9:FQ$56))/VLOOKUP($CU63,$AH$9:$AI$102,2)/VLOOKUP($CU63-ED$103,Männer!$G$9:$J$102,4),Rundäx)))</f>
        <v/>
      </c>
      <c r="EE63" s="43" t="str">
        <f>IF($CU63&gt;=RAF,"",IF($CU63-EE$103&lt;BeginnAlter,"",ROUND((SUM(CZ$56:CZ63)+SUM(FR$9:FR$56))/VLOOKUP($CU63,$AH$9:$AI$102,2)/VLOOKUP($CU63-EE$103,Männer!$G$9:$J$102,4),Rundäx)))</f>
        <v/>
      </c>
      <c r="EF63" s="43" t="str">
        <f>IF($CU63&gt;=RAF,"",IF($CU63-EF$103&lt;BeginnAlter,"",ROUND((SUM(DA$56:DA63)+SUM(FS$9:FS$56))/VLOOKUP($CU63,$AH$9:$AI$102,2)/VLOOKUP($CU63-EF$103,Männer!$G$9:$J$102,4),Rundäx)))</f>
        <v/>
      </c>
      <c r="EG63" s="43" t="str">
        <f>IF($CU63&gt;=RAF,"",IF($CU63-EG$103&lt;BeginnAlter,"",ROUND((SUM(DB$56:DB63)+SUM(FT$9:FT$56))/VLOOKUP($CU63,$AH$9:$AI$102,2)/VLOOKUP($CU63-EG$103,Männer!$G$9:$J$102,4),Rundäx)))</f>
        <v/>
      </c>
      <c r="EH63" s="43" t="str">
        <f>IF($CU63&gt;=RAF,"",IF($CU63-EH$103&lt;BeginnAlter,"",ROUND((SUM(DC$56:DC63)+SUM(FU$9:FU$56))/VLOOKUP($CU63,$AH$9:$AI$102,2)/VLOOKUP($CU63-EH$103,Männer!$G$9:$J$102,4),Rundäx)))</f>
        <v/>
      </c>
      <c r="EI63" s="89"/>
      <c r="EJ63" s="35">
        <f t="shared" si="61"/>
        <v>71</v>
      </c>
      <c r="EK63" s="43" t="str">
        <f>IF($CU63&gt;=RAF,"",IF($CU63-EK$103&lt;BeginnAlter,"",ROUND((SUM(DD$56:DD63)+SUM(FV$9:FV$56))/VLOOKUP($CU63,$AH$9:$AI$102,2)/VLOOKUP($CU63-EK$103,Männer!$G$9:$J$102,4),Rundäx)))</f>
        <v/>
      </c>
      <c r="EL63" s="43" t="str">
        <f>IF($CU63&gt;=RAF,"",IF($CU63-EL$103&lt;BeginnAlter,"",ROUND((SUM(DE$56:DE63)+SUM(FW$9:FW$56))/VLOOKUP($CU63,$AH$9:$AI$102,2)/VLOOKUP($CU63-EL$103,Männer!$G$9:$J$102,4),Rundäx)))</f>
        <v/>
      </c>
      <c r="EM63" s="43" t="str">
        <f>IF($CU63&gt;=RAF,"",IF($CU63-EM$103&lt;BeginnAlter,"",ROUND((SUM(DF$56:DF63)+SUM(FX$9:FX$56))/VLOOKUP($CU63,$AH$9:$AI$102,2)/VLOOKUP($CU63-EM$103,Männer!$G$9:$J$102,4),Rundäx)))</f>
        <v/>
      </c>
      <c r="EN63" s="43" t="str">
        <f>IF($CU63&gt;=RAF,"",IF($CU63-EN$103&lt;BeginnAlter,"",ROUND((SUM(DG$56:DG63)+SUM(FY$9:FY$56))/VLOOKUP($CU63,$AH$9:$AI$102,2)/VLOOKUP($CU63-EN$103,Männer!$G$9:$J$102,4),Rundäx)))</f>
        <v/>
      </c>
      <c r="EO63" s="43" t="str">
        <f>IF($CU63&gt;=RAF,"",IF($CU63-EO$103&lt;BeginnAlter,"",ROUND((SUM(DH$56:DH63)+SUM(FZ$9:FZ$56))/VLOOKUP($CU63,$AH$9:$AI$102,2)/VLOOKUP($CU63-EO$103,Männer!$G$9:$J$102,4),Rundäx)))</f>
        <v/>
      </c>
      <c r="EP63" s="43" t="str">
        <f>IF($CU63&gt;=RAF,"",IF($CU63-EP$103&lt;BeginnAlter,"",ROUND((SUM(DI$56:DI63)+SUM(GA$9:GA$56))/VLOOKUP($CU63,$AH$9:$AI$102,2)/VLOOKUP($CU63-EP$103,Männer!$G$9:$J$102,4),Rundäx)))</f>
        <v/>
      </c>
      <c r="EQ63" s="43" t="str">
        <f>IF($CU63&gt;=RAF,"",IF($CU63-EQ$103&lt;BeginnAlter,"",ROUND((SUM(DJ$56:DJ63)+SUM(GB$9:GB$56))/VLOOKUP($CU63,$AH$9:$AI$102,2)/VLOOKUP($CU63-EQ$103,Männer!$G$9:$J$102,4),Rundäx)))</f>
        <v/>
      </c>
      <c r="ER63" s="43" t="str">
        <f>IF($CU63&gt;=RAF,"",IF($CU63-ER$103&lt;BeginnAlter,"",ROUND((SUM(DK$56:DK63)+SUM(GC$9:GC$56))/VLOOKUP($CU63,$AH$9:$AI$102,2)/VLOOKUP($CU63-ER$103,Männer!$G$9:$J$102,4),Rundäx)))</f>
        <v/>
      </c>
      <c r="ES63" s="89"/>
      <c r="ET63" s="35">
        <f t="shared" si="62"/>
        <v>71</v>
      </c>
      <c r="EU63" s="43" t="str">
        <f>IF($CU63&gt;=RAF,"",IF($CU63-EU$103&lt;BeginnAlter,"",ROUND((SUM(DL$56:DL63)+SUM(GD$9:GD$56))/VLOOKUP($CU63,$AH$9:$AI$102,2)/VLOOKUP($CU63-EU$103,Männer!$G$9:$J$102,4),Rundäx)))</f>
        <v/>
      </c>
      <c r="EV63" s="43" t="str">
        <f>IF($CU63&gt;=RAF,"",IF($CU63-EV$103&lt;BeginnAlter,"",ROUND((SUM(DM$56:DM63)+SUM(GE$9:GE$56))/VLOOKUP($CU63,$AH$9:$AI$102,2)/VLOOKUP($CU63-EV$103,Männer!$G$9:$J$102,4),Rundäx)))</f>
        <v/>
      </c>
      <c r="EW63" s="43" t="str">
        <f>IF($CU63&gt;=RAF,"",IF($CU63-EW$103&lt;BeginnAlter,"",ROUND((SUM(DN$56:DN63)+SUM(GF$9:GF$56))/VLOOKUP($CU63,$AH$9:$AI$102,2)/VLOOKUP($CU63-EW$103,Männer!$G$9:$J$102,4),Rundäx)))</f>
        <v/>
      </c>
      <c r="EX63" s="43" t="str">
        <f>IF($CU63&gt;=RAF,"",IF($CU63-EX$103&lt;BeginnAlter,"",ROUND((SUM(DO$56:DO63)+SUM(GG$9:GG$56))/VLOOKUP($CU63,$AH$9:$AI$102,2)/VLOOKUP($CU63-EX$103,Männer!$G$9:$J$102,4),Rundäx)))</f>
        <v/>
      </c>
      <c r="EY63" s="43" t="str">
        <f>IF($CU63&gt;=RAF,"",IF($CU63-EY$103&lt;BeginnAlter,"",ROUND((SUM(DP$56:DP63)+SUM(GH$9:GH$56))/VLOOKUP($CU63,$AH$9:$AI$102,2)/VLOOKUP($CU63-EY$103,Männer!$G$9:$J$102,4),Rundäx)))</f>
        <v/>
      </c>
      <c r="EZ63" s="43" t="str">
        <f>IF($CU63&gt;=RAF,"",IF($CU63-EZ$103&lt;BeginnAlter,"",ROUND((SUM(DQ$56:DQ63)+SUM(GI$9:GI$56))/VLOOKUP($CU63,$AH$9:$AI$102,2)/VLOOKUP($CU63-EZ$103,Männer!$G$9:$J$102,4),Rundäx)))</f>
        <v/>
      </c>
      <c r="FA63" s="43" t="str">
        <f>IF($CU63&gt;=RAF,"",IF($CU63-FA$103&lt;BeginnAlter,"",ROUND((SUM(DR$56:DR63)+SUM(GJ$9:GJ$56))/VLOOKUP($CU63,$AH$9:$AI$102,2)/VLOOKUP($CU63-FA$103,Männer!$G$9:$J$102,4),Rundäx)))</f>
        <v/>
      </c>
      <c r="FB63" s="43" t="str">
        <f>IF($CU63&gt;=RAF,"",IF($CU63-FB$103&lt;BeginnAlter,"",ROUND((SUM(DS$56:DS63)+SUM(GK$9:GK$56))/VLOOKUP($CU63,$AH$9:$AI$102,2)/VLOOKUP($CU63-FB$103,Männer!$G$9:$J$102,4),Rundäx)))</f>
        <v/>
      </c>
      <c r="FC63" s="89"/>
      <c r="FD63" s="35">
        <f t="shared" si="63"/>
        <v>71</v>
      </c>
      <c r="FE63" s="43" t="str">
        <f>IF($CU63&gt;=RAF,"",IF($CU63-FE$103&lt;BeginnAlter,"",ROUND((SUM(DT$56:DT63)+SUM(GL$9:GL$56))/VLOOKUP($CU63,$AH$9:$AI$102,2)/VLOOKUP($CU63-FE$103,Männer!$G$9:$J$102,4),Rundäx)))</f>
        <v/>
      </c>
      <c r="FF63" s="43" t="str">
        <f>IF($CU63&gt;=RAF,"",IF($CU63-FF$103&lt;BeginnAlter,"",ROUND((SUM(DU$56:DU63)+SUM(GM$9:GM$56))/VLOOKUP($CU63,$AH$9:$AI$102,2)/VLOOKUP($CU63-FF$103,Männer!$G$9:$J$102,4),Rundäx)))</f>
        <v/>
      </c>
      <c r="FG63" s="43" t="str">
        <f>IF($CU63&gt;=RAF,"",IF($CU63-FG$103&lt;BeginnAlter,"",ROUND((SUM(DV$56:DV63)+SUM(GN$9:GN$56))/VLOOKUP($CU63,$AH$9:$AI$102,2)/VLOOKUP($CU63-FG$103,Männer!$G$9:$J$102,4),Rundäx)))</f>
        <v/>
      </c>
      <c r="FH63" s="43" t="str">
        <f>IF($CU63&gt;=RAF,"",IF($CU63-FH$103&lt;BeginnAlter,"",ROUND((SUM(DW$56:DW63)+SUM(GO$9:GO$56))/VLOOKUP($CU63,$AH$9:$AI$102,2)/VLOOKUP($CU63-FH$103,Männer!$G$9:$J$102,4),Rundäx)))</f>
        <v/>
      </c>
      <c r="FI63" s="43" t="str">
        <f>IF($CU63&gt;=RAF,"",IF($CU63-FI$103&lt;BeginnAlter,"",ROUND((SUM(DX$56:DX63)+SUM(GP$9:GP$56))/VLOOKUP($CU63,$AH$9:$AI$102,2)/VLOOKUP($CU63-FI$103,Männer!$G$9:$J$102,4),Rundäx)))</f>
        <v/>
      </c>
      <c r="FJ63" s="43" t="str">
        <f>IF($CU63&gt;=RAF,"",IF($CU63-FJ$103&lt;BeginnAlter,"",ROUND((SUM(DY$56:DY63)+SUM(GQ$9:GQ$56))/VLOOKUP($CU63,$AH$9:$AI$102,2)/VLOOKUP($CU63-FJ$103,Männer!$G$9:$J$102,4),Rundäx)))</f>
        <v/>
      </c>
      <c r="FK63" s="43" t="str">
        <f>IF($CU63&gt;=RAF,"",IF($CU63-FK$103&lt;BeginnAlter,"",ROUND((SUM(DZ$56:DZ63)+SUM(GR$9:GR$56))/VLOOKUP($CU63,$AH$9:$AI$102,2)/VLOOKUP($CU63-FK$103,Männer!$G$9:$J$102,4),Rundäx)))</f>
        <v/>
      </c>
      <c r="FL63" s="89"/>
      <c r="FM63" s="35">
        <f t="shared" si="64"/>
        <v>118</v>
      </c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4"/>
      <c r="GT63" s="24"/>
      <c r="GU63" s="24" t="str">
        <f>IF(FM63&gt;=RAF," ",#REF!/$AI63/Frauen!$J51)</f>
        <v xml:space="preserve"> </v>
      </c>
      <c r="GV63" s="24" t="str">
        <f>IF(FM63&gt;=RAF," ",#REF!/$AI63/Frauen!$J54)</f>
        <v xml:space="preserve"> </v>
      </c>
      <c r="GW63" s="24" t="str">
        <f>IF(FM63&gt;=RAF," ",#REF!/$AI63/Frauen!$J57)</f>
        <v xml:space="preserve"> </v>
      </c>
      <c r="GX63" s="24" t="str">
        <f>IF(FM63&gt;=RAF," ",#REF!/$AI63/Frauen!$J60)</f>
        <v xml:space="preserve"> </v>
      </c>
      <c r="GY63" s="24" t="str">
        <f>IF(FM63&gt;=RAF," ",#REF!/$AI63/Frauen!$J63)</f>
        <v xml:space="preserve"> </v>
      </c>
      <c r="GZ63" s="24" t="str">
        <f>IF(FM63&gt;=RAF," ",#REF!/$AI63/Frauen!$J66)</f>
        <v xml:space="preserve"> </v>
      </c>
      <c r="HA63" s="89"/>
      <c r="HB63" s="35">
        <f t="shared" si="65"/>
        <v>118</v>
      </c>
      <c r="HC63" s="24"/>
      <c r="HD63" s="24"/>
      <c r="HE63" s="24"/>
      <c r="HF63" s="24"/>
      <c r="HG63" s="24"/>
      <c r="HH63" s="24"/>
      <c r="HI63" s="24"/>
      <c r="HJ63" s="24"/>
      <c r="HK63" s="89"/>
      <c r="HL63" s="35">
        <f t="shared" si="66"/>
        <v>118</v>
      </c>
      <c r="HM63" s="24"/>
      <c r="HN63" s="24"/>
      <c r="HO63" s="24"/>
      <c r="HP63" s="24"/>
      <c r="HQ63" s="24"/>
      <c r="HR63" s="24"/>
      <c r="HS63" s="24"/>
      <c r="HT63" s="24"/>
      <c r="HU63" s="89"/>
      <c r="HV63" s="35">
        <f t="shared" si="67"/>
        <v>118</v>
      </c>
      <c r="HW63" s="24"/>
      <c r="HX63" s="24"/>
      <c r="HY63" s="24"/>
      <c r="HZ63" s="24"/>
      <c r="IA63" s="24"/>
      <c r="IB63" s="24"/>
      <c r="IC63" s="24"/>
      <c r="ID63" s="89"/>
      <c r="IE63" s="9">
        <f t="shared" si="80"/>
        <v>71</v>
      </c>
      <c r="IF63" s="11" t="str">
        <f t="shared" si="25"/>
        <v/>
      </c>
      <c r="IG63" s="11" t="str">
        <f>IF($IE63&lt;RAF,IF(S64&lt;=RAK,ROUND(SUM(IF63:INDEX(Daky,RAF-BeginnAlter))+INDEX(Day,RAF-BeginnAlter+1)*INDEX(äky,1),RundDx),0),"")</f>
        <v/>
      </c>
      <c r="IH63" s="11" t="str">
        <f>IF($IE63&lt;RAF,IF(S64&lt;=RAK,ROUND(SUM(IG63:INDEX(Naky,RAF-BeginnAlter))+INDEX(Day,RAF-BeginnAlter+1)*INDEX(äky,1),RundDx),0),"")</f>
        <v/>
      </c>
      <c r="II63" s="10" t="str">
        <f t="shared" si="26"/>
        <v/>
      </c>
      <c r="IJ63" s="11" t="str">
        <f t="shared" si="27"/>
        <v/>
      </c>
      <c r="IK63" s="11" t="str">
        <f>IF($IE63&lt;RAF,IF(S64&lt;=RAK,SUM(IJ63:INDEX(Diky,RAF-BeginnAlter))+INDEX(Diy,RAF-BeginnAlter+1)*INDEX(äky,1),0),"")</f>
        <v/>
      </c>
      <c r="IL63" s="10" t="str">
        <f t="shared" si="28"/>
        <v/>
      </c>
      <c r="IM63" s="89"/>
      <c r="IN63" s="9">
        <f t="shared" si="29"/>
        <v>118</v>
      </c>
      <c r="IO63" s="11"/>
      <c r="IP63" s="11"/>
      <c r="IQ63" s="10"/>
      <c r="IR63" s="86"/>
    </row>
    <row r="64" spans="1:252" ht="15.75" customHeight="1" x14ac:dyDescent="0.25">
      <c r="A64" s="9">
        <f t="shared" si="69"/>
        <v>72</v>
      </c>
      <c r="B64" s="93"/>
      <c r="C64" s="93"/>
      <c r="D64" s="93"/>
      <c r="E64" s="93">
        <v>1.7299999999999999E-2</v>
      </c>
      <c r="F64" s="89"/>
      <c r="G64" s="9">
        <f t="shared" si="70"/>
        <v>72</v>
      </c>
      <c r="H64" s="11" t="str">
        <f t="shared" si="30"/>
        <v/>
      </c>
      <c r="I64" s="25" t="str">
        <f t="shared" si="31"/>
        <v/>
      </c>
      <c r="J64" s="25">
        <f t="shared" si="32"/>
        <v>81029</v>
      </c>
      <c r="K64" s="30">
        <f>IF(J64&gt;0,ROUND(SUM(J64:J$102)/J64-0.5,Rundex),"")</f>
        <v>15.09</v>
      </c>
      <c r="L64" s="25">
        <f t="shared" si="6"/>
        <v>81029</v>
      </c>
      <c r="M64" s="30">
        <f>IF(L64&gt;0,ROUND(SUM(L64:L$102)/L64-0.5,Rundex),"")</f>
        <v>15.09</v>
      </c>
      <c r="N64" s="89"/>
      <c r="O64" s="9">
        <f t="shared" si="71"/>
        <v>72</v>
      </c>
      <c r="P64" s="94">
        <v>4.5938462878643879E-2</v>
      </c>
      <c r="Q64" s="95">
        <v>73.205834786127198</v>
      </c>
      <c r="R64" s="94"/>
      <c r="S64" s="95"/>
      <c r="T64" s="28">
        <v>1.3071373716208947E-2</v>
      </c>
      <c r="U64" s="11">
        <f t="shared" si="33"/>
        <v>84673</v>
      </c>
      <c r="V64" s="30">
        <f>IF(U64&gt;0,ROUND(SUM(U64:U$102)/U64-0.5,Rundex),"")</f>
        <v>15.59</v>
      </c>
      <c r="W64" s="89"/>
      <c r="X64" s="9">
        <f t="shared" si="72"/>
        <v>72</v>
      </c>
      <c r="Y64" s="11" t="str">
        <f t="shared" si="34"/>
        <v xml:space="preserve"> </v>
      </c>
      <c r="Z64" s="11" t="str">
        <f>IF($X64&lt;RAF,SUM(Y64:INDEX(Day,RAF-BeginnAlter))," ")</f>
        <v xml:space="preserve"> </v>
      </c>
      <c r="AA64" s="11" t="str">
        <f t="shared" si="0"/>
        <v xml:space="preserve"> </v>
      </c>
      <c r="AB64" s="11" t="str">
        <f>IF($X64&lt;RAF,SUM(AA64:INDEX(Cay,RAF-BeginnAlter))," ")</f>
        <v xml:space="preserve"> </v>
      </c>
      <c r="AC64" s="11" t="str">
        <f t="shared" si="1"/>
        <v xml:space="preserve"> </v>
      </c>
      <c r="AD64" s="11" t="str">
        <f>IF($X64&lt;RAF,SUM(AC64:INDEX(Caiy,RAF-BeginnAlter))," ")</f>
        <v xml:space="preserve"> </v>
      </c>
      <c r="AE64" s="10" t="str">
        <f t="shared" si="35"/>
        <v xml:space="preserve"> </v>
      </c>
      <c r="AF64" s="10" t="str">
        <f t="shared" si="36"/>
        <v xml:space="preserve"> </v>
      </c>
      <c r="AG64" s="89"/>
      <c r="AH64" s="9">
        <f t="shared" si="73"/>
        <v>72</v>
      </c>
      <c r="AI64" s="11" t="str">
        <f t="shared" si="37"/>
        <v xml:space="preserve"> </v>
      </c>
      <c r="AJ64" s="11" t="str">
        <f>IF($AH64&gt;RAF," ",IF($AH64&lt;RAF,SUM(AI64:INDEX(Diy,RAF-BeginnAlter))+INDEX(Ny,RAF-BeginnAlter+1),INDEX(Ny,RAF-BeginnAlter+1)))</f>
        <v xml:space="preserve"> </v>
      </c>
      <c r="AK64" s="11" t="str">
        <f>IF($AH64&lt;RAF,SUM(AI64:INDEX(Diy,RAF-BeginnAlter))," ")</f>
        <v xml:space="preserve"> </v>
      </c>
      <c r="AL64" s="10" t="str">
        <f t="shared" si="38"/>
        <v xml:space="preserve"> </v>
      </c>
      <c r="AM64" s="10" t="str">
        <f t="shared" si="39"/>
        <v xml:space="preserve"> </v>
      </c>
      <c r="AN64" s="10" t="str">
        <f t="shared" si="40"/>
        <v xml:space="preserve"> </v>
      </c>
      <c r="AO64" s="10" t="str">
        <f t="shared" si="41"/>
        <v xml:space="preserve"> </v>
      </c>
      <c r="AP64" s="89"/>
      <c r="AQ64" s="9">
        <f t="shared" si="74"/>
        <v>72</v>
      </c>
      <c r="AR64" s="11">
        <f t="shared" si="42"/>
        <v>16326</v>
      </c>
      <c r="AS64" s="11">
        <f>SUM(AR64:AR$96)</f>
        <v>211437</v>
      </c>
      <c r="AT64" s="25" t="str">
        <f>IF($AQ64&lt;RAF,SUM(AR64:INDEX(Dy,RAF-BeginnAlter))," ")</f>
        <v xml:space="preserve"> </v>
      </c>
      <c r="AU64" s="24">
        <f t="shared" si="43"/>
        <v>12.951000000000001</v>
      </c>
      <c r="AV64" s="24">
        <f t="shared" si="44"/>
        <v>12.493</v>
      </c>
      <c r="AW64" s="24" t="str">
        <f t="shared" si="45"/>
        <v xml:space="preserve"> </v>
      </c>
      <c r="AX64" s="24" t="str">
        <f t="shared" si="46"/>
        <v xml:space="preserve"> </v>
      </c>
      <c r="AY64" s="89"/>
      <c r="AZ64" s="9">
        <f t="shared" si="75"/>
        <v>72</v>
      </c>
      <c r="BA64" s="11">
        <f t="shared" si="47"/>
        <v>17060</v>
      </c>
      <c r="BB64" s="11">
        <f>SUM(BA64:BA$96)</f>
        <v>227008</v>
      </c>
      <c r="BC64" s="10">
        <f t="shared" si="48"/>
        <v>13.305999999999999</v>
      </c>
      <c r="BD64" s="10">
        <f t="shared" si="7"/>
        <v>12.848000000000001</v>
      </c>
      <c r="BE64" s="89"/>
      <c r="BF64" s="9">
        <f t="shared" si="54"/>
        <v>55</v>
      </c>
      <c r="BG64" s="10" t="str">
        <f t="shared" si="8"/>
        <v/>
      </c>
      <c r="BH64" s="10" t="str">
        <f t="shared" si="9"/>
        <v/>
      </c>
      <c r="BI64" s="89"/>
      <c r="BJ64" s="9">
        <f t="shared" si="76"/>
        <v>72</v>
      </c>
      <c r="BK64" s="11" t="str">
        <f t="shared" si="10"/>
        <v xml:space="preserve"> </v>
      </c>
      <c r="BL64" s="11" t="str">
        <f>IF(BJ64&lt;RAF,SUM(BK64:INDEX(Daiy,RAF-BeginnAlter))," ")</f>
        <v xml:space="preserve"> </v>
      </c>
      <c r="BM64" s="11" t="str">
        <f>IF(BJ64&lt;RAF,SUM(BL64:INDEX(Naiy,RAF-BeginnAlter))," ")</f>
        <v xml:space="preserve"> </v>
      </c>
      <c r="BN64" s="10" t="str">
        <f t="shared" si="11"/>
        <v xml:space="preserve"> </v>
      </c>
      <c r="BO64" s="10" t="str">
        <f t="shared" si="12"/>
        <v xml:space="preserve"> </v>
      </c>
      <c r="BP64" s="89"/>
      <c r="BQ64" s="9">
        <f t="shared" si="77"/>
        <v>72</v>
      </c>
      <c r="BR64" s="11" t="str">
        <f t="shared" si="13"/>
        <v xml:space="preserve"> </v>
      </c>
      <c r="BS64" s="11" t="str">
        <f>IF(BQ64&lt;RAF,SUM(BR64:INDEX(Daiys,RAF-BeginnAlter))," ")</f>
        <v xml:space="preserve"> </v>
      </c>
      <c r="BT64" s="11" t="str">
        <f>IF(BQ64&lt;RAF,SUM(BS64:INDEX(Naiys,RAF-BeginnAlter))," ")</f>
        <v xml:space="preserve"> </v>
      </c>
      <c r="BU64" s="10" t="str">
        <f t="shared" si="14"/>
        <v xml:space="preserve"> </v>
      </c>
      <c r="BV64" s="10" t="str">
        <f t="shared" si="15"/>
        <v xml:space="preserve"> </v>
      </c>
      <c r="BW64" s="89"/>
      <c r="BX64" s="9">
        <f t="shared" si="78"/>
        <v>72</v>
      </c>
      <c r="BY64" s="10" t="str">
        <f t="shared" si="16"/>
        <v/>
      </c>
      <c r="BZ64" s="11" t="str">
        <f t="shared" si="17"/>
        <v/>
      </c>
      <c r="CA64" s="11" t="str">
        <f>IF(S65&lt;=RAK,IF($BX64&lt;RAF,SUM(BZ64:INDEX(Dazy,RAF-BeginnAlter)),""),"")</f>
        <v/>
      </c>
      <c r="CB64" s="10" t="str">
        <f t="shared" si="18"/>
        <v/>
      </c>
      <c r="CC64" s="11">
        <f t="shared" si="19"/>
        <v>0</v>
      </c>
      <c r="CD64" s="10">
        <f t="shared" si="20"/>
        <v>0</v>
      </c>
      <c r="CE64" s="10" t="str">
        <f t="shared" si="21"/>
        <v/>
      </c>
      <c r="CF64" s="89"/>
      <c r="CG64" s="9">
        <f t="shared" si="79"/>
        <v>72</v>
      </c>
      <c r="CH64" s="11" t="str">
        <f>IF(CG64&lt;RAF,ROUND(v^($CG64+FaktorAlter)*$H64*($B64*0.5*($P64+$P65)*(VLOOKUP(TRUNC(0.5*($Q64+$Q65),0),Männer!$AZ$9:$BD$95,5)+(0.5*($Q64+$Q65)-TRUNC(0.5*($Q64+$Q65),0))*(VLOOKUP(TRUNC(0.5*($Q64+$Q65)+1,0),Männer!$AZ$9:$BD$95,5)-VLOOKUP(TRUNC(0.5*($Q64+$Q65),0),Männer!$AZ$9:$BD$95,5)))+$C64*0.5*($CN64+$CN65)),RundDx),"")</f>
        <v/>
      </c>
      <c r="CI64" s="11" t="str">
        <f>IF(CG64&lt;RAF,ROUND(SUM(CH64:INDEX(Dawy,RAF-BeginnAlter))+INDEX(Day,RAF-BeginnAlter+1)*INDEX(äwy,1),RundDx),"")</f>
        <v/>
      </c>
      <c r="CJ64" s="11" t="str">
        <f>IF(CG64&lt;RAF,ROUND(SUM(CI64:INDEX(Nawy,RAF-BeginnAlter))+INDEX(Day,RAF-BeginnAlter+1)*INDEX(äwy,1),RundDx),"")</f>
        <v/>
      </c>
      <c r="CK64" s="10" t="str">
        <f t="shared" si="22"/>
        <v/>
      </c>
      <c r="CL64" s="11" t="str">
        <f>IF(CG64&lt;RAF,ROUND(v^($CG64+FaktorAlter)*$L64*$D64*0.5*($P64+$P65)*(VLOOKUP(TRUNC(0.5*($Q64+$Q65),0),Männer!$AZ$9:$BD$95,5)+(0.5*($Q64+$Q65)-TRUNC(0.5*($Q64+$Q65),0))*(VLOOKUP(TRUNC(0.5*($Q64+$Q65)+1,0),Männer!$AZ$9:$BD$95,5)-VLOOKUP(TRUNC(0.5*($Q64+$Q65),0),Männer!$AZ$9:$BD$95,5))),RundDx),"")</f>
        <v/>
      </c>
      <c r="CM64" s="11" t="str">
        <f>IF(CG64&lt;RAF,SUM(CL64:INDEX(Diwy,RAF-BeginnAlter))+INDEX(Diy,RAF-BeginnAlter+1)*INDEX(äwy,1),"")</f>
        <v/>
      </c>
      <c r="CN64" s="10" t="str">
        <f t="shared" si="23"/>
        <v/>
      </c>
      <c r="CO64" s="89"/>
      <c r="CP64" s="9">
        <f t="shared" si="59"/>
        <v>119</v>
      </c>
      <c r="CQ64" s="11"/>
      <c r="CR64" s="11"/>
      <c r="CS64" s="10"/>
      <c r="CT64" s="89"/>
      <c r="CU64" s="35">
        <f t="shared" si="60"/>
        <v>72</v>
      </c>
      <c r="CV64" s="25" t="str">
        <f>IF($CU64&gt;=RAF,"",IF($CU64-CV$103&lt;BeginnAlter,"",ROUND(v^($CU64+FaktorAlter)*$L64*$D64*0.5*(VLOOKUP($CU64-CV$103,Männer!$G$9:$J$102,4)+VLOOKUP($CU64-CV$103+1,Männer!$G$9:$J$102,4))*0.5*(VLOOKUP($CU64-CV$103,Männer!$AZ$9:$BD$102,5)+VLOOKUP($CU64-CV$103+1,Männer!$AZ$9:$BD$102,5)),RundDx)))</f>
        <v/>
      </c>
      <c r="CW64" s="25" t="str">
        <f>IF($CU64&gt;=RAF,"",IF($CU64-CW$103&lt;BeginnAlter,"",ROUND(v^($CU64+FaktorAlter)*$L64*$D64*0.5*(VLOOKUP($CU64-CW$103,Männer!$G$9:$J$102,4)+VLOOKUP($CU64-CW$103+1,Männer!$G$9:$J$102,4))*0.5*(VLOOKUP($CU64-CW$103,Männer!$AZ$9:$BD$102,5)+VLOOKUP($CU64-CW$103+1,Männer!$AZ$9:$BD$102,5)),RundDx)))</f>
        <v/>
      </c>
      <c r="CX64" s="25" t="str">
        <f>IF($CU64&gt;=RAF,"",IF($CU64-CX$103&lt;BeginnAlter,"",ROUND(v^($CU64+FaktorAlter)*$L64*$D64*0.5*(VLOOKUP($CU64-CX$103,Männer!$G$9:$J$102,4)+VLOOKUP($CU64-CX$103+1,Männer!$G$9:$J$102,4))*0.5*(VLOOKUP($CU64-CX$103,Männer!$AZ$9:$BD$102,5)+VLOOKUP($CU64-CX$103+1,Männer!$AZ$9:$BD$102,5)),RundDx)))</f>
        <v/>
      </c>
      <c r="CY64" s="25" t="str">
        <f>IF($CU64&gt;=RAF,"",IF($CU64-CY$103&lt;BeginnAlter,"",ROUND(v^($CU64+FaktorAlter)*$L64*$D64*0.5*(VLOOKUP($CU64-CY$103,Männer!$G$9:$J$102,4)+VLOOKUP($CU64-CY$103+1,Männer!$G$9:$J$102,4))*0.5*(VLOOKUP($CU64-CY$103,Männer!$AZ$9:$BD$102,5)+VLOOKUP($CU64-CY$103+1,Männer!$AZ$9:$BD$102,5)),RundDx)))</f>
        <v/>
      </c>
      <c r="CZ64" s="25" t="str">
        <f>IF($CU64&gt;=RAF,"",IF($CU64-CZ$103&lt;BeginnAlter,"",ROUND(v^($CU64+FaktorAlter)*$L64*$D64*0.5*(VLOOKUP($CU64-CZ$103,Männer!$G$9:$J$102,4)+VLOOKUP($CU64-CZ$103+1,Männer!$G$9:$J$102,4))*0.5*(VLOOKUP($CU64-CZ$103,Männer!$AZ$9:$BD$102,5)+VLOOKUP($CU64-CZ$103+1,Männer!$AZ$9:$BD$102,5)),RundDx)))</f>
        <v/>
      </c>
      <c r="DA64" s="25" t="str">
        <f>IF($CU64&gt;=RAF,"",IF($CU64-DA$103&lt;BeginnAlter,"",ROUND(v^($CU64+FaktorAlter)*$L64*$D64*0.5*(VLOOKUP($CU64-DA$103,Männer!$G$9:$J$102,4)+VLOOKUP($CU64-DA$103+1,Männer!$G$9:$J$102,4))*0.5*(VLOOKUP($CU64-DA$103,Männer!$AZ$9:$BD$102,5)+VLOOKUP($CU64-DA$103+1,Männer!$AZ$9:$BD$102,5)),RundDx)))</f>
        <v/>
      </c>
      <c r="DB64" s="25" t="str">
        <f>IF($CU64&gt;=RAF,"",IF($CU64-DB$103&lt;BeginnAlter,"",ROUND(v^($CU64+FaktorAlter)*$L64*$D64*0.5*(VLOOKUP($CU64-DB$103,Männer!$G$9:$J$102,4)+VLOOKUP($CU64-DB$103+1,Männer!$G$9:$J$102,4))*0.5*(VLOOKUP($CU64-DB$103,Männer!$AZ$9:$BD$102,5)+VLOOKUP($CU64-DB$103+1,Männer!$AZ$9:$BD$102,5)),RundDx)))</f>
        <v/>
      </c>
      <c r="DC64" s="25" t="str">
        <f>IF($CU64&gt;=RAF,"",IF($CU64-DC$103&lt;BeginnAlter,"",ROUND(v^($CU64+FaktorAlter)*$L64*$D64*0.5*(VLOOKUP($CU64-DC$103,Männer!$G$9:$J$102,4)+VLOOKUP($CU64-DC$103+1,Männer!$G$9:$J$102,4))*0.5*(VLOOKUP($CU64-DC$103,Männer!$AZ$9:$BD$102,5)+VLOOKUP($CU64-DC$103+1,Männer!$AZ$9:$BD$102,5)),RundDx)))</f>
        <v/>
      </c>
      <c r="DD64" s="25" t="str">
        <f>IF($CU64&gt;=RAF,"",IF($CU64-DD$103&lt;BeginnAlter,"",ROUND(v^($CU64+FaktorAlter)*$L64*$D64*0.5*(VLOOKUP($CU64-DD$103,Männer!$G$9:$J$102,4)+VLOOKUP($CU64-DD$103+1,Männer!$G$9:$J$102,4))*0.5*(VLOOKUP($CU64-DD$103,Männer!$AZ$9:$BD$102,5)+VLOOKUP($CU64-DD$103+1,Männer!$AZ$9:$BD$102,5)),RundDx)))</f>
        <v/>
      </c>
      <c r="DE64" s="25" t="str">
        <f>IF($CU64&gt;=RAF,"",IF($CU64-DE$103&lt;BeginnAlter,"",ROUND(v^($CU64+FaktorAlter)*$L64*$D64*0.5*(VLOOKUP($CU64-DE$103,Männer!$G$9:$J$102,4)+VLOOKUP($CU64-DE$103+1,Männer!$G$9:$J$102,4))*0.5*(VLOOKUP($CU64-DE$103,Männer!$AZ$9:$BD$102,5)+VLOOKUP($CU64-DE$103+1,Männer!$AZ$9:$BD$102,5)),RundDx)))</f>
        <v/>
      </c>
      <c r="DF64" s="25" t="str">
        <f>IF($CU64&gt;=RAF,"",IF($CU64-DF$103&lt;BeginnAlter,"",ROUND(v^($CU64+FaktorAlter)*$L64*$D64*0.5*(VLOOKUP($CU64-DF$103,Männer!$G$9:$J$102,4)+VLOOKUP($CU64-DF$103+1,Männer!$G$9:$J$102,4))*0.5*(VLOOKUP($CU64-DF$103,Männer!$AZ$9:$BD$102,5)+VLOOKUP($CU64-DF$103+1,Männer!$AZ$9:$BD$102,5)),RundDx)))</f>
        <v/>
      </c>
      <c r="DG64" s="25" t="str">
        <f>IF($CU64&gt;=RAF,"",IF($CU64-DG$103&lt;BeginnAlter,"",ROUND(v^($CU64+FaktorAlter)*$L64*$D64*0.5*(VLOOKUP($CU64-DG$103,Männer!$G$9:$J$102,4)+VLOOKUP($CU64-DG$103+1,Männer!$G$9:$J$102,4))*0.5*(VLOOKUP($CU64-DG$103,Männer!$AZ$9:$BD$102,5)+VLOOKUP($CU64-DG$103+1,Männer!$AZ$9:$BD$102,5)),RundDx)))</f>
        <v/>
      </c>
      <c r="DH64" s="25" t="str">
        <f>IF($CU64&gt;=RAF,"",IF($CU64-DH$103&lt;BeginnAlter,"",ROUND(v^($CU64+FaktorAlter)*$L64*$D64*0.5*(VLOOKUP($CU64-DH$103,Männer!$G$9:$J$102,4)+VLOOKUP($CU64-DH$103+1,Männer!$G$9:$J$102,4))*0.5*(VLOOKUP($CU64-DH$103,Männer!$AZ$9:$BD$102,5)+VLOOKUP($CU64-DH$103+1,Männer!$AZ$9:$BD$102,5)),RundDx)))</f>
        <v/>
      </c>
      <c r="DI64" s="25" t="str">
        <f>IF($CU64&gt;=RAF,"",IF($CU64-DI$103&lt;BeginnAlter,"",ROUND(v^($CU64+FaktorAlter)*$L64*$D64*0.5*(VLOOKUP($CU64-DI$103,Männer!$G$9:$J$102,4)+VLOOKUP($CU64-DI$103+1,Männer!$G$9:$J$102,4))*0.5*(VLOOKUP($CU64-DI$103,Männer!$AZ$9:$BD$102,5)+VLOOKUP($CU64-DI$103+1,Männer!$AZ$9:$BD$102,5)),RundDx)))</f>
        <v/>
      </c>
      <c r="DJ64" s="25" t="str">
        <f>IF($CU64&gt;=RAF,"",IF($CU64-DJ$103&lt;BeginnAlter,"",ROUND(v^($CU64+FaktorAlter)*$L64*$D64*0.5*(VLOOKUP($CU64-DJ$103,Männer!$G$9:$J$102,4)+VLOOKUP($CU64-DJ$103+1,Männer!$G$9:$J$102,4))*0.5*(VLOOKUP($CU64-DJ$103,Männer!$AZ$9:$BD$102,5)+VLOOKUP($CU64-DJ$103+1,Männer!$AZ$9:$BD$102,5)),RundDx)))</f>
        <v/>
      </c>
      <c r="DK64" s="25" t="str">
        <f>IF($CU64&gt;=RAF,"",IF($CU64-DK$103&lt;BeginnAlter,"",ROUND(v^($CU64+FaktorAlter)*$L64*$D64*0.5*(VLOOKUP($CU64-DK$103,Männer!$G$9:$J$102,4)+VLOOKUP($CU64-DK$103+1,Männer!$G$9:$J$102,4))*0.5*(VLOOKUP($CU64-DK$103,Männer!$AZ$9:$BD$102,5)+VLOOKUP($CU64-DK$103+1,Männer!$AZ$9:$BD$102,5)),RundDx)))</f>
        <v/>
      </c>
      <c r="DL64" s="25" t="str">
        <f>IF($CU64&gt;=RAF,"",IF($CU64-DL$103&lt;BeginnAlter,"",ROUND(v^($CU64+FaktorAlter)*$L64*$D64*0.5*(VLOOKUP($CU64-DL$103,Männer!$G$9:$J$102,4)+VLOOKUP($CU64-DL$103+1,Männer!$G$9:$J$102,4))*0.5*(VLOOKUP($CU64-DL$103,Männer!$AZ$9:$BD$102,5)+VLOOKUP($CU64-DL$103+1,Männer!$AZ$9:$BD$102,5)),RundDx)))</f>
        <v/>
      </c>
      <c r="DM64" s="25" t="str">
        <f>IF($CU64&gt;=RAF,"",IF($CU64-DM$103&lt;BeginnAlter,"",ROUND(v^($CU64+FaktorAlter)*$L64*$D64*0.5*(VLOOKUP($CU64-DM$103,Männer!$G$9:$J$102,4)+VLOOKUP($CU64-DM$103+1,Männer!$G$9:$J$102,4))*0.5*(VLOOKUP($CU64-DM$103,Männer!$AZ$9:$BD$102,5)+VLOOKUP($CU64-DM$103+1,Männer!$AZ$9:$BD$102,5)),RundDx)))</f>
        <v/>
      </c>
      <c r="DN64" s="25" t="str">
        <f>IF($CU64&gt;=RAF,"",IF($CU64-DN$103&lt;BeginnAlter,"",ROUND(v^($CU64+FaktorAlter)*$L64*$D64*0.5*(VLOOKUP($CU64-DN$103,Männer!$G$9:$J$102,4)+VLOOKUP($CU64-DN$103+1,Männer!$G$9:$J$102,4))*0.5*(VLOOKUP($CU64-DN$103,Männer!$AZ$9:$BD$102,5)+VLOOKUP($CU64-DN$103+1,Männer!$AZ$9:$BD$102,5)),RundDx)))</f>
        <v/>
      </c>
      <c r="DO64" s="25" t="str">
        <f>IF($CU64&gt;=RAF,"",IF($CU64-DO$103&lt;BeginnAlter,"",ROUND(v^($CU64+FaktorAlter)*$L64*$D64*0.5*(VLOOKUP($CU64-DO$103,Männer!$G$9:$J$102,4)+VLOOKUP($CU64-DO$103+1,Männer!$G$9:$J$102,4))*0.5*(VLOOKUP($CU64-DO$103,Männer!$AZ$9:$BD$102,5)+VLOOKUP($CU64-DO$103+1,Männer!$AZ$9:$BD$102,5)),RundDx)))</f>
        <v/>
      </c>
      <c r="DP64" s="25" t="str">
        <f>IF($CU64&gt;=RAF,"",IF($CU64-DP$103&lt;BeginnAlter,"",ROUND(v^($CU64+FaktorAlter)*$L64*$D64*0.5*(VLOOKUP($CU64-DP$103,Männer!$G$9:$J$102,4)+VLOOKUP($CU64-DP$103+1,Männer!$G$9:$J$102,4))*0.5*(VLOOKUP($CU64-DP$103,Männer!$AZ$9:$BD$102,5)+VLOOKUP($CU64-DP$103+1,Männer!$AZ$9:$BD$102,5)),RundDx)))</f>
        <v/>
      </c>
      <c r="DQ64" s="25" t="str">
        <f>IF($CU64&gt;=RAF,"",IF($CU64-DQ$103&lt;BeginnAlter,"",ROUND(v^($CU64+FaktorAlter)*$L64*$D64*0.5*(VLOOKUP($CU64-DQ$103,Männer!$G$9:$J$102,4)+VLOOKUP($CU64-DQ$103+1,Männer!$G$9:$J$102,4))*0.5*(VLOOKUP($CU64-DQ$103,Männer!$AZ$9:$BD$102,5)+VLOOKUP($CU64-DQ$103+1,Männer!$AZ$9:$BD$102,5)),RundDx)))</f>
        <v/>
      </c>
      <c r="DR64" s="25" t="str">
        <f>IF($CU64&gt;=RAF,"",IF($CU64-DR$103&lt;BeginnAlter,"",ROUND(v^($CU64+FaktorAlter)*$L64*$D64*0.5*(VLOOKUP($CU64-DR$103,Männer!$G$9:$J$102,4)+VLOOKUP($CU64-DR$103+1,Männer!$G$9:$J$102,4))*0.5*(VLOOKUP($CU64-DR$103,Männer!$AZ$9:$BD$102,5)+VLOOKUP($CU64-DR$103+1,Männer!$AZ$9:$BD$102,5)),RundDx)))</f>
        <v/>
      </c>
      <c r="DS64" s="25" t="str">
        <f>IF($CU64&gt;=RAF,"",IF($CU64-DS$103&lt;BeginnAlter,"",ROUND(v^($CU64+FaktorAlter)*$L64*$D64*0.5*(VLOOKUP($CU64-DS$103,Männer!$G$9:$J$102,4)+VLOOKUP($CU64-DS$103+1,Männer!$G$9:$J$102,4))*0.5*(VLOOKUP($CU64-DS$103,Männer!$AZ$9:$BD$102,5)+VLOOKUP($CU64-DS$103+1,Männer!$AZ$9:$BD$102,5)),RundDx)))</f>
        <v/>
      </c>
      <c r="DT64" s="25" t="str">
        <f>IF($CU64&gt;=RAF,"",IF($CU64-DT$103&lt;BeginnAlter,"",ROUND(v^($CU64+FaktorAlter)*$L64*$D64*0.5*(VLOOKUP($CU64-DT$103,Männer!$G$9:$J$102,4)+VLOOKUP($CU64-DT$103+1,Männer!$G$9:$J$102,4))*0.5*(VLOOKUP($CU64-DT$103,Männer!$AZ$9:$BD$102,5)+VLOOKUP($CU64-DT$103+1,Männer!$AZ$9:$BD$102,5)),RundDx)))</f>
        <v/>
      </c>
      <c r="DU64" s="25" t="str">
        <f>IF($CU64&gt;=RAF,"",IF($CU64-DU$103&lt;BeginnAlter,"",ROUND(v^($CU64+FaktorAlter)*$L64*$D64*0.5*(VLOOKUP($CU64-DU$103,Männer!$G$9:$J$102,4)+VLOOKUP($CU64-DU$103+1,Männer!$G$9:$J$102,4))*0.5*(VLOOKUP($CU64-DU$103,Männer!$AZ$9:$BD$102,5)+VLOOKUP($CU64-DU$103+1,Männer!$AZ$9:$BD$102,5)),RundDx)))</f>
        <v/>
      </c>
      <c r="DV64" s="25" t="str">
        <f>IF($CU64&gt;=RAF,"",IF($CU64-DV$103&lt;BeginnAlter,"",ROUND(v^($CU64+FaktorAlter)*$L64*$D64*0.5*(VLOOKUP($CU64-DV$103,Männer!$G$9:$J$102,4)+VLOOKUP($CU64-DV$103+1,Männer!$G$9:$J$102,4))*0.5*(VLOOKUP($CU64-DV$103,Männer!$AZ$9:$BD$102,5)+VLOOKUP($CU64-DV$103+1,Männer!$AZ$9:$BD$102,5)),RundDx)))</f>
        <v/>
      </c>
      <c r="DW64" s="25" t="str">
        <f>IF($CU64&gt;=RAF,"",IF($CU64-DW$103&lt;BeginnAlter,"",ROUND(v^($CU64+FaktorAlter)*$L64*$D64*0.5*(VLOOKUP($CU64-DW$103,Männer!$G$9:$J$102,4)+VLOOKUP($CU64-DW$103+1,Männer!$G$9:$J$102,4))*0.5*(VLOOKUP($CU64-DW$103,Männer!$AZ$9:$BD$102,5)+VLOOKUP($CU64-DW$103+1,Männer!$AZ$9:$BD$102,5)),RundDx)))</f>
        <v/>
      </c>
      <c r="DX64" s="25" t="str">
        <f>IF($CU64&gt;=RAF,"",IF($CU64-DX$103&lt;BeginnAlter,"",ROUND(v^($CU64+FaktorAlter)*$L64*$D64*0.5*(VLOOKUP($CU64-DX$103,Männer!$G$9:$J$102,4)+VLOOKUP($CU64-DX$103+1,Männer!$G$9:$J$102,4))*0.5*(VLOOKUP($CU64-DX$103,Männer!$AZ$9:$BD$102,5)+VLOOKUP($CU64-DX$103+1,Männer!$AZ$9:$BD$102,5)),RundDx)))</f>
        <v/>
      </c>
      <c r="DY64" s="25" t="str">
        <f>IF($CU64&gt;=RAF,"",IF($CU64-DY$103&lt;BeginnAlter,"",ROUND(v^($CU64+FaktorAlter)*$L64*$D64*0.5*(VLOOKUP($CU64-DY$103,Männer!$G$9:$J$102,4)+VLOOKUP($CU64-DY$103+1,Männer!$G$9:$J$102,4))*0.5*(VLOOKUP($CU64-DY$103,Männer!$AZ$9:$BD$102,5)+VLOOKUP($CU64-DY$103+1,Männer!$AZ$9:$BD$102,5)),RundDx)))</f>
        <v/>
      </c>
      <c r="DZ64" s="25" t="str">
        <f>IF($CU64&gt;=RAF,"",IF($CU64-DZ$103&lt;BeginnAlter,"",ROUND(v^($CU64+FaktorAlter)*$L64*$D64*0.5*(VLOOKUP($CU64-DZ$103,Männer!$G$9:$J$102,4)+VLOOKUP($CU64-DZ$103+1,Männer!$G$9:$J$102,4))*0.5*(VLOOKUP($CU64-DZ$103,Männer!$AZ$9:$BD$102,5)+VLOOKUP($CU64-DZ$103+1,Männer!$AZ$9:$BD$102,5)),RundDx)))</f>
        <v/>
      </c>
      <c r="EA64" s="43" t="str">
        <f>IF($CU64&gt;=RAF,"",IF($CU64-EA$103&lt;BeginnAlter,"",ROUND((SUM(CV$56:CV64)+SUM(FN$9:FN$56))/VLOOKUP($CU64,$AH$9:$AI$102,2)/VLOOKUP($CU64-EA$103,Männer!$G$9:$J$102,4),Rundäx)))</f>
        <v/>
      </c>
      <c r="EB64" s="43" t="str">
        <f>IF($CU64&gt;=RAF,"",IF($CU64-EB$103&lt;BeginnAlter,"",ROUND((SUM(CW$56:CW64)+SUM(FO$9:FO$56))/VLOOKUP($CU64,$AH$9:$AI$102,2)/VLOOKUP($CU64-EB$103,Männer!$G$9:$J$102,4),Rundäx)))</f>
        <v/>
      </c>
      <c r="EC64" s="43" t="str">
        <f>IF($CU64&gt;=RAF,"",IF($CU64-EC$103&lt;BeginnAlter,"",ROUND((SUM(CX$56:CX64)+SUM(FP$9:FP$56))/VLOOKUP($CU64,$AH$9:$AI$102,2)/VLOOKUP($CU64-EC$103,Männer!$G$9:$J$102,4),Rundäx)))</f>
        <v/>
      </c>
      <c r="ED64" s="43" t="str">
        <f>IF($CU64&gt;=RAF,"",IF($CU64-ED$103&lt;BeginnAlter,"",ROUND((SUM(CY$56:CY64)+SUM(FQ$9:FQ$56))/VLOOKUP($CU64,$AH$9:$AI$102,2)/VLOOKUP($CU64-ED$103,Männer!$G$9:$J$102,4),Rundäx)))</f>
        <v/>
      </c>
      <c r="EE64" s="43" t="str">
        <f>IF($CU64&gt;=RAF,"",IF($CU64-EE$103&lt;BeginnAlter,"",ROUND((SUM(CZ$56:CZ64)+SUM(FR$9:FR$56))/VLOOKUP($CU64,$AH$9:$AI$102,2)/VLOOKUP($CU64-EE$103,Männer!$G$9:$J$102,4),Rundäx)))</f>
        <v/>
      </c>
      <c r="EF64" s="43" t="str">
        <f>IF($CU64&gt;=RAF,"",IF($CU64-EF$103&lt;BeginnAlter,"",ROUND((SUM(DA$56:DA64)+SUM(FS$9:FS$56))/VLOOKUP($CU64,$AH$9:$AI$102,2)/VLOOKUP($CU64-EF$103,Männer!$G$9:$J$102,4),Rundäx)))</f>
        <v/>
      </c>
      <c r="EG64" s="43" t="str">
        <f>IF($CU64&gt;=RAF,"",IF($CU64-EG$103&lt;BeginnAlter,"",ROUND((SUM(DB$56:DB64)+SUM(FT$9:FT$56))/VLOOKUP($CU64,$AH$9:$AI$102,2)/VLOOKUP($CU64-EG$103,Männer!$G$9:$J$102,4),Rundäx)))</f>
        <v/>
      </c>
      <c r="EH64" s="43" t="str">
        <f>IF($CU64&gt;=RAF,"",IF($CU64-EH$103&lt;BeginnAlter,"",ROUND((SUM(DC$56:DC64)+SUM(FU$9:FU$56))/VLOOKUP($CU64,$AH$9:$AI$102,2)/VLOOKUP($CU64-EH$103,Männer!$G$9:$J$102,4),Rundäx)))</f>
        <v/>
      </c>
      <c r="EI64" s="89"/>
      <c r="EJ64" s="35">
        <f t="shared" si="61"/>
        <v>72</v>
      </c>
      <c r="EK64" s="43" t="str">
        <f>IF($CU64&gt;=RAF,"",IF($CU64-EK$103&lt;BeginnAlter,"",ROUND((SUM(DD$56:DD64)+SUM(FV$9:FV$56))/VLOOKUP($CU64,$AH$9:$AI$102,2)/VLOOKUP($CU64-EK$103,Männer!$G$9:$J$102,4),Rundäx)))</f>
        <v/>
      </c>
      <c r="EL64" s="43" t="str">
        <f>IF($CU64&gt;=RAF,"",IF($CU64-EL$103&lt;BeginnAlter,"",ROUND((SUM(DE$56:DE64)+SUM(FW$9:FW$56))/VLOOKUP($CU64,$AH$9:$AI$102,2)/VLOOKUP($CU64-EL$103,Männer!$G$9:$J$102,4),Rundäx)))</f>
        <v/>
      </c>
      <c r="EM64" s="43" t="str">
        <f>IF($CU64&gt;=RAF,"",IF($CU64-EM$103&lt;BeginnAlter,"",ROUND((SUM(DF$56:DF64)+SUM(FX$9:FX$56))/VLOOKUP($CU64,$AH$9:$AI$102,2)/VLOOKUP($CU64-EM$103,Männer!$G$9:$J$102,4),Rundäx)))</f>
        <v/>
      </c>
      <c r="EN64" s="43" t="str">
        <f>IF($CU64&gt;=RAF,"",IF($CU64-EN$103&lt;BeginnAlter,"",ROUND((SUM(DG$56:DG64)+SUM(FY$9:FY$56))/VLOOKUP($CU64,$AH$9:$AI$102,2)/VLOOKUP($CU64-EN$103,Männer!$G$9:$J$102,4),Rundäx)))</f>
        <v/>
      </c>
      <c r="EO64" s="43" t="str">
        <f>IF($CU64&gt;=RAF,"",IF($CU64-EO$103&lt;BeginnAlter,"",ROUND((SUM(DH$56:DH64)+SUM(FZ$9:FZ$56))/VLOOKUP($CU64,$AH$9:$AI$102,2)/VLOOKUP($CU64-EO$103,Männer!$G$9:$J$102,4),Rundäx)))</f>
        <v/>
      </c>
      <c r="EP64" s="43" t="str">
        <f>IF($CU64&gt;=RAF,"",IF($CU64-EP$103&lt;BeginnAlter,"",ROUND((SUM(DI$56:DI64)+SUM(GA$9:GA$56))/VLOOKUP($CU64,$AH$9:$AI$102,2)/VLOOKUP($CU64-EP$103,Männer!$G$9:$J$102,4),Rundäx)))</f>
        <v/>
      </c>
      <c r="EQ64" s="43" t="str">
        <f>IF($CU64&gt;=RAF,"",IF($CU64-EQ$103&lt;BeginnAlter,"",ROUND((SUM(DJ$56:DJ64)+SUM(GB$9:GB$56))/VLOOKUP($CU64,$AH$9:$AI$102,2)/VLOOKUP($CU64-EQ$103,Männer!$G$9:$J$102,4),Rundäx)))</f>
        <v/>
      </c>
      <c r="ER64" s="43" t="str">
        <f>IF($CU64&gt;=RAF,"",IF($CU64-ER$103&lt;BeginnAlter,"",ROUND((SUM(DK$56:DK64)+SUM(GC$9:GC$56))/VLOOKUP($CU64,$AH$9:$AI$102,2)/VLOOKUP($CU64-ER$103,Männer!$G$9:$J$102,4),Rundäx)))</f>
        <v/>
      </c>
      <c r="ES64" s="89"/>
      <c r="ET64" s="35">
        <f t="shared" si="62"/>
        <v>72</v>
      </c>
      <c r="EU64" s="43" t="str">
        <f>IF($CU64&gt;=RAF,"",IF($CU64-EU$103&lt;BeginnAlter,"",ROUND((SUM(DL$56:DL64)+SUM(GD$9:GD$56))/VLOOKUP($CU64,$AH$9:$AI$102,2)/VLOOKUP($CU64-EU$103,Männer!$G$9:$J$102,4),Rundäx)))</f>
        <v/>
      </c>
      <c r="EV64" s="43" t="str">
        <f>IF($CU64&gt;=RAF,"",IF($CU64-EV$103&lt;BeginnAlter,"",ROUND((SUM(DM$56:DM64)+SUM(GE$9:GE$56))/VLOOKUP($CU64,$AH$9:$AI$102,2)/VLOOKUP($CU64-EV$103,Männer!$G$9:$J$102,4),Rundäx)))</f>
        <v/>
      </c>
      <c r="EW64" s="43" t="str">
        <f>IF($CU64&gt;=RAF,"",IF($CU64-EW$103&lt;BeginnAlter,"",ROUND((SUM(DN$56:DN64)+SUM(GF$9:GF$56))/VLOOKUP($CU64,$AH$9:$AI$102,2)/VLOOKUP($CU64-EW$103,Männer!$G$9:$J$102,4),Rundäx)))</f>
        <v/>
      </c>
      <c r="EX64" s="43" t="str">
        <f>IF($CU64&gt;=RAF,"",IF($CU64-EX$103&lt;BeginnAlter,"",ROUND((SUM(DO$56:DO64)+SUM(GG$9:GG$56))/VLOOKUP($CU64,$AH$9:$AI$102,2)/VLOOKUP($CU64-EX$103,Männer!$G$9:$J$102,4),Rundäx)))</f>
        <v/>
      </c>
      <c r="EY64" s="43" t="str">
        <f>IF($CU64&gt;=RAF,"",IF($CU64-EY$103&lt;BeginnAlter,"",ROUND((SUM(DP$56:DP64)+SUM(GH$9:GH$56))/VLOOKUP($CU64,$AH$9:$AI$102,2)/VLOOKUP($CU64-EY$103,Männer!$G$9:$J$102,4),Rundäx)))</f>
        <v/>
      </c>
      <c r="EZ64" s="43" t="str">
        <f>IF($CU64&gt;=RAF,"",IF($CU64-EZ$103&lt;BeginnAlter,"",ROUND((SUM(DQ$56:DQ64)+SUM(GI$9:GI$56))/VLOOKUP($CU64,$AH$9:$AI$102,2)/VLOOKUP($CU64-EZ$103,Männer!$G$9:$J$102,4),Rundäx)))</f>
        <v/>
      </c>
      <c r="FA64" s="43" t="str">
        <f>IF($CU64&gt;=RAF,"",IF($CU64-FA$103&lt;BeginnAlter,"",ROUND((SUM(DR$56:DR64)+SUM(GJ$9:GJ$56))/VLOOKUP($CU64,$AH$9:$AI$102,2)/VLOOKUP($CU64-FA$103,Männer!$G$9:$J$102,4),Rundäx)))</f>
        <v/>
      </c>
      <c r="FB64" s="43" t="str">
        <f>IF($CU64&gt;=RAF,"",IF($CU64-FB$103&lt;BeginnAlter,"",ROUND((SUM(DS$56:DS64)+SUM(GK$9:GK$56))/VLOOKUP($CU64,$AH$9:$AI$102,2)/VLOOKUP($CU64-FB$103,Männer!$G$9:$J$102,4),Rundäx)))</f>
        <v/>
      </c>
      <c r="FC64" s="89"/>
      <c r="FD64" s="35">
        <f t="shared" si="63"/>
        <v>72</v>
      </c>
      <c r="FE64" s="43" t="str">
        <f>IF($CU64&gt;=RAF,"",IF($CU64-FE$103&lt;BeginnAlter,"",ROUND((SUM(DT$56:DT64)+SUM(GL$9:GL$56))/VLOOKUP($CU64,$AH$9:$AI$102,2)/VLOOKUP($CU64-FE$103,Männer!$G$9:$J$102,4),Rundäx)))</f>
        <v/>
      </c>
      <c r="FF64" s="43" t="str">
        <f>IF($CU64&gt;=RAF,"",IF($CU64-FF$103&lt;BeginnAlter,"",ROUND((SUM(DU$56:DU64)+SUM(GM$9:GM$56))/VLOOKUP($CU64,$AH$9:$AI$102,2)/VLOOKUP($CU64-FF$103,Männer!$G$9:$J$102,4),Rundäx)))</f>
        <v/>
      </c>
      <c r="FG64" s="43" t="str">
        <f>IF($CU64&gt;=RAF,"",IF($CU64-FG$103&lt;BeginnAlter,"",ROUND((SUM(DV$56:DV64)+SUM(GN$9:GN$56))/VLOOKUP($CU64,$AH$9:$AI$102,2)/VLOOKUP($CU64-FG$103,Männer!$G$9:$J$102,4),Rundäx)))</f>
        <v/>
      </c>
      <c r="FH64" s="43" t="str">
        <f>IF($CU64&gt;=RAF,"",IF($CU64-FH$103&lt;BeginnAlter,"",ROUND((SUM(DW$56:DW64)+SUM(GO$9:GO$56))/VLOOKUP($CU64,$AH$9:$AI$102,2)/VLOOKUP($CU64-FH$103,Männer!$G$9:$J$102,4),Rundäx)))</f>
        <v/>
      </c>
      <c r="FI64" s="43" t="str">
        <f>IF($CU64&gt;=RAF,"",IF($CU64-FI$103&lt;BeginnAlter,"",ROUND((SUM(DX$56:DX64)+SUM(GP$9:GP$56))/VLOOKUP($CU64,$AH$9:$AI$102,2)/VLOOKUP($CU64-FI$103,Männer!$G$9:$J$102,4),Rundäx)))</f>
        <v/>
      </c>
      <c r="FJ64" s="43" t="str">
        <f>IF($CU64&gt;=RAF,"",IF($CU64-FJ$103&lt;BeginnAlter,"",ROUND((SUM(DY$56:DY64)+SUM(GQ$9:GQ$56))/VLOOKUP($CU64,$AH$9:$AI$102,2)/VLOOKUP($CU64-FJ$103,Männer!$G$9:$J$102,4),Rundäx)))</f>
        <v/>
      </c>
      <c r="FK64" s="43" t="str">
        <f>IF($CU64&gt;=RAF,"",IF($CU64-FK$103&lt;BeginnAlter,"",ROUND((SUM(DZ$56:DZ64)+SUM(GR$9:GR$56))/VLOOKUP($CU64,$AH$9:$AI$102,2)/VLOOKUP($CU64-FK$103,Männer!$G$9:$J$102,4),Rundäx)))</f>
        <v/>
      </c>
      <c r="FL64" s="89"/>
      <c r="FM64" s="35">
        <f t="shared" si="64"/>
        <v>119</v>
      </c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4"/>
      <c r="GT64" s="24"/>
      <c r="GU64" s="24" t="str">
        <f>IF(FM64&gt;=RAF," ",#REF!/$AI64/Frauen!$J52)</f>
        <v xml:space="preserve"> </v>
      </c>
      <c r="GV64" s="24" t="str">
        <f>IF(FM64&gt;=RAF," ",#REF!/$AI64/Frauen!$J55)</f>
        <v xml:space="preserve"> </v>
      </c>
      <c r="GW64" s="24" t="str">
        <f>IF(FM64&gt;=RAF," ",#REF!/$AI64/Frauen!$J58)</f>
        <v xml:space="preserve"> </v>
      </c>
      <c r="GX64" s="24" t="str">
        <f>IF(FM64&gt;=RAF," ",#REF!/$AI64/Frauen!$J61)</f>
        <v xml:space="preserve"> </v>
      </c>
      <c r="GY64" s="24" t="str">
        <f>IF(FM64&gt;=RAF," ",#REF!/$AI64/Frauen!$J64)</f>
        <v xml:space="preserve"> </v>
      </c>
      <c r="GZ64" s="24" t="str">
        <f>IF(FM64&gt;=RAF," ",#REF!/$AI64/Frauen!$J67)</f>
        <v xml:space="preserve"> </v>
      </c>
      <c r="HA64" s="89"/>
      <c r="HB64" s="35">
        <f t="shared" si="65"/>
        <v>119</v>
      </c>
      <c r="HC64" s="24"/>
      <c r="HD64" s="24"/>
      <c r="HE64" s="24"/>
      <c r="HF64" s="24"/>
      <c r="HG64" s="24"/>
      <c r="HH64" s="24"/>
      <c r="HI64" s="24"/>
      <c r="HJ64" s="24"/>
      <c r="HK64" s="89"/>
      <c r="HL64" s="35">
        <f t="shared" si="66"/>
        <v>119</v>
      </c>
      <c r="HM64" s="24"/>
      <c r="HN64" s="24"/>
      <c r="HO64" s="24"/>
      <c r="HP64" s="24"/>
      <c r="HQ64" s="24"/>
      <c r="HR64" s="24"/>
      <c r="HS64" s="24"/>
      <c r="HT64" s="24"/>
      <c r="HU64" s="89"/>
      <c r="HV64" s="35">
        <f t="shared" si="67"/>
        <v>119</v>
      </c>
      <c r="HW64" s="24"/>
      <c r="HX64" s="24"/>
      <c r="HY64" s="24"/>
      <c r="HZ64" s="24"/>
      <c r="IA64" s="24"/>
      <c r="IB64" s="24"/>
      <c r="IC64" s="24"/>
      <c r="ID64" s="89"/>
      <c r="IE64" s="9">
        <f t="shared" si="80"/>
        <v>72</v>
      </c>
      <c r="IF64" s="11" t="str">
        <f t="shared" si="25"/>
        <v/>
      </c>
      <c r="IG64" s="11" t="str">
        <f>IF($IE64&lt;RAF,IF(S65&lt;=RAK,ROUND(SUM(IF64:INDEX(Daky,RAF-BeginnAlter))+INDEX(Day,RAF-BeginnAlter+1)*INDEX(äky,1),RundDx),0),"")</f>
        <v/>
      </c>
      <c r="IH64" s="11" t="str">
        <f>IF($IE64&lt;RAF,IF(S65&lt;=RAK,ROUND(SUM(IG64:INDEX(Naky,RAF-BeginnAlter))+INDEX(Day,RAF-BeginnAlter+1)*INDEX(äky,1),RundDx),0),"")</f>
        <v/>
      </c>
      <c r="II64" s="10" t="str">
        <f t="shared" si="26"/>
        <v/>
      </c>
      <c r="IJ64" s="11" t="str">
        <f t="shared" si="27"/>
        <v/>
      </c>
      <c r="IK64" s="11" t="str">
        <f>IF($IE64&lt;RAF,IF(S65&lt;=RAK,SUM(IJ64:INDEX(Diky,RAF-BeginnAlter))+INDEX(Diy,RAF-BeginnAlter+1)*INDEX(äky,1),0),"")</f>
        <v/>
      </c>
      <c r="IL64" s="10" t="str">
        <f t="shared" si="28"/>
        <v/>
      </c>
      <c r="IM64" s="89"/>
      <c r="IN64" s="9">
        <f t="shared" si="29"/>
        <v>119</v>
      </c>
      <c r="IO64" s="11"/>
      <c r="IP64" s="11"/>
      <c r="IQ64" s="10"/>
      <c r="IR64" s="86"/>
    </row>
    <row r="65" spans="1:252" ht="15.75" customHeight="1" x14ac:dyDescent="0.25">
      <c r="A65" s="9">
        <f t="shared" si="69"/>
        <v>73</v>
      </c>
      <c r="B65" s="93"/>
      <c r="C65" s="93"/>
      <c r="D65" s="93"/>
      <c r="E65" s="93">
        <v>1.8100000000000002E-2</v>
      </c>
      <c r="F65" s="89"/>
      <c r="G65" s="9">
        <f t="shared" si="70"/>
        <v>73</v>
      </c>
      <c r="H65" s="11" t="str">
        <f t="shared" si="30"/>
        <v/>
      </c>
      <c r="I65" s="25" t="str">
        <f t="shared" si="31"/>
        <v/>
      </c>
      <c r="J65" s="25">
        <f t="shared" si="32"/>
        <v>79627</v>
      </c>
      <c r="K65" s="30">
        <f>IF(J65&gt;0,ROUND(SUM(J65:J$102)/J65-0.5,Rundex),"")</f>
        <v>14.35</v>
      </c>
      <c r="L65" s="25">
        <f t="shared" si="6"/>
        <v>79627</v>
      </c>
      <c r="M65" s="30">
        <f>IF(L65&gt;0,ROUND(SUM(L65:L$102)/L65-0.5,Rundex),"")</f>
        <v>14.35</v>
      </c>
      <c r="N65" s="89"/>
      <c r="O65" s="9">
        <f t="shared" si="71"/>
        <v>73</v>
      </c>
      <c r="P65" s="94">
        <v>3.8554026348133416E-2</v>
      </c>
      <c r="Q65" s="95">
        <v>74.143365866867072</v>
      </c>
      <c r="R65" s="94"/>
      <c r="S65" s="95"/>
      <c r="T65" s="28">
        <v>1.4407954825592675E-2</v>
      </c>
      <c r="U65" s="11">
        <f t="shared" si="33"/>
        <v>83566</v>
      </c>
      <c r="V65" s="30">
        <f>IF(U65&gt;0,ROUND(SUM(U65:U$102)/U65-0.5,Rundex),"")</f>
        <v>14.79</v>
      </c>
      <c r="W65" s="89"/>
      <c r="X65" s="9">
        <f t="shared" si="72"/>
        <v>73</v>
      </c>
      <c r="Y65" s="11" t="str">
        <f t="shared" si="34"/>
        <v xml:space="preserve"> </v>
      </c>
      <c r="Z65" s="11" t="str">
        <f>IF($X65&lt;RAF,SUM(Y65:INDEX(Day,RAF-BeginnAlter))," ")</f>
        <v xml:space="preserve"> </v>
      </c>
      <c r="AA65" s="11" t="str">
        <f t="shared" si="0"/>
        <v xml:space="preserve"> </v>
      </c>
      <c r="AB65" s="11" t="str">
        <f>IF($X65&lt;RAF,SUM(AA65:INDEX(Cay,RAF-BeginnAlter))," ")</f>
        <v xml:space="preserve"> </v>
      </c>
      <c r="AC65" s="11" t="str">
        <f t="shared" si="1"/>
        <v xml:space="preserve"> </v>
      </c>
      <c r="AD65" s="11" t="str">
        <f>IF($X65&lt;RAF,SUM(AC65:INDEX(Caiy,RAF-BeginnAlter))," ")</f>
        <v xml:space="preserve"> </v>
      </c>
      <c r="AE65" s="10" t="str">
        <f t="shared" si="35"/>
        <v xml:space="preserve"> </v>
      </c>
      <c r="AF65" s="10" t="str">
        <f t="shared" si="36"/>
        <v xml:space="preserve"> </v>
      </c>
      <c r="AG65" s="89"/>
      <c r="AH65" s="9">
        <f t="shared" si="73"/>
        <v>73</v>
      </c>
      <c r="AI65" s="11" t="str">
        <f t="shared" si="37"/>
        <v xml:space="preserve"> </v>
      </c>
      <c r="AJ65" s="11" t="str">
        <f>IF($AH65&gt;RAF," ",IF($AH65&lt;RAF,SUM(AI65:INDEX(Diy,RAF-BeginnAlter))+INDEX(Ny,RAF-BeginnAlter+1),INDEX(Ny,RAF-BeginnAlter+1)))</f>
        <v xml:space="preserve"> </v>
      </c>
      <c r="AK65" s="11" t="str">
        <f>IF($AH65&lt;RAF,SUM(AI65:INDEX(Diy,RAF-BeginnAlter))," ")</f>
        <v xml:space="preserve"> </v>
      </c>
      <c r="AL65" s="10" t="str">
        <f t="shared" si="38"/>
        <v xml:space="preserve"> </v>
      </c>
      <c r="AM65" s="10" t="str">
        <f t="shared" si="39"/>
        <v xml:space="preserve"> </v>
      </c>
      <c r="AN65" s="10" t="str">
        <f t="shared" si="40"/>
        <v xml:space="preserve"> </v>
      </c>
      <c r="AO65" s="10" t="str">
        <f t="shared" si="41"/>
        <v xml:space="preserve"> </v>
      </c>
      <c r="AP65" s="89"/>
      <c r="AQ65" s="9">
        <f t="shared" si="74"/>
        <v>73</v>
      </c>
      <c r="AR65" s="11">
        <f t="shared" si="42"/>
        <v>15691</v>
      </c>
      <c r="AS65" s="11">
        <f>SUM(AR65:AR$96)</f>
        <v>195111</v>
      </c>
      <c r="AT65" s="25" t="str">
        <f>IF($AQ65&lt;RAF,SUM(AR65:INDEX(Dy,RAF-BeginnAlter))," ")</f>
        <v xml:space="preserve"> </v>
      </c>
      <c r="AU65" s="24">
        <f t="shared" si="43"/>
        <v>12.435</v>
      </c>
      <c r="AV65" s="24">
        <f t="shared" si="44"/>
        <v>11.976000000000001</v>
      </c>
      <c r="AW65" s="24" t="str">
        <f t="shared" si="45"/>
        <v xml:space="preserve"> </v>
      </c>
      <c r="AX65" s="24" t="str">
        <f t="shared" si="46"/>
        <v xml:space="preserve"> </v>
      </c>
      <c r="AY65" s="89"/>
      <c r="AZ65" s="9">
        <f t="shared" si="75"/>
        <v>73</v>
      </c>
      <c r="BA65" s="11">
        <f t="shared" si="47"/>
        <v>16467</v>
      </c>
      <c r="BB65" s="11">
        <f>SUM(BA65:BA$96)</f>
        <v>209948</v>
      </c>
      <c r="BC65" s="10">
        <f t="shared" si="48"/>
        <v>12.75</v>
      </c>
      <c r="BD65" s="10">
        <f t="shared" si="7"/>
        <v>12.291</v>
      </c>
      <c r="BE65" s="89"/>
      <c r="BF65" s="9">
        <f t="shared" si="54"/>
        <v>56</v>
      </c>
      <c r="BG65" s="10" t="str">
        <f t="shared" si="8"/>
        <v/>
      </c>
      <c r="BH65" s="10" t="str">
        <f t="shared" si="9"/>
        <v/>
      </c>
      <c r="BI65" s="89"/>
      <c r="BJ65" s="9">
        <f t="shared" si="76"/>
        <v>73</v>
      </c>
      <c r="BK65" s="11" t="str">
        <f t="shared" si="10"/>
        <v xml:space="preserve"> </v>
      </c>
      <c r="BL65" s="11" t="str">
        <f>IF(BJ65&lt;RAF,SUM(BK65:INDEX(Daiy,RAF-BeginnAlter))," ")</f>
        <v xml:space="preserve"> </v>
      </c>
      <c r="BM65" s="11" t="str">
        <f>IF(BJ65&lt;RAF,SUM(BL65:INDEX(Naiy,RAF-BeginnAlter))," ")</f>
        <v xml:space="preserve"> </v>
      </c>
      <c r="BN65" s="10" t="str">
        <f t="shared" si="11"/>
        <v xml:space="preserve"> </v>
      </c>
      <c r="BO65" s="10" t="str">
        <f t="shared" si="12"/>
        <v xml:space="preserve"> </v>
      </c>
      <c r="BP65" s="89"/>
      <c r="BQ65" s="9">
        <f t="shared" si="77"/>
        <v>73</v>
      </c>
      <c r="BR65" s="11" t="str">
        <f t="shared" si="13"/>
        <v xml:space="preserve"> </v>
      </c>
      <c r="BS65" s="11" t="str">
        <f>IF(BQ65&lt;RAF,SUM(BR65:INDEX(Daiys,RAF-BeginnAlter))," ")</f>
        <v xml:space="preserve"> </v>
      </c>
      <c r="BT65" s="11" t="str">
        <f>IF(BQ65&lt;RAF,SUM(BS65:INDEX(Naiys,RAF-BeginnAlter))," ")</f>
        <v xml:space="preserve"> </v>
      </c>
      <c r="BU65" s="10" t="str">
        <f t="shared" si="14"/>
        <v xml:space="preserve"> </v>
      </c>
      <c r="BV65" s="10" t="str">
        <f t="shared" si="15"/>
        <v xml:space="preserve"> </v>
      </c>
      <c r="BW65" s="89"/>
      <c r="BX65" s="9">
        <f t="shared" si="78"/>
        <v>73</v>
      </c>
      <c r="BY65" s="10" t="str">
        <f t="shared" si="16"/>
        <v/>
      </c>
      <c r="BZ65" s="11" t="str">
        <f t="shared" si="17"/>
        <v/>
      </c>
      <c r="CA65" s="11" t="str">
        <f>IF(S66&lt;=RAK,IF($BX65&lt;RAF,SUM(BZ65:INDEX(Dazy,RAF-BeginnAlter)),""),"")</f>
        <v/>
      </c>
      <c r="CB65" s="10" t="str">
        <f t="shared" si="18"/>
        <v/>
      </c>
      <c r="CC65" s="11">
        <f t="shared" si="19"/>
        <v>0</v>
      </c>
      <c r="CD65" s="10">
        <f t="shared" si="20"/>
        <v>0</v>
      </c>
      <c r="CE65" s="10" t="str">
        <f t="shared" si="21"/>
        <v/>
      </c>
      <c r="CF65" s="89"/>
      <c r="CG65" s="9">
        <f t="shared" si="79"/>
        <v>73</v>
      </c>
      <c r="CH65" s="11" t="str">
        <f>IF(CG65&lt;RAF,ROUND(v^($CG65+FaktorAlter)*$H65*($B65*0.5*($P65+$P66)*(VLOOKUP(TRUNC(0.5*($Q65+$Q66),0),Männer!$AZ$9:$BD$95,5)+(0.5*($Q65+$Q66)-TRUNC(0.5*($Q65+$Q66),0))*(VLOOKUP(TRUNC(0.5*($Q65+$Q66)+1,0),Männer!$AZ$9:$BD$95,5)-VLOOKUP(TRUNC(0.5*($Q65+$Q66),0),Männer!$AZ$9:$BD$95,5)))+$C65*0.5*($CN65+$CN66)),RundDx),"")</f>
        <v/>
      </c>
      <c r="CI65" s="11" t="str">
        <f>IF(CG65&lt;RAF,ROUND(SUM(CH65:INDEX(Dawy,RAF-BeginnAlter))+INDEX(Day,RAF-BeginnAlter+1)*INDEX(äwy,1),RundDx),"")</f>
        <v/>
      </c>
      <c r="CJ65" s="11" t="str">
        <f>IF(CG65&lt;RAF,ROUND(SUM(CI65:INDEX(Nawy,RAF-BeginnAlter))+INDEX(Day,RAF-BeginnAlter+1)*INDEX(äwy,1),RundDx),"")</f>
        <v/>
      </c>
      <c r="CK65" s="10" t="str">
        <f t="shared" si="22"/>
        <v/>
      </c>
      <c r="CL65" s="11" t="str">
        <f>IF(CG65&lt;RAF,ROUND(v^($CG65+FaktorAlter)*$L65*$D65*0.5*($P65+$P66)*(VLOOKUP(TRUNC(0.5*($Q65+$Q66),0),Männer!$AZ$9:$BD$95,5)+(0.5*($Q65+$Q66)-TRUNC(0.5*($Q65+$Q66),0))*(VLOOKUP(TRUNC(0.5*($Q65+$Q66)+1,0),Männer!$AZ$9:$BD$95,5)-VLOOKUP(TRUNC(0.5*($Q65+$Q66),0),Männer!$AZ$9:$BD$95,5))),RundDx),"")</f>
        <v/>
      </c>
      <c r="CM65" s="11" t="str">
        <f>IF(CG65&lt;RAF,SUM(CL65:INDEX(Diwy,RAF-BeginnAlter))+INDEX(Diy,RAF-BeginnAlter+1)*INDEX(äwy,1),"")</f>
        <v/>
      </c>
      <c r="CN65" s="10" t="str">
        <f t="shared" si="23"/>
        <v/>
      </c>
      <c r="CO65" s="89"/>
      <c r="CP65" s="9">
        <f t="shared" si="59"/>
        <v>120</v>
      </c>
      <c r="CQ65" s="11"/>
      <c r="CR65" s="11"/>
      <c r="CS65" s="10"/>
      <c r="CT65" s="89"/>
      <c r="CU65" s="35">
        <f t="shared" si="60"/>
        <v>73</v>
      </c>
      <c r="CV65" s="25" t="str">
        <f>IF($CU65&gt;=RAF,"",IF($CU65-CV$103&lt;BeginnAlter,"",ROUND(v^($CU65+FaktorAlter)*$L65*$D65*0.5*(VLOOKUP($CU65-CV$103,Männer!$G$9:$J$102,4)+VLOOKUP($CU65-CV$103+1,Männer!$G$9:$J$102,4))*0.5*(VLOOKUP($CU65-CV$103,Männer!$AZ$9:$BD$102,5)+VLOOKUP($CU65-CV$103+1,Männer!$AZ$9:$BD$102,5)),RundDx)))</f>
        <v/>
      </c>
      <c r="CW65" s="25" t="str">
        <f>IF($CU65&gt;=RAF,"",IF($CU65-CW$103&lt;BeginnAlter,"",ROUND(v^($CU65+FaktorAlter)*$L65*$D65*0.5*(VLOOKUP($CU65-CW$103,Männer!$G$9:$J$102,4)+VLOOKUP($CU65-CW$103+1,Männer!$G$9:$J$102,4))*0.5*(VLOOKUP($CU65-CW$103,Männer!$AZ$9:$BD$102,5)+VLOOKUP($CU65-CW$103+1,Männer!$AZ$9:$BD$102,5)),RundDx)))</f>
        <v/>
      </c>
      <c r="CX65" s="25" t="str">
        <f>IF($CU65&gt;=RAF,"",IF($CU65-CX$103&lt;BeginnAlter,"",ROUND(v^($CU65+FaktorAlter)*$L65*$D65*0.5*(VLOOKUP($CU65-CX$103,Männer!$G$9:$J$102,4)+VLOOKUP($CU65-CX$103+1,Männer!$G$9:$J$102,4))*0.5*(VLOOKUP($CU65-CX$103,Männer!$AZ$9:$BD$102,5)+VLOOKUP($CU65-CX$103+1,Männer!$AZ$9:$BD$102,5)),RundDx)))</f>
        <v/>
      </c>
      <c r="CY65" s="25" t="str">
        <f>IF($CU65&gt;=RAF,"",IF($CU65-CY$103&lt;BeginnAlter,"",ROUND(v^($CU65+FaktorAlter)*$L65*$D65*0.5*(VLOOKUP($CU65-CY$103,Männer!$G$9:$J$102,4)+VLOOKUP($CU65-CY$103+1,Männer!$G$9:$J$102,4))*0.5*(VLOOKUP($CU65-CY$103,Männer!$AZ$9:$BD$102,5)+VLOOKUP($CU65-CY$103+1,Männer!$AZ$9:$BD$102,5)),RundDx)))</f>
        <v/>
      </c>
      <c r="CZ65" s="25" t="str">
        <f>IF($CU65&gt;=RAF,"",IF($CU65-CZ$103&lt;BeginnAlter,"",ROUND(v^($CU65+FaktorAlter)*$L65*$D65*0.5*(VLOOKUP($CU65-CZ$103,Männer!$G$9:$J$102,4)+VLOOKUP($CU65-CZ$103+1,Männer!$G$9:$J$102,4))*0.5*(VLOOKUP($CU65-CZ$103,Männer!$AZ$9:$BD$102,5)+VLOOKUP($CU65-CZ$103+1,Männer!$AZ$9:$BD$102,5)),RundDx)))</f>
        <v/>
      </c>
      <c r="DA65" s="25" t="str">
        <f>IF($CU65&gt;=RAF,"",IF($CU65-DA$103&lt;BeginnAlter,"",ROUND(v^($CU65+FaktorAlter)*$L65*$D65*0.5*(VLOOKUP($CU65-DA$103,Männer!$G$9:$J$102,4)+VLOOKUP($CU65-DA$103+1,Männer!$G$9:$J$102,4))*0.5*(VLOOKUP($CU65-DA$103,Männer!$AZ$9:$BD$102,5)+VLOOKUP($CU65-DA$103+1,Männer!$AZ$9:$BD$102,5)),RundDx)))</f>
        <v/>
      </c>
      <c r="DB65" s="25" t="str">
        <f>IF($CU65&gt;=RAF,"",IF($CU65-DB$103&lt;BeginnAlter,"",ROUND(v^($CU65+FaktorAlter)*$L65*$D65*0.5*(VLOOKUP($CU65-DB$103,Männer!$G$9:$J$102,4)+VLOOKUP($CU65-DB$103+1,Männer!$G$9:$J$102,4))*0.5*(VLOOKUP($CU65-DB$103,Männer!$AZ$9:$BD$102,5)+VLOOKUP($CU65-DB$103+1,Männer!$AZ$9:$BD$102,5)),RundDx)))</f>
        <v/>
      </c>
      <c r="DC65" s="25" t="str">
        <f>IF($CU65&gt;=RAF,"",IF($CU65-DC$103&lt;BeginnAlter,"",ROUND(v^($CU65+FaktorAlter)*$L65*$D65*0.5*(VLOOKUP($CU65-DC$103,Männer!$G$9:$J$102,4)+VLOOKUP($CU65-DC$103+1,Männer!$G$9:$J$102,4))*0.5*(VLOOKUP($CU65-DC$103,Männer!$AZ$9:$BD$102,5)+VLOOKUP($CU65-DC$103+1,Männer!$AZ$9:$BD$102,5)),RundDx)))</f>
        <v/>
      </c>
      <c r="DD65" s="25" t="str">
        <f>IF($CU65&gt;=RAF,"",IF($CU65-DD$103&lt;BeginnAlter,"",ROUND(v^($CU65+FaktorAlter)*$L65*$D65*0.5*(VLOOKUP($CU65-DD$103,Männer!$G$9:$J$102,4)+VLOOKUP($CU65-DD$103+1,Männer!$G$9:$J$102,4))*0.5*(VLOOKUP($CU65-DD$103,Männer!$AZ$9:$BD$102,5)+VLOOKUP($CU65-DD$103+1,Männer!$AZ$9:$BD$102,5)),RundDx)))</f>
        <v/>
      </c>
      <c r="DE65" s="25" t="str">
        <f>IF($CU65&gt;=RAF,"",IF($CU65-DE$103&lt;BeginnAlter,"",ROUND(v^($CU65+FaktorAlter)*$L65*$D65*0.5*(VLOOKUP($CU65-DE$103,Männer!$G$9:$J$102,4)+VLOOKUP($CU65-DE$103+1,Männer!$G$9:$J$102,4))*0.5*(VLOOKUP($CU65-DE$103,Männer!$AZ$9:$BD$102,5)+VLOOKUP($CU65-DE$103+1,Männer!$AZ$9:$BD$102,5)),RundDx)))</f>
        <v/>
      </c>
      <c r="DF65" s="25" t="str">
        <f>IF($CU65&gt;=RAF,"",IF($CU65-DF$103&lt;BeginnAlter,"",ROUND(v^($CU65+FaktorAlter)*$L65*$D65*0.5*(VLOOKUP($CU65-DF$103,Männer!$G$9:$J$102,4)+VLOOKUP($CU65-DF$103+1,Männer!$G$9:$J$102,4))*0.5*(VLOOKUP($CU65-DF$103,Männer!$AZ$9:$BD$102,5)+VLOOKUP($CU65-DF$103+1,Männer!$AZ$9:$BD$102,5)),RundDx)))</f>
        <v/>
      </c>
      <c r="DG65" s="25" t="str">
        <f>IF($CU65&gt;=RAF,"",IF($CU65-DG$103&lt;BeginnAlter,"",ROUND(v^($CU65+FaktorAlter)*$L65*$D65*0.5*(VLOOKUP($CU65-DG$103,Männer!$G$9:$J$102,4)+VLOOKUP($CU65-DG$103+1,Männer!$G$9:$J$102,4))*0.5*(VLOOKUP($CU65-DG$103,Männer!$AZ$9:$BD$102,5)+VLOOKUP($CU65-DG$103+1,Männer!$AZ$9:$BD$102,5)),RundDx)))</f>
        <v/>
      </c>
      <c r="DH65" s="25" t="str">
        <f>IF($CU65&gt;=RAF,"",IF($CU65-DH$103&lt;BeginnAlter,"",ROUND(v^($CU65+FaktorAlter)*$L65*$D65*0.5*(VLOOKUP($CU65-DH$103,Männer!$G$9:$J$102,4)+VLOOKUP($CU65-DH$103+1,Männer!$G$9:$J$102,4))*0.5*(VLOOKUP($CU65-DH$103,Männer!$AZ$9:$BD$102,5)+VLOOKUP($CU65-DH$103+1,Männer!$AZ$9:$BD$102,5)),RundDx)))</f>
        <v/>
      </c>
      <c r="DI65" s="25" t="str">
        <f>IF($CU65&gt;=RAF,"",IF($CU65-DI$103&lt;BeginnAlter,"",ROUND(v^($CU65+FaktorAlter)*$L65*$D65*0.5*(VLOOKUP($CU65-DI$103,Männer!$G$9:$J$102,4)+VLOOKUP($CU65-DI$103+1,Männer!$G$9:$J$102,4))*0.5*(VLOOKUP($CU65-DI$103,Männer!$AZ$9:$BD$102,5)+VLOOKUP($CU65-DI$103+1,Männer!$AZ$9:$BD$102,5)),RundDx)))</f>
        <v/>
      </c>
      <c r="DJ65" s="25" t="str">
        <f>IF($CU65&gt;=RAF,"",IF($CU65-DJ$103&lt;BeginnAlter,"",ROUND(v^($CU65+FaktorAlter)*$L65*$D65*0.5*(VLOOKUP($CU65-DJ$103,Männer!$G$9:$J$102,4)+VLOOKUP($CU65-DJ$103+1,Männer!$G$9:$J$102,4))*0.5*(VLOOKUP($CU65-DJ$103,Männer!$AZ$9:$BD$102,5)+VLOOKUP($CU65-DJ$103+1,Männer!$AZ$9:$BD$102,5)),RundDx)))</f>
        <v/>
      </c>
      <c r="DK65" s="25" t="str">
        <f>IF($CU65&gt;=RAF,"",IF($CU65-DK$103&lt;BeginnAlter,"",ROUND(v^($CU65+FaktorAlter)*$L65*$D65*0.5*(VLOOKUP($CU65-DK$103,Männer!$G$9:$J$102,4)+VLOOKUP($CU65-DK$103+1,Männer!$G$9:$J$102,4))*0.5*(VLOOKUP($CU65-DK$103,Männer!$AZ$9:$BD$102,5)+VLOOKUP($CU65-DK$103+1,Männer!$AZ$9:$BD$102,5)),RundDx)))</f>
        <v/>
      </c>
      <c r="DL65" s="25" t="str">
        <f>IF($CU65&gt;=RAF,"",IF($CU65-DL$103&lt;BeginnAlter,"",ROUND(v^($CU65+FaktorAlter)*$L65*$D65*0.5*(VLOOKUP($CU65-DL$103,Männer!$G$9:$J$102,4)+VLOOKUP($CU65-DL$103+1,Männer!$G$9:$J$102,4))*0.5*(VLOOKUP($CU65-DL$103,Männer!$AZ$9:$BD$102,5)+VLOOKUP($CU65-DL$103+1,Männer!$AZ$9:$BD$102,5)),RundDx)))</f>
        <v/>
      </c>
      <c r="DM65" s="25" t="str">
        <f>IF($CU65&gt;=RAF,"",IF($CU65-DM$103&lt;BeginnAlter,"",ROUND(v^($CU65+FaktorAlter)*$L65*$D65*0.5*(VLOOKUP($CU65-DM$103,Männer!$G$9:$J$102,4)+VLOOKUP($CU65-DM$103+1,Männer!$G$9:$J$102,4))*0.5*(VLOOKUP($CU65-DM$103,Männer!$AZ$9:$BD$102,5)+VLOOKUP($CU65-DM$103+1,Männer!$AZ$9:$BD$102,5)),RundDx)))</f>
        <v/>
      </c>
      <c r="DN65" s="25" t="str">
        <f>IF($CU65&gt;=RAF,"",IF($CU65-DN$103&lt;BeginnAlter,"",ROUND(v^($CU65+FaktorAlter)*$L65*$D65*0.5*(VLOOKUP($CU65-DN$103,Männer!$G$9:$J$102,4)+VLOOKUP($CU65-DN$103+1,Männer!$G$9:$J$102,4))*0.5*(VLOOKUP($CU65-DN$103,Männer!$AZ$9:$BD$102,5)+VLOOKUP($CU65-DN$103+1,Männer!$AZ$9:$BD$102,5)),RundDx)))</f>
        <v/>
      </c>
      <c r="DO65" s="25" t="str">
        <f>IF($CU65&gt;=RAF,"",IF($CU65-DO$103&lt;BeginnAlter,"",ROUND(v^($CU65+FaktorAlter)*$L65*$D65*0.5*(VLOOKUP($CU65-DO$103,Männer!$G$9:$J$102,4)+VLOOKUP($CU65-DO$103+1,Männer!$G$9:$J$102,4))*0.5*(VLOOKUP($CU65-DO$103,Männer!$AZ$9:$BD$102,5)+VLOOKUP($CU65-DO$103+1,Männer!$AZ$9:$BD$102,5)),RundDx)))</f>
        <v/>
      </c>
      <c r="DP65" s="25" t="str">
        <f>IF($CU65&gt;=RAF,"",IF($CU65-DP$103&lt;BeginnAlter,"",ROUND(v^($CU65+FaktorAlter)*$L65*$D65*0.5*(VLOOKUP($CU65-DP$103,Männer!$G$9:$J$102,4)+VLOOKUP($CU65-DP$103+1,Männer!$G$9:$J$102,4))*0.5*(VLOOKUP($CU65-DP$103,Männer!$AZ$9:$BD$102,5)+VLOOKUP($CU65-DP$103+1,Männer!$AZ$9:$BD$102,5)),RundDx)))</f>
        <v/>
      </c>
      <c r="DQ65" s="25" t="str">
        <f>IF($CU65&gt;=RAF,"",IF($CU65-DQ$103&lt;BeginnAlter,"",ROUND(v^($CU65+FaktorAlter)*$L65*$D65*0.5*(VLOOKUP($CU65-DQ$103,Männer!$G$9:$J$102,4)+VLOOKUP($CU65-DQ$103+1,Männer!$G$9:$J$102,4))*0.5*(VLOOKUP($CU65-DQ$103,Männer!$AZ$9:$BD$102,5)+VLOOKUP($CU65-DQ$103+1,Männer!$AZ$9:$BD$102,5)),RundDx)))</f>
        <v/>
      </c>
      <c r="DR65" s="25" t="str">
        <f>IF($CU65&gt;=RAF,"",IF($CU65-DR$103&lt;BeginnAlter,"",ROUND(v^($CU65+FaktorAlter)*$L65*$D65*0.5*(VLOOKUP($CU65-DR$103,Männer!$G$9:$J$102,4)+VLOOKUP($CU65-DR$103+1,Männer!$G$9:$J$102,4))*0.5*(VLOOKUP($CU65-DR$103,Männer!$AZ$9:$BD$102,5)+VLOOKUP($CU65-DR$103+1,Männer!$AZ$9:$BD$102,5)),RundDx)))</f>
        <v/>
      </c>
      <c r="DS65" s="25" t="str">
        <f>IF($CU65&gt;=RAF,"",IF($CU65-DS$103&lt;BeginnAlter,"",ROUND(v^($CU65+FaktorAlter)*$L65*$D65*0.5*(VLOOKUP($CU65-DS$103,Männer!$G$9:$J$102,4)+VLOOKUP($CU65-DS$103+1,Männer!$G$9:$J$102,4))*0.5*(VLOOKUP($CU65-DS$103,Männer!$AZ$9:$BD$102,5)+VLOOKUP($CU65-DS$103+1,Männer!$AZ$9:$BD$102,5)),RundDx)))</f>
        <v/>
      </c>
      <c r="DT65" s="25" t="str">
        <f>IF($CU65&gt;=RAF,"",IF($CU65-DT$103&lt;BeginnAlter,"",ROUND(v^($CU65+FaktorAlter)*$L65*$D65*0.5*(VLOOKUP($CU65-DT$103,Männer!$G$9:$J$102,4)+VLOOKUP($CU65-DT$103+1,Männer!$G$9:$J$102,4))*0.5*(VLOOKUP($CU65-DT$103,Männer!$AZ$9:$BD$102,5)+VLOOKUP($CU65-DT$103+1,Männer!$AZ$9:$BD$102,5)),RundDx)))</f>
        <v/>
      </c>
      <c r="DU65" s="25" t="str">
        <f>IF($CU65&gt;=RAF,"",IF($CU65-DU$103&lt;BeginnAlter,"",ROUND(v^($CU65+FaktorAlter)*$L65*$D65*0.5*(VLOOKUP($CU65-DU$103,Männer!$G$9:$J$102,4)+VLOOKUP($CU65-DU$103+1,Männer!$G$9:$J$102,4))*0.5*(VLOOKUP($CU65-DU$103,Männer!$AZ$9:$BD$102,5)+VLOOKUP($CU65-DU$103+1,Männer!$AZ$9:$BD$102,5)),RundDx)))</f>
        <v/>
      </c>
      <c r="DV65" s="25" t="str">
        <f>IF($CU65&gt;=RAF,"",IF($CU65-DV$103&lt;BeginnAlter,"",ROUND(v^($CU65+FaktorAlter)*$L65*$D65*0.5*(VLOOKUP($CU65-DV$103,Männer!$G$9:$J$102,4)+VLOOKUP($CU65-DV$103+1,Männer!$G$9:$J$102,4))*0.5*(VLOOKUP($CU65-DV$103,Männer!$AZ$9:$BD$102,5)+VLOOKUP($CU65-DV$103+1,Männer!$AZ$9:$BD$102,5)),RundDx)))</f>
        <v/>
      </c>
      <c r="DW65" s="25" t="str">
        <f>IF($CU65&gt;=RAF,"",IF($CU65-DW$103&lt;BeginnAlter,"",ROUND(v^($CU65+FaktorAlter)*$L65*$D65*0.5*(VLOOKUP($CU65-DW$103,Männer!$G$9:$J$102,4)+VLOOKUP($CU65-DW$103+1,Männer!$G$9:$J$102,4))*0.5*(VLOOKUP($CU65-DW$103,Männer!$AZ$9:$BD$102,5)+VLOOKUP($CU65-DW$103+1,Männer!$AZ$9:$BD$102,5)),RundDx)))</f>
        <v/>
      </c>
      <c r="DX65" s="25" t="str">
        <f>IF($CU65&gt;=RAF,"",IF($CU65-DX$103&lt;BeginnAlter,"",ROUND(v^($CU65+FaktorAlter)*$L65*$D65*0.5*(VLOOKUP($CU65-DX$103,Männer!$G$9:$J$102,4)+VLOOKUP($CU65-DX$103+1,Männer!$G$9:$J$102,4))*0.5*(VLOOKUP($CU65-DX$103,Männer!$AZ$9:$BD$102,5)+VLOOKUP($CU65-DX$103+1,Männer!$AZ$9:$BD$102,5)),RundDx)))</f>
        <v/>
      </c>
      <c r="DY65" s="25" t="str">
        <f>IF($CU65&gt;=RAF,"",IF($CU65-DY$103&lt;BeginnAlter,"",ROUND(v^($CU65+FaktorAlter)*$L65*$D65*0.5*(VLOOKUP($CU65-DY$103,Männer!$G$9:$J$102,4)+VLOOKUP($CU65-DY$103+1,Männer!$G$9:$J$102,4))*0.5*(VLOOKUP($CU65-DY$103,Männer!$AZ$9:$BD$102,5)+VLOOKUP($CU65-DY$103+1,Männer!$AZ$9:$BD$102,5)),RundDx)))</f>
        <v/>
      </c>
      <c r="DZ65" s="25" t="str">
        <f>IF($CU65&gt;=RAF,"",IF($CU65-DZ$103&lt;BeginnAlter,"",ROUND(v^($CU65+FaktorAlter)*$L65*$D65*0.5*(VLOOKUP($CU65-DZ$103,Männer!$G$9:$J$102,4)+VLOOKUP($CU65-DZ$103+1,Männer!$G$9:$J$102,4))*0.5*(VLOOKUP($CU65-DZ$103,Männer!$AZ$9:$BD$102,5)+VLOOKUP($CU65-DZ$103+1,Männer!$AZ$9:$BD$102,5)),RundDx)))</f>
        <v/>
      </c>
      <c r="EA65" s="43" t="str">
        <f>IF($CU65&gt;=RAF,"",IF($CU65-EA$103&lt;BeginnAlter,"",ROUND((SUM(CV$56:CV65)+SUM(FN$9:FN$56))/VLOOKUP($CU65,$AH$9:$AI$102,2)/VLOOKUP($CU65-EA$103,Männer!$G$9:$J$102,4),Rundäx)))</f>
        <v/>
      </c>
      <c r="EB65" s="43" t="str">
        <f>IF($CU65&gt;=RAF,"",IF($CU65-EB$103&lt;BeginnAlter,"",ROUND((SUM(CW$56:CW65)+SUM(FO$9:FO$56))/VLOOKUP($CU65,$AH$9:$AI$102,2)/VLOOKUP($CU65-EB$103,Männer!$G$9:$J$102,4),Rundäx)))</f>
        <v/>
      </c>
      <c r="EC65" s="43" t="str">
        <f>IF($CU65&gt;=RAF,"",IF($CU65-EC$103&lt;BeginnAlter,"",ROUND((SUM(CX$56:CX65)+SUM(FP$9:FP$56))/VLOOKUP($CU65,$AH$9:$AI$102,2)/VLOOKUP($CU65-EC$103,Männer!$G$9:$J$102,4),Rundäx)))</f>
        <v/>
      </c>
      <c r="ED65" s="43" t="str">
        <f>IF($CU65&gt;=RAF,"",IF($CU65-ED$103&lt;BeginnAlter,"",ROUND((SUM(CY$56:CY65)+SUM(FQ$9:FQ$56))/VLOOKUP($CU65,$AH$9:$AI$102,2)/VLOOKUP($CU65-ED$103,Männer!$G$9:$J$102,4),Rundäx)))</f>
        <v/>
      </c>
      <c r="EE65" s="43" t="str">
        <f>IF($CU65&gt;=RAF,"",IF($CU65-EE$103&lt;BeginnAlter,"",ROUND((SUM(CZ$56:CZ65)+SUM(FR$9:FR$56))/VLOOKUP($CU65,$AH$9:$AI$102,2)/VLOOKUP($CU65-EE$103,Männer!$G$9:$J$102,4),Rundäx)))</f>
        <v/>
      </c>
      <c r="EF65" s="43" t="str">
        <f>IF($CU65&gt;=RAF,"",IF($CU65-EF$103&lt;BeginnAlter,"",ROUND((SUM(DA$56:DA65)+SUM(FS$9:FS$56))/VLOOKUP($CU65,$AH$9:$AI$102,2)/VLOOKUP($CU65-EF$103,Männer!$G$9:$J$102,4),Rundäx)))</f>
        <v/>
      </c>
      <c r="EG65" s="43" t="str">
        <f>IF($CU65&gt;=RAF,"",IF($CU65-EG$103&lt;BeginnAlter,"",ROUND((SUM(DB$56:DB65)+SUM(FT$9:FT$56))/VLOOKUP($CU65,$AH$9:$AI$102,2)/VLOOKUP($CU65-EG$103,Männer!$G$9:$J$102,4),Rundäx)))</f>
        <v/>
      </c>
      <c r="EH65" s="43" t="str">
        <f>IF($CU65&gt;=RAF,"",IF($CU65-EH$103&lt;BeginnAlter,"",ROUND((SUM(DC$56:DC65)+SUM(FU$9:FU$56))/VLOOKUP($CU65,$AH$9:$AI$102,2)/VLOOKUP($CU65-EH$103,Männer!$G$9:$J$102,4),Rundäx)))</f>
        <v/>
      </c>
      <c r="EI65" s="89"/>
      <c r="EJ65" s="35">
        <f t="shared" si="61"/>
        <v>73</v>
      </c>
      <c r="EK65" s="43" t="str">
        <f>IF($CU65&gt;=RAF,"",IF($CU65-EK$103&lt;BeginnAlter,"",ROUND((SUM(DD$56:DD65)+SUM(FV$9:FV$56))/VLOOKUP($CU65,$AH$9:$AI$102,2)/VLOOKUP($CU65-EK$103,Männer!$G$9:$J$102,4),Rundäx)))</f>
        <v/>
      </c>
      <c r="EL65" s="43" t="str">
        <f>IF($CU65&gt;=RAF,"",IF($CU65-EL$103&lt;BeginnAlter,"",ROUND((SUM(DE$56:DE65)+SUM(FW$9:FW$56))/VLOOKUP($CU65,$AH$9:$AI$102,2)/VLOOKUP($CU65-EL$103,Männer!$G$9:$J$102,4),Rundäx)))</f>
        <v/>
      </c>
      <c r="EM65" s="43" t="str">
        <f>IF($CU65&gt;=RAF,"",IF($CU65-EM$103&lt;BeginnAlter,"",ROUND((SUM(DF$56:DF65)+SUM(FX$9:FX$56))/VLOOKUP($CU65,$AH$9:$AI$102,2)/VLOOKUP($CU65-EM$103,Männer!$G$9:$J$102,4),Rundäx)))</f>
        <v/>
      </c>
      <c r="EN65" s="43" t="str">
        <f>IF($CU65&gt;=RAF,"",IF($CU65-EN$103&lt;BeginnAlter,"",ROUND((SUM(DG$56:DG65)+SUM(FY$9:FY$56))/VLOOKUP($CU65,$AH$9:$AI$102,2)/VLOOKUP($CU65-EN$103,Männer!$G$9:$J$102,4),Rundäx)))</f>
        <v/>
      </c>
      <c r="EO65" s="43" t="str">
        <f>IF($CU65&gt;=RAF,"",IF($CU65-EO$103&lt;BeginnAlter,"",ROUND((SUM(DH$56:DH65)+SUM(FZ$9:FZ$56))/VLOOKUP($CU65,$AH$9:$AI$102,2)/VLOOKUP($CU65-EO$103,Männer!$G$9:$J$102,4),Rundäx)))</f>
        <v/>
      </c>
      <c r="EP65" s="43" t="str">
        <f>IF($CU65&gt;=RAF,"",IF($CU65-EP$103&lt;BeginnAlter,"",ROUND((SUM(DI$56:DI65)+SUM(GA$9:GA$56))/VLOOKUP($CU65,$AH$9:$AI$102,2)/VLOOKUP($CU65-EP$103,Männer!$G$9:$J$102,4),Rundäx)))</f>
        <v/>
      </c>
      <c r="EQ65" s="43" t="str">
        <f>IF($CU65&gt;=RAF,"",IF($CU65-EQ$103&lt;BeginnAlter,"",ROUND((SUM(DJ$56:DJ65)+SUM(GB$9:GB$56))/VLOOKUP($CU65,$AH$9:$AI$102,2)/VLOOKUP($CU65-EQ$103,Männer!$G$9:$J$102,4),Rundäx)))</f>
        <v/>
      </c>
      <c r="ER65" s="43" t="str">
        <f>IF($CU65&gt;=RAF,"",IF($CU65-ER$103&lt;BeginnAlter,"",ROUND((SUM(DK$56:DK65)+SUM(GC$9:GC$56))/VLOOKUP($CU65,$AH$9:$AI$102,2)/VLOOKUP($CU65-ER$103,Männer!$G$9:$J$102,4),Rundäx)))</f>
        <v/>
      </c>
      <c r="ES65" s="89"/>
      <c r="ET65" s="35">
        <f t="shared" si="62"/>
        <v>73</v>
      </c>
      <c r="EU65" s="43" t="str">
        <f>IF($CU65&gt;=RAF,"",IF($CU65-EU$103&lt;BeginnAlter,"",ROUND((SUM(DL$56:DL65)+SUM(GD$9:GD$56))/VLOOKUP($CU65,$AH$9:$AI$102,2)/VLOOKUP($CU65-EU$103,Männer!$G$9:$J$102,4),Rundäx)))</f>
        <v/>
      </c>
      <c r="EV65" s="43" t="str">
        <f>IF($CU65&gt;=RAF,"",IF($CU65-EV$103&lt;BeginnAlter,"",ROUND((SUM(DM$56:DM65)+SUM(GE$9:GE$56))/VLOOKUP($CU65,$AH$9:$AI$102,2)/VLOOKUP($CU65-EV$103,Männer!$G$9:$J$102,4),Rundäx)))</f>
        <v/>
      </c>
      <c r="EW65" s="43" t="str">
        <f>IF($CU65&gt;=RAF,"",IF($CU65-EW$103&lt;BeginnAlter,"",ROUND((SUM(DN$56:DN65)+SUM(GF$9:GF$56))/VLOOKUP($CU65,$AH$9:$AI$102,2)/VLOOKUP($CU65-EW$103,Männer!$G$9:$J$102,4),Rundäx)))</f>
        <v/>
      </c>
      <c r="EX65" s="43" t="str">
        <f>IF($CU65&gt;=RAF,"",IF($CU65-EX$103&lt;BeginnAlter,"",ROUND((SUM(DO$56:DO65)+SUM(GG$9:GG$56))/VLOOKUP($CU65,$AH$9:$AI$102,2)/VLOOKUP($CU65-EX$103,Männer!$G$9:$J$102,4),Rundäx)))</f>
        <v/>
      </c>
      <c r="EY65" s="43" t="str">
        <f>IF($CU65&gt;=RAF,"",IF($CU65-EY$103&lt;BeginnAlter,"",ROUND((SUM(DP$56:DP65)+SUM(GH$9:GH$56))/VLOOKUP($CU65,$AH$9:$AI$102,2)/VLOOKUP($CU65-EY$103,Männer!$G$9:$J$102,4),Rundäx)))</f>
        <v/>
      </c>
      <c r="EZ65" s="43" t="str">
        <f>IF($CU65&gt;=RAF,"",IF($CU65-EZ$103&lt;BeginnAlter,"",ROUND((SUM(DQ$56:DQ65)+SUM(GI$9:GI$56))/VLOOKUP($CU65,$AH$9:$AI$102,2)/VLOOKUP($CU65-EZ$103,Männer!$G$9:$J$102,4),Rundäx)))</f>
        <v/>
      </c>
      <c r="FA65" s="43" t="str">
        <f>IF($CU65&gt;=RAF,"",IF($CU65-FA$103&lt;BeginnAlter,"",ROUND((SUM(DR$56:DR65)+SUM(GJ$9:GJ$56))/VLOOKUP($CU65,$AH$9:$AI$102,2)/VLOOKUP($CU65-FA$103,Männer!$G$9:$J$102,4),Rundäx)))</f>
        <v/>
      </c>
      <c r="FB65" s="43" t="str">
        <f>IF($CU65&gt;=RAF,"",IF($CU65-FB$103&lt;BeginnAlter,"",ROUND((SUM(DS$56:DS65)+SUM(GK$9:GK$56))/VLOOKUP($CU65,$AH$9:$AI$102,2)/VLOOKUP($CU65-FB$103,Männer!$G$9:$J$102,4),Rundäx)))</f>
        <v/>
      </c>
      <c r="FC65" s="89"/>
      <c r="FD65" s="35">
        <f t="shared" si="63"/>
        <v>73</v>
      </c>
      <c r="FE65" s="43" t="str">
        <f>IF($CU65&gt;=RAF,"",IF($CU65-FE$103&lt;BeginnAlter,"",ROUND((SUM(DT$56:DT65)+SUM(GL$9:GL$56))/VLOOKUP($CU65,$AH$9:$AI$102,2)/VLOOKUP($CU65-FE$103,Männer!$G$9:$J$102,4),Rundäx)))</f>
        <v/>
      </c>
      <c r="FF65" s="43" t="str">
        <f>IF($CU65&gt;=RAF,"",IF($CU65-FF$103&lt;BeginnAlter,"",ROUND((SUM(DU$56:DU65)+SUM(GM$9:GM$56))/VLOOKUP($CU65,$AH$9:$AI$102,2)/VLOOKUP($CU65-FF$103,Männer!$G$9:$J$102,4),Rundäx)))</f>
        <v/>
      </c>
      <c r="FG65" s="43" t="str">
        <f>IF($CU65&gt;=RAF,"",IF($CU65-FG$103&lt;BeginnAlter,"",ROUND((SUM(DV$56:DV65)+SUM(GN$9:GN$56))/VLOOKUP($CU65,$AH$9:$AI$102,2)/VLOOKUP($CU65-FG$103,Männer!$G$9:$J$102,4),Rundäx)))</f>
        <v/>
      </c>
      <c r="FH65" s="43" t="str">
        <f>IF($CU65&gt;=RAF,"",IF($CU65-FH$103&lt;BeginnAlter,"",ROUND((SUM(DW$56:DW65)+SUM(GO$9:GO$56))/VLOOKUP($CU65,$AH$9:$AI$102,2)/VLOOKUP($CU65-FH$103,Männer!$G$9:$J$102,4),Rundäx)))</f>
        <v/>
      </c>
      <c r="FI65" s="43" t="str">
        <f>IF($CU65&gt;=RAF,"",IF($CU65-FI$103&lt;BeginnAlter,"",ROUND((SUM(DX$56:DX65)+SUM(GP$9:GP$56))/VLOOKUP($CU65,$AH$9:$AI$102,2)/VLOOKUP($CU65-FI$103,Männer!$G$9:$J$102,4),Rundäx)))</f>
        <v/>
      </c>
      <c r="FJ65" s="43" t="str">
        <f>IF($CU65&gt;=RAF,"",IF($CU65-FJ$103&lt;BeginnAlter,"",ROUND((SUM(DY$56:DY65)+SUM(GQ$9:GQ$56))/VLOOKUP($CU65,$AH$9:$AI$102,2)/VLOOKUP($CU65-FJ$103,Männer!$G$9:$J$102,4),Rundäx)))</f>
        <v/>
      </c>
      <c r="FK65" s="43" t="str">
        <f>IF($CU65&gt;=RAF,"",IF($CU65-FK$103&lt;BeginnAlter,"",ROUND((SUM(DZ$56:DZ65)+SUM(GR$9:GR$56))/VLOOKUP($CU65,$AH$9:$AI$102,2)/VLOOKUP($CU65-FK$103,Männer!$G$9:$J$102,4),Rundäx)))</f>
        <v/>
      </c>
      <c r="FL65" s="89"/>
      <c r="FM65" s="35">
        <f t="shared" si="64"/>
        <v>120</v>
      </c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4"/>
      <c r="GT65" s="24"/>
      <c r="GU65" s="24" t="str">
        <f>IF(FM65&gt;=RAF," ",#REF!/$AI65/Frauen!$J53)</f>
        <v xml:space="preserve"> </v>
      </c>
      <c r="GV65" s="24" t="str">
        <f>IF(FM65&gt;=RAF," ",#REF!/$AI65/Frauen!$J56)</f>
        <v xml:space="preserve"> </v>
      </c>
      <c r="GW65" s="24" t="str">
        <f>IF(FM65&gt;=RAF," ",#REF!/$AI65/Frauen!$J59)</f>
        <v xml:space="preserve"> </v>
      </c>
      <c r="GX65" s="24" t="str">
        <f>IF(FM65&gt;=RAF," ",#REF!/$AI65/Frauen!$J62)</f>
        <v xml:space="preserve"> </v>
      </c>
      <c r="GY65" s="24" t="str">
        <f>IF(FM65&gt;=RAF," ",#REF!/$AI65/Frauen!$J65)</f>
        <v xml:space="preserve"> </v>
      </c>
      <c r="GZ65" s="24" t="str">
        <f>IF(FM65&gt;=RAF," ",#REF!/$AI65/Frauen!$J68)</f>
        <v xml:space="preserve"> </v>
      </c>
      <c r="HA65" s="89"/>
      <c r="HB65" s="35">
        <f t="shared" si="65"/>
        <v>120</v>
      </c>
      <c r="HC65" s="24"/>
      <c r="HD65" s="24"/>
      <c r="HE65" s="24"/>
      <c r="HF65" s="24"/>
      <c r="HG65" s="24"/>
      <c r="HH65" s="24"/>
      <c r="HI65" s="24"/>
      <c r="HJ65" s="24"/>
      <c r="HK65" s="89"/>
      <c r="HL65" s="35">
        <f t="shared" si="66"/>
        <v>120</v>
      </c>
      <c r="HM65" s="24"/>
      <c r="HN65" s="24"/>
      <c r="HO65" s="24"/>
      <c r="HP65" s="24"/>
      <c r="HQ65" s="24"/>
      <c r="HR65" s="24"/>
      <c r="HS65" s="24"/>
      <c r="HT65" s="24"/>
      <c r="HU65" s="89"/>
      <c r="HV65" s="35">
        <f t="shared" si="67"/>
        <v>120</v>
      </c>
      <c r="HW65" s="24"/>
      <c r="HX65" s="24"/>
      <c r="HY65" s="24"/>
      <c r="HZ65" s="24"/>
      <c r="IA65" s="24"/>
      <c r="IB65" s="24"/>
      <c r="IC65" s="24"/>
      <c r="ID65" s="89"/>
      <c r="IE65" s="9">
        <f t="shared" si="80"/>
        <v>73</v>
      </c>
      <c r="IF65" s="11" t="str">
        <f t="shared" si="25"/>
        <v/>
      </c>
      <c r="IG65" s="11" t="str">
        <f>IF($IE65&lt;RAF,IF(S66&lt;=RAK,ROUND(SUM(IF65:INDEX(Daky,RAF-BeginnAlter))+INDEX(Day,RAF-BeginnAlter+1)*INDEX(äky,1),RundDx),0),"")</f>
        <v/>
      </c>
      <c r="IH65" s="11" t="str">
        <f>IF($IE65&lt;RAF,IF(S66&lt;=RAK,ROUND(SUM(IG65:INDEX(Naky,RAF-BeginnAlter))+INDEX(Day,RAF-BeginnAlter+1)*INDEX(äky,1),RundDx),0),"")</f>
        <v/>
      </c>
      <c r="II65" s="10" t="str">
        <f t="shared" si="26"/>
        <v/>
      </c>
      <c r="IJ65" s="11" t="str">
        <f t="shared" si="27"/>
        <v/>
      </c>
      <c r="IK65" s="11" t="str">
        <f>IF($IE65&lt;RAF,IF(S66&lt;=RAK,SUM(IJ65:INDEX(Diky,RAF-BeginnAlter))+INDEX(Diy,RAF-BeginnAlter+1)*INDEX(äky,1),0),"")</f>
        <v/>
      </c>
      <c r="IL65" s="10" t="str">
        <f t="shared" si="28"/>
        <v/>
      </c>
      <c r="IM65" s="89"/>
      <c r="IN65" s="9">
        <f t="shared" si="29"/>
        <v>120</v>
      </c>
      <c r="IO65" s="11"/>
      <c r="IP65" s="11"/>
      <c r="IQ65" s="10"/>
      <c r="IR65" s="86"/>
    </row>
    <row r="66" spans="1:252" ht="15.75" customHeight="1" x14ac:dyDescent="0.25">
      <c r="A66" s="9">
        <f t="shared" si="69"/>
        <v>74</v>
      </c>
      <c r="B66" s="93"/>
      <c r="C66" s="93"/>
      <c r="D66" s="93"/>
      <c r="E66" s="93">
        <v>1.8832042478195216E-2</v>
      </c>
      <c r="F66" s="89"/>
      <c r="G66" s="9">
        <f t="shared" si="70"/>
        <v>74</v>
      </c>
      <c r="H66" s="11" t="str">
        <f t="shared" si="30"/>
        <v/>
      </c>
      <c r="I66" s="25" t="str">
        <f t="shared" si="31"/>
        <v/>
      </c>
      <c r="J66" s="25">
        <f t="shared" si="32"/>
        <v>78186</v>
      </c>
      <c r="K66" s="30">
        <f>IF(J66&gt;0,ROUND(SUM(J66:J$102)/J66-0.5,Rundex),"")</f>
        <v>13.6</v>
      </c>
      <c r="L66" s="25">
        <f t="shared" si="6"/>
        <v>78186</v>
      </c>
      <c r="M66" s="30">
        <f>IF(L66&gt;0,ROUND(SUM(L66:L$102)/L66-0.5,Rundex),"")</f>
        <v>13.6</v>
      </c>
      <c r="N66" s="89"/>
      <c r="O66" s="9">
        <f t="shared" si="71"/>
        <v>74</v>
      </c>
      <c r="P66" s="94">
        <v>3.1923669704703603E-2</v>
      </c>
      <c r="Q66" s="95">
        <v>75.080896947606945</v>
      </c>
      <c r="R66" s="94"/>
      <c r="S66" s="95"/>
      <c r="T66" s="28">
        <v>1.6069341395520211E-2</v>
      </c>
      <c r="U66" s="11">
        <f t="shared" si="33"/>
        <v>82362</v>
      </c>
      <c r="V66" s="30">
        <f>IF(U66&gt;0,ROUND(SUM(U66:U$102)/U66-0.5,Rundex),"")</f>
        <v>14</v>
      </c>
      <c r="W66" s="89"/>
      <c r="X66" s="9">
        <f t="shared" si="72"/>
        <v>74</v>
      </c>
      <c r="Y66" s="11" t="str">
        <f t="shared" si="34"/>
        <v xml:space="preserve"> </v>
      </c>
      <c r="Z66" s="11" t="str">
        <f>IF($X66&lt;RAF,SUM(Y66:INDEX(Day,RAF-BeginnAlter))," ")</f>
        <v xml:space="preserve"> </v>
      </c>
      <c r="AA66" s="11" t="str">
        <f t="shared" si="0"/>
        <v xml:space="preserve"> </v>
      </c>
      <c r="AB66" s="11" t="str">
        <f>IF($X66&lt;RAF,SUM(AA66:INDEX(Cay,RAF-BeginnAlter))," ")</f>
        <v xml:space="preserve"> </v>
      </c>
      <c r="AC66" s="11" t="str">
        <f t="shared" si="1"/>
        <v xml:space="preserve"> </v>
      </c>
      <c r="AD66" s="11" t="str">
        <f>IF($X66&lt;RAF,SUM(AC66:INDEX(Caiy,RAF-BeginnAlter))," ")</f>
        <v xml:space="preserve"> </v>
      </c>
      <c r="AE66" s="10" t="str">
        <f t="shared" si="35"/>
        <v xml:space="preserve"> </v>
      </c>
      <c r="AF66" s="10" t="str">
        <f t="shared" si="36"/>
        <v xml:space="preserve"> </v>
      </c>
      <c r="AG66" s="89"/>
      <c r="AH66" s="9">
        <f t="shared" si="73"/>
        <v>74</v>
      </c>
      <c r="AI66" s="11" t="str">
        <f t="shared" si="37"/>
        <v xml:space="preserve"> </v>
      </c>
      <c r="AJ66" s="11" t="str">
        <f>IF($AH66&gt;RAF," ",IF($AH66&lt;RAF,SUM(AI66:INDEX(Diy,RAF-BeginnAlter))+INDEX(Ny,RAF-BeginnAlter+1),INDEX(Ny,RAF-BeginnAlter+1)))</f>
        <v xml:space="preserve"> </v>
      </c>
      <c r="AK66" s="11" t="str">
        <f>IF($AH66&lt;RAF,SUM(AI66:INDEX(Diy,RAF-BeginnAlter))," ")</f>
        <v xml:space="preserve"> </v>
      </c>
      <c r="AL66" s="10" t="str">
        <f t="shared" si="38"/>
        <v xml:space="preserve"> </v>
      </c>
      <c r="AM66" s="10" t="str">
        <f t="shared" si="39"/>
        <v xml:space="preserve"> </v>
      </c>
      <c r="AN66" s="10" t="str">
        <f t="shared" si="40"/>
        <v xml:space="preserve"> </v>
      </c>
      <c r="AO66" s="10" t="str">
        <f t="shared" si="41"/>
        <v xml:space="preserve"> </v>
      </c>
      <c r="AP66" s="89"/>
      <c r="AQ66" s="9">
        <f t="shared" si="74"/>
        <v>74</v>
      </c>
      <c r="AR66" s="11">
        <f t="shared" si="42"/>
        <v>15068</v>
      </c>
      <c r="AS66" s="11">
        <f>SUM(AR66:AR$96)</f>
        <v>179420</v>
      </c>
      <c r="AT66" s="25" t="str">
        <f>IF($AQ66&lt;RAF,SUM(AR66:INDEX(Dy,RAF-BeginnAlter))," ")</f>
        <v xml:space="preserve"> </v>
      </c>
      <c r="AU66" s="24">
        <f t="shared" si="43"/>
        <v>11.907</v>
      </c>
      <c r="AV66" s="24">
        <f t="shared" si="44"/>
        <v>11.449</v>
      </c>
      <c r="AW66" s="24" t="str">
        <f t="shared" si="45"/>
        <v xml:space="preserve"> </v>
      </c>
      <c r="AX66" s="24" t="str">
        <f t="shared" si="46"/>
        <v xml:space="preserve"> </v>
      </c>
      <c r="AY66" s="89"/>
      <c r="AZ66" s="9">
        <f t="shared" si="75"/>
        <v>74</v>
      </c>
      <c r="BA66" s="11">
        <f t="shared" si="47"/>
        <v>15872</v>
      </c>
      <c r="BB66" s="11">
        <f>SUM(BA66:BA$96)</f>
        <v>193481</v>
      </c>
      <c r="BC66" s="10">
        <f t="shared" si="48"/>
        <v>12.19</v>
      </c>
      <c r="BD66" s="10">
        <f t="shared" si="7"/>
        <v>11.731999999999999</v>
      </c>
      <c r="BE66" s="89"/>
      <c r="BF66" s="9">
        <f t="shared" si="54"/>
        <v>57</v>
      </c>
      <c r="BG66" s="10" t="str">
        <f t="shared" si="8"/>
        <v/>
      </c>
      <c r="BH66" s="10" t="str">
        <f t="shared" si="9"/>
        <v/>
      </c>
      <c r="BI66" s="89"/>
      <c r="BJ66" s="9">
        <f t="shared" si="76"/>
        <v>74</v>
      </c>
      <c r="BK66" s="11" t="str">
        <f t="shared" si="10"/>
        <v xml:space="preserve"> </v>
      </c>
      <c r="BL66" s="11" t="str">
        <f>IF(BJ66&lt;RAF,SUM(BK66:INDEX(Daiy,RAF-BeginnAlter))," ")</f>
        <v xml:space="preserve"> </v>
      </c>
      <c r="BM66" s="11" t="str">
        <f>IF(BJ66&lt;RAF,SUM(BL66:INDEX(Naiy,RAF-BeginnAlter))," ")</f>
        <v xml:space="preserve"> </v>
      </c>
      <c r="BN66" s="10" t="str">
        <f t="shared" si="11"/>
        <v xml:space="preserve"> </v>
      </c>
      <c r="BO66" s="10" t="str">
        <f t="shared" si="12"/>
        <v xml:space="preserve"> </v>
      </c>
      <c r="BP66" s="89"/>
      <c r="BQ66" s="9">
        <f t="shared" si="77"/>
        <v>74</v>
      </c>
      <c r="BR66" s="11" t="str">
        <f t="shared" si="13"/>
        <v xml:space="preserve"> </v>
      </c>
      <c r="BS66" s="11" t="str">
        <f>IF(BQ66&lt;RAF,SUM(BR66:INDEX(Daiys,RAF-BeginnAlter))," ")</f>
        <v xml:space="preserve"> </v>
      </c>
      <c r="BT66" s="11" t="str">
        <f>IF(BQ66&lt;RAF,SUM(BS66:INDEX(Naiys,RAF-BeginnAlter))," ")</f>
        <v xml:space="preserve"> </v>
      </c>
      <c r="BU66" s="10" t="str">
        <f t="shared" si="14"/>
        <v xml:space="preserve"> </v>
      </c>
      <c r="BV66" s="10" t="str">
        <f t="shared" si="15"/>
        <v xml:space="preserve"> </v>
      </c>
      <c r="BW66" s="89"/>
      <c r="BX66" s="9">
        <f t="shared" si="78"/>
        <v>74</v>
      </c>
      <c r="BY66" s="10" t="str">
        <f t="shared" si="16"/>
        <v/>
      </c>
      <c r="BZ66" s="11" t="str">
        <f t="shared" si="17"/>
        <v/>
      </c>
      <c r="CA66" s="11" t="str">
        <f>IF(S67&lt;=RAK,IF($BX66&lt;RAF,SUM(BZ66:INDEX(Dazy,RAF-BeginnAlter)),""),"")</f>
        <v/>
      </c>
      <c r="CB66" s="10" t="str">
        <f t="shared" si="18"/>
        <v/>
      </c>
      <c r="CC66" s="11">
        <f t="shared" si="19"/>
        <v>0</v>
      </c>
      <c r="CD66" s="10">
        <f t="shared" si="20"/>
        <v>0</v>
      </c>
      <c r="CE66" s="10" t="str">
        <f t="shared" si="21"/>
        <v/>
      </c>
      <c r="CF66" s="89"/>
      <c r="CG66" s="9">
        <f t="shared" si="79"/>
        <v>74</v>
      </c>
      <c r="CH66" s="11" t="str">
        <f>IF(CG66&lt;RAF,ROUND(v^($CG66+FaktorAlter)*$H66*($B66*0.5*($P66+$P67)*(VLOOKUP(TRUNC(0.5*($Q66+$Q67),0),Männer!$AZ$9:$BD$95,5)+(0.5*($Q66+$Q67)-TRUNC(0.5*($Q66+$Q67),0))*(VLOOKUP(TRUNC(0.5*($Q66+$Q67)+1,0),Männer!$AZ$9:$BD$95,5)-VLOOKUP(TRUNC(0.5*($Q66+$Q67),0),Männer!$AZ$9:$BD$95,5)))+$C66*0.5*($CN66+$CN67)),RundDx),"")</f>
        <v/>
      </c>
      <c r="CI66" s="11" t="str">
        <f>IF(CG66&lt;RAF,ROUND(SUM(CH66:INDEX(Dawy,RAF-BeginnAlter))+INDEX(Day,RAF-BeginnAlter+1)*INDEX(äwy,1),RundDx),"")</f>
        <v/>
      </c>
      <c r="CJ66" s="11" t="str">
        <f>IF(CG66&lt;RAF,ROUND(SUM(CI66:INDEX(Nawy,RAF-BeginnAlter))+INDEX(Day,RAF-BeginnAlter+1)*INDEX(äwy,1),RundDx),"")</f>
        <v/>
      </c>
      <c r="CK66" s="10" t="str">
        <f t="shared" si="22"/>
        <v/>
      </c>
      <c r="CL66" s="11" t="str">
        <f>IF(CG66&lt;RAF,ROUND(v^($CG66+FaktorAlter)*$L66*$D66*0.5*($P66+$P67)*(VLOOKUP(TRUNC(0.5*($Q66+$Q67),0),Männer!$AZ$9:$BD$95,5)+(0.5*($Q66+$Q67)-TRUNC(0.5*($Q66+$Q67),0))*(VLOOKUP(TRUNC(0.5*($Q66+$Q67)+1,0),Männer!$AZ$9:$BD$95,5)-VLOOKUP(TRUNC(0.5*($Q66+$Q67),0),Männer!$AZ$9:$BD$95,5))),RundDx),"")</f>
        <v/>
      </c>
      <c r="CM66" s="11" t="str">
        <f>IF(CG66&lt;RAF,SUM(CL66:INDEX(Diwy,RAF-BeginnAlter))+INDEX(Diy,RAF-BeginnAlter+1)*INDEX(äwy,1),"")</f>
        <v/>
      </c>
      <c r="CN66" s="10" t="str">
        <f t="shared" si="23"/>
        <v/>
      </c>
      <c r="CO66" s="89"/>
      <c r="CP66" s="9">
        <f t="shared" si="59"/>
        <v>121</v>
      </c>
      <c r="CQ66" s="11"/>
      <c r="CR66" s="11"/>
      <c r="CS66" s="10"/>
      <c r="CT66" s="89"/>
      <c r="CU66" s="35">
        <f t="shared" si="60"/>
        <v>74</v>
      </c>
      <c r="CV66" s="25" t="str">
        <f>IF($CU66&gt;=RAF,"",IF($CU66-CV$103&lt;BeginnAlter,"",ROUND(v^($CU66+FaktorAlter)*$L66*$D66*0.5*(VLOOKUP($CU66-CV$103,Männer!$G$9:$J$102,4)+VLOOKUP($CU66-CV$103+1,Männer!$G$9:$J$102,4))*0.5*(VLOOKUP($CU66-CV$103,Männer!$AZ$9:$BD$102,5)+VLOOKUP($CU66-CV$103+1,Männer!$AZ$9:$BD$102,5)),RundDx)))</f>
        <v/>
      </c>
      <c r="CW66" s="25" t="str">
        <f>IF($CU66&gt;=RAF,"",IF($CU66-CW$103&lt;BeginnAlter,"",ROUND(v^($CU66+FaktorAlter)*$L66*$D66*0.5*(VLOOKUP($CU66-CW$103,Männer!$G$9:$J$102,4)+VLOOKUP($CU66-CW$103+1,Männer!$G$9:$J$102,4))*0.5*(VLOOKUP($CU66-CW$103,Männer!$AZ$9:$BD$102,5)+VLOOKUP($CU66-CW$103+1,Männer!$AZ$9:$BD$102,5)),RundDx)))</f>
        <v/>
      </c>
      <c r="CX66" s="25" t="str">
        <f>IF($CU66&gt;=RAF,"",IF($CU66-CX$103&lt;BeginnAlter,"",ROUND(v^($CU66+FaktorAlter)*$L66*$D66*0.5*(VLOOKUP($CU66-CX$103,Männer!$G$9:$J$102,4)+VLOOKUP($CU66-CX$103+1,Männer!$G$9:$J$102,4))*0.5*(VLOOKUP($CU66-CX$103,Männer!$AZ$9:$BD$102,5)+VLOOKUP($CU66-CX$103+1,Männer!$AZ$9:$BD$102,5)),RundDx)))</f>
        <v/>
      </c>
      <c r="CY66" s="25" t="str">
        <f>IF($CU66&gt;=RAF,"",IF($CU66-CY$103&lt;BeginnAlter,"",ROUND(v^($CU66+FaktorAlter)*$L66*$D66*0.5*(VLOOKUP($CU66-CY$103,Männer!$G$9:$J$102,4)+VLOOKUP($CU66-CY$103+1,Männer!$G$9:$J$102,4))*0.5*(VLOOKUP($CU66-CY$103,Männer!$AZ$9:$BD$102,5)+VLOOKUP($CU66-CY$103+1,Männer!$AZ$9:$BD$102,5)),RundDx)))</f>
        <v/>
      </c>
      <c r="CZ66" s="25" t="str">
        <f>IF($CU66&gt;=RAF,"",IF($CU66-CZ$103&lt;BeginnAlter,"",ROUND(v^($CU66+FaktorAlter)*$L66*$D66*0.5*(VLOOKUP($CU66-CZ$103,Männer!$G$9:$J$102,4)+VLOOKUP($CU66-CZ$103+1,Männer!$G$9:$J$102,4))*0.5*(VLOOKUP($CU66-CZ$103,Männer!$AZ$9:$BD$102,5)+VLOOKUP($CU66-CZ$103+1,Männer!$AZ$9:$BD$102,5)),RundDx)))</f>
        <v/>
      </c>
      <c r="DA66" s="25" t="str">
        <f>IF($CU66&gt;=RAF,"",IF($CU66-DA$103&lt;BeginnAlter,"",ROUND(v^($CU66+FaktorAlter)*$L66*$D66*0.5*(VLOOKUP($CU66-DA$103,Männer!$G$9:$J$102,4)+VLOOKUP($CU66-DA$103+1,Männer!$G$9:$J$102,4))*0.5*(VLOOKUP($CU66-DA$103,Männer!$AZ$9:$BD$102,5)+VLOOKUP($CU66-DA$103+1,Männer!$AZ$9:$BD$102,5)),RundDx)))</f>
        <v/>
      </c>
      <c r="DB66" s="25" t="str">
        <f>IF($CU66&gt;=RAF,"",IF($CU66-DB$103&lt;BeginnAlter,"",ROUND(v^($CU66+FaktorAlter)*$L66*$D66*0.5*(VLOOKUP($CU66-DB$103,Männer!$G$9:$J$102,4)+VLOOKUP($CU66-DB$103+1,Männer!$G$9:$J$102,4))*0.5*(VLOOKUP($CU66-DB$103,Männer!$AZ$9:$BD$102,5)+VLOOKUP($CU66-DB$103+1,Männer!$AZ$9:$BD$102,5)),RundDx)))</f>
        <v/>
      </c>
      <c r="DC66" s="25" t="str">
        <f>IF($CU66&gt;=RAF,"",IF($CU66-DC$103&lt;BeginnAlter,"",ROUND(v^($CU66+FaktorAlter)*$L66*$D66*0.5*(VLOOKUP($CU66-DC$103,Männer!$G$9:$J$102,4)+VLOOKUP($CU66-DC$103+1,Männer!$G$9:$J$102,4))*0.5*(VLOOKUP($CU66-DC$103,Männer!$AZ$9:$BD$102,5)+VLOOKUP($CU66-DC$103+1,Männer!$AZ$9:$BD$102,5)),RundDx)))</f>
        <v/>
      </c>
      <c r="DD66" s="25" t="str">
        <f>IF($CU66&gt;=RAF,"",IF($CU66-DD$103&lt;BeginnAlter,"",ROUND(v^($CU66+FaktorAlter)*$L66*$D66*0.5*(VLOOKUP($CU66-DD$103,Männer!$G$9:$J$102,4)+VLOOKUP($CU66-DD$103+1,Männer!$G$9:$J$102,4))*0.5*(VLOOKUP($CU66-DD$103,Männer!$AZ$9:$BD$102,5)+VLOOKUP($CU66-DD$103+1,Männer!$AZ$9:$BD$102,5)),RundDx)))</f>
        <v/>
      </c>
      <c r="DE66" s="25" t="str">
        <f>IF($CU66&gt;=RAF,"",IF($CU66-DE$103&lt;BeginnAlter,"",ROUND(v^($CU66+FaktorAlter)*$L66*$D66*0.5*(VLOOKUP($CU66-DE$103,Männer!$G$9:$J$102,4)+VLOOKUP($CU66-DE$103+1,Männer!$G$9:$J$102,4))*0.5*(VLOOKUP($CU66-DE$103,Männer!$AZ$9:$BD$102,5)+VLOOKUP($CU66-DE$103+1,Männer!$AZ$9:$BD$102,5)),RundDx)))</f>
        <v/>
      </c>
      <c r="DF66" s="25" t="str">
        <f>IF($CU66&gt;=RAF,"",IF($CU66-DF$103&lt;BeginnAlter,"",ROUND(v^($CU66+FaktorAlter)*$L66*$D66*0.5*(VLOOKUP($CU66-DF$103,Männer!$G$9:$J$102,4)+VLOOKUP($CU66-DF$103+1,Männer!$G$9:$J$102,4))*0.5*(VLOOKUP($CU66-DF$103,Männer!$AZ$9:$BD$102,5)+VLOOKUP($CU66-DF$103+1,Männer!$AZ$9:$BD$102,5)),RundDx)))</f>
        <v/>
      </c>
      <c r="DG66" s="25" t="str">
        <f>IF($CU66&gt;=RAF,"",IF($CU66-DG$103&lt;BeginnAlter,"",ROUND(v^($CU66+FaktorAlter)*$L66*$D66*0.5*(VLOOKUP($CU66-DG$103,Männer!$G$9:$J$102,4)+VLOOKUP($CU66-DG$103+1,Männer!$G$9:$J$102,4))*0.5*(VLOOKUP($CU66-DG$103,Männer!$AZ$9:$BD$102,5)+VLOOKUP($CU66-DG$103+1,Männer!$AZ$9:$BD$102,5)),RundDx)))</f>
        <v/>
      </c>
      <c r="DH66" s="25" t="str">
        <f>IF($CU66&gt;=RAF,"",IF($CU66-DH$103&lt;BeginnAlter,"",ROUND(v^($CU66+FaktorAlter)*$L66*$D66*0.5*(VLOOKUP($CU66-DH$103,Männer!$G$9:$J$102,4)+VLOOKUP($CU66-DH$103+1,Männer!$G$9:$J$102,4))*0.5*(VLOOKUP($CU66-DH$103,Männer!$AZ$9:$BD$102,5)+VLOOKUP($CU66-DH$103+1,Männer!$AZ$9:$BD$102,5)),RundDx)))</f>
        <v/>
      </c>
      <c r="DI66" s="25" t="str">
        <f>IF($CU66&gt;=RAF,"",IF($CU66-DI$103&lt;BeginnAlter,"",ROUND(v^($CU66+FaktorAlter)*$L66*$D66*0.5*(VLOOKUP($CU66-DI$103,Männer!$G$9:$J$102,4)+VLOOKUP($CU66-DI$103+1,Männer!$G$9:$J$102,4))*0.5*(VLOOKUP($CU66-DI$103,Männer!$AZ$9:$BD$102,5)+VLOOKUP($CU66-DI$103+1,Männer!$AZ$9:$BD$102,5)),RundDx)))</f>
        <v/>
      </c>
      <c r="DJ66" s="25" t="str">
        <f>IF($CU66&gt;=RAF,"",IF($CU66-DJ$103&lt;BeginnAlter,"",ROUND(v^($CU66+FaktorAlter)*$L66*$D66*0.5*(VLOOKUP($CU66-DJ$103,Männer!$G$9:$J$102,4)+VLOOKUP($CU66-DJ$103+1,Männer!$G$9:$J$102,4))*0.5*(VLOOKUP($CU66-DJ$103,Männer!$AZ$9:$BD$102,5)+VLOOKUP($CU66-DJ$103+1,Männer!$AZ$9:$BD$102,5)),RundDx)))</f>
        <v/>
      </c>
      <c r="DK66" s="25" t="str">
        <f>IF($CU66&gt;=RAF,"",IF($CU66-DK$103&lt;BeginnAlter,"",ROUND(v^($CU66+FaktorAlter)*$L66*$D66*0.5*(VLOOKUP($CU66-DK$103,Männer!$G$9:$J$102,4)+VLOOKUP($CU66-DK$103+1,Männer!$G$9:$J$102,4))*0.5*(VLOOKUP($CU66-DK$103,Männer!$AZ$9:$BD$102,5)+VLOOKUP($CU66-DK$103+1,Männer!$AZ$9:$BD$102,5)),RundDx)))</f>
        <v/>
      </c>
      <c r="DL66" s="25" t="str">
        <f>IF($CU66&gt;=RAF,"",IF($CU66-DL$103&lt;BeginnAlter,"",ROUND(v^($CU66+FaktorAlter)*$L66*$D66*0.5*(VLOOKUP($CU66-DL$103,Männer!$G$9:$J$102,4)+VLOOKUP($CU66-DL$103+1,Männer!$G$9:$J$102,4))*0.5*(VLOOKUP($CU66-DL$103,Männer!$AZ$9:$BD$102,5)+VLOOKUP($CU66-DL$103+1,Männer!$AZ$9:$BD$102,5)),RundDx)))</f>
        <v/>
      </c>
      <c r="DM66" s="25" t="str">
        <f>IF($CU66&gt;=RAF,"",IF($CU66-DM$103&lt;BeginnAlter,"",ROUND(v^($CU66+FaktorAlter)*$L66*$D66*0.5*(VLOOKUP($CU66-DM$103,Männer!$G$9:$J$102,4)+VLOOKUP($CU66-DM$103+1,Männer!$G$9:$J$102,4))*0.5*(VLOOKUP($CU66-DM$103,Männer!$AZ$9:$BD$102,5)+VLOOKUP($CU66-DM$103+1,Männer!$AZ$9:$BD$102,5)),RundDx)))</f>
        <v/>
      </c>
      <c r="DN66" s="25" t="str">
        <f>IF($CU66&gt;=RAF,"",IF($CU66-DN$103&lt;BeginnAlter,"",ROUND(v^($CU66+FaktorAlter)*$L66*$D66*0.5*(VLOOKUP($CU66-DN$103,Männer!$G$9:$J$102,4)+VLOOKUP($CU66-DN$103+1,Männer!$G$9:$J$102,4))*0.5*(VLOOKUP($CU66-DN$103,Männer!$AZ$9:$BD$102,5)+VLOOKUP($CU66-DN$103+1,Männer!$AZ$9:$BD$102,5)),RundDx)))</f>
        <v/>
      </c>
      <c r="DO66" s="25" t="str">
        <f>IF($CU66&gt;=RAF,"",IF($CU66-DO$103&lt;BeginnAlter,"",ROUND(v^($CU66+FaktorAlter)*$L66*$D66*0.5*(VLOOKUP($CU66-DO$103,Männer!$G$9:$J$102,4)+VLOOKUP($CU66-DO$103+1,Männer!$G$9:$J$102,4))*0.5*(VLOOKUP($CU66-DO$103,Männer!$AZ$9:$BD$102,5)+VLOOKUP($CU66-DO$103+1,Männer!$AZ$9:$BD$102,5)),RundDx)))</f>
        <v/>
      </c>
      <c r="DP66" s="25" t="str">
        <f>IF($CU66&gt;=RAF,"",IF($CU66-DP$103&lt;BeginnAlter,"",ROUND(v^($CU66+FaktorAlter)*$L66*$D66*0.5*(VLOOKUP($CU66-DP$103,Männer!$G$9:$J$102,4)+VLOOKUP($CU66-DP$103+1,Männer!$G$9:$J$102,4))*0.5*(VLOOKUP($CU66-DP$103,Männer!$AZ$9:$BD$102,5)+VLOOKUP($CU66-DP$103+1,Männer!$AZ$9:$BD$102,5)),RundDx)))</f>
        <v/>
      </c>
      <c r="DQ66" s="25" t="str">
        <f>IF($CU66&gt;=RAF,"",IF($CU66-DQ$103&lt;BeginnAlter,"",ROUND(v^($CU66+FaktorAlter)*$L66*$D66*0.5*(VLOOKUP($CU66-DQ$103,Männer!$G$9:$J$102,4)+VLOOKUP($CU66-DQ$103+1,Männer!$G$9:$J$102,4))*0.5*(VLOOKUP($CU66-DQ$103,Männer!$AZ$9:$BD$102,5)+VLOOKUP($CU66-DQ$103+1,Männer!$AZ$9:$BD$102,5)),RundDx)))</f>
        <v/>
      </c>
      <c r="DR66" s="25" t="str">
        <f>IF($CU66&gt;=RAF,"",IF($CU66-DR$103&lt;BeginnAlter,"",ROUND(v^($CU66+FaktorAlter)*$L66*$D66*0.5*(VLOOKUP($CU66-DR$103,Männer!$G$9:$J$102,4)+VLOOKUP($CU66-DR$103+1,Männer!$G$9:$J$102,4))*0.5*(VLOOKUP($CU66-DR$103,Männer!$AZ$9:$BD$102,5)+VLOOKUP($CU66-DR$103+1,Männer!$AZ$9:$BD$102,5)),RundDx)))</f>
        <v/>
      </c>
      <c r="DS66" s="25" t="str">
        <f>IF($CU66&gt;=RAF,"",IF($CU66-DS$103&lt;BeginnAlter,"",ROUND(v^($CU66+FaktorAlter)*$L66*$D66*0.5*(VLOOKUP($CU66-DS$103,Männer!$G$9:$J$102,4)+VLOOKUP($CU66-DS$103+1,Männer!$G$9:$J$102,4))*0.5*(VLOOKUP($CU66-DS$103,Männer!$AZ$9:$BD$102,5)+VLOOKUP($CU66-DS$103+1,Männer!$AZ$9:$BD$102,5)),RundDx)))</f>
        <v/>
      </c>
      <c r="DT66" s="25" t="str">
        <f>IF($CU66&gt;=RAF,"",IF($CU66-DT$103&lt;BeginnAlter,"",ROUND(v^($CU66+FaktorAlter)*$L66*$D66*0.5*(VLOOKUP($CU66-DT$103,Männer!$G$9:$J$102,4)+VLOOKUP($CU66-DT$103+1,Männer!$G$9:$J$102,4))*0.5*(VLOOKUP($CU66-DT$103,Männer!$AZ$9:$BD$102,5)+VLOOKUP($CU66-DT$103+1,Männer!$AZ$9:$BD$102,5)),RundDx)))</f>
        <v/>
      </c>
      <c r="DU66" s="25" t="str">
        <f>IF($CU66&gt;=RAF,"",IF($CU66-DU$103&lt;BeginnAlter,"",ROUND(v^($CU66+FaktorAlter)*$L66*$D66*0.5*(VLOOKUP($CU66-DU$103,Männer!$G$9:$J$102,4)+VLOOKUP($CU66-DU$103+1,Männer!$G$9:$J$102,4))*0.5*(VLOOKUP($CU66-DU$103,Männer!$AZ$9:$BD$102,5)+VLOOKUP($CU66-DU$103+1,Männer!$AZ$9:$BD$102,5)),RundDx)))</f>
        <v/>
      </c>
      <c r="DV66" s="25" t="str">
        <f>IF($CU66&gt;=RAF,"",IF($CU66-DV$103&lt;BeginnAlter,"",ROUND(v^($CU66+FaktorAlter)*$L66*$D66*0.5*(VLOOKUP($CU66-DV$103,Männer!$G$9:$J$102,4)+VLOOKUP($CU66-DV$103+1,Männer!$G$9:$J$102,4))*0.5*(VLOOKUP($CU66-DV$103,Männer!$AZ$9:$BD$102,5)+VLOOKUP($CU66-DV$103+1,Männer!$AZ$9:$BD$102,5)),RundDx)))</f>
        <v/>
      </c>
      <c r="DW66" s="25" t="str">
        <f>IF($CU66&gt;=RAF,"",IF($CU66-DW$103&lt;BeginnAlter,"",ROUND(v^($CU66+FaktorAlter)*$L66*$D66*0.5*(VLOOKUP($CU66-DW$103,Männer!$G$9:$J$102,4)+VLOOKUP($CU66-DW$103+1,Männer!$G$9:$J$102,4))*0.5*(VLOOKUP($CU66-DW$103,Männer!$AZ$9:$BD$102,5)+VLOOKUP($CU66-DW$103+1,Männer!$AZ$9:$BD$102,5)),RundDx)))</f>
        <v/>
      </c>
      <c r="DX66" s="25" t="str">
        <f>IF($CU66&gt;=RAF,"",IF($CU66-DX$103&lt;BeginnAlter,"",ROUND(v^($CU66+FaktorAlter)*$L66*$D66*0.5*(VLOOKUP($CU66-DX$103,Männer!$G$9:$J$102,4)+VLOOKUP($CU66-DX$103+1,Männer!$G$9:$J$102,4))*0.5*(VLOOKUP($CU66-DX$103,Männer!$AZ$9:$BD$102,5)+VLOOKUP($CU66-DX$103+1,Männer!$AZ$9:$BD$102,5)),RundDx)))</f>
        <v/>
      </c>
      <c r="DY66" s="25" t="str">
        <f>IF($CU66&gt;=RAF,"",IF($CU66-DY$103&lt;BeginnAlter,"",ROUND(v^($CU66+FaktorAlter)*$L66*$D66*0.5*(VLOOKUP($CU66-DY$103,Männer!$G$9:$J$102,4)+VLOOKUP($CU66-DY$103+1,Männer!$G$9:$J$102,4))*0.5*(VLOOKUP($CU66-DY$103,Männer!$AZ$9:$BD$102,5)+VLOOKUP($CU66-DY$103+1,Männer!$AZ$9:$BD$102,5)),RundDx)))</f>
        <v/>
      </c>
      <c r="DZ66" s="25" t="str">
        <f>IF($CU66&gt;=RAF,"",IF($CU66-DZ$103&lt;BeginnAlter,"",ROUND(v^($CU66+FaktorAlter)*$L66*$D66*0.5*(VLOOKUP($CU66-DZ$103,Männer!$G$9:$J$102,4)+VLOOKUP($CU66-DZ$103+1,Männer!$G$9:$J$102,4))*0.5*(VLOOKUP($CU66-DZ$103,Männer!$AZ$9:$BD$102,5)+VLOOKUP($CU66-DZ$103+1,Männer!$AZ$9:$BD$102,5)),RundDx)))</f>
        <v/>
      </c>
      <c r="EA66" s="43" t="str">
        <f>IF($CU66&gt;=RAF,"",IF($CU66-EA$103&lt;BeginnAlter,"",ROUND((SUM(CV$56:CV66)+SUM(FN$9:FN$56))/VLOOKUP($CU66,$AH$9:$AI$102,2)/VLOOKUP($CU66-EA$103,Männer!$G$9:$J$102,4),Rundäx)))</f>
        <v/>
      </c>
      <c r="EB66" s="43" t="str">
        <f>IF($CU66&gt;=RAF,"",IF($CU66-EB$103&lt;BeginnAlter,"",ROUND((SUM(CW$56:CW66)+SUM(FO$9:FO$56))/VLOOKUP($CU66,$AH$9:$AI$102,2)/VLOOKUP($CU66-EB$103,Männer!$G$9:$J$102,4),Rundäx)))</f>
        <v/>
      </c>
      <c r="EC66" s="43" t="str">
        <f>IF($CU66&gt;=RAF,"",IF($CU66-EC$103&lt;BeginnAlter,"",ROUND((SUM(CX$56:CX66)+SUM(FP$9:FP$56))/VLOOKUP($CU66,$AH$9:$AI$102,2)/VLOOKUP($CU66-EC$103,Männer!$G$9:$J$102,4),Rundäx)))</f>
        <v/>
      </c>
      <c r="ED66" s="43" t="str">
        <f>IF($CU66&gt;=RAF,"",IF($CU66-ED$103&lt;BeginnAlter,"",ROUND((SUM(CY$56:CY66)+SUM(FQ$9:FQ$56))/VLOOKUP($CU66,$AH$9:$AI$102,2)/VLOOKUP($CU66-ED$103,Männer!$G$9:$J$102,4),Rundäx)))</f>
        <v/>
      </c>
      <c r="EE66" s="43" t="str">
        <f>IF($CU66&gt;=RAF,"",IF($CU66-EE$103&lt;BeginnAlter,"",ROUND((SUM(CZ$56:CZ66)+SUM(FR$9:FR$56))/VLOOKUP($CU66,$AH$9:$AI$102,2)/VLOOKUP($CU66-EE$103,Männer!$G$9:$J$102,4),Rundäx)))</f>
        <v/>
      </c>
      <c r="EF66" s="43" t="str">
        <f>IF($CU66&gt;=RAF,"",IF($CU66-EF$103&lt;BeginnAlter,"",ROUND((SUM(DA$56:DA66)+SUM(FS$9:FS$56))/VLOOKUP($CU66,$AH$9:$AI$102,2)/VLOOKUP($CU66-EF$103,Männer!$G$9:$J$102,4),Rundäx)))</f>
        <v/>
      </c>
      <c r="EG66" s="43" t="str">
        <f>IF($CU66&gt;=RAF,"",IF($CU66-EG$103&lt;BeginnAlter,"",ROUND((SUM(DB$56:DB66)+SUM(FT$9:FT$56))/VLOOKUP($CU66,$AH$9:$AI$102,2)/VLOOKUP($CU66-EG$103,Männer!$G$9:$J$102,4),Rundäx)))</f>
        <v/>
      </c>
      <c r="EH66" s="43" t="str">
        <f>IF($CU66&gt;=RAF,"",IF($CU66-EH$103&lt;BeginnAlter,"",ROUND((SUM(DC$56:DC66)+SUM(FU$9:FU$56))/VLOOKUP($CU66,$AH$9:$AI$102,2)/VLOOKUP($CU66-EH$103,Männer!$G$9:$J$102,4),Rundäx)))</f>
        <v/>
      </c>
      <c r="EI66" s="89"/>
      <c r="EJ66" s="35">
        <f t="shared" si="61"/>
        <v>74</v>
      </c>
      <c r="EK66" s="43" t="str">
        <f>IF($CU66&gt;=RAF,"",IF($CU66-EK$103&lt;BeginnAlter,"",ROUND((SUM(DD$56:DD66)+SUM(FV$9:FV$56))/VLOOKUP($CU66,$AH$9:$AI$102,2)/VLOOKUP($CU66-EK$103,Männer!$G$9:$J$102,4),Rundäx)))</f>
        <v/>
      </c>
      <c r="EL66" s="43" t="str">
        <f>IF($CU66&gt;=RAF,"",IF($CU66-EL$103&lt;BeginnAlter,"",ROUND((SUM(DE$56:DE66)+SUM(FW$9:FW$56))/VLOOKUP($CU66,$AH$9:$AI$102,2)/VLOOKUP($CU66-EL$103,Männer!$G$9:$J$102,4),Rundäx)))</f>
        <v/>
      </c>
      <c r="EM66" s="43" t="str">
        <f>IF($CU66&gt;=RAF,"",IF($CU66-EM$103&lt;BeginnAlter,"",ROUND((SUM(DF$56:DF66)+SUM(FX$9:FX$56))/VLOOKUP($CU66,$AH$9:$AI$102,2)/VLOOKUP($CU66-EM$103,Männer!$G$9:$J$102,4),Rundäx)))</f>
        <v/>
      </c>
      <c r="EN66" s="43" t="str">
        <f>IF($CU66&gt;=RAF,"",IF($CU66-EN$103&lt;BeginnAlter,"",ROUND((SUM(DG$56:DG66)+SUM(FY$9:FY$56))/VLOOKUP($CU66,$AH$9:$AI$102,2)/VLOOKUP($CU66-EN$103,Männer!$G$9:$J$102,4),Rundäx)))</f>
        <v/>
      </c>
      <c r="EO66" s="43" t="str">
        <f>IF($CU66&gt;=RAF,"",IF($CU66-EO$103&lt;BeginnAlter,"",ROUND((SUM(DH$56:DH66)+SUM(FZ$9:FZ$56))/VLOOKUP($CU66,$AH$9:$AI$102,2)/VLOOKUP($CU66-EO$103,Männer!$G$9:$J$102,4),Rundäx)))</f>
        <v/>
      </c>
      <c r="EP66" s="43" t="str">
        <f>IF($CU66&gt;=RAF,"",IF($CU66-EP$103&lt;BeginnAlter,"",ROUND((SUM(DI$56:DI66)+SUM(GA$9:GA$56))/VLOOKUP($CU66,$AH$9:$AI$102,2)/VLOOKUP($CU66-EP$103,Männer!$G$9:$J$102,4),Rundäx)))</f>
        <v/>
      </c>
      <c r="EQ66" s="43" t="str">
        <f>IF($CU66&gt;=RAF,"",IF($CU66-EQ$103&lt;BeginnAlter,"",ROUND((SUM(DJ$56:DJ66)+SUM(GB$9:GB$56))/VLOOKUP($CU66,$AH$9:$AI$102,2)/VLOOKUP($CU66-EQ$103,Männer!$G$9:$J$102,4),Rundäx)))</f>
        <v/>
      </c>
      <c r="ER66" s="43" t="str">
        <f>IF($CU66&gt;=RAF,"",IF($CU66-ER$103&lt;BeginnAlter,"",ROUND((SUM(DK$56:DK66)+SUM(GC$9:GC$56))/VLOOKUP($CU66,$AH$9:$AI$102,2)/VLOOKUP($CU66-ER$103,Männer!$G$9:$J$102,4),Rundäx)))</f>
        <v/>
      </c>
      <c r="ES66" s="89"/>
      <c r="ET66" s="35">
        <f t="shared" si="62"/>
        <v>74</v>
      </c>
      <c r="EU66" s="43" t="str">
        <f>IF($CU66&gt;=RAF,"",IF($CU66-EU$103&lt;BeginnAlter,"",ROUND((SUM(DL$56:DL66)+SUM(GD$9:GD$56))/VLOOKUP($CU66,$AH$9:$AI$102,2)/VLOOKUP($CU66-EU$103,Männer!$G$9:$J$102,4),Rundäx)))</f>
        <v/>
      </c>
      <c r="EV66" s="43" t="str">
        <f>IF($CU66&gt;=RAF,"",IF($CU66-EV$103&lt;BeginnAlter,"",ROUND((SUM(DM$56:DM66)+SUM(GE$9:GE$56))/VLOOKUP($CU66,$AH$9:$AI$102,2)/VLOOKUP($CU66-EV$103,Männer!$G$9:$J$102,4),Rundäx)))</f>
        <v/>
      </c>
      <c r="EW66" s="43" t="str">
        <f>IF($CU66&gt;=RAF,"",IF($CU66-EW$103&lt;BeginnAlter,"",ROUND((SUM(DN$56:DN66)+SUM(GF$9:GF$56))/VLOOKUP($CU66,$AH$9:$AI$102,2)/VLOOKUP($CU66-EW$103,Männer!$G$9:$J$102,4),Rundäx)))</f>
        <v/>
      </c>
      <c r="EX66" s="43" t="str">
        <f>IF($CU66&gt;=RAF,"",IF($CU66-EX$103&lt;BeginnAlter,"",ROUND((SUM(DO$56:DO66)+SUM(GG$9:GG$56))/VLOOKUP($CU66,$AH$9:$AI$102,2)/VLOOKUP($CU66-EX$103,Männer!$G$9:$J$102,4),Rundäx)))</f>
        <v/>
      </c>
      <c r="EY66" s="43" t="str">
        <f>IF($CU66&gt;=RAF,"",IF($CU66-EY$103&lt;BeginnAlter,"",ROUND((SUM(DP$56:DP66)+SUM(GH$9:GH$56))/VLOOKUP($CU66,$AH$9:$AI$102,2)/VLOOKUP($CU66-EY$103,Männer!$G$9:$J$102,4),Rundäx)))</f>
        <v/>
      </c>
      <c r="EZ66" s="43" t="str">
        <f>IF($CU66&gt;=RAF,"",IF($CU66-EZ$103&lt;BeginnAlter,"",ROUND((SUM(DQ$56:DQ66)+SUM(GI$9:GI$56))/VLOOKUP($CU66,$AH$9:$AI$102,2)/VLOOKUP($CU66-EZ$103,Männer!$G$9:$J$102,4),Rundäx)))</f>
        <v/>
      </c>
      <c r="FA66" s="43" t="str">
        <f>IF($CU66&gt;=RAF,"",IF($CU66-FA$103&lt;BeginnAlter,"",ROUND((SUM(DR$56:DR66)+SUM(GJ$9:GJ$56))/VLOOKUP($CU66,$AH$9:$AI$102,2)/VLOOKUP($CU66-FA$103,Männer!$G$9:$J$102,4),Rundäx)))</f>
        <v/>
      </c>
      <c r="FB66" s="43" t="str">
        <f>IF($CU66&gt;=RAF,"",IF($CU66-FB$103&lt;BeginnAlter,"",ROUND((SUM(DS$56:DS66)+SUM(GK$9:GK$56))/VLOOKUP($CU66,$AH$9:$AI$102,2)/VLOOKUP($CU66-FB$103,Männer!$G$9:$J$102,4),Rundäx)))</f>
        <v/>
      </c>
      <c r="FC66" s="89"/>
      <c r="FD66" s="35">
        <f t="shared" si="63"/>
        <v>74</v>
      </c>
      <c r="FE66" s="43" t="str">
        <f>IF($CU66&gt;=RAF,"",IF($CU66-FE$103&lt;BeginnAlter,"",ROUND((SUM(DT$56:DT66)+SUM(GL$9:GL$56))/VLOOKUP($CU66,$AH$9:$AI$102,2)/VLOOKUP($CU66-FE$103,Männer!$G$9:$J$102,4),Rundäx)))</f>
        <v/>
      </c>
      <c r="FF66" s="43" t="str">
        <f>IF($CU66&gt;=RAF,"",IF($CU66-FF$103&lt;BeginnAlter,"",ROUND((SUM(DU$56:DU66)+SUM(GM$9:GM$56))/VLOOKUP($CU66,$AH$9:$AI$102,2)/VLOOKUP($CU66-FF$103,Männer!$G$9:$J$102,4),Rundäx)))</f>
        <v/>
      </c>
      <c r="FG66" s="43" t="str">
        <f>IF($CU66&gt;=RAF,"",IF($CU66-FG$103&lt;BeginnAlter,"",ROUND((SUM(DV$56:DV66)+SUM(GN$9:GN$56))/VLOOKUP($CU66,$AH$9:$AI$102,2)/VLOOKUP($CU66-FG$103,Männer!$G$9:$J$102,4),Rundäx)))</f>
        <v/>
      </c>
      <c r="FH66" s="43" t="str">
        <f>IF($CU66&gt;=RAF,"",IF($CU66-FH$103&lt;BeginnAlter,"",ROUND((SUM(DW$56:DW66)+SUM(GO$9:GO$56))/VLOOKUP($CU66,$AH$9:$AI$102,2)/VLOOKUP($CU66-FH$103,Männer!$G$9:$J$102,4),Rundäx)))</f>
        <v/>
      </c>
      <c r="FI66" s="43" t="str">
        <f>IF($CU66&gt;=RAF,"",IF($CU66-FI$103&lt;BeginnAlter,"",ROUND((SUM(DX$56:DX66)+SUM(GP$9:GP$56))/VLOOKUP($CU66,$AH$9:$AI$102,2)/VLOOKUP($CU66-FI$103,Männer!$G$9:$J$102,4),Rundäx)))</f>
        <v/>
      </c>
      <c r="FJ66" s="43" t="str">
        <f>IF($CU66&gt;=RAF,"",IF($CU66-FJ$103&lt;BeginnAlter,"",ROUND((SUM(DY$56:DY66)+SUM(GQ$9:GQ$56))/VLOOKUP($CU66,$AH$9:$AI$102,2)/VLOOKUP($CU66-FJ$103,Männer!$G$9:$J$102,4),Rundäx)))</f>
        <v/>
      </c>
      <c r="FK66" s="43" t="str">
        <f>IF($CU66&gt;=RAF,"",IF($CU66-FK$103&lt;BeginnAlter,"",ROUND((SUM(DZ$56:DZ66)+SUM(GR$9:GR$56))/VLOOKUP($CU66,$AH$9:$AI$102,2)/VLOOKUP($CU66-FK$103,Männer!$G$9:$J$102,4),Rundäx)))</f>
        <v/>
      </c>
      <c r="FL66" s="89"/>
      <c r="FM66" s="35">
        <f t="shared" si="64"/>
        <v>121</v>
      </c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4"/>
      <c r="GT66" s="24"/>
      <c r="GU66" s="24" t="str">
        <f>IF(FM66&gt;=RAF," ",#REF!/$AI66/Frauen!$J54)</f>
        <v xml:space="preserve"> </v>
      </c>
      <c r="GV66" s="24" t="str">
        <f>IF(FM66&gt;=RAF," ",#REF!/$AI66/Frauen!$J57)</f>
        <v xml:space="preserve"> </v>
      </c>
      <c r="GW66" s="24" t="str">
        <f>IF(FM66&gt;=RAF," ",#REF!/$AI66/Frauen!$J60)</f>
        <v xml:space="preserve"> </v>
      </c>
      <c r="GX66" s="24" t="str">
        <f>IF(FM66&gt;=RAF," ",#REF!/$AI66/Frauen!$J63)</f>
        <v xml:space="preserve"> </v>
      </c>
      <c r="GY66" s="24" t="str">
        <f>IF(FM66&gt;=RAF," ",#REF!/$AI66/Frauen!$J66)</f>
        <v xml:space="preserve"> </v>
      </c>
      <c r="GZ66" s="24" t="str">
        <f>IF(FM66&gt;=RAF," ",#REF!/$AI66/Frauen!$J69)</f>
        <v xml:space="preserve"> </v>
      </c>
      <c r="HA66" s="89"/>
      <c r="HB66" s="35">
        <f t="shared" si="65"/>
        <v>121</v>
      </c>
      <c r="HC66" s="24"/>
      <c r="HD66" s="24"/>
      <c r="HE66" s="24"/>
      <c r="HF66" s="24"/>
      <c r="HG66" s="24"/>
      <c r="HH66" s="24"/>
      <c r="HI66" s="24"/>
      <c r="HJ66" s="24"/>
      <c r="HK66" s="89"/>
      <c r="HL66" s="35">
        <f t="shared" si="66"/>
        <v>121</v>
      </c>
      <c r="HM66" s="24"/>
      <c r="HN66" s="24"/>
      <c r="HO66" s="24"/>
      <c r="HP66" s="24"/>
      <c r="HQ66" s="24"/>
      <c r="HR66" s="24"/>
      <c r="HS66" s="24"/>
      <c r="HT66" s="24"/>
      <c r="HU66" s="89"/>
      <c r="HV66" s="35">
        <f t="shared" si="67"/>
        <v>121</v>
      </c>
      <c r="HW66" s="24"/>
      <c r="HX66" s="24"/>
      <c r="HY66" s="24"/>
      <c r="HZ66" s="24"/>
      <c r="IA66" s="24"/>
      <c r="IB66" s="24"/>
      <c r="IC66" s="24"/>
      <c r="ID66" s="89"/>
      <c r="IE66" s="9">
        <f t="shared" si="80"/>
        <v>74</v>
      </c>
      <c r="IF66" s="11" t="str">
        <f t="shared" si="25"/>
        <v/>
      </c>
      <c r="IG66" s="11" t="str">
        <f>IF($IE66&lt;RAF,IF(S67&lt;=RAK,ROUND(SUM(IF66:INDEX(Daky,RAF-BeginnAlter))+INDEX(Day,RAF-BeginnAlter+1)*INDEX(äky,1),RundDx),0),"")</f>
        <v/>
      </c>
      <c r="IH66" s="11" t="str">
        <f>IF($IE66&lt;RAF,IF(S67&lt;=RAK,ROUND(SUM(IG66:INDEX(Naky,RAF-BeginnAlter))+INDEX(Day,RAF-BeginnAlter+1)*INDEX(äky,1),RundDx),0),"")</f>
        <v/>
      </c>
      <c r="II66" s="10" t="str">
        <f t="shared" si="26"/>
        <v/>
      </c>
      <c r="IJ66" s="11" t="str">
        <f t="shared" si="27"/>
        <v/>
      </c>
      <c r="IK66" s="11" t="str">
        <f>IF($IE66&lt;RAF,IF(S67&lt;=RAK,SUM(IJ66:INDEX(Diky,RAF-BeginnAlter))+INDEX(Diy,RAF-BeginnAlter+1)*INDEX(äky,1),0),"")</f>
        <v/>
      </c>
      <c r="IL66" s="10" t="str">
        <f t="shared" si="28"/>
        <v/>
      </c>
      <c r="IM66" s="89"/>
      <c r="IN66" s="9">
        <f t="shared" si="29"/>
        <v>121</v>
      </c>
      <c r="IO66" s="11"/>
      <c r="IP66" s="11"/>
      <c r="IQ66" s="10"/>
      <c r="IR66" s="86"/>
    </row>
    <row r="67" spans="1:252" ht="15.75" customHeight="1" x14ac:dyDescent="0.25">
      <c r="A67" s="9">
        <f t="shared" si="69"/>
        <v>75</v>
      </c>
      <c r="B67" s="93"/>
      <c r="C67" s="93"/>
      <c r="D67" s="93"/>
      <c r="E67" s="93">
        <v>1.9892571184338004E-2</v>
      </c>
      <c r="F67" s="89"/>
      <c r="G67" s="9">
        <f t="shared" si="70"/>
        <v>75</v>
      </c>
      <c r="H67" s="11" t="str">
        <f t="shared" si="30"/>
        <v/>
      </c>
      <c r="I67" s="25" t="str">
        <f t="shared" si="31"/>
        <v/>
      </c>
      <c r="J67" s="25">
        <f t="shared" si="32"/>
        <v>76714</v>
      </c>
      <c r="K67" s="30">
        <f>IF(J67&gt;0,ROUND(SUM(J67:J$102)/J67-0.5,Rundex),"")</f>
        <v>12.85</v>
      </c>
      <c r="L67" s="25">
        <f t="shared" si="6"/>
        <v>76714</v>
      </c>
      <c r="M67" s="30">
        <f>IF(L67&gt;0,ROUND(SUM(L67:L$102)/L67-0.5,Rundex),"")</f>
        <v>12.85</v>
      </c>
      <c r="N67" s="89"/>
      <c r="O67" s="9">
        <f t="shared" si="71"/>
        <v>75</v>
      </c>
      <c r="P67" s="94">
        <v>2.6044824281479237E-2</v>
      </c>
      <c r="Q67" s="95">
        <v>76.018428028346818</v>
      </c>
      <c r="R67" s="94"/>
      <c r="S67" s="95"/>
      <c r="T67" s="28">
        <v>1.8116530229309393E-2</v>
      </c>
      <c r="U67" s="11">
        <f t="shared" si="33"/>
        <v>81038</v>
      </c>
      <c r="V67" s="30">
        <f>IF(U67&gt;0,ROUND(SUM(U67:U$102)/U67-0.5,Rundex),"")</f>
        <v>13.22</v>
      </c>
      <c r="W67" s="89"/>
      <c r="X67" s="9">
        <f t="shared" si="72"/>
        <v>75</v>
      </c>
      <c r="Y67" s="11" t="str">
        <f t="shared" si="34"/>
        <v xml:space="preserve"> </v>
      </c>
      <c r="Z67" s="11" t="str">
        <f>IF($X67&lt;RAF,SUM(Y67:INDEX(Day,RAF-BeginnAlter))," ")</f>
        <v xml:space="preserve"> </v>
      </c>
      <c r="AA67" s="11" t="str">
        <f t="shared" si="0"/>
        <v xml:space="preserve"> </v>
      </c>
      <c r="AB67" s="11" t="str">
        <f>IF($X67&lt;RAF,SUM(AA67:INDEX(Cay,RAF-BeginnAlter))," ")</f>
        <v xml:space="preserve"> </v>
      </c>
      <c r="AC67" s="11" t="str">
        <f t="shared" si="1"/>
        <v xml:space="preserve"> </v>
      </c>
      <c r="AD67" s="11" t="str">
        <f>IF($X67&lt;RAF,SUM(AC67:INDEX(Caiy,RAF-BeginnAlter))," ")</f>
        <v xml:space="preserve"> </v>
      </c>
      <c r="AE67" s="10" t="str">
        <f t="shared" si="35"/>
        <v xml:space="preserve"> </v>
      </c>
      <c r="AF67" s="10" t="str">
        <f t="shared" si="36"/>
        <v xml:space="preserve"> </v>
      </c>
      <c r="AG67" s="89"/>
      <c r="AH67" s="9">
        <f t="shared" si="73"/>
        <v>75</v>
      </c>
      <c r="AI67" s="11" t="str">
        <f t="shared" si="37"/>
        <v xml:space="preserve"> </v>
      </c>
      <c r="AJ67" s="11" t="str">
        <f>IF($AH67&gt;RAF," ",IF($AH67&lt;RAF,SUM(AI67:INDEX(Diy,RAF-BeginnAlter))+INDEX(Ny,RAF-BeginnAlter+1),INDEX(Ny,RAF-BeginnAlter+1)))</f>
        <v xml:space="preserve"> </v>
      </c>
      <c r="AK67" s="11" t="str">
        <f>IF($AH67&lt;RAF,SUM(AI67:INDEX(Diy,RAF-BeginnAlter))," ")</f>
        <v xml:space="preserve"> </v>
      </c>
      <c r="AL67" s="10" t="str">
        <f t="shared" si="38"/>
        <v xml:space="preserve"> </v>
      </c>
      <c r="AM67" s="10" t="str">
        <f t="shared" si="39"/>
        <v xml:space="preserve"> </v>
      </c>
      <c r="AN67" s="10" t="str">
        <f t="shared" si="40"/>
        <v xml:space="preserve"> </v>
      </c>
      <c r="AO67" s="10" t="str">
        <f t="shared" si="41"/>
        <v xml:space="preserve"> </v>
      </c>
      <c r="AP67" s="89"/>
      <c r="AQ67" s="9">
        <f t="shared" si="74"/>
        <v>75</v>
      </c>
      <c r="AR67" s="11">
        <f t="shared" si="42"/>
        <v>14459</v>
      </c>
      <c r="AS67" s="11">
        <f>SUM(AR67:AR$96)</f>
        <v>164352</v>
      </c>
      <c r="AT67" s="25" t="str">
        <f>IF($AQ67&lt;RAF,SUM(AR67:INDEX(Dy,RAF-BeginnAlter))," ")</f>
        <v xml:space="preserve"> </v>
      </c>
      <c r="AU67" s="24">
        <f t="shared" si="43"/>
        <v>11.367000000000001</v>
      </c>
      <c r="AV67" s="24">
        <f t="shared" si="44"/>
        <v>10.907999999999999</v>
      </c>
      <c r="AW67" s="24" t="str">
        <f t="shared" si="45"/>
        <v xml:space="preserve"> </v>
      </c>
      <c r="AX67" s="24" t="str">
        <f t="shared" si="46"/>
        <v xml:space="preserve"> </v>
      </c>
      <c r="AY67" s="89"/>
      <c r="AZ67" s="9">
        <f t="shared" si="75"/>
        <v>75</v>
      </c>
      <c r="BA67" s="11">
        <f t="shared" si="47"/>
        <v>15274</v>
      </c>
      <c r="BB67" s="11">
        <f>SUM(BA67:BA$96)</f>
        <v>177609</v>
      </c>
      <c r="BC67" s="10">
        <f t="shared" si="48"/>
        <v>11.628</v>
      </c>
      <c r="BD67" s="10">
        <f t="shared" si="7"/>
        <v>11.17</v>
      </c>
      <c r="BE67" s="89"/>
      <c r="BF67" s="9">
        <f t="shared" si="54"/>
        <v>58</v>
      </c>
      <c r="BG67" s="10" t="str">
        <f t="shared" si="8"/>
        <v/>
      </c>
      <c r="BH67" s="10" t="str">
        <f t="shared" si="9"/>
        <v/>
      </c>
      <c r="BI67" s="89"/>
      <c r="BJ67" s="9">
        <f t="shared" si="76"/>
        <v>75</v>
      </c>
      <c r="BK67" s="11" t="str">
        <f t="shared" si="10"/>
        <v xml:space="preserve"> </v>
      </c>
      <c r="BL67" s="11" t="str">
        <f>IF(BJ67&lt;RAF,SUM(BK67:INDEX(Daiy,RAF-BeginnAlter))," ")</f>
        <v xml:space="preserve"> </v>
      </c>
      <c r="BM67" s="11" t="str">
        <f>IF(BJ67&lt;RAF,SUM(BL67:INDEX(Naiy,RAF-BeginnAlter))," ")</f>
        <v xml:space="preserve"> </v>
      </c>
      <c r="BN67" s="10" t="str">
        <f t="shared" si="11"/>
        <v xml:space="preserve"> </v>
      </c>
      <c r="BO67" s="10" t="str">
        <f t="shared" si="12"/>
        <v xml:space="preserve"> </v>
      </c>
      <c r="BP67" s="89"/>
      <c r="BQ67" s="9">
        <f t="shared" si="77"/>
        <v>75</v>
      </c>
      <c r="BR67" s="11" t="str">
        <f t="shared" si="13"/>
        <v xml:space="preserve"> </v>
      </c>
      <c r="BS67" s="11" t="str">
        <f>IF(BQ67&lt;RAF,SUM(BR67:INDEX(Daiys,RAF-BeginnAlter))," ")</f>
        <v xml:space="preserve"> </v>
      </c>
      <c r="BT67" s="11" t="str">
        <f>IF(BQ67&lt;RAF,SUM(BS67:INDEX(Naiys,RAF-BeginnAlter))," ")</f>
        <v xml:space="preserve"> </v>
      </c>
      <c r="BU67" s="10" t="str">
        <f t="shared" si="14"/>
        <v xml:space="preserve"> </v>
      </c>
      <c r="BV67" s="10" t="str">
        <f t="shared" si="15"/>
        <v xml:space="preserve"> </v>
      </c>
      <c r="BW67" s="89"/>
      <c r="BX67" s="9">
        <f t="shared" si="78"/>
        <v>75</v>
      </c>
      <c r="BY67" s="10" t="str">
        <f t="shared" si="16"/>
        <v/>
      </c>
      <c r="BZ67" s="11" t="str">
        <f t="shared" si="17"/>
        <v/>
      </c>
      <c r="CA67" s="11" t="str">
        <f>IF(S68&lt;=RAK,IF($BX67&lt;RAF,SUM(BZ67:INDEX(Dazy,RAF-BeginnAlter)),""),"")</f>
        <v/>
      </c>
      <c r="CB67" s="10" t="str">
        <f t="shared" si="18"/>
        <v/>
      </c>
      <c r="CC67" s="11">
        <f t="shared" si="19"/>
        <v>0</v>
      </c>
      <c r="CD67" s="10">
        <f t="shared" si="20"/>
        <v>0</v>
      </c>
      <c r="CE67" s="10" t="str">
        <f t="shared" si="21"/>
        <v/>
      </c>
      <c r="CF67" s="89"/>
      <c r="CG67" s="9">
        <f t="shared" si="79"/>
        <v>75</v>
      </c>
      <c r="CH67" s="11" t="str">
        <f>IF(CG67&lt;RAF,ROUND(v^($CG67+FaktorAlter)*$H67*($B67*0.5*($P67+$P68)*(VLOOKUP(TRUNC(0.5*($Q67+$Q68),0),Männer!$AZ$9:$BD$95,5)+(0.5*($Q67+$Q68)-TRUNC(0.5*($Q67+$Q68),0))*(VLOOKUP(TRUNC(0.5*($Q67+$Q68)+1,0),Männer!$AZ$9:$BD$95,5)-VLOOKUP(TRUNC(0.5*($Q67+$Q68),0),Männer!$AZ$9:$BD$95,5)))+$C67*0.5*($CN67+$CN68)),RundDx),"")</f>
        <v/>
      </c>
      <c r="CI67" s="11" t="str">
        <f>IF(CG67&lt;RAF,ROUND(SUM(CH67:INDEX(Dawy,RAF-BeginnAlter))+INDEX(Day,RAF-BeginnAlter+1)*INDEX(äwy,1),RundDx),"")</f>
        <v/>
      </c>
      <c r="CJ67" s="11" t="str">
        <f>IF(CG67&lt;RAF,ROUND(SUM(CI67:INDEX(Nawy,RAF-BeginnAlter))+INDEX(Day,RAF-BeginnAlter+1)*INDEX(äwy,1),RundDx),"")</f>
        <v/>
      </c>
      <c r="CK67" s="10" t="str">
        <f t="shared" si="22"/>
        <v/>
      </c>
      <c r="CL67" s="11" t="str">
        <f>IF(CG67&lt;RAF,ROUND(v^($CG67+FaktorAlter)*$L67*$D67*0.5*($P67+$P68)*(VLOOKUP(TRUNC(0.5*($Q67+$Q68),0),Männer!$AZ$9:$BD$95,5)+(0.5*($Q67+$Q68)-TRUNC(0.5*($Q67+$Q68),0))*(VLOOKUP(TRUNC(0.5*($Q67+$Q68)+1,0),Männer!$AZ$9:$BD$95,5)-VLOOKUP(TRUNC(0.5*($Q67+$Q68),0),Männer!$AZ$9:$BD$95,5))),RundDx),"")</f>
        <v/>
      </c>
      <c r="CM67" s="11" t="str">
        <f>IF(CG67&lt;RAF,SUM(CL67:INDEX(Diwy,RAF-BeginnAlter))+INDEX(Diy,RAF-BeginnAlter+1)*INDEX(äwy,1),"")</f>
        <v/>
      </c>
      <c r="CN67" s="10" t="str">
        <f t="shared" si="23"/>
        <v/>
      </c>
      <c r="CO67" s="89"/>
      <c r="CP67" s="9">
        <f t="shared" si="59"/>
        <v>122</v>
      </c>
      <c r="CQ67" s="11"/>
      <c r="CR67" s="11"/>
      <c r="CS67" s="10"/>
      <c r="CT67" s="89"/>
      <c r="CU67" s="35">
        <f t="shared" si="60"/>
        <v>75</v>
      </c>
      <c r="CV67" s="25" t="str">
        <f>IF($CU67&gt;=RAF,"",IF($CU67-CV$103&lt;BeginnAlter,"",ROUND(v^($CU67+FaktorAlter)*$L67*$D67*0.5*(VLOOKUP($CU67-CV$103,Männer!$G$9:$J$102,4)+VLOOKUP($CU67-CV$103+1,Männer!$G$9:$J$102,4))*0.5*(VLOOKUP($CU67-CV$103,Männer!$AZ$9:$BD$102,5)+VLOOKUP($CU67-CV$103+1,Männer!$AZ$9:$BD$102,5)),RundDx)))</f>
        <v/>
      </c>
      <c r="CW67" s="25" t="str">
        <f>IF($CU67&gt;=RAF,"",IF($CU67-CW$103&lt;BeginnAlter,"",ROUND(v^($CU67+FaktorAlter)*$L67*$D67*0.5*(VLOOKUP($CU67-CW$103,Männer!$G$9:$J$102,4)+VLOOKUP($CU67-CW$103+1,Männer!$G$9:$J$102,4))*0.5*(VLOOKUP($CU67-CW$103,Männer!$AZ$9:$BD$102,5)+VLOOKUP($CU67-CW$103+1,Männer!$AZ$9:$BD$102,5)),RundDx)))</f>
        <v/>
      </c>
      <c r="CX67" s="25" t="str">
        <f>IF($CU67&gt;=RAF,"",IF($CU67-CX$103&lt;BeginnAlter,"",ROUND(v^($CU67+FaktorAlter)*$L67*$D67*0.5*(VLOOKUP($CU67-CX$103,Männer!$G$9:$J$102,4)+VLOOKUP($CU67-CX$103+1,Männer!$G$9:$J$102,4))*0.5*(VLOOKUP($CU67-CX$103,Männer!$AZ$9:$BD$102,5)+VLOOKUP($CU67-CX$103+1,Männer!$AZ$9:$BD$102,5)),RundDx)))</f>
        <v/>
      </c>
      <c r="CY67" s="25" t="str">
        <f>IF($CU67&gt;=RAF,"",IF($CU67-CY$103&lt;BeginnAlter,"",ROUND(v^($CU67+FaktorAlter)*$L67*$D67*0.5*(VLOOKUP($CU67-CY$103,Männer!$G$9:$J$102,4)+VLOOKUP($CU67-CY$103+1,Männer!$G$9:$J$102,4))*0.5*(VLOOKUP($CU67-CY$103,Männer!$AZ$9:$BD$102,5)+VLOOKUP($CU67-CY$103+1,Männer!$AZ$9:$BD$102,5)),RundDx)))</f>
        <v/>
      </c>
      <c r="CZ67" s="25" t="str">
        <f>IF($CU67&gt;=RAF,"",IF($CU67-CZ$103&lt;BeginnAlter,"",ROUND(v^($CU67+FaktorAlter)*$L67*$D67*0.5*(VLOOKUP($CU67-CZ$103,Männer!$G$9:$J$102,4)+VLOOKUP($CU67-CZ$103+1,Männer!$G$9:$J$102,4))*0.5*(VLOOKUP($CU67-CZ$103,Männer!$AZ$9:$BD$102,5)+VLOOKUP($CU67-CZ$103+1,Männer!$AZ$9:$BD$102,5)),RundDx)))</f>
        <v/>
      </c>
      <c r="DA67" s="25" t="str">
        <f>IF($CU67&gt;=RAF,"",IF($CU67-DA$103&lt;BeginnAlter,"",ROUND(v^($CU67+FaktorAlter)*$L67*$D67*0.5*(VLOOKUP($CU67-DA$103,Männer!$G$9:$J$102,4)+VLOOKUP($CU67-DA$103+1,Männer!$G$9:$J$102,4))*0.5*(VLOOKUP($CU67-DA$103,Männer!$AZ$9:$BD$102,5)+VLOOKUP($CU67-DA$103+1,Männer!$AZ$9:$BD$102,5)),RundDx)))</f>
        <v/>
      </c>
      <c r="DB67" s="25" t="str">
        <f>IF($CU67&gt;=RAF,"",IF($CU67-DB$103&lt;BeginnAlter,"",ROUND(v^($CU67+FaktorAlter)*$L67*$D67*0.5*(VLOOKUP($CU67-DB$103,Männer!$G$9:$J$102,4)+VLOOKUP($CU67-DB$103+1,Männer!$G$9:$J$102,4))*0.5*(VLOOKUP($CU67-DB$103,Männer!$AZ$9:$BD$102,5)+VLOOKUP($CU67-DB$103+1,Männer!$AZ$9:$BD$102,5)),RundDx)))</f>
        <v/>
      </c>
      <c r="DC67" s="25" t="str">
        <f>IF($CU67&gt;=RAF,"",IF($CU67-DC$103&lt;BeginnAlter,"",ROUND(v^($CU67+FaktorAlter)*$L67*$D67*0.5*(VLOOKUP($CU67-DC$103,Männer!$G$9:$J$102,4)+VLOOKUP($CU67-DC$103+1,Männer!$G$9:$J$102,4))*0.5*(VLOOKUP($CU67-DC$103,Männer!$AZ$9:$BD$102,5)+VLOOKUP($CU67-DC$103+1,Männer!$AZ$9:$BD$102,5)),RundDx)))</f>
        <v/>
      </c>
      <c r="DD67" s="25" t="str">
        <f>IF($CU67&gt;=RAF,"",IF($CU67-DD$103&lt;BeginnAlter,"",ROUND(v^($CU67+FaktorAlter)*$L67*$D67*0.5*(VLOOKUP($CU67-DD$103,Männer!$G$9:$J$102,4)+VLOOKUP($CU67-DD$103+1,Männer!$G$9:$J$102,4))*0.5*(VLOOKUP($CU67-DD$103,Männer!$AZ$9:$BD$102,5)+VLOOKUP($CU67-DD$103+1,Männer!$AZ$9:$BD$102,5)),RundDx)))</f>
        <v/>
      </c>
      <c r="DE67" s="25" t="str">
        <f>IF($CU67&gt;=RAF,"",IF($CU67-DE$103&lt;BeginnAlter,"",ROUND(v^($CU67+FaktorAlter)*$L67*$D67*0.5*(VLOOKUP($CU67-DE$103,Männer!$G$9:$J$102,4)+VLOOKUP($CU67-DE$103+1,Männer!$G$9:$J$102,4))*0.5*(VLOOKUP($CU67-DE$103,Männer!$AZ$9:$BD$102,5)+VLOOKUP($CU67-DE$103+1,Männer!$AZ$9:$BD$102,5)),RundDx)))</f>
        <v/>
      </c>
      <c r="DF67" s="25" t="str">
        <f>IF($CU67&gt;=RAF,"",IF($CU67-DF$103&lt;BeginnAlter,"",ROUND(v^($CU67+FaktorAlter)*$L67*$D67*0.5*(VLOOKUP($CU67-DF$103,Männer!$G$9:$J$102,4)+VLOOKUP($CU67-DF$103+1,Männer!$G$9:$J$102,4))*0.5*(VLOOKUP($CU67-DF$103,Männer!$AZ$9:$BD$102,5)+VLOOKUP($CU67-DF$103+1,Männer!$AZ$9:$BD$102,5)),RundDx)))</f>
        <v/>
      </c>
      <c r="DG67" s="25" t="str">
        <f>IF($CU67&gt;=RAF,"",IF($CU67-DG$103&lt;BeginnAlter,"",ROUND(v^($CU67+FaktorAlter)*$L67*$D67*0.5*(VLOOKUP($CU67-DG$103,Männer!$G$9:$J$102,4)+VLOOKUP($CU67-DG$103+1,Männer!$G$9:$J$102,4))*0.5*(VLOOKUP($CU67-DG$103,Männer!$AZ$9:$BD$102,5)+VLOOKUP($CU67-DG$103+1,Männer!$AZ$9:$BD$102,5)),RundDx)))</f>
        <v/>
      </c>
      <c r="DH67" s="25" t="str">
        <f>IF($CU67&gt;=RAF,"",IF($CU67-DH$103&lt;BeginnAlter,"",ROUND(v^($CU67+FaktorAlter)*$L67*$D67*0.5*(VLOOKUP($CU67-DH$103,Männer!$G$9:$J$102,4)+VLOOKUP($CU67-DH$103+1,Männer!$G$9:$J$102,4))*0.5*(VLOOKUP($CU67-DH$103,Männer!$AZ$9:$BD$102,5)+VLOOKUP($CU67-DH$103+1,Männer!$AZ$9:$BD$102,5)),RundDx)))</f>
        <v/>
      </c>
      <c r="DI67" s="25" t="str">
        <f>IF($CU67&gt;=RAF,"",IF($CU67-DI$103&lt;BeginnAlter,"",ROUND(v^($CU67+FaktorAlter)*$L67*$D67*0.5*(VLOOKUP($CU67-DI$103,Männer!$G$9:$J$102,4)+VLOOKUP($CU67-DI$103+1,Männer!$G$9:$J$102,4))*0.5*(VLOOKUP($CU67-DI$103,Männer!$AZ$9:$BD$102,5)+VLOOKUP($CU67-DI$103+1,Männer!$AZ$9:$BD$102,5)),RundDx)))</f>
        <v/>
      </c>
      <c r="DJ67" s="25" t="str">
        <f>IF($CU67&gt;=RAF,"",IF($CU67-DJ$103&lt;BeginnAlter,"",ROUND(v^($CU67+FaktorAlter)*$L67*$D67*0.5*(VLOOKUP($CU67-DJ$103,Männer!$G$9:$J$102,4)+VLOOKUP($CU67-DJ$103+1,Männer!$G$9:$J$102,4))*0.5*(VLOOKUP($CU67-DJ$103,Männer!$AZ$9:$BD$102,5)+VLOOKUP($CU67-DJ$103+1,Männer!$AZ$9:$BD$102,5)),RundDx)))</f>
        <v/>
      </c>
      <c r="DK67" s="25" t="str">
        <f>IF($CU67&gt;=RAF,"",IF($CU67-DK$103&lt;BeginnAlter,"",ROUND(v^($CU67+FaktorAlter)*$L67*$D67*0.5*(VLOOKUP($CU67-DK$103,Männer!$G$9:$J$102,4)+VLOOKUP($CU67-DK$103+1,Männer!$G$9:$J$102,4))*0.5*(VLOOKUP($CU67-DK$103,Männer!$AZ$9:$BD$102,5)+VLOOKUP($CU67-DK$103+1,Männer!$AZ$9:$BD$102,5)),RundDx)))</f>
        <v/>
      </c>
      <c r="DL67" s="25" t="str">
        <f>IF($CU67&gt;=RAF,"",IF($CU67-DL$103&lt;BeginnAlter,"",ROUND(v^($CU67+FaktorAlter)*$L67*$D67*0.5*(VLOOKUP($CU67-DL$103,Männer!$G$9:$J$102,4)+VLOOKUP($CU67-DL$103+1,Männer!$G$9:$J$102,4))*0.5*(VLOOKUP($CU67-DL$103,Männer!$AZ$9:$BD$102,5)+VLOOKUP($CU67-DL$103+1,Männer!$AZ$9:$BD$102,5)),RundDx)))</f>
        <v/>
      </c>
      <c r="DM67" s="25" t="str">
        <f>IF($CU67&gt;=RAF,"",IF($CU67-DM$103&lt;BeginnAlter,"",ROUND(v^($CU67+FaktorAlter)*$L67*$D67*0.5*(VLOOKUP($CU67-DM$103,Männer!$G$9:$J$102,4)+VLOOKUP($CU67-DM$103+1,Männer!$G$9:$J$102,4))*0.5*(VLOOKUP($CU67-DM$103,Männer!$AZ$9:$BD$102,5)+VLOOKUP($CU67-DM$103+1,Männer!$AZ$9:$BD$102,5)),RundDx)))</f>
        <v/>
      </c>
      <c r="DN67" s="25" t="str">
        <f>IF($CU67&gt;=RAF,"",IF($CU67-DN$103&lt;BeginnAlter,"",ROUND(v^($CU67+FaktorAlter)*$L67*$D67*0.5*(VLOOKUP($CU67-DN$103,Männer!$G$9:$J$102,4)+VLOOKUP($CU67-DN$103+1,Männer!$G$9:$J$102,4))*0.5*(VLOOKUP($CU67-DN$103,Männer!$AZ$9:$BD$102,5)+VLOOKUP($CU67-DN$103+1,Männer!$AZ$9:$BD$102,5)),RundDx)))</f>
        <v/>
      </c>
      <c r="DO67" s="25" t="str">
        <f>IF($CU67&gt;=RAF,"",IF($CU67-DO$103&lt;BeginnAlter,"",ROUND(v^($CU67+FaktorAlter)*$L67*$D67*0.5*(VLOOKUP($CU67-DO$103,Männer!$G$9:$J$102,4)+VLOOKUP($CU67-DO$103+1,Männer!$G$9:$J$102,4))*0.5*(VLOOKUP($CU67-DO$103,Männer!$AZ$9:$BD$102,5)+VLOOKUP($CU67-DO$103+1,Männer!$AZ$9:$BD$102,5)),RundDx)))</f>
        <v/>
      </c>
      <c r="DP67" s="25" t="str">
        <f>IF($CU67&gt;=RAF,"",IF($CU67-DP$103&lt;BeginnAlter,"",ROUND(v^($CU67+FaktorAlter)*$L67*$D67*0.5*(VLOOKUP($CU67-DP$103,Männer!$G$9:$J$102,4)+VLOOKUP($CU67-DP$103+1,Männer!$G$9:$J$102,4))*0.5*(VLOOKUP($CU67-DP$103,Männer!$AZ$9:$BD$102,5)+VLOOKUP($CU67-DP$103+1,Männer!$AZ$9:$BD$102,5)),RundDx)))</f>
        <v/>
      </c>
      <c r="DQ67" s="25" t="str">
        <f>IF($CU67&gt;=RAF,"",IF($CU67-DQ$103&lt;BeginnAlter,"",ROUND(v^($CU67+FaktorAlter)*$L67*$D67*0.5*(VLOOKUP($CU67-DQ$103,Männer!$G$9:$J$102,4)+VLOOKUP($CU67-DQ$103+1,Männer!$G$9:$J$102,4))*0.5*(VLOOKUP($CU67-DQ$103,Männer!$AZ$9:$BD$102,5)+VLOOKUP($CU67-DQ$103+1,Männer!$AZ$9:$BD$102,5)),RundDx)))</f>
        <v/>
      </c>
      <c r="DR67" s="25" t="str">
        <f>IF($CU67&gt;=RAF,"",IF($CU67-DR$103&lt;BeginnAlter,"",ROUND(v^($CU67+FaktorAlter)*$L67*$D67*0.5*(VLOOKUP($CU67-DR$103,Männer!$G$9:$J$102,4)+VLOOKUP($CU67-DR$103+1,Männer!$G$9:$J$102,4))*0.5*(VLOOKUP($CU67-DR$103,Männer!$AZ$9:$BD$102,5)+VLOOKUP($CU67-DR$103+1,Männer!$AZ$9:$BD$102,5)),RundDx)))</f>
        <v/>
      </c>
      <c r="DS67" s="25" t="str">
        <f>IF($CU67&gt;=RAF,"",IF($CU67-DS$103&lt;BeginnAlter,"",ROUND(v^($CU67+FaktorAlter)*$L67*$D67*0.5*(VLOOKUP($CU67-DS$103,Männer!$G$9:$J$102,4)+VLOOKUP($CU67-DS$103+1,Männer!$G$9:$J$102,4))*0.5*(VLOOKUP($CU67-DS$103,Männer!$AZ$9:$BD$102,5)+VLOOKUP($CU67-DS$103+1,Männer!$AZ$9:$BD$102,5)),RundDx)))</f>
        <v/>
      </c>
      <c r="DT67" s="25" t="str">
        <f>IF($CU67&gt;=RAF,"",IF($CU67-DT$103&lt;BeginnAlter,"",ROUND(v^($CU67+FaktorAlter)*$L67*$D67*0.5*(VLOOKUP($CU67-DT$103,Männer!$G$9:$J$102,4)+VLOOKUP($CU67-DT$103+1,Männer!$G$9:$J$102,4))*0.5*(VLOOKUP($CU67-DT$103,Männer!$AZ$9:$BD$102,5)+VLOOKUP($CU67-DT$103+1,Männer!$AZ$9:$BD$102,5)),RundDx)))</f>
        <v/>
      </c>
      <c r="DU67" s="25" t="str">
        <f>IF($CU67&gt;=RAF,"",IF($CU67-DU$103&lt;BeginnAlter,"",ROUND(v^($CU67+FaktorAlter)*$L67*$D67*0.5*(VLOOKUP($CU67-DU$103,Männer!$G$9:$J$102,4)+VLOOKUP($CU67-DU$103+1,Männer!$G$9:$J$102,4))*0.5*(VLOOKUP($CU67-DU$103,Männer!$AZ$9:$BD$102,5)+VLOOKUP($CU67-DU$103+1,Männer!$AZ$9:$BD$102,5)),RundDx)))</f>
        <v/>
      </c>
      <c r="DV67" s="25" t="str">
        <f>IF($CU67&gt;=RAF,"",IF($CU67-DV$103&lt;BeginnAlter,"",ROUND(v^($CU67+FaktorAlter)*$L67*$D67*0.5*(VLOOKUP($CU67-DV$103,Männer!$G$9:$J$102,4)+VLOOKUP($CU67-DV$103+1,Männer!$G$9:$J$102,4))*0.5*(VLOOKUP($CU67-DV$103,Männer!$AZ$9:$BD$102,5)+VLOOKUP($CU67-DV$103+1,Männer!$AZ$9:$BD$102,5)),RundDx)))</f>
        <v/>
      </c>
      <c r="DW67" s="25" t="str">
        <f>IF($CU67&gt;=RAF,"",IF($CU67-DW$103&lt;BeginnAlter,"",ROUND(v^($CU67+FaktorAlter)*$L67*$D67*0.5*(VLOOKUP($CU67-DW$103,Männer!$G$9:$J$102,4)+VLOOKUP($CU67-DW$103+1,Männer!$G$9:$J$102,4))*0.5*(VLOOKUP($CU67-DW$103,Männer!$AZ$9:$BD$102,5)+VLOOKUP($CU67-DW$103+1,Männer!$AZ$9:$BD$102,5)),RundDx)))</f>
        <v/>
      </c>
      <c r="DX67" s="25" t="str">
        <f>IF($CU67&gt;=RAF,"",IF($CU67-DX$103&lt;BeginnAlter,"",ROUND(v^($CU67+FaktorAlter)*$L67*$D67*0.5*(VLOOKUP($CU67-DX$103,Männer!$G$9:$J$102,4)+VLOOKUP($CU67-DX$103+1,Männer!$G$9:$J$102,4))*0.5*(VLOOKUP($CU67-DX$103,Männer!$AZ$9:$BD$102,5)+VLOOKUP($CU67-DX$103+1,Männer!$AZ$9:$BD$102,5)),RundDx)))</f>
        <v/>
      </c>
      <c r="DY67" s="25" t="str">
        <f>IF($CU67&gt;=RAF,"",IF($CU67-DY$103&lt;BeginnAlter,"",ROUND(v^($CU67+FaktorAlter)*$L67*$D67*0.5*(VLOOKUP($CU67-DY$103,Männer!$G$9:$J$102,4)+VLOOKUP($CU67-DY$103+1,Männer!$G$9:$J$102,4))*0.5*(VLOOKUP($CU67-DY$103,Männer!$AZ$9:$BD$102,5)+VLOOKUP($CU67-DY$103+1,Männer!$AZ$9:$BD$102,5)),RundDx)))</f>
        <v/>
      </c>
      <c r="DZ67" s="25" t="str">
        <f>IF($CU67&gt;=RAF,"",IF($CU67-DZ$103&lt;BeginnAlter,"",ROUND(v^($CU67+FaktorAlter)*$L67*$D67*0.5*(VLOOKUP($CU67-DZ$103,Männer!$G$9:$J$102,4)+VLOOKUP($CU67-DZ$103+1,Männer!$G$9:$J$102,4))*0.5*(VLOOKUP($CU67-DZ$103,Männer!$AZ$9:$BD$102,5)+VLOOKUP($CU67-DZ$103+1,Männer!$AZ$9:$BD$102,5)),RundDx)))</f>
        <v/>
      </c>
      <c r="EA67" s="43" t="str">
        <f>IF($CU67&gt;=RAF,"",IF($CU67-EA$103&lt;BeginnAlter,"",ROUND((SUM(CV$56:CV67)+SUM(FN$9:FN$56))/VLOOKUP($CU67,$AH$9:$AI$102,2)/VLOOKUP($CU67-EA$103,Männer!$G$9:$J$102,4),Rundäx)))</f>
        <v/>
      </c>
      <c r="EB67" s="43" t="str">
        <f>IF($CU67&gt;=RAF,"",IF($CU67-EB$103&lt;BeginnAlter,"",ROUND((SUM(CW$56:CW67)+SUM(FO$9:FO$56))/VLOOKUP($CU67,$AH$9:$AI$102,2)/VLOOKUP($CU67-EB$103,Männer!$G$9:$J$102,4),Rundäx)))</f>
        <v/>
      </c>
      <c r="EC67" s="43" t="str">
        <f>IF($CU67&gt;=RAF,"",IF($CU67-EC$103&lt;BeginnAlter,"",ROUND((SUM(CX$56:CX67)+SUM(FP$9:FP$56))/VLOOKUP($CU67,$AH$9:$AI$102,2)/VLOOKUP($CU67-EC$103,Männer!$G$9:$J$102,4),Rundäx)))</f>
        <v/>
      </c>
      <c r="ED67" s="43" t="str">
        <f>IF($CU67&gt;=RAF,"",IF($CU67-ED$103&lt;BeginnAlter,"",ROUND((SUM(CY$56:CY67)+SUM(FQ$9:FQ$56))/VLOOKUP($CU67,$AH$9:$AI$102,2)/VLOOKUP($CU67-ED$103,Männer!$G$9:$J$102,4),Rundäx)))</f>
        <v/>
      </c>
      <c r="EE67" s="43" t="str">
        <f>IF($CU67&gt;=RAF,"",IF($CU67-EE$103&lt;BeginnAlter,"",ROUND((SUM(CZ$56:CZ67)+SUM(FR$9:FR$56))/VLOOKUP($CU67,$AH$9:$AI$102,2)/VLOOKUP($CU67-EE$103,Männer!$G$9:$J$102,4),Rundäx)))</f>
        <v/>
      </c>
      <c r="EF67" s="43" t="str">
        <f>IF($CU67&gt;=RAF,"",IF($CU67-EF$103&lt;BeginnAlter,"",ROUND((SUM(DA$56:DA67)+SUM(FS$9:FS$56))/VLOOKUP($CU67,$AH$9:$AI$102,2)/VLOOKUP($CU67-EF$103,Männer!$G$9:$J$102,4),Rundäx)))</f>
        <v/>
      </c>
      <c r="EG67" s="43" t="str">
        <f>IF($CU67&gt;=RAF,"",IF($CU67-EG$103&lt;BeginnAlter,"",ROUND((SUM(DB$56:DB67)+SUM(FT$9:FT$56))/VLOOKUP($CU67,$AH$9:$AI$102,2)/VLOOKUP($CU67-EG$103,Männer!$G$9:$J$102,4),Rundäx)))</f>
        <v/>
      </c>
      <c r="EH67" s="43" t="str">
        <f>IF($CU67&gt;=RAF,"",IF($CU67-EH$103&lt;BeginnAlter,"",ROUND((SUM(DC$56:DC67)+SUM(FU$9:FU$56))/VLOOKUP($CU67,$AH$9:$AI$102,2)/VLOOKUP($CU67-EH$103,Männer!$G$9:$J$102,4),Rundäx)))</f>
        <v/>
      </c>
      <c r="EI67" s="89"/>
      <c r="EJ67" s="35">
        <f t="shared" si="61"/>
        <v>75</v>
      </c>
      <c r="EK67" s="43" t="str">
        <f>IF($CU67&gt;=RAF,"",IF($CU67-EK$103&lt;BeginnAlter,"",ROUND((SUM(DD$56:DD67)+SUM(FV$9:FV$56))/VLOOKUP($CU67,$AH$9:$AI$102,2)/VLOOKUP($CU67-EK$103,Männer!$G$9:$J$102,4),Rundäx)))</f>
        <v/>
      </c>
      <c r="EL67" s="43" t="str">
        <f>IF($CU67&gt;=RAF,"",IF($CU67-EL$103&lt;BeginnAlter,"",ROUND((SUM(DE$56:DE67)+SUM(FW$9:FW$56))/VLOOKUP($CU67,$AH$9:$AI$102,2)/VLOOKUP($CU67-EL$103,Männer!$G$9:$J$102,4),Rundäx)))</f>
        <v/>
      </c>
      <c r="EM67" s="43" t="str">
        <f>IF($CU67&gt;=RAF,"",IF($CU67-EM$103&lt;BeginnAlter,"",ROUND((SUM(DF$56:DF67)+SUM(FX$9:FX$56))/VLOOKUP($CU67,$AH$9:$AI$102,2)/VLOOKUP($CU67-EM$103,Männer!$G$9:$J$102,4),Rundäx)))</f>
        <v/>
      </c>
      <c r="EN67" s="43" t="str">
        <f>IF($CU67&gt;=RAF,"",IF($CU67-EN$103&lt;BeginnAlter,"",ROUND((SUM(DG$56:DG67)+SUM(FY$9:FY$56))/VLOOKUP($CU67,$AH$9:$AI$102,2)/VLOOKUP($CU67-EN$103,Männer!$G$9:$J$102,4),Rundäx)))</f>
        <v/>
      </c>
      <c r="EO67" s="43" t="str">
        <f>IF($CU67&gt;=RAF,"",IF($CU67-EO$103&lt;BeginnAlter,"",ROUND((SUM(DH$56:DH67)+SUM(FZ$9:FZ$56))/VLOOKUP($CU67,$AH$9:$AI$102,2)/VLOOKUP($CU67-EO$103,Männer!$G$9:$J$102,4),Rundäx)))</f>
        <v/>
      </c>
      <c r="EP67" s="43" t="str">
        <f>IF($CU67&gt;=RAF,"",IF($CU67-EP$103&lt;BeginnAlter,"",ROUND((SUM(DI$56:DI67)+SUM(GA$9:GA$56))/VLOOKUP($CU67,$AH$9:$AI$102,2)/VLOOKUP($CU67-EP$103,Männer!$G$9:$J$102,4),Rundäx)))</f>
        <v/>
      </c>
      <c r="EQ67" s="43" t="str">
        <f>IF($CU67&gt;=RAF,"",IF($CU67-EQ$103&lt;BeginnAlter,"",ROUND((SUM(DJ$56:DJ67)+SUM(GB$9:GB$56))/VLOOKUP($CU67,$AH$9:$AI$102,2)/VLOOKUP($CU67-EQ$103,Männer!$G$9:$J$102,4),Rundäx)))</f>
        <v/>
      </c>
      <c r="ER67" s="43" t="str">
        <f>IF($CU67&gt;=RAF,"",IF($CU67-ER$103&lt;BeginnAlter,"",ROUND((SUM(DK$56:DK67)+SUM(GC$9:GC$56))/VLOOKUP($CU67,$AH$9:$AI$102,2)/VLOOKUP($CU67-ER$103,Männer!$G$9:$J$102,4),Rundäx)))</f>
        <v/>
      </c>
      <c r="ES67" s="89"/>
      <c r="ET67" s="35">
        <f t="shared" si="62"/>
        <v>75</v>
      </c>
      <c r="EU67" s="43" t="str">
        <f>IF($CU67&gt;=RAF,"",IF($CU67-EU$103&lt;BeginnAlter,"",ROUND((SUM(DL$56:DL67)+SUM(GD$9:GD$56))/VLOOKUP($CU67,$AH$9:$AI$102,2)/VLOOKUP($CU67-EU$103,Männer!$G$9:$J$102,4),Rundäx)))</f>
        <v/>
      </c>
      <c r="EV67" s="43" t="str">
        <f>IF($CU67&gt;=RAF,"",IF($CU67-EV$103&lt;BeginnAlter,"",ROUND((SUM(DM$56:DM67)+SUM(GE$9:GE$56))/VLOOKUP($CU67,$AH$9:$AI$102,2)/VLOOKUP($CU67-EV$103,Männer!$G$9:$J$102,4),Rundäx)))</f>
        <v/>
      </c>
      <c r="EW67" s="43" t="str">
        <f>IF($CU67&gt;=RAF,"",IF($CU67-EW$103&lt;BeginnAlter,"",ROUND((SUM(DN$56:DN67)+SUM(GF$9:GF$56))/VLOOKUP($CU67,$AH$9:$AI$102,2)/VLOOKUP($CU67-EW$103,Männer!$G$9:$J$102,4),Rundäx)))</f>
        <v/>
      </c>
      <c r="EX67" s="43" t="str">
        <f>IF($CU67&gt;=RAF,"",IF($CU67-EX$103&lt;BeginnAlter,"",ROUND((SUM(DO$56:DO67)+SUM(GG$9:GG$56))/VLOOKUP($CU67,$AH$9:$AI$102,2)/VLOOKUP($CU67-EX$103,Männer!$G$9:$J$102,4),Rundäx)))</f>
        <v/>
      </c>
      <c r="EY67" s="43" t="str">
        <f>IF($CU67&gt;=RAF,"",IF($CU67-EY$103&lt;BeginnAlter,"",ROUND((SUM(DP$56:DP67)+SUM(GH$9:GH$56))/VLOOKUP($CU67,$AH$9:$AI$102,2)/VLOOKUP($CU67-EY$103,Männer!$G$9:$J$102,4),Rundäx)))</f>
        <v/>
      </c>
      <c r="EZ67" s="43" t="str">
        <f>IF($CU67&gt;=RAF,"",IF($CU67-EZ$103&lt;BeginnAlter,"",ROUND((SUM(DQ$56:DQ67)+SUM(GI$9:GI$56))/VLOOKUP($CU67,$AH$9:$AI$102,2)/VLOOKUP($CU67-EZ$103,Männer!$G$9:$J$102,4),Rundäx)))</f>
        <v/>
      </c>
      <c r="FA67" s="43" t="str">
        <f>IF($CU67&gt;=RAF,"",IF($CU67-FA$103&lt;BeginnAlter,"",ROUND((SUM(DR$56:DR67)+SUM(GJ$9:GJ$56))/VLOOKUP($CU67,$AH$9:$AI$102,2)/VLOOKUP($CU67-FA$103,Männer!$G$9:$J$102,4),Rundäx)))</f>
        <v/>
      </c>
      <c r="FB67" s="43" t="str">
        <f>IF($CU67&gt;=RAF,"",IF($CU67-FB$103&lt;BeginnAlter,"",ROUND((SUM(DS$56:DS67)+SUM(GK$9:GK$56))/VLOOKUP($CU67,$AH$9:$AI$102,2)/VLOOKUP($CU67-FB$103,Männer!$G$9:$J$102,4),Rundäx)))</f>
        <v/>
      </c>
      <c r="FC67" s="89"/>
      <c r="FD67" s="35">
        <f t="shared" si="63"/>
        <v>75</v>
      </c>
      <c r="FE67" s="43" t="str">
        <f>IF($CU67&gt;=RAF,"",IF($CU67-FE$103&lt;BeginnAlter,"",ROUND((SUM(DT$56:DT67)+SUM(GL$9:GL$56))/VLOOKUP($CU67,$AH$9:$AI$102,2)/VLOOKUP($CU67-FE$103,Männer!$G$9:$J$102,4),Rundäx)))</f>
        <v/>
      </c>
      <c r="FF67" s="43" t="str">
        <f>IF($CU67&gt;=RAF,"",IF($CU67-FF$103&lt;BeginnAlter,"",ROUND((SUM(DU$56:DU67)+SUM(GM$9:GM$56))/VLOOKUP($CU67,$AH$9:$AI$102,2)/VLOOKUP($CU67-FF$103,Männer!$G$9:$J$102,4),Rundäx)))</f>
        <v/>
      </c>
      <c r="FG67" s="43" t="str">
        <f>IF($CU67&gt;=RAF,"",IF($CU67-FG$103&lt;BeginnAlter,"",ROUND((SUM(DV$56:DV67)+SUM(GN$9:GN$56))/VLOOKUP($CU67,$AH$9:$AI$102,2)/VLOOKUP($CU67-FG$103,Männer!$G$9:$J$102,4),Rundäx)))</f>
        <v/>
      </c>
      <c r="FH67" s="43" t="str">
        <f>IF($CU67&gt;=RAF,"",IF($CU67-FH$103&lt;BeginnAlter,"",ROUND((SUM(DW$56:DW67)+SUM(GO$9:GO$56))/VLOOKUP($CU67,$AH$9:$AI$102,2)/VLOOKUP($CU67-FH$103,Männer!$G$9:$J$102,4),Rundäx)))</f>
        <v/>
      </c>
      <c r="FI67" s="43" t="str">
        <f>IF($CU67&gt;=RAF,"",IF($CU67-FI$103&lt;BeginnAlter,"",ROUND((SUM(DX$56:DX67)+SUM(GP$9:GP$56))/VLOOKUP($CU67,$AH$9:$AI$102,2)/VLOOKUP($CU67-FI$103,Männer!$G$9:$J$102,4),Rundäx)))</f>
        <v/>
      </c>
      <c r="FJ67" s="43" t="str">
        <f>IF($CU67&gt;=RAF,"",IF($CU67-FJ$103&lt;BeginnAlter,"",ROUND((SUM(DY$56:DY67)+SUM(GQ$9:GQ$56))/VLOOKUP($CU67,$AH$9:$AI$102,2)/VLOOKUP($CU67-FJ$103,Männer!$G$9:$J$102,4),Rundäx)))</f>
        <v/>
      </c>
      <c r="FK67" s="43" t="str">
        <f>IF($CU67&gt;=RAF,"",IF($CU67-FK$103&lt;BeginnAlter,"",ROUND((SUM(DZ$56:DZ67)+SUM(GR$9:GR$56))/VLOOKUP($CU67,$AH$9:$AI$102,2)/VLOOKUP($CU67-FK$103,Männer!$G$9:$J$102,4),Rundäx)))</f>
        <v/>
      </c>
      <c r="FL67" s="89"/>
      <c r="FM67" s="35">
        <f t="shared" si="64"/>
        <v>122</v>
      </c>
      <c r="FN67" s="25"/>
      <c r="FO67" s="25"/>
      <c r="FP67" s="25"/>
      <c r="FQ67" s="25"/>
      <c r="FR67" s="25"/>
      <c r="FS67" s="25"/>
      <c r="FT67" s="25"/>
      <c r="FU67" s="25"/>
      <c r="FV67" s="25"/>
      <c r="FW67" s="25"/>
      <c r="FX67" s="25"/>
      <c r="FY67" s="25"/>
      <c r="FZ67" s="25"/>
      <c r="GA67" s="25"/>
      <c r="GB67" s="25"/>
      <c r="GC67" s="25"/>
      <c r="GD67" s="25"/>
      <c r="GE67" s="25"/>
      <c r="GF67" s="25"/>
      <c r="GG67" s="25"/>
      <c r="GH67" s="25"/>
      <c r="GI67" s="25"/>
      <c r="GJ67" s="25"/>
      <c r="GK67" s="25"/>
      <c r="GL67" s="25"/>
      <c r="GM67" s="25"/>
      <c r="GN67" s="25"/>
      <c r="GO67" s="25"/>
      <c r="GP67" s="25"/>
      <c r="GQ67" s="25"/>
      <c r="GR67" s="25"/>
      <c r="GS67" s="24"/>
      <c r="GT67" s="24"/>
      <c r="GU67" s="24" t="str">
        <f>IF(FM67&gt;=RAF," ",#REF!/$AI67/Frauen!$J55)</f>
        <v xml:space="preserve"> </v>
      </c>
      <c r="GV67" s="24" t="str">
        <f>IF(FM67&gt;=RAF," ",#REF!/$AI67/Frauen!$J58)</f>
        <v xml:space="preserve"> </v>
      </c>
      <c r="GW67" s="24" t="str">
        <f>IF(FM67&gt;=RAF," ",#REF!/$AI67/Frauen!$J61)</f>
        <v xml:space="preserve"> </v>
      </c>
      <c r="GX67" s="24" t="str">
        <f>IF(FM67&gt;=RAF," ",#REF!/$AI67/Frauen!$J64)</f>
        <v xml:space="preserve"> </v>
      </c>
      <c r="GY67" s="24" t="str">
        <f>IF(FM67&gt;=RAF," ",#REF!/$AI67/Frauen!$J67)</f>
        <v xml:space="preserve"> </v>
      </c>
      <c r="GZ67" s="24" t="str">
        <f>IF(FM67&gt;=RAF," ",#REF!/$AI67/Frauen!$J70)</f>
        <v xml:space="preserve"> </v>
      </c>
      <c r="HA67" s="89"/>
      <c r="HB67" s="35">
        <f t="shared" si="65"/>
        <v>122</v>
      </c>
      <c r="HC67" s="24"/>
      <c r="HD67" s="24"/>
      <c r="HE67" s="24"/>
      <c r="HF67" s="24"/>
      <c r="HG67" s="24"/>
      <c r="HH67" s="24"/>
      <c r="HI67" s="24"/>
      <c r="HJ67" s="24"/>
      <c r="HK67" s="89"/>
      <c r="HL67" s="35">
        <f t="shared" si="66"/>
        <v>122</v>
      </c>
      <c r="HM67" s="24"/>
      <c r="HN67" s="24"/>
      <c r="HO67" s="24"/>
      <c r="HP67" s="24"/>
      <c r="HQ67" s="24"/>
      <c r="HR67" s="24"/>
      <c r="HS67" s="24"/>
      <c r="HT67" s="24"/>
      <c r="HU67" s="89"/>
      <c r="HV67" s="35">
        <f t="shared" si="67"/>
        <v>122</v>
      </c>
      <c r="HW67" s="24"/>
      <c r="HX67" s="24"/>
      <c r="HY67" s="24"/>
      <c r="HZ67" s="24"/>
      <c r="IA67" s="24"/>
      <c r="IB67" s="24"/>
      <c r="IC67" s="24"/>
      <c r="ID67" s="89"/>
      <c r="IE67" s="9">
        <f t="shared" si="80"/>
        <v>75</v>
      </c>
      <c r="IF67" s="11" t="str">
        <f t="shared" si="25"/>
        <v/>
      </c>
      <c r="IG67" s="11" t="str">
        <f>IF($IE67&lt;RAF,IF(S68&lt;=RAK,ROUND(SUM(IF67:INDEX(Daky,RAF-BeginnAlter))+INDEX(Day,RAF-BeginnAlter+1)*INDEX(äky,1),RundDx),0),"")</f>
        <v/>
      </c>
      <c r="IH67" s="11" t="str">
        <f>IF($IE67&lt;RAF,IF(S68&lt;=RAK,ROUND(SUM(IG67:INDEX(Naky,RAF-BeginnAlter))+INDEX(Day,RAF-BeginnAlter+1)*INDEX(äky,1),RundDx),0),"")</f>
        <v/>
      </c>
      <c r="II67" s="10" t="str">
        <f t="shared" si="26"/>
        <v/>
      </c>
      <c r="IJ67" s="11" t="str">
        <f t="shared" si="27"/>
        <v/>
      </c>
      <c r="IK67" s="11" t="str">
        <f>IF($IE67&lt;RAF,IF(S68&lt;=RAK,SUM(IJ67:INDEX(Diky,RAF-BeginnAlter))+INDEX(Diy,RAF-BeginnAlter+1)*INDEX(äky,1),0),"")</f>
        <v/>
      </c>
      <c r="IL67" s="10" t="str">
        <f t="shared" si="28"/>
        <v/>
      </c>
      <c r="IM67" s="89"/>
      <c r="IN67" s="9">
        <f t="shared" si="29"/>
        <v>122</v>
      </c>
      <c r="IO67" s="11"/>
      <c r="IP67" s="11"/>
      <c r="IQ67" s="10"/>
      <c r="IR67" s="86"/>
    </row>
    <row r="68" spans="1:252" ht="15.75" customHeight="1" x14ac:dyDescent="0.25">
      <c r="A68" s="9">
        <f t="shared" si="69"/>
        <v>76</v>
      </c>
      <c r="B68" s="93"/>
      <c r="C68" s="93"/>
      <c r="D68" s="93"/>
      <c r="E68" s="93">
        <v>2.1552769541976175E-2</v>
      </c>
      <c r="F68" s="89"/>
      <c r="G68" s="9">
        <f t="shared" si="70"/>
        <v>76</v>
      </c>
      <c r="H68" s="11" t="str">
        <f t="shared" si="30"/>
        <v/>
      </c>
      <c r="I68" s="25" t="str">
        <f t="shared" si="31"/>
        <v/>
      </c>
      <c r="J68" s="25">
        <f t="shared" si="32"/>
        <v>75188</v>
      </c>
      <c r="K68" s="30">
        <f>IF(J68&gt;0,ROUND(SUM(J68:J$102)/J68-0.5,Rundex),"")</f>
        <v>12.1</v>
      </c>
      <c r="L68" s="25">
        <f t="shared" si="6"/>
        <v>75188</v>
      </c>
      <c r="M68" s="30">
        <f>IF(L68&gt;0,ROUND(SUM(L68:L$102)/L68-0.5,Rundex),"")</f>
        <v>12.1</v>
      </c>
      <c r="N68" s="89"/>
      <c r="O68" s="9">
        <f t="shared" si="71"/>
        <v>76</v>
      </c>
      <c r="P68" s="94">
        <v>2.0906218977699162E-2</v>
      </c>
      <c r="Q68" s="95">
        <v>76.955959109086692</v>
      </c>
      <c r="R68" s="94"/>
      <c r="S68" s="95"/>
      <c r="T68" s="28">
        <v>2.0613671340709929E-2</v>
      </c>
      <c r="U68" s="11">
        <f t="shared" si="33"/>
        <v>79570</v>
      </c>
      <c r="V68" s="30">
        <f>IF(U68&gt;0,ROUND(SUM(U68:U$102)/U68-0.5,Rundex),"")</f>
        <v>12.45</v>
      </c>
      <c r="W68" s="89"/>
      <c r="X68" s="9">
        <f t="shared" si="72"/>
        <v>76</v>
      </c>
      <c r="Y68" s="11" t="str">
        <f t="shared" si="34"/>
        <v xml:space="preserve"> </v>
      </c>
      <c r="Z68" s="11" t="str">
        <f>IF($X68&lt;RAF,SUM(Y68:INDEX(Day,RAF-BeginnAlter))," ")</f>
        <v xml:space="preserve"> </v>
      </c>
      <c r="AA68" s="11" t="str">
        <f t="shared" si="0"/>
        <v xml:space="preserve"> </v>
      </c>
      <c r="AB68" s="11" t="str">
        <f>IF($X68&lt;RAF,SUM(AA68:INDEX(Cay,RAF-BeginnAlter))," ")</f>
        <v xml:space="preserve"> </v>
      </c>
      <c r="AC68" s="11" t="str">
        <f t="shared" si="1"/>
        <v xml:space="preserve"> </v>
      </c>
      <c r="AD68" s="11" t="str">
        <f>IF($X68&lt;RAF,SUM(AC68:INDEX(Caiy,RAF-BeginnAlter))," ")</f>
        <v xml:space="preserve"> </v>
      </c>
      <c r="AE68" s="10" t="str">
        <f t="shared" si="35"/>
        <v xml:space="preserve"> </v>
      </c>
      <c r="AF68" s="10" t="str">
        <f t="shared" si="36"/>
        <v xml:space="preserve"> </v>
      </c>
      <c r="AG68" s="89"/>
      <c r="AH68" s="9">
        <f t="shared" si="73"/>
        <v>76</v>
      </c>
      <c r="AI68" s="11" t="str">
        <f t="shared" si="37"/>
        <v xml:space="preserve"> </v>
      </c>
      <c r="AJ68" s="11" t="str">
        <f>IF($AH68&gt;RAF," ",IF($AH68&lt;RAF,SUM(AI68:INDEX(Diy,RAF-BeginnAlter))+INDEX(Ny,RAF-BeginnAlter+1),INDEX(Ny,RAF-BeginnAlter+1)))</f>
        <v xml:space="preserve"> </v>
      </c>
      <c r="AK68" s="11" t="str">
        <f>IF($AH68&lt;RAF,SUM(AI68:INDEX(Diy,RAF-BeginnAlter))," ")</f>
        <v xml:space="preserve"> </v>
      </c>
      <c r="AL68" s="10" t="str">
        <f t="shared" si="38"/>
        <v xml:space="preserve"> </v>
      </c>
      <c r="AM68" s="10" t="str">
        <f t="shared" si="39"/>
        <v xml:space="preserve"> </v>
      </c>
      <c r="AN68" s="10" t="str">
        <f t="shared" si="40"/>
        <v xml:space="preserve"> </v>
      </c>
      <c r="AO68" s="10" t="str">
        <f t="shared" si="41"/>
        <v xml:space="preserve"> </v>
      </c>
      <c r="AP68" s="89"/>
      <c r="AQ68" s="9">
        <f t="shared" si="74"/>
        <v>76</v>
      </c>
      <c r="AR68" s="11">
        <f t="shared" si="42"/>
        <v>13859</v>
      </c>
      <c r="AS68" s="11">
        <f>SUM(AR68:AR$96)</f>
        <v>149893</v>
      </c>
      <c r="AT68" s="25" t="str">
        <f>IF($AQ68&lt;RAF,SUM(AR68:INDEX(Dy,RAF-BeginnAlter))," ")</f>
        <v xml:space="preserve"> </v>
      </c>
      <c r="AU68" s="24">
        <f t="shared" si="43"/>
        <v>10.816000000000001</v>
      </c>
      <c r="AV68" s="24">
        <f t="shared" si="44"/>
        <v>10.356999999999999</v>
      </c>
      <c r="AW68" s="24" t="str">
        <f t="shared" si="45"/>
        <v xml:space="preserve"> </v>
      </c>
      <c r="AX68" s="24" t="str">
        <f t="shared" si="46"/>
        <v xml:space="preserve"> </v>
      </c>
      <c r="AY68" s="89"/>
      <c r="AZ68" s="9">
        <f t="shared" si="75"/>
        <v>76</v>
      </c>
      <c r="BA68" s="11">
        <f t="shared" si="47"/>
        <v>14667</v>
      </c>
      <c r="BB68" s="11">
        <f>SUM(BA68:BA$96)</f>
        <v>162335</v>
      </c>
      <c r="BC68" s="10">
        <f t="shared" si="48"/>
        <v>11.068</v>
      </c>
      <c r="BD68" s="10">
        <f t="shared" si="7"/>
        <v>10.61</v>
      </c>
      <c r="BE68" s="89"/>
      <c r="BF68" s="9">
        <f t="shared" si="54"/>
        <v>59</v>
      </c>
      <c r="BG68" s="10" t="str">
        <f t="shared" si="8"/>
        <v/>
      </c>
      <c r="BH68" s="10" t="str">
        <f t="shared" si="9"/>
        <v/>
      </c>
      <c r="BI68" s="89"/>
      <c r="BJ68" s="9">
        <f t="shared" si="76"/>
        <v>76</v>
      </c>
      <c r="BK68" s="11" t="str">
        <f t="shared" si="10"/>
        <v xml:space="preserve"> </v>
      </c>
      <c r="BL68" s="11" t="str">
        <f>IF(BJ68&lt;RAF,SUM(BK68:INDEX(Daiy,RAF-BeginnAlter))," ")</f>
        <v xml:space="preserve"> </v>
      </c>
      <c r="BM68" s="11" t="str">
        <f>IF(BJ68&lt;RAF,SUM(BL68:INDEX(Naiy,RAF-BeginnAlter))," ")</f>
        <v xml:space="preserve"> </v>
      </c>
      <c r="BN68" s="10" t="str">
        <f t="shared" si="11"/>
        <v xml:space="preserve"> </v>
      </c>
      <c r="BO68" s="10" t="str">
        <f t="shared" si="12"/>
        <v xml:space="preserve"> </v>
      </c>
      <c r="BP68" s="89"/>
      <c r="BQ68" s="9">
        <f t="shared" si="77"/>
        <v>76</v>
      </c>
      <c r="BR68" s="11" t="str">
        <f t="shared" si="13"/>
        <v xml:space="preserve"> </v>
      </c>
      <c r="BS68" s="11" t="str">
        <f>IF(BQ68&lt;RAF,SUM(BR68:INDEX(Daiys,RAF-BeginnAlter))," ")</f>
        <v xml:space="preserve"> </v>
      </c>
      <c r="BT68" s="11" t="str">
        <f>IF(BQ68&lt;RAF,SUM(BS68:INDEX(Naiys,RAF-BeginnAlter))," ")</f>
        <v xml:space="preserve"> </v>
      </c>
      <c r="BU68" s="10" t="str">
        <f t="shared" si="14"/>
        <v xml:space="preserve"> </v>
      </c>
      <c r="BV68" s="10" t="str">
        <f t="shared" si="15"/>
        <v xml:space="preserve"> </v>
      </c>
      <c r="BW68" s="89"/>
      <c r="BX68" s="9">
        <f t="shared" si="78"/>
        <v>76</v>
      </c>
      <c r="BY68" s="10" t="str">
        <f t="shared" si="16"/>
        <v/>
      </c>
      <c r="BZ68" s="11" t="str">
        <f t="shared" si="17"/>
        <v/>
      </c>
      <c r="CA68" s="11" t="str">
        <f>IF(S69&lt;=RAK,IF($BX68&lt;RAF,SUM(BZ68:INDEX(Dazy,RAF-BeginnAlter)),""),"")</f>
        <v/>
      </c>
      <c r="CB68" s="10" t="str">
        <f t="shared" si="18"/>
        <v/>
      </c>
      <c r="CC68" s="11">
        <f t="shared" si="19"/>
        <v>0</v>
      </c>
      <c r="CD68" s="10">
        <f t="shared" si="20"/>
        <v>0</v>
      </c>
      <c r="CE68" s="10" t="str">
        <f t="shared" si="21"/>
        <v/>
      </c>
      <c r="CF68" s="89"/>
      <c r="CG68" s="9">
        <f t="shared" si="79"/>
        <v>76</v>
      </c>
      <c r="CH68" s="11" t="str">
        <f>IF(CG68&lt;RAF,ROUND(v^($CG68+FaktorAlter)*$H68*($B68*0.5*($P68+$P69)*(VLOOKUP(TRUNC(0.5*($Q68+$Q69),0),Männer!$AZ$9:$BD$95,5)+(0.5*($Q68+$Q69)-TRUNC(0.5*($Q68+$Q69),0))*(VLOOKUP(TRUNC(0.5*($Q68+$Q69)+1,0),Männer!$AZ$9:$BD$95,5)-VLOOKUP(TRUNC(0.5*($Q68+$Q69),0),Männer!$AZ$9:$BD$95,5)))+$C68*0.5*($CN68+$CN69)),RundDx),"")</f>
        <v/>
      </c>
      <c r="CI68" s="11" t="str">
        <f>IF(CG68&lt;RAF,ROUND(SUM(CH68:INDEX(Dawy,RAF-BeginnAlter))+INDEX(Day,RAF-BeginnAlter+1)*INDEX(äwy,1),RundDx),"")</f>
        <v/>
      </c>
      <c r="CJ68" s="11" t="str">
        <f>IF(CG68&lt;RAF,ROUND(SUM(CI68:INDEX(Nawy,RAF-BeginnAlter))+INDEX(Day,RAF-BeginnAlter+1)*INDEX(äwy,1),RundDx),"")</f>
        <v/>
      </c>
      <c r="CK68" s="10" t="str">
        <f t="shared" si="22"/>
        <v/>
      </c>
      <c r="CL68" s="11" t="str">
        <f>IF(CG68&lt;RAF,ROUND(v^($CG68+FaktorAlter)*$L68*$D68*0.5*($P68+$P69)*(VLOOKUP(TRUNC(0.5*($Q68+$Q69),0),Männer!$AZ$9:$BD$95,5)+(0.5*($Q68+$Q69)-TRUNC(0.5*($Q68+$Q69),0))*(VLOOKUP(TRUNC(0.5*($Q68+$Q69)+1,0),Männer!$AZ$9:$BD$95,5)-VLOOKUP(TRUNC(0.5*($Q68+$Q69),0),Männer!$AZ$9:$BD$95,5))),RundDx),"")</f>
        <v/>
      </c>
      <c r="CM68" s="11" t="str">
        <f>IF(CG68&lt;RAF,SUM(CL68:INDEX(Diwy,RAF-BeginnAlter))+INDEX(Diy,RAF-BeginnAlter+1)*INDEX(äwy,1),"")</f>
        <v/>
      </c>
      <c r="CN68" s="10" t="str">
        <f t="shared" si="23"/>
        <v/>
      </c>
      <c r="CO68" s="89"/>
      <c r="CP68" s="9">
        <f t="shared" si="59"/>
        <v>123</v>
      </c>
      <c r="CQ68" s="11"/>
      <c r="CR68" s="11"/>
      <c r="CS68" s="10"/>
      <c r="CT68" s="89"/>
      <c r="CU68" s="35">
        <f t="shared" si="60"/>
        <v>76</v>
      </c>
      <c r="CV68" s="25" t="str">
        <f>IF($CU68&gt;=RAF,"",IF($CU68-CV$103&lt;BeginnAlter,"",ROUND(v^($CU68+FaktorAlter)*$L68*$D68*0.5*(VLOOKUP($CU68-CV$103,Männer!$G$9:$J$102,4)+VLOOKUP($CU68-CV$103+1,Männer!$G$9:$J$102,4))*0.5*(VLOOKUP($CU68-CV$103,Männer!$AZ$9:$BD$102,5)+VLOOKUP($CU68-CV$103+1,Männer!$AZ$9:$BD$102,5)),RundDx)))</f>
        <v/>
      </c>
      <c r="CW68" s="25" t="str">
        <f>IF($CU68&gt;=RAF,"",IF($CU68-CW$103&lt;BeginnAlter,"",ROUND(v^($CU68+FaktorAlter)*$L68*$D68*0.5*(VLOOKUP($CU68-CW$103,Männer!$G$9:$J$102,4)+VLOOKUP($CU68-CW$103+1,Männer!$G$9:$J$102,4))*0.5*(VLOOKUP($CU68-CW$103,Männer!$AZ$9:$BD$102,5)+VLOOKUP($CU68-CW$103+1,Männer!$AZ$9:$BD$102,5)),RundDx)))</f>
        <v/>
      </c>
      <c r="CX68" s="25" t="str">
        <f>IF($CU68&gt;=RAF,"",IF($CU68-CX$103&lt;BeginnAlter,"",ROUND(v^($CU68+FaktorAlter)*$L68*$D68*0.5*(VLOOKUP($CU68-CX$103,Männer!$G$9:$J$102,4)+VLOOKUP($CU68-CX$103+1,Männer!$G$9:$J$102,4))*0.5*(VLOOKUP($CU68-CX$103,Männer!$AZ$9:$BD$102,5)+VLOOKUP($CU68-CX$103+1,Männer!$AZ$9:$BD$102,5)),RundDx)))</f>
        <v/>
      </c>
      <c r="CY68" s="25" t="str">
        <f>IF($CU68&gt;=RAF,"",IF($CU68-CY$103&lt;BeginnAlter,"",ROUND(v^($CU68+FaktorAlter)*$L68*$D68*0.5*(VLOOKUP($CU68-CY$103,Männer!$G$9:$J$102,4)+VLOOKUP($CU68-CY$103+1,Männer!$G$9:$J$102,4))*0.5*(VLOOKUP($CU68-CY$103,Männer!$AZ$9:$BD$102,5)+VLOOKUP($CU68-CY$103+1,Männer!$AZ$9:$BD$102,5)),RundDx)))</f>
        <v/>
      </c>
      <c r="CZ68" s="25" t="str">
        <f>IF($CU68&gt;=RAF,"",IF($CU68-CZ$103&lt;BeginnAlter,"",ROUND(v^($CU68+FaktorAlter)*$L68*$D68*0.5*(VLOOKUP($CU68-CZ$103,Männer!$G$9:$J$102,4)+VLOOKUP($CU68-CZ$103+1,Männer!$G$9:$J$102,4))*0.5*(VLOOKUP($CU68-CZ$103,Männer!$AZ$9:$BD$102,5)+VLOOKUP($CU68-CZ$103+1,Männer!$AZ$9:$BD$102,5)),RundDx)))</f>
        <v/>
      </c>
      <c r="DA68" s="25" t="str">
        <f>IF($CU68&gt;=RAF,"",IF($CU68-DA$103&lt;BeginnAlter,"",ROUND(v^($CU68+FaktorAlter)*$L68*$D68*0.5*(VLOOKUP($CU68-DA$103,Männer!$G$9:$J$102,4)+VLOOKUP($CU68-DA$103+1,Männer!$G$9:$J$102,4))*0.5*(VLOOKUP($CU68-DA$103,Männer!$AZ$9:$BD$102,5)+VLOOKUP($CU68-DA$103+1,Männer!$AZ$9:$BD$102,5)),RundDx)))</f>
        <v/>
      </c>
      <c r="DB68" s="25" t="str">
        <f>IF($CU68&gt;=RAF,"",IF($CU68-DB$103&lt;BeginnAlter,"",ROUND(v^($CU68+FaktorAlter)*$L68*$D68*0.5*(VLOOKUP($CU68-DB$103,Männer!$G$9:$J$102,4)+VLOOKUP($CU68-DB$103+1,Männer!$G$9:$J$102,4))*0.5*(VLOOKUP($CU68-DB$103,Männer!$AZ$9:$BD$102,5)+VLOOKUP($CU68-DB$103+1,Männer!$AZ$9:$BD$102,5)),RundDx)))</f>
        <v/>
      </c>
      <c r="DC68" s="25" t="str">
        <f>IF($CU68&gt;=RAF,"",IF($CU68-DC$103&lt;BeginnAlter,"",ROUND(v^($CU68+FaktorAlter)*$L68*$D68*0.5*(VLOOKUP($CU68-DC$103,Männer!$G$9:$J$102,4)+VLOOKUP($CU68-DC$103+1,Männer!$G$9:$J$102,4))*0.5*(VLOOKUP($CU68-DC$103,Männer!$AZ$9:$BD$102,5)+VLOOKUP($CU68-DC$103+1,Männer!$AZ$9:$BD$102,5)),RundDx)))</f>
        <v/>
      </c>
      <c r="DD68" s="25" t="str">
        <f>IF($CU68&gt;=RAF,"",IF($CU68-DD$103&lt;BeginnAlter,"",ROUND(v^($CU68+FaktorAlter)*$L68*$D68*0.5*(VLOOKUP($CU68-DD$103,Männer!$G$9:$J$102,4)+VLOOKUP($CU68-DD$103+1,Männer!$G$9:$J$102,4))*0.5*(VLOOKUP($CU68-DD$103,Männer!$AZ$9:$BD$102,5)+VLOOKUP($CU68-DD$103+1,Männer!$AZ$9:$BD$102,5)),RundDx)))</f>
        <v/>
      </c>
      <c r="DE68" s="25" t="str">
        <f>IF($CU68&gt;=RAF,"",IF($CU68-DE$103&lt;BeginnAlter,"",ROUND(v^($CU68+FaktorAlter)*$L68*$D68*0.5*(VLOOKUP($CU68-DE$103,Männer!$G$9:$J$102,4)+VLOOKUP($CU68-DE$103+1,Männer!$G$9:$J$102,4))*0.5*(VLOOKUP($CU68-DE$103,Männer!$AZ$9:$BD$102,5)+VLOOKUP($CU68-DE$103+1,Männer!$AZ$9:$BD$102,5)),RundDx)))</f>
        <v/>
      </c>
      <c r="DF68" s="25" t="str">
        <f>IF($CU68&gt;=RAF,"",IF($CU68-DF$103&lt;BeginnAlter,"",ROUND(v^($CU68+FaktorAlter)*$L68*$D68*0.5*(VLOOKUP($CU68-DF$103,Männer!$G$9:$J$102,4)+VLOOKUP($CU68-DF$103+1,Männer!$G$9:$J$102,4))*0.5*(VLOOKUP($CU68-DF$103,Männer!$AZ$9:$BD$102,5)+VLOOKUP($CU68-DF$103+1,Männer!$AZ$9:$BD$102,5)),RundDx)))</f>
        <v/>
      </c>
      <c r="DG68" s="25" t="str">
        <f>IF($CU68&gt;=RAF,"",IF($CU68-DG$103&lt;BeginnAlter,"",ROUND(v^($CU68+FaktorAlter)*$L68*$D68*0.5*(VLOOKUP($CU68-DG$103,Männer!$G$9:$J$102,4)+VLOOKUP($CU68-DG$103+1,Männer!$G$9:$J$102,4))*0.5*(VLOOKUP($CU68-DG$103,Männer!$AZ$9:$BD$102,5)+VLOOKUP($CU68-DG$103+1,Männer!$AZ$9:$BD$102,5)),RundDx)))</f>
        <v/>
      </c>
      <c r="DH68" s="25" t="str">
        <f>IF($CU68&gt;=RAF,"",IF($CU68-DH$103&lt;BeginnAlter,"",ROUND(v^($CU68+FaktorAlter)*$L68*$D68*0.5*(VLOOKUP($CU68-DH$103,Männer!$G$9:$J$102,4)+VLOOKUP($CU68-DH$103+1,Männer!$G$9:$J$102,4))*0.5*(VLOOKUP($CU68-DH$103,Männer!$AZ$9:$BD$102,5)+VLOOKUP($CU68-DH$103+1,Männer!$AZ$9:$BD$102,5)),RundDx)))</f>
        <v/>
      </c>
      <c r="DI68" s="25" t="str">
        <f>IF($CU68&gt;=RAF,"",IF($CU68-DI$103&lt;BeginnAlter,"",ROUND(v^($CU68+FaktorAlter)*$L68*$D68*0.5*(VLOOKUP($CU68-DI$103,Männer!$G$9:$J$102,4)+VLOOKUP($CU68-DI$103+1,Männer!$G$9:$J$102,4))*0.5*(VLOOKUP($CU68-DI$103,Männer!$AZ$9:$BD$102,5)+VLOOKUP($CU68-DI$103+1,Männer!$AZ$9:$BD$102,5)),RundDx)))</f>
        <v/>
      </c>
      <c r="DJ68" s="25" t="str">
        <f>IF($CU68&gt;=RAF,"",IF($CU68-DJ$103&lt;BeginnAlter,"",ROUND(v^($CU68+FaktorAlter)*$L68*$D68*0.5*(VLOOKUP($CU68-DJ$103,Männer!$G$9:$J$102,4)+VLOOKUP($CU68-DJ$103+1,Männer!$G$9:$J$102,4))*0.5*(VLOOKUP($CU68-DJ$103,Männer!$AZ$9:$BD$102,5)+VLOOKUP($CU68-DJ$103+1,Männer!$AZ$9:$BD$102,5)),RundDx)))</f>
        <v/>
      </c>
      <c r="DK68" s="25" t="str">
        <f>IF($CU68&gt;=RAF,"",IF($CU68-DK$103&lt;BeginnAlter,"",ROUND(v^($CU68+FaktorAlter)*$L68*$D68*0.5*(VLOOKUP($CU68-DK$103,Männer!$G$9:$J$102,4)+VLOOKUP($CU68-DK$103+1,Männer!$G$9:$J$102,4))*0.5*(VLOOKUP($CU68-DK$103,Männer!$AZ$9:$BD$102,5)+VLOOKUP($CU68-DK$103+1,Männer!$AZ$9:$BD$102,5)),RundDx)))</f>
        <v/>
      </c>
      <c r="DL68" s="25" t="str">
        <f>IF($CU68&gt;=RAF,"",IF($CU68-DL$103&lt;BeginnAlter,"",ROUND(v^($CU68+FaktorAlter)*$L68*$D68*0.5*(VLOOKUP($CU68-DL$103,Männer!$G$9:$J$102,4)+VLOOKUP($CU68-DL$103+1,Männer!$G$9:$J$102,4))*0.5*(VLOOKUP($CU68-DL$103,Männer!$AZ$9:$BD$102,5)+VLOOKUP($CU68-DL$103+1,Männer!$AZ$9:$BD$102,5)),RundDx)))</f>
        <v/>
      </c>
      <c r="DM68" s="25" t="str">
        <f>IF($CU68&gt;=RAF,"",IF($CU68-DM$103&lt;BeginnAlter,"",ROUND(v^($CU68+FaktorAlter)*$L68*$D68*0.5*(VLOOKUP($CU68-DM$103,Männer!$G$9:$J$102,4)+VLOOKUP($CU68-DM$103+1,Männer!$G$9:$J$102,4))*0.5*(VLOOKUP($CU68-DM$103,Männer!$AZ$9:$BD$102,5)+VLOOKUP($CU68-DM$103+1,Männer!$AZ$9:$BD$102,5)),RundDx)))</f>
        <v/>
      </c>
      <c r="DN68" s="25" t="str">
        <f>IF($CU68&gt;=RAF,"",IF($CU68-DN$103&lt;BeginnAlter,"",ROUND(v^($CU68+FaktorAlter)*$L68*$D68*0.5*(VLOOKUP($CU68-DN$103,Männer!$G$9:$J$102,4)+VLOOKUP($CU68-DN$103+1,Männer!$G$9:$J$102,4))*0.5*(VLOOKUP($CU68-DN$103,Männer!$AZ$9:$BD$102,5)+VLOOKUP($CU68-DN$103+1,Männer!$AZ$9:$BD$102,5)),RundDx)))</f>
        <v/>
      </c>
      <c r="DO68" s="25" t="str">
        <f>IF($CU68&gt;=RAF,"",IF($CU68-DO$103&lt;BeginnAlter,"",ROUND(v^($CU68+FaktorAlter)*$L68*$D68*0.5*(VLOOKUP($CU68-DO$103,Männer!$G$9:$J$102,4)+VLOOKUP($CU68-DO$103+1,Männer!$G$9:$J$102,4))*0.5*(VLOOKUP($CU68-DO$103,Männer!$AZ$9:$BD$102,5)+VLOOKUP($CU68-DO$103+1,Männer!$AZ$9:$BD$102,5)),RundDx)))</f>
        <v/>
      </c>
      <c r="DP68" s="25" t="str">
        <f>IF($CU68&gt;=RAF,"",IF($CU68-DP$103&lt;BeginnAlter,"",ROUND(v^($CU68+FaktorAlter)*$L68*$D68*0.5*(VLOOKUP($CU68-DP$103,Männer!$G$9:$J$102,4)+VLOOKUP($CU68-DP$103+1,Männer!$G$9:$J$102,4))*0.5*(VLOOKUP($CU68-DP$103,Männer!$AZ$9:$BD$102,5)+VLOOKUP($CU68-DP$103+1,Männer!$AZ$9:$BD$102,5)),RundDx)))</f>
        <v/>
      </c>
      <c r="DQ68" s="25" t="str">
        <f>IF($CU68&gt;=RAF,"",IF($CU68-DQ$103&lt;BeginnAlter,"",ROUND(v^($CU68+FaktorAlter)*$L68*$D68*0.5*(VLOOKUP($CU68-DQ$103,Männer!$G$9:$J$102,4)+VLOOKUP($CU68-DQ$103+1,Männer!$G$9:$J$102,4))*0.5*(VLOOKUP($CU68-DQ$103,Männer!$AZ$9:$BD$102,5)+VLOOKUP($CU68-DQ$103+1,Männer!$AZ$9:$BD$102,5)),RundDx)))</f>
        <v/>
      </c>
      <c r="DR68" s="25" t="str">
        <f>IF($CU68&gt;=RAF,"",IF($CU68-DR$103&lt;BeginnAlter,"",ROUND(v^($CU68+FaktorAlter)*$L68*$D68*0.5*(VLOOKUP($CU68-DR$103,Männer!$G$9:$J$102,4)+VLOOKUP($CU68-DR$103+1,Männer!$G$9:$J$102,4))*0.5*(VLOOKUP($CU68-DR$103,Männer!$AZ$9:$BD$102,5)+VLOOKUP($CU68-DR$103+1,Männer!$AZ$9:$BD$102,5)),RundDx)))</f>
        <v/>
      </c>
      <c r="DS68" s="25" t="str">
        <f>IF($CU68&gt;=RAF,"",IF($CU68-DS$103&lt;BeginnAlter,"",ROUND(v^($CU68+FaktorAlter)*$L68*$D68*0.5*(VLOOKUP($CU68-DS$103,Männer!$G$9:$J$102,4)+VLOOKUP($CU68-DS$103+1,Männer!$G$9:$J$102,4))*0.5*(VLOOKUP($CU68-DS$103,Männer!$AZ$9:$BD$102,5)+VLOOKUP($CU68-DS$103+1,Männer!$AZ$9:$BD$102,5)),RundDx)))</f>
        <v/>
      </c>
      <c r="DT68" s="25" t="str">
        <f>IF($CU68&gt;=RAF,"",IF($CU68-DT$103&lt;BeginnAlter,"",ROUND(v^($CU68+FaktorAlter)*$L68*$D68*0.5*(VLOOKUP($CU68-DT$103,Männer!$G$9:$J$102,4)+VLOOKUP($CU68-DT$103+1,Männer!$G$9:$J$102,4))*0.5*(VLOOKUP($CU68-DT$103,Männer!$AZ$9:$BD$102,5)+VLOOKUP($CU68-DT$103+1,Männer!$AZ$9:$BD$102,5)),RundDx)))</f>
        <v/>
      </c>
      <c r="DU68" s="25" t="str">
        <f>IF($CU68&gt;=RAF,"",IF($CU68-DU$103&lt;BeginnAlter,"",ROUND(v^($CU68+FaktorAlter)*$L68*$D68*0.5*(VLOOKUP($CU68-DU$103,Männer!$G$9:$J$102,4)+VLOOKUP($CU68-DU$103+1,Männer!$G$9:$J$102,4))*0.5*(VLOOKUP($CU68-DU$103,Männer!$AZ$9:$BD$102,5)+VLOOKUP($CU68-DU$103+1,Männer!$AZ$9:$BD$102,5)),RundDx)))</f>
        <v/>
      </c>
      <c r="DV68" s="25" t="str">
        <f>IF($CU68&gt;=RAF,"",IF($CU68-DV$103&lt;BeginnAlter,"",ROUND(v^($CU68+FaktorAlter)*$L68*$D68*0.5*(VLOOKUP($CU68-DV$103,Männer!$G$9:$J$102,4)+VLOOKUP($CU68-DV$103+1,Männer!$G$9:$J$102,4))*0.5*(VLOOKUP($CU68-DV$103,Männer!$AZ$9:$BD$102,5)+VLOOKUP($CU68-DV$103+1,Männer!$AZ$9:$BD$102,5)),RundDx)))</f>
        <v/>
      </c>
      <c r="DW68" s="25" t="str">
        <f>IF($CU68&gt;=RAF,"",IF($CU68-DW$103&lt;BeginnAlter,"",ROUND(v^($CU68+FaktorAlter)*$L68*$D68*0.5*(VLOOKUP($CU68-DW$103,Männer!$G$9:$J$102,4)+VLOOKUP($CU68-DW$103+1,Männer!$G$9:$J$102,4))*0.5*(VLOOKUP($CU68-DW$103,Männer!$AZ$9:$BD$102,5)+VLOOKUP($CU68-DW$103+1,Männer!$AZ$9:$BD$102,5)),RundDx)))</f>
        <v/>
      </c>
      <c r="DX68" s="25" t="str">
        <f>IF($CU68&gt;=RAF,"",IF($CU68-DX$103&lt;BeginnAlter,"",ROUND(v^($CU68+FaktorAlter)*$L68*$D68*0.5*(VLOOKUP($CU68-DX$103,Männer!$G$9:$J$102,4)+VLOOKUP($CU68-DX$103+1,Männer!$G$9:$J$102,4))*0.5*(VLOOKUP($CU68-DX$103,Männer!$AZ$9:$BD$102,5)+VLOOKUP($CU68-DX$103+1,Männer!$AZ$9:$BD$102,5)),RundDx)))</f>
        <v/>
      </c>
      <c r="DY68" s="25" t="str">
        <f>IF($CU68&gt;=RAF,"",IF($CU68-DY$103&lt;BeginnAlter,"",ROUND(v^($CU68+FaktorAlter)*$L68*$D68*0.5*(VLOOKUP($CU68-DY$103,Männer!$G$9:$J$102,4)+VLOOKUP($CU68-DY$103+1,Männer!$G$9:$J$102,4))*0.5*(VLOOKUP($CU68-DY$103,Männer!$AZ$9:$BD$102,5)+VLOOKUP($CU68-DY$103+1,Männer!$AZ$9:$BD$102,5)),RundDx)))</f>
        <v/>
      </c>
      <c r="DZ68" s="25" t="str">
        <f>IF($CU68&gt;=RAF,"",IF($CU68-DZ$103&lt;BeginnAlter,"",ROUND(v^($CU68+FaktorAlter)*$L68*$D68*0.5*(VLOOKUP($CU68-DZ$103,Männer!$G$9:$J$102,4)+VLOOKUP($CU68-DZ$103+1,Männer!$G$9:$J$102,4))*0.5*(VLOOKUP($CU68-DZ$103,Männer!$AZ$9:$BD$102,5)+VLOOKUP($CU68-DZ$103+1,Männer!$AZ$9:$BD$102,5)),RundDx)))</f>
        <v/>
      </c>
      <c r="EA68" s="43" t="str">
        <f>IF($CU68&gt;=RAF,"",IF($CU68-EA$103&lt;BeginnAlter,"",ROUND((SUM(CV$56:CV68)+SUM(FN$9:FN$56))/VLOOKUP($CU68,$AH$9:$AI$102,2)/VLOOKUP($CU68-EA$103,Männer!$G$9:$J$102,4),Rundäx)))</f>
        <v/>
      </c>
      <c r="EB68" s="43" t="str">
        <f>IF($CU68&gt;=RAF,"",IF($CU68-EB$103&lt;BeginnAlter,"",ROUND((SUM(CW$56:CW68)+SUM(FO$9:FO$56))/VLOOKUP($CU68,$AH$9:$AI$102,2)/VLOOKUP($CU68-EB$103,Männer!$G$9:$J$102,4),Rundäx)))</f>
        <v/>
      </c>
      <c r="EC68" s="43" t="str">
        <f>IF($CU68&gt;=RAF,"",IF($CU68-EC$103&lt;BeginnAlter,"",ROUND((SUM(CX$56:CX68)+SUM(FP$9:FP$56))/VLOOKUP($CU68,$AH$9:$AI$102,2)/VLOOKUP($CU68-EC$103,Männer!$G$9:$J$102,4),Rundäx)))</f>
        <v/>
      </c>
      <c r="ED68" s="43" t="str">
        <f>IF($CU68&gt;=RAF,"",IF($CU68-ED$103&lt;BeginnAlter,"",ROUND((SUM(CY$56:CY68)+SUM(FQ$9:FQ$56))/VLOOKUP($CU68,$AH$9:$AI$102,2)/VLOOKUP($CU68-ED$103,Männer!$G$9:$J$102,4),Rundäx)))</f>
        <v/>
      </c>
      <c r="EE68" s="43" t="str">
        <f>IF($CU68&gt;=RAF,"",IF($CU68-EE$103&lt;BeginnAlter,"",ROUND((SUM(CZ$56:CZ68)+SUM(FR$9:FR$56))/VLOOKUP($CU68,$AH$9:$AI$102,2)/VLOOKUP($CU68-EE$103,Männer!$G$9:$J$102,4),Rundäx)))</f>
        <v/>
      </c>
      <c r="EF68" s="43" t="str">
        <f>IF($CU68&gt;=RAF,"",IF($CU68-EF$103&lt;BeginnAlter,"",ROUND((SUM(DA$56:DA68)+SUM(FS$9:FS$56))/VLOOKUP($CU68,$AH$9:$AI$102,2)/VLOOKUP($CU68-EF$103,Männer!$G$9:$J$102,4),Rundäx)))</f>
        <v/>
      </c>
      <c r="EG68" s="43" t="str">
        <f>IF($CU68&gt;=RAF,"",IF($CU68-EG$103&lt;BeginnAlter,"",ROUND((SUM(DB$56:DB68)+SUM(FT$9:FT$56))/VLOOKUP($CU68,$AH$9:$AI$102,2)/VLOOKUP($CU68-EG$103,Männer!$G$9:$J$102,4),Rundäx)))</f>
        <v/>
      </c>
      <c r="EH68" s="43" t="str">
        <f>IF($CU68&gt;=RAF,"",IF($CU68-EH$103&lt;BeginnAlter,"",ROUND((SUM(DC$56:DC68)+SUM(FU$9:FU$56))/VLOOKUP($CU68,$AH$9:$AI$102,2)/VLOOKUP($CU68-EH$103,Männer!$G$9:$J$102,4),Rundäx)))</f>
        <v/>
      </c>
      <c r="EI68" s="89"/>
      <c r="EJ68" s="35">
        <f t="shared" si="61"/>
        <v>76</v>
      </c>
      <c r="EK68" s="43" t="str">
        <f>IF($CU68&gt;=RAF,"",IF($CU68-EK$103&lt;BeginnAlter,"",ROUND((SUM(DD$56:DD68)+SUM(FV$9:FV$56))/VLOOKUP($CU68,$AH$9:$AI$102,2)/VLOOKUP($CU68-EK$103,Männer!$G$9:$J$102,4),Rundäx)))</f>
        <v/>
      </c>
      <c r="EL68" s="43" t="str">
        <f>IF($CU68&gt;=RAF,"",IF($CU68-EL$103&lt;BeginnAlter,"",ROUND((SUM(DE$56:DE68)+SUM(FW$9:FW$56))/VLOOKUP($CU68,$AH$9:$AI$102,2)/VLOOKUP($CU68-EL$103,Männer!$G$9:$J$102,4),Rundäx)))</f>
        <v/>
      </c>
      <c r="EM68" s="43" t="str">
        <f>IF($CU68&gt;=RAF,"",IF($CU68-EM$103&lt;BeginnAlter,"",ROUND((SUM(DF$56:DF68)+SUM(FX$9:FX$56))/VLOOKUP($CU68,$AH$9:$AI$102,2)/VLOOKUP($CU68-EM$103,Männer!$G$9:$J$102,4),Rundäx)))</f>
        <v/>
      </c>
      <c r="EN68" s="43" t="str">
        <f>IF($CU68&gt;=RAF,"",IF($CU68-EN$103&lt;BeginnAlter,"",ROUND((SUM(DG$56:DG68)+SUM(FY$9:FY$56))/VLOOKUP($CU68,$AH$9:$AI$102,2)/VLOOKUP($CU68-EN$103,Männer!$G$9:$J$102,4),Rundäx)))</f>
        <v/>
      </c>
      <c r="EO68" s="43" t="str">
        <f>IF($CU68&gt;=RAF,"",IF($CU68-EO$103&lt;BeginnAlter,"",ROUND((SUM(DH$56:DH68)+SUM(FZ$9:FZ$56))/VLOOKUP($CU68,$AH$9:$AI$102,2)/VLOOKUP($CU68-EO$103,Männer!$G$9:$J$102,4),Rundäx)))</f>
        <v/>
      </c>
      <c r="EP68" s="43" t="str">
        <f>IF($CU68&gt;=RAF,"",IF($CU68-EP$103&lt;BeginnAlter,"",ROUND((SUM(DI$56:DI68)+SUM(GA$9:GA$56))/VLOOKUP($CU68,$AH$9:$AI$102,2)/VLOOKUP($CU68-EP$103,Männer!$G$9:$J$102,4),Rundäx)))</f>
        <v/>
      </c>
      <c r="EQ68" s="43" t="str">
        <f>IF($CU68&gt;=RAF,"",IF($CU68-EQ$103&lt;BeginnAlter,"",ROUND((SUM(DJ$56:DJ68)+SUM(GB$9:GB$56))/VLOOKUP($CU68,$AH$9:$AI$102,2)/VLOOKUP($CU68-EQ$103,Männer!$G$9:$J$102,4),Rundäx)))</f>
        <v/>
      </c>
      <c r="ER68" s="43" t="str">
        <f>IF($CU68&gt;=RAF,"",IF($CU68-ER$103&lt;BeginnAlter,"",ROUND((SUM(DK$56:DK68)+SUM(GC$9:GC$56))/VLOOKUP($CU68,$AH$9:$AI$102,2)/VLOOKUP($CU68-ER$103,Männer!$G$9:$J$102,4),Rundäx)))</f>
        <v/>
      </c>
      <c r="ES68" s="89"/>
      <c r="ET68" s="35">
        <f t="shared" si="62"/>
        <v>76</v>
      </c>
      <c r="EU68" s="43" t="str">
        <f>IF($CU68&gt;=RAF,"",IF($CU68-EU$103&lt;BeginnAlter,"",ROUND((SUM(DL$56:DL68)+SUM(GD$9:GD$56))/VLOOKUP($CU68,$AH$9:$AI$102,2)/VLOOKUP($CU68-EU$103,Männer!$G$9:$J$102,4),Rundäx)))</f>
        <v/>
      </c>
      <c r="EV68" s="43" t="str">
        <f>IF($CU68&gt;=RAF,"",IF($CU68-EV$103&lt;BeginnAlter,"",ROUND((SUM(DM$56:DM68)+SUM(GE$9:GE$56))/VLOOKUP($CU68,$AH$9:$AI$102,2)/VLOOKUP($CU68-EV$103,Männer!$G$9:$J$102,4),Rundäx)))</f>
        <v/>
      </c>
      <c r="EW68" s="43" t="str">
        <f>IF($CU68&gt;=RAF,"",IF($CU68-EW$103&lt;BeginnAlter,"",ROUND((SUM(DN$56:DN68)+SUM(GF$9:GF$56))/VLOOKUP($CU68,$AH$9:$AI$102,2)/VLOOKUP($CU68-EW$103,Männer!$G$9:$J$102,4),Rundäx)))</f>
        <v/>
      </c>
      <c r="EX68" s="43" t="str">
        <f>IF($CU68&gt;=RAF,"",IF($CU68-EX$103&lt;BeginnAlter,"",ROUND((SUM(DO$56:DO68)+SUM(GG$9:GG$56))/VLOOKUP($CU68,$AH$9:$AI$102,2)/VLOOKUP($CU68-EX$103,Männer!$G$9:$J$102,4),Rundäx)))</f>
        <v/>
      </c>
      <c r="EY68" s="43" t="str">
        <f>IF($CU68&gt;=RAF,"",IF($CU68-EY$103&lt;BeginnAlter,"",ROUND((SUM(DP$56:DP68)+SUM(GH$9:GH$56))/VLOOKUP($CU68,$AH$9:$AI$102,2)/VLOOKUP($CU68-EY$103,Männer!$G$9:$J$102,4),Rundäx)))</f>
        <v/>
      </c>
      <c r="EZ68" s="43" t="str">
        <f>IF($CU68&gt;=RAF,"",IF($CU68-EZ$103&lt;BeginnAlter,"",ROUND((SUM(DQ$56:DQ68)+SUM(GI$9:GI$56))/VLOOKUP($CU68,$AH$9:$AI$102,2)/VLOOKUP($CU68-EZ$103,Männer!$G$9:$J$102,4),Rundäx)))</f>
        <v/>
      </c>
      <c r="FA68" s="43" t="str">
        <f>IF($CU68&gt;=RAF,"",IF($CU68-FA$103&lt;BeginnAlter,"",ROUND((SUM(DR$56:DR68)+SUM(GJ$9:GJ$56))/VLOOKUP($CU68,$AH$9:$AI$102,2)/VLOOKUP($CU68-FA$103,Männer!$G$9:$J$102,4),Rundäx)))</f>
        <v/>
      </c>
      <c r="FB68" s="43" t="str">
        <f>IF($CU68&gt;=RAF,"",IF($CU68-FB$103&lt;BeginnAlter,"",ROUND((SUM(DS$56:DS68)+SUM(GK$9:GK$56))/VLOOKUP($CU68,$AH$9:$AI$102,2)/VLOOKUP($CU68-FB$103,Männer!$G$9:$J$102,4),Rundäx)))</f>
        <v/>
      </c>
      <c r="FC68" s="89"/>
      <c r="FD68" s="35">
        <f t="shared" si="63"/>
        <v>76</v>
      </c>
      <c r="FE68" s="43" t="str">
        <f>IF($CU68&gt;=RAF,"",IF($CU68-FE$103&lt;BeginnAlter,"",ROUND((SUM(DT$56:DT68)+SUM(GL$9:GL$56))/VLOOKUP($CU68,$AH$9:$AI$102,2)/VLOOKUP($CU68-FE$103,Männer!$G$9:$J$102,4),Rundäx)))</f>
        <v/>
      </c>
      <c r="FF68" s="43" t="str">
        <f>IF($CU68&gt;=RAF,"",IF($CU68-FF$103&lt;BeginnAlter,"",ROUND((SUM(DU$56:DU68)+SUM(GM$9:GM$56))/VLOOKUP($CU68,$AH$9:$AI$102,2)/VLOOKUP($CU68-FF$103,Männer!$G$9:$J$102,4),Rundäx)))</f>
        <v/>
      </c>
      <c r="FG68" s="43" t="str">
        <f>IF($CU68&gt;=RAF,"",IF($CU68-FG$103&lt;BeginnAlter,"",ROUND((SUM(DV$56:DV68)+SUM(GN$9:GN$56))/VLOOKUP($CU68,$AH$9:$AI$102,2)/VLOOKUP($CU68-FG$103,Männer!$G$9:$J$102,4),Rundäx)))</f>
        <v/>
      </c>
      <c r="FH68" s="43" t="str">
        <f>IF($CU68&gt;=RAF,"",IF($CU68-FH$103&lt;BeginnAlter,"",ROUND((SUM(DW$56:DW68)+SUM(GO$9:GO$56))/VLOOKUP($CU68,$AH$9:$AI$102,2)/VLOOKUP($CU68-FH$103,Männer!$G$9:$J$102,4),Rundäx)))</f>
        <v/>
      </c>
      <c r="FI68" s="43" t="str">
        <f>IF($CU68&gt;=RAF,"",IF($CU68-FI$103&lt;BeginnAlter,"",ROUND((SUM(DX$56:DX68)+SUM(GP$9:GP$56))/VLOOKUP($CU68,$AH$9:$AI$102,2)/VLOOKUP($CU68-FI$103,Männer!$G$9:$J$102,4),Rundäx)))</f>
        <v/>
      </c>
      <c r="FJ68" s="43" t="str">
        <f>IF($CU68&gt;=RAF,"",IF($CU68-FJ$103&lt;BeginnAlter,"",ROUND((SUM(DY$56:DY68)+SUM(GQ$9:GQ$56))/VLOOKUP($CU68,$AH$9:$AI$102,2)/VLOOKUP($CU68-FJ$103,Männer!$G$9:$J$102,4),Rundäx)))</f>
        <v/>
      </c>
      <c r="FK68" s="43" t="str">
        <f>IF($CU68&gt;=RAF,"",IF($CU68-FK$103&lt;BeginnAlter,"",ROUND((SUM(DZ$56:DZ68)+SUM(GR$9:GR$56))/VLOOKUP($CU68,$AH$9:$AI$102,2)/VLOOKUP($CU68-FK$103,Männer!$G$9:$J$102,4),Rundäx)))</f>
        <v/>
      </c>
      <c r="FL68" s="89"/>
      <c r="FM68" s="35">
        <f t="shared" si="64"/>
        <v>123</v>
      </c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4"/>
      <c r="GT68" s="24"/>
      <c r="GU68" s="24" t="str">
        <f>IF(FM68&gt;=RAF," ",#REF!/$AI68/Frauen!$J56)</f>
        <v xml:space="preserve"> </v>
      </c>
      <c r="GV68" s="24" t="str">
        <f>IF(FM68&gt;=RAF," ",#REF!/$AI68/Frauen!$J59)</f>
        <v xml:space="preserve"> </v>
      </c>
      <c r="GW68" s="24" t="str">
        <f>IF(FM68&gt;=RAF," ",#REF!/$AI68/Frauen!$J62)</f>
        <v xml:space="preserve"> </v>
      </c>
      <c r="GX68" s="24" t="str">
        <f>IF(FM68&gt;=RAF," ",#REF!/$AI68/Frauen!$J65)</f>
        <v xml:space="preserve"> </v>
      </c>
      <c r="GY68" s="24" t="str">
        <f>IF(FM68&gt;=RAF," ",#REF!/$AI68/Frauen!$J68)</f>
        <v xml:space="preserve"> </v>
      </c>
      <c r="GZ68" s="24" t="str">
        <f>IF(FM68&gt;=RAF," ",#REF!/$AI68/Frauen!$J71)</f>
        <v xml:space="preserve"> </v>
      </c>
      <c r="HA68" s="89"/>
      <c r="HB68" s="35">
        <f t="shared" si="65"/>
        <v>123</v>
      </c>
      <c r="HC68" s="24"/>
      <c r="HD68" s="24"/>
      <c r="HE68" s="24"/>
      <c r="HF68" s="24"/>
      <c r="HG68" s="24"/>
      <c r="HH68" s="24"/>
      <c r="HI68" s="24"/>
      <c r="HJ68" s="24"/>
      <c r="HK68" s="89"/>
      <c r="HL68" s="35">
        <f t="shared" si="66"/>
        <v>123</v>
      </c>
      <c r="HM68" s="24"/>
      <c r="HN68" s="24"/>
      <c r="HO68" s="24"/>
      <c r="HP68" s="24"/>
      <c r="HQ68" s="24"/>
      <c r="HR68" s="24"/>
      <c r="HS68" s="24"/>
      <c r="HT68" s="24"/>
      <c r="HU68" s="89"/>
      <c r="HV68" s="35">
        <f t="shared" si="67"/>
        <v>123</v>
      </c>
      <c r="HW68" s="24"/>
      <c r="HX68" s="24"/>
      <c r="HY68" s="24"/>
      <c r="HZ68" s="24"/>
      <c r="IA68" s="24"/>
      <c r="IB68" s="24"/>
      <c r="IC68" s="24"/>
      <c r="ID68" s="89"/>
      <c r="IE68" s="9">
        <f t="shared" si="80"/>
        <v>76</v>
      </c>
      <c r="IF68" s="11" t="str">
        <f t="shared" si="25"/>
        <v/>
      </c>
      <c r="IG68" s="11" t="str">
        <f>IF($IE68&lt;RAF,IF(S69&lt;=RAK,ROUND(SUM(IF68:INDEX(Daky,RAF-BeginnAlter))+INDEX(Day,RAF-BeginnAlter+1)*INDEX(äky,1),RundDx),0),"")</f>
        <v/>
      </c>
      <c r="IH68" s="11" t="str">
        <f>IF($IE68&lt;RAF,IF(S69&lt;=RAK,ROUND(SUM(IG68:INDEX(Naky,RAF-BeginnAlter))+INDEX(Day,RAF-BeginnAlter+1)*INDEX(äky,1),RundDx),0),"")</f>
        <v/>
      </c>
      <c r="II68" s="10" t="str">
        <f t="shared" si="26"/>
        <v/>
      </c>
      <c r="IJ68" s="11" t="str">
        <f t="shared" si="27"/>
        <v/>
      </c>
      <c r="IK68" s="11" t="str">
        <f>IF($IE68&lt;RAF,IF(S69&lt;=RAK,SUM(IJ68:INDEX(Diky,RAF-BeginnAlter))+INDEX(Diy,RAF-BeginnAlter+1)*INDEX(äky,1),0),"")</f>
        <v/>
      </c>
      <c r="IL68" s="10" t="str">
        <f t="shared" si="28"/>
        <v/>
      </c>
      <c r="IM68" s="89"/>
      <c r="IN68" s="9">
        <f t="shared" si="29"/>
        <v>123</v>
      </c>
      <c r="IO68" s="11"/>
      <c r="IP68" s="11"/>
      <c r="IQ68" s="10"/>
      <c r="IR68" s="86"/>
    </row>
    <row r="69" spans="1:252" ht="15.75" customHeight="1" x14ac:dyDescent="0.25">
      <c r="A69" s="9">
        <f t="shared" si="69"/>
        <v>77</v>
      </c>
      <c r="B69" s="93"/>
      <c r="C69" s="93"/>
      <c r="D69" s="93"/>
      <c r="E69" s="93">
        <v>2.398828892403514E-2</v>
      </c>
      <c r="F69" s="89"/>
      <c r="G69" s="9">
        <f t="shared" si="70"/>
        <v>77</v>
      </c>
      <c r="H69" s="11" t="str">
        <f t="shared" si="30"/>
        <v/>
      </c>
      <c r="I69" s="25" t="str">
        <f t="shared" si="31"/>
        <v/>
      </c>
      <c r="J69" s="25">
        <f t="shared" si="32"/>
        <v>73567</v>
      </c>
      <c r="K69" s="30">
        <f>IF(J69&gt;0,ROUND(SUM(J69:J$102)/J69-0.5,Rundex),"")</f>
        <v>11.36</v>
      </c>
      <c r="L69" s="25">
        <f t="shared" si="6"/>
        <v>73567</v>
      </c>
      <c r="M69" s="30">
        <f>IF(L69&gt;0,ROUND(SUM(L69:L$102)/L69-0.5,Rundex),"")</f>
        <v>11.36</v>
      </c>
      <c r="N69" s="89"/>
      <c r="O69" s="9">
        <f t="shared" si="71"/>
        <v>77</v>
      </c>
      <c r="P69" s="94">
        <v>1.6488221522401134E-2</v>
      </c>
      <c r="Q69" s="95">
        <v>77.893490189826565</v>
      </c>
      <c r="R69" s="94"/>
      <c r="S69" s="95"/>
      <c r="T69" s="28">
        <v>2.3627419363060811E-2</v>
      </c>
      <c r="U69" s="11">
        <f t="shared" si="33"/>
        <v>77930</v>
      </c>
      <c r="V69" s="30">
        <f>IF(U69&gt;0,ROUND(SUM(U69:U$102)/U69-0.5,Rundex),"")</f>
        <v>11.7</v>
      </c>
      <c r="W69" s="89"/>
      <c r="X69" s="9">
        <f t="shared" si="72"/>
        <v>77</v>
      </c>
      <c r="Y69" s="11" t="str">
        <f t="shared" si="34"/>
        <v xml:space="preserve"> </v>
      </c>
      <c r="Z69" s="11" t="str">
        <f>IF($X69&lt;RAF,SUM(Y69:INDEX(Day,RAF-BeginnAlter))," ")</f>
        <v xml:space="preserve"> </v>
      </c>
      <c r="AA69" s="11" t="str">
        <f t="shared" si="0"/>
        <v xml:space="preserve"> </v>
      </c>
      <c r="AB69" s="11" t="str">
        <f>IF($X69&lt;RAF,SUM(AA69:INDEX(Cay,RAF-BeginnAlter))," ")</f>
        <v xml:space="preserve"> </v>
      </c>
      <c r="AC69" s="11" t="str">
        <f t="shared" si="1"/>
        <v xml:space="preserve"> </v>
      </c>
      <c r="AD69" s="11" t="str">
        <f>IF($X69&lt;RAF,SUM(AC69:INDEX(Caiy,RAF-BeginnAlter))," ")</f>
        <v xml:space="preserve"> </v>
      </c>
      <c r="AE69" s="10" t="str">
        <f t="shared" si="35"/>
        <v xml:space="preserve"> </v>
      </c>
      <c r="AF69" s="10" t="str">
        <f t="shared" si="36"/>
        <v xml:space="preserve"> </v>
      </c>
      <c r="AG69" s="89"/>
      <c r="AH69" s="9">
        <f t="shared" si="73"/>
        <v>77</v>
      </c>
      <c r="AI69" s="11" t="str">
        <f t="shared" si="37"/>
        <v xml:space="preserve"> </v>
      </c>
      <c r="AJ69" s="11" t="str">
        <f>IF($AH69&gt;RAF," ",IF($AH69&lt;RAF,SUM(AI69:INDEX(Diy,RAF-BeginnAlter))+INDEX(Ny,RAF-BeginnAlter+1),INDEX(Ny,RAF-BeginnAlter+1)))</f>
        <v xml:space="preserve"> </v>
      </c>
      <c r="AK69" s="11" t="str">
        <f>IF($AH69&lt;RAF,SUM(AI69:INDEX(Diy,RAF-BeginnAlter))," ")</f>
        <v xml:space="preserve"> </v>
      </c>
      <c r="AL69" s="10" t="str">
        <f t="shared" si="38"/>
        <v xml:space="preserve"> </v>
      </c>
      <c r="AM69" s="10" t="str">
        <f t="shared" si="39"/>
        <v xml:space="preserve"> </v>
      </c>
      <c r="AN69" s="10" t="str">
        <f t="shared" si="40"/>
        <v xml:space="preserve"> </v>
      </c>
      <c r="AO69" s="10" t="str">
        <f t="shared" si="41"/>
        <v xml:space="preserve"> </v>
      </c>
      <c r="AP69" s="89"/>
      <c r="AQ69" s="9">
        <f t="shared" si="74"/>
        <v>77</v>
      </c>
      <c r="AR69" s="11">
        <f t="shared" si="42"/>
        <v>13262</v>
      </c>
      <c r="AS69" s="11">
        <f>SUM(AR69:AR$96)</f>
        <v>136034</v>
      </c>
      <c r="AT69" s="25" t="str">
        <f>IF($AQ69&lt;RAF,SUM(AR69:INDEX(Dy,RAF-BeginnAlter))," ")</f>
        <v xml:space="preserve"> </v>
      </c>
      <c r="AU69" s="24">
        <f t="shared" si="43"/>
        <v>10.257</v>
      </c>
      <c r="AV69" s="24">
        <f t="shared" si="44"/>
        <v>9.7989999999999995</v>
      </c>
      <c r="AW69" s="24" t="str">
        <f t="shared" si="45"/>
        <v xml:space="preserve"> </v>
      </c>
      <c r="AX69" s="24" t="str">
        <f t="shared" si="46"/>
        <v xml:space="preserve"> </v>
      </c>
      <c r="AY69" s="89"/>
      <c r="AZ69" s="9">
        <f t="shared" si="75"/>
        <v>77</v>
      </c>
      <c r="BA69" s="11">
        <f t="shared" si="47"/>
        <v>14048</v>
      </c>
      <c r="BB69" s="11">
        <f>SUM(BA69:BA$96)</f>
        <v>147668</v>
      </c>
      <c r="BC69" s="10">
        <f t="shared" si="48"/>
        <v>10.512</v>
      </c>
      <c r="BD69" s="10">
        <f t="shared" si="7"/>
        <v>10.053000000000001</v>
      </c>
      <c r="BE69" s="89"/>
      <c r="BF69" s="9">
        <f t="shared" si="54"/>
        <v>60</v>
      </c>
      <c r="BG69" s="10" t="str">
        <f t="shared" si="8"/>
        <v/>
      </c>
      <c r="BH69" s="10" t="str">
        <f t="shared" si="9"/>
        <v/>
      </c>
      <c r="BI69" s="89"/>
      <c r="BJ69" s="9">
        <f t="shared" si="76"/>
        <v>77</v>
      </c>
      <c r="BK69" s="11" t="str">
        <f t="shared" si="10"/>
        <v xml:space="preserve"> </v>
      </c>
      <c r="BL69" s="11" t="str">
        <f>IF(BJ69&lt;RAF,SUM(BK69:INDEX(Daiy,RAF-BeginnAlter))," ")</f>
        <v xml:space="preserve"> </v>
      </c>
      <c r="BM69" s="11" t="str">
        <f>IF(BJ69&lt;RAF,SUM(BL69:INDEX(Naiy,RAF-BeginnAlter))," ")</f>
        <v xml:space="preserve"> </v>
      </c>
      <c r="BN69" s="10" t="str">
        <f t="shared" si="11"/>
        <v xml:space="preserve"> </v>
      </c>
      <c r="BO69" s="10" t="str">
        <f t="shared" si="12"/>
        <v xml:space="preserve"> </v>
      </c>
      <c r="BP69" s="89"/>
      <c r="BQ69" s="9">
        <f t="shared" si="77"/>
        <v>77</v>
      </c>
      <c r="BR69" s="11" t="str">
        <f t="shared" si="13"/>
        <v xml:space="preserve"> </v>
      </c>
      <c r="BS69" s="11" t="str">
        <f>IF(BQ69&lt;RAF,SUM(BR69:INDEX(Daiys,RAF-BeginnAlter))," ")</f>
        <v xml:space="preserve"> </v>
      </c>
      <c r="BT69" s="11" t="str">
        <f>IF(BQ69&lt;RAF,SUM(BS69:INDEX(Naiys,RAF-BeginnAlter))," ")</f>
        <v xml:space="preserve"> </v>
      </c>
      <c r="BU69" s="10" t="str">
        <f t="shared" si="14"/>
        <v xml:space="preserve"> </v>
      </c>
      <c r="BV69" s="10" t="str">
        <f t="shared" si="15"/>
        <v xml:space="preserve"> </v>
      </c>
      <c r="BW69" s="89"/>
      <c r="BX69" s="9">
        <f t="shared" si="78"/>
        <v>77</v>
      </c>
      <c r="BY69" s="10" t="str">
        <f t="shared" si="16"/>
        <v/>
      </c>
      <c r="BZ69" s="11" t="str">
        <f t="shared" si="17"/>
        <v/>
      </c>
      <c r="CA69" s="11" t="str">
        <f>IF(S70&lt;=RAK,IF($BX69&lt;RAF,SUM(BZ69:INDEX(Dazy,RAF-BeginnAlter)),""),"")</f>
        <v/>
      </c>
      <c r="CB69" s="10" t="str">
        <f t="shared" si="18"/>
        <v/>
      </c>
      <c r="CC69" s="11">
        <f t="shared" si="19"/>
        <v>0</v>
      </c>
      <c r="CD69" s="10">
        <f t="shared" si="20"/>
        <v>0</v>
      </c>
      <c r="CE69" s="10" t="str">
        <f t="shared" si="21"/>
        <v/>
      </c>
      <c r="CF69" s="89"/>
      <c r="CG69" s="9">
        <f t="shared" si="79"/>
        <v>77</v>
      </c>
      <c r="CH69" s="11" t="str">
        <f>IF(CG69&lt;RAF,ROUND(v^($CG69+FaktorAlter)*$H69*($B69*0.5*($P69+$P70)*(VLOOKUP(TRUNC(0.5*($Q69+$Q70),0),Männer!$AZ$9:$BD$95,5)+(0.5*($Q69+$Q70)-TRUNC(0.5*($Q69+$Q70),0))*(VLOOKUP(TRUNC(0.5*($Q69+$Q70)+1,0),Männer!$AZ$9:$BD$95,5)-VLOOKUP(TRUNC(0.5*($Q69+$Q70),0),Männer!$AZ$9:$BD$95,5)))+$C69*0.5*($CN69+$CN70)),RundDx),"")</f>
        <v/>
      </c>
      <c r="CI69" s="11" t="str">
        <f>IF(CG69&lt;RAF,ROUND(SUM(CH69:INDEX(Dawy,RAF-BeginnAlter))+INDEX(Day,RAF-BeginnAlter+1)*INDEX(äwy,1),RundDx),"")</f>
        <v/>
      </c>
      <c r="CJ69" s="11" t="str">
        <f>IF(CG69&lt;RAF,ROUND(SUM(CI69:INDEX(Nawy,RAF-BeginnAlter))+INDEX(Day,RAF-BeginnAlter+1)*INDEX(äwy,1),RundDx),"")</f>
        <v/>
      </c>
      <c r="CK69" s="10" t="str">
        <f t="shared" si="22"/>
        <v/>
      </c>
      <c r="CL69" s="11" t="str">
        <f>IF(CG69&lt;RAF,ROUND(v^($CG69+FaktorAlter)*$L69*$D69*0.5*($P69+$P70)*(VLOOKUP(TRUNC(0.5*($Q69+$Q70),0),Männer!$AZ$9:$BD$95,5)+(0.5*($Q69+$Q70)-TRUNC(0.5*($Q69+$Q70),0))*(VLOOKUP(TRUNC(0.5*($Q69+$Q70)+1,0),Männer!$AZ$9:$BD$95,5)-VLOOKUP(TRUNC(0.5*($Q69+$Q70),0),Männer!$AZ$9:$BD$95,5))),RundDx),"")</f>
        <v/>
      </c>
      <c r="CM69" s="11" t="str">
        <f>IF(CG69&lt;RAF,SUM(CL69:INDEX(Diwy,RAF-BeginnAlter))+INDEX(Diy,RAF-BeginnAlter+1)*INDEX(äwy,1),"")</f>
        <v/>
      </c>
      <c r="CN69" s="10" t="str">
        <f t="shared" si="23"/>
        <v/>
      </c>
      <c r="CO69" s="89"/>
      <c r="CP69" s="9">
        <f t="shared" si="59"/>
        <v>124</v>
      </c>
      <c r="CQ69" s="11"/>
      <c r="CR69" s="11"/>
      <c r="CS69" s="10"/>
      <c r="CT69" s="89"/>
      <c r="CU69" s="35">
        <f t="shared" si="60"/>
        <v>77</v>
      </c>
      <c r="CV69" s="25" t="str">
        <f>IF($CU69&gt;=RAF,"",IF($CU69-CV$103&lt;BeginnAlter,"",ROUND(v^($CU69+FaktorAlter)*$L69*$D69*0.5*(VLOOKUP($CU69-CV$103,Männer!$G$9:$J$102,4)+VLOOKUP($CU69-CV$103+1,Männer!$G$9:$J$102,4))*0.5*(VLOOKUP($CU69-CV$103,Männer!$AZ$9:$BD$102,5)+VLOOKUP($CU69-CV$103+1,Männer!$AZ$9:$BD$102,5)),RundDx)))</f>
        <v/>
      </c>
      <c r="CW69" s="25" t="str">
        <f>IF($CU69&gt;=RAF,"",IF($CU69-CW$103&lt;BeginnAlter,"",ROUND(v^($CU69+FaktorAlter)*$L69*$D69*0.5*(VLOOKUP($CU69-CW$103,Männer!$G$9:$J$102,4)+VLOOKUP($CU69-CW$103+1,Männer!$G$9:$J$102,4))*0.5*(VLOOKUP($CU69-CW$103,Männer!$AZ$9:$BD$102,5)+VLOOKUP($CU69-CW$103+1,Männer!$AZ$9:$BD$102,5)),RundDx)))</f>
        <v/>
      </c>
      <c r="CX69" s="25" t="str">
        <f>IF($CU69&gt;=RAF,"",IF($CU69-CX$103&lt;BeginnAlter,"",ROUND(v^($CU69+FaktorAlter)*$L69*$D69*0.5*(VLOOKUP($CU69-CX$103,Männer!$G$9:$J$102,4)+VLOOKUP($CU69-CX$103+1,Männer!$G$9:$J$102,4))*0.5*(VLOOKUP($CU69-CX$103,Männer!$AZ$9:$BD$102,5)+VLOOKUP($CU69-CX$103+1,Männer!$AZ$9:$BD$102,5)),RundDx)))</f>
        <v/>
      </c>
      <c r="CY69" s="25" t="str">
        <f>IF($CU69&gt;=RAF,"",IF($CU69-CY$103&lt;BeginnAlter,"",ROUND(v^($CU69+FaktorAlter)*$L69*$D69*0.5*(VLOOKUP($CU69-CY$103,Männer!$G$9:$J$102,4)+VLOOKUP($CU69-CY$103+1,Männer!$G$9:$J$102,4))*0.5*(VLOOKUP($CU69-CY$103,Männer!$AZ$9:$BD$102,5)+VLOOKUP($CU69-CY$103+1,Männer!$AZ$9:$BD$102,5)),RundDx)))</f>
        <v/>
      </c>
      <c r="CZ69" s="25" t="str">
        <f>IF($CU69&gt;=RAF,"",IF($CU69-CZ$103&lt;BeginnAlter,"",ROUND(v^($CU69+FaktorAlter)*$L69*$D69*0.5*(VLOOKUP($CU69-CZ$103,Männer!$G$9:$J$102,4)+VLOOKUP($CU69-CZ$103+1,Männer!$G$9:$J$102,4))*0.5*(VLOOKUP($CU69-CZ$103,Männer!$AZ$9:$BD$102,5)+VLOOKUP($CU69-CZ$103+1,Männer!$AZ$9:$BD$102,5)),RundDx)))</f>
        <v/>
      </c>
      <c r="DA69" s="25" t="str">
        <f>IF($CU69&gt;=RAF,"",IF($CU69-DA$103&lt;BeginnAlter,"",ROUND(v^($CU69+FaktorAlter)*$L69*$D69*0.5*(VLOOKUP($CU69-DA$103,Männer!$G$9:$J$102,4)+VLOOKUP($CU69-DA$103+1,Männer!$G$9:$J$102,4))*0.5*(VLOOKUP($CU69-DA$103,Männer!$AZ$9:$BD$102,5)+VLOOKUP($CU69-DA$103+1,Männer!$AZ$9:$BD$102,5)),RundDx)))</f>
        <v/>
      </c>
      <c r="DB69" s="25" t="str">
        <f>IF($CU69&gt;=RAF,"",IF($CU69-DB$103&lt;BeginnAlter,"",ROUND(v^($CU69+FaktorAlter)*$L69*$D69*0.5*(VLOOKUP($CU69-DB$103,Männer!$G$9:$J$102,4)+VLOOKUP($CU69-DB$103+1,Männer!$G$9:$J$102,4))*0.5*(VLOOKUP($CU69-DB$103,Männer!$AZ$9:$BD$102,5)+VLOOKUP($CU69-DB$103+1,Männer!$AZ$9:$BD$102,5)),RundDx)))</f>
        <v/>
      </c>
      <c r="DC69" s="25" t="str">
        <f>IF($CU69&gt;=RAF,"",IF($CU69-DC$103&lt;BeginnAlter,"",ROUND(v^($CU69+FaktorAlter)*$L69*$D69*0.5*(VLOOKUP($CU69-DC$103,Männer!$G$9:$J$102,4)+VLOOKUP($CU69-DC$103+1,Männer!$G$9:$J$102,4))*0.5*(VLOOKUP($CU69-DC$103,Männer!$AZ$9:$BD$102,5)+VLOOKUP($CU69-DC$103+1,Männer!$AZ$9:$BD$102,5)),RundDx)))</f>
        <v/>
      </c>
      <c r="DD69" s="25" t="str">
        <f>IF($CU69&gt;=RAF,"",IF($CU69-DD$103&lt;BeginnAlter,"",ROUND(v^($CU69+FaktorAlter)*$L69*$D69*0.5*(VLOOKUP($CU69-DD$103,Männer!$G$9:$J$102,4)+VLOOKUP($CU69-DD$103+1,Männer!$G$9:$J$102,4))*0.5*(VLOOKUP($CU69-DD$103,Männer!$AZ$9:$BD$102,5)+VLOOKUP($CU69-DD$103+1,Männer!$AZ$9:$BD$102,5)),RundDx)))</f>
        <v/>
      </c>
      <c r="DE69" s="25" t="str">
        <f>IF($CU69&gt;=RAF,"",IF($CU69-DE$103&lt;BeginnAlter,"",ROUND(v^($CU69+FaktorAlter)*$L69*$D69*0.5*(VLOOKUP($CU69-DE$103,Männer!$G$9:$J$102,4)+VLOOKUP($CU69-DE$103+1,Männer!$G$9:$J$102,4))*0.5*(VLOOKUP($CU69-DE$103,Männer!$AZ$9:$BD$102,5)+VLOOKUP($CU69-DE$103+1,Männer!$AZ$9:$BD$102,5)),RundDx)))</f>
        <v/>
      </c>
      <c r="DF69" s="25" t="str">
        <f>IF($CU69&gt;=RAF,"",IF($CU69-DF$103&lt;BeginnAlter,"",ROUND(v^($CU69+FaktorAlter)*$L69*$D69*0.5*(VLOOKUP($CU69-DF$103,Männer!$G$9:$J$102,4)+VLOOKUP($CU69-DF$103+1,Männer!$G$9:$J$102,4))*0.5*(VLOOKUP($CU69-DF$103,Männer!$AZ$9:$BD$102,5)+VLOOKUP($CU69-DF$103+1,Männer!$AZ$9:$BD$102,5)),RundDx)))</f>
        <v/>
      </c>
      <c r="DG69" s="25" t="str">
        <f>IF($CU69&gt;=RAF,"",IF($CU69-DG$103&lt;BeginnAlter,"",ROUND(v^($CU69+FaktorAlter)*$L69*$D69*0.5*(VLOOKUP($CU69-DG$103,Männer!$G$9:$J$102,4)+VLOOKUP($CU69-DG$103+1,Männer!$G$9:$J$102,4))*0.5*(VLOOKUP($CU69-DG$103,Männer!$AZ$9:$BD$102,5)+VLOOKUP($CU69-DG$103+1,Männer!$AZ$9:$BD$102,5)),RundDx)))</f>
        <v/>
      </c>
      <c r="DH69" s="25" t="str">
        <f>IF($CU69&gt;=RAF,"",IF($CU69-DH$103&lt;BeginnAlter,"",ROUND(v^($CU69+FaktorAlter)*$L69*$D69*0.5*(VLOOKUP($CU69-DH$103,Männer!$G$9:$J$102,4)+VLOOKUP($CU69-DH$103+1,Männer!$G$9:$J$102,4))*0.5*(VLOOKUP($CU69-DH$103,Männer!$AZ$9:$BD$102,5)+VLOOKUP($CU69-DH$103+1,Männer!$AZ$9:$BD$102,5)),RundDx)))</f>
        <v/>
      </c>
      <c r="DI69" s="25" t="str">
        <f>IF($CU69&gt;=RAF,"",IF($CU69-DI$103&lt;BeginnAlter,"",ROUND(v^($CU69+FaktorAlter)*$L69*$D69*0.5*(VLOOKUP($CU69-DI$103,Männer!$G$9:$J$102,4)+VLOOKUP($CU69-DI$103+1,Männer!$G$9:$J$102,4))*0.5*(VLOOKUP($CU69-DI$103,Männer!$AZ$9:$BD$102,5)+VLOOKUP($CU69-DI$103+1,Männer!$AZ$9:$BD$102,5)),RundDx)))</f>
        <v/>
      </c>
      <c r="DJ69" s="25" t="str">
        <f>IF($CU69&gt;=RAF,"",IF($CU69-DJ$103&lt;BeginnAlter,"",ROUND(v^($CU69+FaktorAlter)*$L69*$D69*0.5*(VLOOKUP($CU69-DJ$103,Männer!$G$9:$J$102,4)+VLOOKUP($CU69-DJ$103+1,Männer!$G$9:$J$102,4))*0.5*(VLOOKUP($CU69-DJ$103,Männer!$AZ$9:$BD$102,5)+VLOOKUP($CU69-DJ$103+1,Männer!$AZ$9:$BD$102,5)),RundDx)))</f>
        <v/>
      </c>
      <c r="DK69" s="25" t="str">
        <f>IF($CU69&gt;=RAF,"",IF($CU69-DK$103&lt;BeginnAlter,"",ROUND(v^($CU69+FaktorAlter)*$L69*$D69*0.5*(VLOOKUP($CU69-DK$103,Männer!$G$9:$J$102,4)+VLOOKUP($CU69-DK$103+1,Männer!$G$9:$J$102,4))*0.5*(VLOOKUP($CU69-DK$103,Männer!$AZ$9:$BD$102,5)+VLOOKUP($CU69-DK$103+1,Männer!$AZ$9:$BD$102,5)),RundDx)))</f>
        <v/>
      </c>
      <c r="DL69" s="25" t="str">
        <f>IF($CU69&gt;=RAF,"",IF($CU69-DL$103&lt;BeginnAlter,"",ROUND(v^($CU69+FaktorAlter)*$L69*$D69*0.5*(VLOOKUP($CU69-DL$103,Männer!$G$9:$J$102,4)+VLOOKUP($CU69-DL$103+1,Männer!$G$9:$J$102,4))*0.5*(VLOOKUP($CU69-DL$103,Männer!$AZ$9:$BD$102,5)+VLOOKUP($CU69-DL$103+1,Männer!$AZ$9:$BD$102,5)),RundDx)))</f>
        <v/>
      </c>
      <c r="DM69" s="25" t="str">
        <f>IF($CU69&gt;=RAF,"",IF($CU69-DM$103&lt;BeginnAlter,"",ROUND(v^($CU69+FaktorAlter)*$L69*$D69*0.5*(VLOOKUP($CU69-DM$103,Männer!$G$9:$J$102,4)+VLOOKUP($CU69-DM$103+1,Männer!$G$9:$J$102,4))*0.5*(VLOOKUP($CU69-DM$103,Männer!$AZ$9:$BD$102,5)+VLOOKUP($CU69-DM$103+1,Männer!$AZ$9:$BD$102,5)),RundDx)))</f>
        <v/>
      </c>
      <c r="DN69" s="25" t="str">
        <f>IF($CU69&gt;=RAF,"",IF($CU69-DN$103&lt;BeginnAlter,"",ROUND(v^($CU69+FaktorAlter)*$L69*$D69*0.5*(VLOOKUP($CU69-DN$103,Männer!$G$9:$J$102,4)+VLOOKUP($CU69-DN$103+1,Männer!$G$9:$J$102,4))*0.5*(VLOOKUP($CU69-DN$103,Männer!$AZ$9:$BD$102,5)+VLOOKUP($CU69-DN$103+1,Männer!$AZ$9:$BD$102,5)),RundDx)))</f>
        <v/>
      </c>
      <c r="DO69" s="25" t="str">
        <f>IF($CU69&gt;=RAF,"",IF($CU69-DO$103&lt;BeginnAlter,"",ROUND(v^($CU69+FaktorAlter)*$L69*$D69*0.5*(VLOOKUP($CU69-DO$103,Männer!$G$9:$J$102,4)+VLOOKUP($CU69-DO$103+1,Männer!$G$9:$J$102,4))*0.5*(VLOOKUP($CU69-DO$103,Männer!$AZ$9:$BD$102,5)+VLOOKUP($CU69-DO$103+1,Männer!$AZ$9:$BD$102,5)),RundDx)))</f>
        <v/>
      </c>
      <c r="DP69" s="25" t="str">
        <f>IF($CU69&gt;=RAF,"",IF($CU69-DP$103&lt;BeginnAlter,"",ROUND(v^($CU69+FaktorAlter)*$L69*$D69*0.5*(VLOOKUP($CU69-DP$103,Männer!$G$9:$J$102,4)+VLOOKUP($CU69-DP$103+1,Männer!$G$9:$J$102,4))*0.5*(VLOOKUP($CU69-DP$103,Männer!$AZ$9:$BD$102,5)+VLOOKUP($CU69-DP$103+1,Männer!$AZ$9:$BD$102,5)),RundDx)))</f>
        <v/>
      </c>
      <c r="DQ69" s="25" t="str">
        <f>IF($CU69&gt;=RAF,"",IF($CU69-DQ$103&lt;BeginnAlter,"",ROUND(v^($CU69+FaktorAlter)*$L69*$D69*0.5*(VLOOKUP($CU69-DQ$103,Männer!$G$9:$J$102,4)+VLOOKUP($CU69-DQ$103+1,Männer!$G$9:$J$102,4))*0.5*(VLOOKUP($CU69-DQ$103,Männer!$AZ$9:$BD$102,5)+VLOOKUP($CU69-DQ$103+1,Männer!$AZ$9:$BD$102,5)),RundDx)))</f>
        <v/>
      </c>
      <c r="DR69" s="25" t="str">
        <f>IF($CU69&gt;=RAF,"",IF($CU69-DR$103&lt;BeginnAlter,"",ROUND(v^($CU69+FaktorAlter)*$L69*$D69*0.5*(VLOOKUP($CU69-DR$103,Männer!$G$9:$J$102,4)+VLOOKUP($CU69-DR$103+1,Männer!$G$9:$J$102,4))*0.5*(VLOOKUP($CU69-DR$103,Männer!$AZ$9:$BD$102,5)+VLOOKUP($CU69-DR$103+1,Männer!$AZ$9:$BD$102,5)),RundDx)))</f>
        <v/>
      </c>
      <c r="DS69" s="25" t="str">
        <f>IF($CU69&gt;=RAF,"",IF($CU69-DS$103&lt;BeginnAlter,"",ROUND(v^($CU69+FaktorAlter)*$L69*$D69*0.5*(VLOOKUP($CU69-DS$103,Männer!$G$9:$J$102,4)+VLOOKUP($CU69-DS$103+1,Männer!$G$9:$J$102,4))*0.5*(VLOOKUP($CU69-DS$103,Männer!$AZ$9:$BD$102,5)+VLOOKUP($CU69-DS$103+1,Männer!$AZ$9:$BD$102,5)),RundDx)))</f>
        <v/>
      </c>
      <c r="DT69" s="25" t="str">
        <f>IF($CU69&gt;=RAF,"",IF($CU69-DT$103&lt;BeginnAlter,"",ROUND(v^($CU69+FaktorAlter)*$L69*$D69*0.5*(VLOOKUP($CU69-DT$103,Männer!$G$9:$J$102,4)+VLOOKUP($CU69-DT$103+1,Männer!$G$9:$J$102,4))*0.5*(VLOOKUP($CU69-DT$103,Männer!$AZ$9:$BD$102,5)+VLOOKUP($CU69-DT$103+1,Männer!$AZ$9:$BD$102,5)),RundDx)))</f>
        <v/>
      </c>
      <c r="DU69" s="25" t="str">
        <f>IF($CU69&gt;=RAF,"",IF($CU69-DU$103&lt;BeginnAlter,"",ROUND(v^($CU69+FaktorAlter)*$L69*$D69*0.5*(VLOOKUP($CU69-DU$103,Männer!$G$9:$J$102,4)+VLOOKUP($CU69-DU$103+1,Männer!$G$9:$J$102,4))*0.5*(VLOOKUP($CU69-DU$103,Männer!$AZ$9:$BD$102,5)+VLOOKUP($CU69-DU$103+1,Männer!$AZ$9:$BD$102,5)),RundDx)))</f>
        <v/>
      </c>
      <c r="DV69" s="25" t="str">
        <f>IF($CU69&gt;=RAF,"",IF($CU69-DV$103&lt;BeginnAlter,"",ROUND(v^($CU69+FaktorAlter)*$L69*$D69*0.5*(VLOOKUP($CU69-DV$103,Männer!$G$9:$J$102,4)+VLOOKUP($CU69-DV$103+1,Männer!$G$9:$J$102,4))*0.5*(VLOOKUP($CU69-DV$103,Männer!$AZ$9:$BD$102,5)+VLOOKUP($CU69-DV$103+1,Männer!$AZ$9:$BD$102,5)),RundDx)))</f>
        <v/>
      </c>
      <c r="DW69" s="25" t="str">
        <f>IF($CU69&gt;=RAF,"",IF($CU69-DW$103&lt;BeginnAlter,"",ROUND(v^($CU69+FaktorAlter)*$L69*$D69*0.5*(VLOOKUP($CU69-DW$103,Männer!$G$9:$J$102,4)+VLOOKUP($CU69-DW$103+1,Männer!$G$9:$J$102,4))*0.5*(VLOOKUP($CU69-DW$103,Männer!$AZ$9:$BD$102,5)+VLOOKUP($CU69-DW$103+1,Männer!$AZ$9:$BD$102,5)),RundDx)))</f>
        <v/>
      </c>
      <c r="DX69" s="25" t="str">
        <f>IF($CU69&gt;=RAF,"",IF($CU69-DX$103&lt;BeginnAlter,"",ROUND(v^($CU69+FaktorAlter)*$L69*$D69*0.5*(VLOOKUP($CU69-DX$103,Männer!$G$9:$J$102,4)+VLOOKUP($CU69-DX$103+1,Männer!$G$9:$J$102,4))*0.5*(VLOOKUP($CU69-DX$103,Männer!$AZ$9:$BD$102,5)+VLOOKUP($CU69-DX$103+1,Männer!$AZ$9:$BD$102,5)),RundDx)))</f>
        <v/>
      </c>
      <c r="DY69" s="25" t="str">
        <f>IF($CU69&gt;=RAF,"",IF($CU69-DY$103&lt;BeginnAlter,"",ROUND(v^($CU69+FaktorAlter)*$L69*$D69*0.5*(VLOOKUP($CU69-DY$103,Männer!$G$9:$J$102,4)+VLOOKUP($CU69-DY$103+1,Männer!$G$9:$J$102,4))*0.5*(VLOOKUP($CU69-DY$103,Männer!$AZ$9:$BD$102,5)+VLOOKUP($CU69-DY$103+1,Männer!$AZ$9:$BD$102,5)),RundDx)))</f>
        <v/>
      </c>
      <c r="DZ69" s="25" t="str">
        <f>IF($CU69&gt;=RAF,"",IF($CU69-DZ$103&lt;BeginnAlter,"",ROUND(v^($CU69+FaktorAlter)*$L69*$D69*0.5*(VLOOKUP($CU69-DZ$103,Männer!$G$9:$J$102,4)+VLOOKUP($CU69-DZ$103+1,Männer!$G$9:$J$102,4))*0.5*(VLOOKUP($CU69-DZ$103,Männer!$AZ$9:$BD$102,5)+VLOOKUP($CU69-DZ$103+1,Männer!$AZ$9:$BD$102,5)),RundDx)))</f>
        <v/>
      </c>
      <c r="EA69" s="43" t="str">
        <f>IF($CU69&gt;=RAF,"",IF($CU69-EA$103&lt;BeginnAlter,"",ROUND((SUM(CV$56:CV69)+SUM(FN$9:FN$56))/VLOOKUP($CU69,$AH$9:$AI$102,2)/VLOOKUP($CU69-EA$103,Männer!$G$9:$J$102,4),Rundäx)))</f>
        <v/>
      </c>
      <c r="EB69" s="43" t="str">
        <f>IF($CU69&gt;=RAF,"",IF($CU69-EB$103&lt;BeginnAlter,"",ROUND((SUM(CW$56:CW69)+SUM(FO$9:FO$56))/VLOOKUP($CU69,$AH$9:$AI$102,2)/VLOOKUP($CU69-EB$103,Männer!$G$9:$J$102,4),Rundäx)))</f>
        <v/>
      </c>
      <c r="EC69" s="43" t="str">
        <f>IF($CU69&gt;=RAF,"",IF($CU69-EC$103&lt;BeginnAlter,"",ROUND((SUM(CX$56:CX69)+SUM(FP$9:FP$56))/VLOOKUP($CU69,$AH$9:$AI$102,2)/VLOOKUP($CU69-EC$103,Männer!$G$9:$J$102,4),Rundäx)))</f>
        <v/>
      </c>
      <c r="ED69" s="43" t="str">
        <f>IF($CU69&gt;=RAF,"",IF($CU69-ED$103&lt;BeginnAlter,"",ROUND((SUM(CY$56:CY69)+SUM(FQ$9:FQ$56))/VLOOKUP($CU69,$AH$9:$AI$102,2)/VLOOKUP($CU69-ED$103,Männer!$G$9:$J$102,4),Rundäx)))</f>
        <v/>
      </c>
      <c r="EE69" s="43" t="str">
        <f>IF($CU69&gt;=RAF,"",IF($CU69-EE$103&lt;BeginnAlter,"",ROUND((SUM(CZ$56:CZ69)+SUM(FR$9:FR$56))/VLOOKUP($CU69,$AH$9:$AI$102,2)/VLOOKUP($CU69-EE$103,Männer!$G$9:$J$102,4),Rundäx)))</f>
        <v/>
      </c>
      <c r="EF69" s="43" t="str">
        <f>IF($CU69&gt;=RAF,"",IF($CU69-EF$103&lt;BeginnAlter,"",ROUND((SUM(DA$56:DA69)+SUM(FS$9:FS$56))/VLOOKUP($CU69,$AH$9:$AI$102,2)/VLOOKUP($CU69-EF$103,Männer!$G$9:$J$102,4),Rundäx)))</f>
        <v/>
      </c>
      <c r="EG69" s="43" t="str">
        <f>IF($CU69&gt;=RAF,"",IF($CU69-EG$103&lt;BeginnAlter,"",ROUND((SUM(DB$56:DB69)+SUM(FT$9:FT$56))/VLOOKUP($CU69,$AH$9:$AI$102,2)/VLOOKUP($CU69-EG$103,Männer!$G$9:$J$102,4),Rundäx)))</f>
        <v/>
      </c>
      <c r="EH69" s="43" t="str">
        <f>IF($CU69&gt;=RAF,"",IF($CU69-EH$103&lt;BeginnAlter,"",ROUND((SUM(DC$56:DC69)+SUM(FU$9:FU$56))/VLOOKUP($CU69,$AH$9:$AI$102,2)/VLOOKUP($CU69-EH$103,Männer!$G$9:$J$102,4),Rundäx)))</f>
        <v/>
      </c>
      <c r="EI69" s="89"/>
      <c r="EJ69" s="35">
        <f t="shared" si="61"/>
        <v>77</v>
      </c>
      <c r="EK69" s="43" t="str">
        <f>IF($CU69&gt;=RAF,"",IF($CU69-EK$103&lt;BeginnAlter,"",ROUND((SUM(DD$56:DD69)+SUM(FV$9:FV$56))/VLOOKUP($CU69,$AH$9:$AI$102,2)/VLOOKUP($CU69-EK$103,Männer!$G$9:$J$102,4),Rundäx)))</f>
        <v/>
      </c>
      <c r="EL69" s="43" t="str">
        <f>IF($CU69&gt;=RAF,"",IF($CU69-EL$103&lt;BeginnAlter,"",ROUND((SUM(DE$56:DE69)+SUM(FW$9:FW$56))/VLOOKUP($CU69,$AH$9:$AI$102,2)/VLOOKUP($CU69-EL$103,Männer!$G$9:$J$102,4),Rundäx)))</f>
        <v/>
      </c>
      <c r="EM69" s="43" t="str">
        <f>IF($CU69&gt;=RAF,"",IF($CU69-EM$103&lt;BeginnAlter,"",ROUND((SUM(DF$56:DF69)+SUM(FX$9:FX$56))/VLOOKUP($CU69,$AH$9:$AI$102,2)/VLOOKUP($CU69-EM$103,Männer!$G$9:$J$102,4),Rundäx)))</f>
        <v/>
      </c>
      <c r="EN69" s="43" t="str">
        <f>IF($CU69&gt;=RAF,"",IF($CU69-EN$103&lt;BeginnAlter,"",ROUND((SUM(DG$56:DG69)+SUM(FY$9:FY$56))/VLOOKUP($CU69,$AH$9:$AI$102,2)/VLOOKUP($CU69-EN$103,Männer!$G$9:$J$102,4),Rundäx)))</f>
        <v/>
      </c>
      <c r="EO69" s="43" t="str">
        <f>IF($CU69&gt;=RAF,"",IF($CU69-EO$103&lt;BeginnAlter,"",ROUND((SUM(DH$56:DH69)+SUM(FZ$9:FZ$56))/VLOOKUP($CU69,$AH$9:$AI$102,2)/VLOOKUP($CU69-EO$103,Männer!$G$9:$J$102,4),Rundäx)))</f>
        <v/>
      </c>
      <c r="EP69" s="43" t="str">
        <f>IF($CU69&gt;=RAF,"",IF($CU69-EP$103&lt;BeginnAlter,"",ROUND((SUM(DI$56:DI69)+SUM(GA$9:GA$56))/VLOOKUP($CU69,$AH$9:$AI$102,2)/VLOOKUP($CU69-EP$103,Männer!$G$9:$J$102,4),Rundäx)))</f>
        <v/>
      </c>
      <c r="EQ69" s="43" t="str">
        <f>IF($CU69&gt;=RAF,"",IF($CU69-EQ$103&lt;BeginnAlter,"",ROUND((SUM(DJ$56:DJ69)+SUM(GB$9:GB$56))/VLOOKUP($CU69,$AH$9:$AI$102,2)/VLOOKUP($CU69-EQ$103,Männer!$G$9:$J$102,4),Rundäx)))</f>
        <v/>
      </c>
      <c r="ER69" s="43" t="str">
        <f>IF($CU69&gt;=RAF,"",IF($CU69-ER$103&lt;BeginnAlter,"",ROUND((SUM(DK$56:DK69)+SUM(GC$9:GC$56))/VLOOKUP($CU69,$AH$9:$AI$102,2)/VLOOKUP($CU69-ER$103,Männer!$G$9:$J$102,4),Rundäx)))</f>
        <v/>
      </c>
      <c r="ES69" s="89"/>
      <c r="ET69" s="35">
        <f t="shared" si="62"/>
        <v>77</v>
      </c>
      <c r="EU69" s="43" t="str">
        <f>IF($CU69&gt;=RAF,"",IF($CU69-EU$103&lt;BeginnAlter,"",ROUND((SUM(DL$56:DL69)+SUM(GD$9:GD$56))/VLOOKUP($CU69,$AH$9:$AI$102,2)/VLOOKUP($CU69-EU$103,Männer!$G$9:$J$102,4),Rundäx)))</f>
        <v/>
      </c>
      <c r="EV69" s="43" t="str">
        <f>IF($CU69&gt;=RAF,"",IF($CU69-EV$103&lt;BeginnAlter,"",ROUND((SUM(DM$56:DM69)+SUM(GE$9:GE$56))/VLOOKUP($CU69,$AH$9:$AI$102,2)/VLOOKUP($CU69-EV$103,Männer!$G$9:$J$102,4),Rundäx)))</f>
        <v/>
      </c>
      <c r="EW69" s="43" t="str">
        <f>IF($CU69&gt;=RAF,"",IF($CU69-EW$103&lt;BeginnAlter,"",ROUND((SUM(DN$56:DN69)+SUM(GF$9:GF$56))/VLOOKUP($CU69,$AH$9:$AI$102,2)/VLOOKUP($CU69-EW$103,Männer!$G$9:$J$102,4),Rundäx)))</f>
        <v/>
      </c>
      <c r="EX69" s="43" t="str">
        <f>IF($CU69&gt;=RAF,"",IF($CU69-EX$103&lt;BeginnAlter,"",ROUND((SUM(DO$56:DO69)+SUM(GG$9:GG$56))/VLOOKUP($CU69,$AH$9:$AI$102,2)/VLOOKUP($CU69-EX$103,Männer!$G$9:$J$102,4),Rundäx)))</f>
        <v/>
      </c>
      <c r="EY69" s="43" t="str">
        <f>IF($CU69&gt;=RAF,"",IF($CU69-EY$103&lt;BeginnAlter,"",ROUND((SUM(DP$56:DP69)+SUM(GH$9:GH$56))/VLOOKUP($CU69,$AH$9:$AI$102,2)/VLOOKUP($CU69-EY$103,Männer!$G$9:$J$102,4),Rundäx)))</f>
        <v/>
      </c>
      <c r="EZ69" s="43" t="str">
        <f>IF($CU69&gt;=RAF,"",IF($CU69-EZ$103&lt;BeginnAlter,"",ROUND((SUM(DQ$56:DQ69)+SUM(GI$9:GI$56))/VLOOKUP($CU69,$AH$9:$AI$102,2)/VLOOKUP($CU69-EZ$103,Männer!$G$9:$J$102,4),Rundäx)))</f>
        <v/>
      </c>
      <c r="FA69" s="43" t="str">
        <f>IF($CU69&gt;=RAF,"",IF($CU69-FA$103&lt;BeginnAlter,"",ROUND((SUM(DR$56:DR69)+SUM(GJ$9:GJ$56))/VLOOKUP($CU69,$AH$9:$AI$102,2)/VLOOKUP($CU69-FA$103,Männer!$G$9:$J$102,4),Rundäx)))</f>
        <v/>
      </c>
      <c r="FB69" s="43" t="str">
        <f>IF($CU69&gt;=RAF,"",IF($CU69-FB$103&lt;BeginnAlter,"",ROUND((SUM(DS$56:DS69)+SUM(GK$9:GK$56))/VLOOKUP($CU69,$AH$9:$AI$102,2)/VLOOKUP($CU69-FB$103,Männer!$G$9:$J$102,4),Rundäx)))</f>
        <v/>
      </c>
      <c r="FC69" s="89"/>
      <c r="FD69" s="35">
        <f t="shared" si="63"/>
        <v>77</v>
      </c>
      <c r="FE69" s="43" t="str">
        <f>IF($CU69&gt;=RAF,"",IF($CU69-FE$103&lt;BeginnAlter,"",ROUND((SUM(DT$56:DT69)+SUM(GL$9:GL$56))/VLOOKUP($CU69,$AH$9:$AI$102,2)/VLOOKUP($CU69-FE$103,Männer!$G$9:$J$102,4),Rundäx)))</f>
        <v/>
      </c>
      <c r="FF69" s="43" t="str">
        <f>IF($CU69&gt;=RAF,"",IF($CU69-FF$103&lt;BeginnAlter,"",ROUND((SUM(DU$56:DU69)+SUM(GM$9:GM$56))/VLOOKUP($CU69,$AH$9:$AI$102,2)/VLOOKUP($CU69-FF$103,Männer!$G$9:$J$102,4),Rundäx)))</f>
        <v/>
      </c>
      <c r="FG69" s="43" t="str">
        <f>IF($CU69&gt;=RAF,"",IF($CU69-FG$103&lt;BeginnAlter,"",ROUND((SUM(DV$56:DV69)+SUM(GN$9:GN$56))/VLOOKUP($CU69,$AH$9:$AI$102,2)/VLOOKUP($CU69-FG$103,Männer!$G$9:$J$102,4),Rundäx)))</f>
        <v/>
      </c>
      <c r="FH69" s="43" t="str">
        <f>IF($CU69&gt;=RAF,"",IF($CU69-FH$103&lt;BeginnAlter,"",ROUND((SUM(DW$56:DW69)+SUM(GO$9:GO$56))/VLOOKUP($CU69,$AH$9:$AI$102,2)/VLOOKUP($CU69-FH$103,Männer!$G$9:$J$102,4),Rundäx)))</f>
        <v/>
      </c>
      <c r="FI69" s="43" t="str">
        <f>IF($CU69&gt;=RAF,"",IF($CU69-FI$103&lt;BeginnAlter,"",ROUND((SUM(DX$56:DX69)+SUM(GP$9:GP$56))/VLOOKUP($CU69,$AH$9:$AI$102,2)/VLOOKUP($CU69-FI$103,Männer!$G$9:$J$102,4),Rundäx)))</f>
        <v/>
      </c>
      <c r="FJ69" s="43" t="str">
        <f>IF($CU69&gt;=RAF,"",IF($CU69-FJ$103&lt;BeginnAlter,"",ROUND((SUM(DY$56:DY69)+SUM(GQ$9:GQ$56))/VLOOKUP($CU69,$AH$9:$AI$102,2)/VLOOKUP($CU69-FJ$103,Männer!$G$9:$J$102,4),Rundäx)))</f>
        <v/>
      </c>
      <c r="FK69" s="43" t="str">
        <f>IF($CU69&gt;=RAF,"",IF($CU69-FK$103&lt;BeginnAlter,"",ROUND((SUM(DZ$56:DZ69)+SUM(GR$9:GR$56))/VLOOKUP($CU69,$AH$9:$AI$102,2)/VLOOKUP($CU69-FK$103,Männer!$G$9:$J$102,4),Rundäx)))</f>
        <v/>
      </c>
      <c r="FL69" s="89"/>
      <c r="FM69" s="35">
        <f t="shared" si="64"/>
        <v>124</v>
      </c>
      <c r="FN69" s="25"/>
      <c r="FO69" s="25"/>
      <c r="FP69" s="25"/>
      <c r="FQ69" s="25"/>
      <c r="FR69" s="25"/>
      <c r="FS69" s="25"/>
      <c r="FT69" s="25"/>
      <c r="FU69" s="25"/>
      <c r="FV69" s="25"/>
      <c r="FW69" s="25"/>
      <c r="FX69" s="25"/>
      <c r="FY69" s="25"/>
      <c r="FZ69" s="25"/>
      <c r="GA69" s="25"/>
      <c r="GB69" s="25"/>
      <c r="GC69" s="25"/>
      <c r="GD69" s="25"/>
      <c r="GE69" s="25"/>
      <c r="GF69" s="25"/>
      <c r="GG69" s="25"/>
      <c r="GH69" s="25"/>
      <c r="GI69" s="25"/>
      <c r="GJ69" s="25"/>
      <c r="GK69" s="25"/>
      <c r="GL69" s="25"/>
      <c r="GM69" s="25"/>
      <c r="GN69" s="25"/>
      <c r="GO69" s="25"/>
      <c r="GP69" s="25"/>
      <c r="GQ69" s="25"/>
      <c r="GR69" s="25"/>
      <c r="GS69" s="24"/>
      <c r="GT69" s="24"/>
      <c r="GU69" s="24" t="str">
        <f>IF(FM69&gt;=RAF," ",#REF!/$AI69/Frauen!$J57)</f>
        <v xml:space="preserve"> </v>
      </c>
      <c r="GV69" s="24" t="str">
        <f>IF(FM69&gt;=RAF," ",#REF!/$AI69/Frauen!$J60)</f>
        <v xml:space="preserve"> </v>
      </c>
      <c r="GW69" s="24" t="str">
        <f>IF(FM69&gt;=RAF," ",#REF!/$AI69/Frauen!$J63)</f>
        <v xml:space="preserve"> </v>
      </c>
      <c r="GX69" s="24" t="str">
        <f>IF(FM69&gt;=RAF," ",#REF!/$AI69/Frauen!$J66)</f>
        <v xml:space="preserve"> </v>
      </c>
      <c r="GY69" s="24" t="str">
        <f>IF(FM69&gt;=RAF," ",#REF!/$AI69/Frauen!$J69)</f>
        <v xml:space="preserve"> </v>
      </c>
      <c r="GZ69" s="24" t="str">
        <f>IF(FM69&gt;=RAF," ",#REF!/$AI69/Frauen!$J72)</f>
        <v xml:space="preserve"> </v>
      </c>
      <c r="HA69" s="89"/>
      <c r="HB69" s="35">
        <f t="shared" si="65"/>
        <v>124</v>
      </c>
      <c r="HC69" s="24"/>
      <c r="HD69" s="24"/>
      <c r="HE69" s="24"/>
      <c r="HF69" s="24"/>
      <c r="HG69" s="24"/>
      <c r="HH69" s="24"/>
      <c r="HI69" s="24"/>
      <c r="HJ69" s="24"/>
      <c r="HK69" s="89"/>
      <c r="HL69" s="35">
        <f t="shared" si="66"/>
        <v>124</v>
      </c>
      <c r="HM69" s="24"/>
      <c r="HN69" s="24"/>
      <c r="HO69" s="24"/>
      <c r="HP69" s="24"/>
      <c r="HQ69" s="24"/>
      <c r="HR69" s="24"/>
      <c r="HS69" s="24"/>
      <c r="HT69" s="24"/>
      <c r="HU69" s="89"/>
      <c r="HV69" s="35">
        <f t="shared" si="67"/>
        <v>124</v>
      </c>
      <c r="HW69" s="24"/>
      <c r="HX69" s="24"/>
      <c r="HY69" s="24"/>
      <c r="HZ69" s="24"/>
      <c r="IA69" s="24"/>
      <c r="IB69" s="24"/>
      <c r="IC69" s="24"/>
      <c r="ID69" s="89"/>
      <c r="IE69" s="9">
        <f t="shared" si="80"/>
        <v>77</v>
      </c>
      <c r="IF69" s="11" t="str">
        <f t="shared" si="25"/>
        <v/>
      </c>
      <c r="IG69" s="11" t="str">
        <f>IF($IE69&lt;RAF,IF(S70&lt;=RAK,ROUND(SUM(IF69:INDEX(Daky,RAF-BeginnAlter))+INDEX(Day,RAF-BeginnAlter+1)*INDEX(äky,1),RundDx),0),"")</f>
        <v/>
      </c>
      <c r="IH69" s="11" t="str">
        <f>IF($IE69&lt;RAF,IF(S70&lt;=RAK,ROUND(SUM(IG69:INDEX(Naky,RAF-BeginnAlter))+INDEX(Day,RAF-BeginnAlter+1)*INDEX(äky,1),RundDx),0),"")</f>
        <v/>
      </c>
      <c r="II69" s="10" t="str">
        <f t="shared" si="26"/>
        <v/>
      </c>
      <c r="IJ69" s="11" t="str">
        <f t="shared" si="27"/>
        <v/>
      </c>
      <c r="IK69" s="11" t="str">
        <f>IF($IE69&lt;RAF,IF(S70&lt;=RAK,SUM(IJ69:INDEX(Diky,RAF-BeginnAlter))+INDEX(Diy,RAF-BeginnAlter+1)*INDEX(äky,1),0),"")</f>
        <v/>
      </c>
      <c r="IL69" s="10" t="str">
        <f t="shared" si="28"/>
        <v/>
      </c>
      <c r="IM69" s="89"/>
      <c r="IN69" s="9">
        <f t="shared" si="29"/>
        <v>124</v>
      </c>
      <c r="IO69" s="11"/>
      <c r="IP69" s="11"/>
      <c r="IQ69" s="10"/>
      <c r="IR69" s="86"/>
    </row>
    <row r="70" spans="1:252" ht="15.75" customHeight="1" x14ac:dyDescent="0.25">
      <c r="A70" s="9">
        <f t="shared" si="69"/>
        <v>78</v>
      </c>
      <c r="B70" s="93"/>
      <c r="C70" s="93"/>
      <c r="D70" s="93"/>
      <c r="E70" s="93">
        <v>2.7349039427544231E-2</v>
      </c>
      <c r="F70" s="89"/>
      <c r="G70" s="9">
        <f t="shared" si="70"/>
        <v>78</v>
      </c>
      <c r="H70" s="11" t="str">
        <f t="shared" si="30"/>
        <v/>
      </c>
      <c r="I70" s="25" t="str">
        <f t="shared" si="31"/>
        <v/>
      </c>
      <c r="J70" s="25">
        <f t="shared" si="32"/>
        <v>71802</v>
      </c>
      <c r="K70" s="30">
        <f>IF(J70&gt;0,ROUND(SUM(J70:J$102)/J70-0.5,Rundex),"")</f>
        <v>10.63</v>
      </c>
      <c r="L70" s="25">
        <f t="shared" si="6"/>
        <v>71802</v>
      </c>
      <c r="M70" s="30">
        <f>IF(L70&gt;0,ROUND(SUM(L70:L$102)/L70-0.5,Rundex),"")</f>
        <v>10.63</v>
      </c>
      <c r="N70" s="89"/>
      <c r="O70" s="9">
        <f t="shared" si="71"/>
        <v>78</v>
      </c>
      <c r="P70" s="94">
        <v>1.2763254619653872E-2</v>
      </c>
      <c r="Q70" s="95">
        <v>78.831021270566438</v>
      </c>
      <c r="R70" s="94"/>
      <c r="S70" s="95"/>
      <c r="T70" s="28">
        <v>2.7226206607426719E-2</v>
      </c>
      <c r="U70" s="11">
        <f t="shared" si="33"/>
        <v>76089</v>
      </c>
      <c r="V70" s="30">
        <f>IF(U70&gt;0,ROUND(SUM(U70:U$102)/U70-0.5,Rundex),"")</f>
        <v>10.98</v>
      </c>
      <c r="W70" s="89"/>
      <c r="X70" s="9">
        <f t="shared" si="72"/>
        <v>78</v>
      </c>
      <c r="Y70" s="11" t="str">
        <f t="shared" si="34"/>
        <v xml:space="preserve"> </v>
      </c>
      <c r="Z70" s="11" t="str">
        <f>IF($X70&lt;RAF,SUM(Y70:INDEX(Day,RAF-BeginnAlter))," ")</f>
        <v xml:space="preserve"> </v>
      </c>
      <c r="AA70" s="11" t="str">
        <f t="shared" si="0"/>
        <v xml:space="preserve"> </v>
      </c>
      <c r="AB70" s="11" t="str">
        <f>IF($X70&lt;RAF,SUM(AA70:INDEX(Cay,RAF-BeginnAlter))," ")</f>
        <v xml:space="preserve"> </v>
      </c>
      <c r="AC70" s="11" t="str">
        <f t="shared" si="1"/>
        <v xml:space="preserve"> </v>
      </c>
      <c r="AD70" s="11" t="str">
        <f>IF($X70&lt;RAF,SUM(AC70:INDEX(Caiy,RAF-BeginnAlter))," ")</f>
        <v xml:space="preserve"> </v>
      </c>
      <c r="AE70" s="10" t="str">
        <f t="shared" si="35"/>
        <v xml:space="preserve"> </v>
      </c>
      <c r="AF70" s="10" t="str">
        <f t="shared" si="36"/>
        <v xml:space="preserve"> </v>
      </c>
      <c r="AG70" s="89"/>
      <c r="AH70" s="9">
        <f t="shared" si="73"/>
        <v>78</v>
      </c>
      <c r="AI70" s="11" t="str">
        <f t="shared" si="37"/>
        <v xml:space="preserve"> </v>
      </c>
      <c r="AJ70" s="11" t="str">
        <f>IF($AH70&gt;RAF," ",IF($AH70&lt;RAF,SUM(AI70:INDEX(Diy,RAF-BeginnAlter))+INDEX(Ny,RAF-BeginnAlter+1),INDEX(Ny,RAF-BeginnAlter+1)))</f>
        <v xml:space="preserve"> </v>
      </c>
      <c r="AK70" s="11" t="str">
        <f>IF($AH70&lt;RAF,SUM(AI70:INDEX(Diy,RAF-BeginnAlter))," ")</f>
        <v xml:space="preserve"> </v>
      </c>
      <c r="AL70" s="10" t="str">
        <f t="shared" si="38"/>
        <v xml:space="preserve"> </v>
      </c>
      <c r="AM70" s="10" t="str">
        <f t="shared" si="39"/>
        <v xml:space="preserve"> </v>
      </c>
      <c r="AN70" s="10" t="str">
        <f t="shared" si="40"/>
        <v xml:space="preserve"> </v>
      </c>
      <c r="AO70" s="10" t="str">
        <f t="shared" si="41"/>
        <v xml:space="preserve"> </v>
      </c>
      <c r="AP70" s="89"/>
      <c r="AQ70" s="9">
        <f t="shared" si="74"/>
        <v>78</v>
      </c>
      <c r="AR70" s="11">
        <f t="shared" si="42"/>
        <v>12659</v>
      </c>
      <c r="AS70" s="11">
        <f>SUM(AR70:AR$96)</f>
        <v>122772</v>
      </c>
      <c r="AT70" s="25" t="str">
        <f>IF($AQ70&lt;RAF,SUM(AR70:INDEX(Dy,RAF-BeginnAlter))," ")</f>
        <v xml:space="preserve"> </v>
      </c>
      <c r="AU70" s="24">
        <f t="shared" si="43"/>
        <v>9.6980000000000004</v>
      </c>
      <c r="AV70" s="24">
        <f t="shared" si="44"/>
        <v>9.24</v>
      </c>
      <c r="AW70" s="24" t="str">
        <f t="shared" si="45"/>
        <v xml:space="preserve"> </v>
      </c>
      <c r="AX70" s="24" t="str">
        <f t="shared" si="46"/>
        <v xml:space="preserve"> </v>
      </c>
      <c r="AY70" s="89"/>
      <c r="AZ70" s="9">
        <f t="shared" si="75"/>
        <v>78</v>
      </c>
      <c r="BA70" s="11">
        <f t="shared" si="47"/>
        <v>13415</v>
      </c>
      <c r="BB70" s="11">
        <f>SUM(BA70:BA$96)</f>
        <v>133620</v>
      </c>
      <c r="BC70" s="10">
        <f t="shared" si="48"/>
        <v>9.9600000000000009</v>
      </c>
      <c r="BD70" s="10">
        <f t="shared" si="7"/>
        <v>9.5020000000000007</v>
      </c>
      <c r="BE70" s="89"/>
      <c r="BF70" s="9">
        <f t="shared" si="54"/>
        <v>61</v>
      </c>
      <c r="BG70" s="10" t="str">
        <f t="shared" si="8"/>
        <v/>
      </c>
      <c r="BH70" s="10" t="str">
        <f t="shared" si="9"/>
        <v/>
      </c>
      <c r="BI70" s="89"/>
      <c r="BJ70" s="9">
        <f t="shared" si="76"/>
        <v>78</v>
      </c>
      <c r="BK70" s="11" t="str">
        <f t="shared" si="10"/>
        <v xml:space="preserve"> </v>
      </c>
      <c r="BL70" s="11" t="str">
        <f>IF(BJ70&lt;RAF,SUM(BK70:INDEX(Daiy,RAF-BeginnAlter))," ")</f>
        <v xml:space="preserve"> </v>
      </c>
      <c r="BM70" s="11" t="str">
        <f>IF(BJ70&lt;RAF,SUM(BL70:INDEX(Naiy,RAF-BeginnAlter))," ")</f>
        <v xml:space="preserve"> </v>
      </c>
      <c r="BN70" s="10" t="str">
        <f t="shared" si="11"/>
        <v xml:space="preserve"> </v>
      </c>
      <c r="BO70" s="10" t="str">
        <f t="shared" si="12"/>
        <v xml:space="preserve"> </v>
      </c>
      <c r="BP70" s="89"/>
      <c r="BQ70" s="9">
        <f t="shared" si="77"/>
        <v>78</v>
      </c>
      <c r="BR70" s="11" t="str">
        <f t="shared" si="13"/>
        <v xml:space="preserve"> </v>
      </c>
      <c r="BS70" s="11" t="str">
        <f>IF(BQ70&lt;RAF,SUM(BR70:INDEX(Daiys,RAF-BeginnAlter))," ")</f>
        <v xml:space="preserve"> </v>
      </c>
      <c r="BT70" s="11" t="str">
        <f>IF(BQ70&lt;RAF,SUM(BS70:INDEX(Naiys,RAF-BeginnAlter))," ")</f>
        <v xml:space="preserve"> </v>
      </c>
      <c r="BU70" s="10" t="str">
        <f t="shared" si="14"/>
        <v xml:space="preserve"> </v>
      </c>
      <c r="BV70" s="10" t="str">
        <f t="shared" si="15"/>
        <v xml:space="preserve"> </v>
      </c>
      <c r="BW70" s="89"/>
      <c r="BX70" s="9">
        <f t="shared" si="78"/>
        <v>78</v>
      </c>
      <c r="BY70" s="10" t="str">
        <f t="shared" si="16"/>
        <v/>
      </c>
      <c r="BZ70" s="11" t="str">
        <f t="shared" si="17"/>
        <v/>
      </c>
      <c r="CA70" s="11" t="str">
        <f>IF(S71&lt;=RAK,IF($BX70&lt;RAF,SUM(BZ70:INDEX(Dazy,RAF-BeginnAlter)),""),"")</f>
        <v/>
      </c>
      <c r="CB70" s="10" t="str">
        <f t="shared" si="18"/>
        <v/>
      </c>
      <c r="CC70" s="11">
        <f t="shared" si="19"/>
        <v>0</v>
      </c>
      <c r="CD70" s="10">
        <f t="shared" si="20"/>
        <v>0</v>
      </c>
      <c r="CE70" s="10" t="str">
        <f t="shared" si="21"/>
        <v/>
      </c>
      <c r="CF70" s="89"/>
      <c r="CG70" s="9">
        <f t="shared" si="79"/>
        <v>78</v>
      </c>
      <c r="CH70" s="11" t="str">
        <f>IF(CG70&lt;RAF,ROUND(v^($CG70+FaktorAlter)*$H70*($B70*0.5*($P70+$P71)*(VLOOKUP(TRUNC(0.5*($Q70+$Q71),0),Männer!$AZ$9:$BD$95,5)+(0.5*($Q70+$Q71)-TRUNC(0.5*($Q70+$Q71),0))*(VLOOKUP(TRUNC(0.5*($Q70+$Q71)+1,0),Männer!$AZ$9:$BD$95,5)-VLOOKUP(TRUNC(0.5*($Q70+$Q71),0),Männer!$AZ$9:$BD$95,5)))+$C70*0.5*($CN70+$CN71)),RundDx),"")</f>
        <v/>
      </c>
      <c r="CI70" s="11" t="str">
        <f>IF(CG70&lt;RAF,ROUND(SUM(CH70:INDEX(Dawy,RAF-BeginnAlter))+INDEX(Day,RAF-BeginnAlter+1)*INDEX(äwy,1),RundDx),"")</f>
        <v/>
      </c>
      <c r="CJ70" s="11" t="str">
        <f>IF(CG70&lt;RAF,ROUND(SUM(CI70:INDEX(Nawy,RAF-BeginnAlter))+INDEX(Day,RAF-BeginnAlter+1)*INDEX(äwy,1),RundDx),"")</f>
        <v/>
      </c>
      <c r="CK70" s="10" t="str">
        <f t="shared" si="22"/>
        <v/>
      </c>
      <c r="CL70" s="11" t="str">
        <f>IF(CG70&lt;RAF,ROUND(v^($CG70+FaktorAlter)*$L70*$D70*0.5*($P70+$P71)*(VLOOKUP(TRUNC(0.5*($Q70+$Q71),0),Männer!$AZ$9:$BD$95,5)+(0.5*($Q70+$Q71)-TRUNC(0.5*($Q70+$Q71),0))*(VLOOKUP(TRUNC(0.5*($Q70+$Q71)+1,0),Männer!$AZ$9:$BD$95,5)-VLOOKUP(TRUNC(0.5*($Q70+$Q71),0),Männer!$AZ$9:$BD$95,5))),RundDx),"")</f>
        <v/>
      </c>
      <c r="CM70" s="11" t="str">
        <f>IF(CG70&lt;RAF,SUM(CL70:INDEX(Diwy,RAF-BeginnAlter))+INDEX(Diy,RAF-BeginnAlter+1)*INDEX(äwy,1),"")</f>
        <v/>
      </c>
      <c r="CN70" s="10" t="str">
        <f t="shared" si="23"/>
        <v/>
      </c>
      <c r="CO70" s="89"/>
      <c r="CP70" s="9">
        <f t="shared" si="59"/>
        <v>125</v>
      </c>
      <c r="CQ70" s="11"/>
      <c r="CR70" s="11"/>
      <c r="CS70" s="10"/>
      <c r="CT70" s="89"/>
      <c r="CU70" s="35">
        <f t="shared" si="60"/>
        <v>78</v>
      </c>
      <c r="CV70" s="25" t="str">
        <f>IF($CU70&gt;=RAF,"",IF($CU70-CV$103&lt;BeginnAlter,"",ROUND(v^($CU70+FaktorAlter)*$L70*$D70*0.5*(VLOOKUP($CU70-CV$103,Männer!$G$9:$J$102,4)+VLOOKUP($CU70-CV$103+1,Männer!$G$9:$J$102,4))*0.5*(VLOOKUP($CU70-CV$103,Männer!$AZ$9:$BD$102,5)+VLOOKUP($CU70-CV$103+1,Männer!$AZ$9:$BD$102,5)),RundDx)))</f>
        <v/>
      </c>
      <c r="CW70" s="25" t="str">
        <f>IF($CU70&gt;=RAF,"",IF($CU70-CW$103&lt;BeginnAlter,"",ROUND(v^($CU70+FaktorAlter)*$L70*$D70*0.5*(VLOOKUP($CU70-CW$103,Männer!$G$9:$J$102,4)+VLOOKUP($CU70-CW$103+1,Männer!$G$9:$J$102,4))*0.5*(VLOOKUP($CU70-CW$103,Männer!$AZ$9:$BD$102,5)+VLOOKUP($CU70-CW$103+1,Männer!$AZ$9:$BD$102,5)),RundDx)))</f>
        <v/>
      </c>
      <c r="CX70" s="25" t="str">
        <f>IF($CU70&gt;=RAF,"",IF($CU70-CX$103&lt;BeginnAlter,"",ROUND(v^($CU70+FaktorAlter)*$L70*$D70*0.5*(VLOOKUP($CU70-CX$103,Männer!$G$9:$J$102,4)+VLOOKUP($CU70-CX$103+1,Männer!$G$9:$J$102,4))*0.5*(VLOOKUP($CU70-CX$103,Männer!$AZ$9:$BD$102,5)+VLOOKUP($CU70-CX$103+1,Männer!$AZ$9:$BD$102,5)),RundDx)))</f>
        <v/>
      </c>
      <c r="CY70" s="25" t="str">
        <f>IF($CU70&gt;=RAF,"",IF($CU70-CY$103&lt;BeginnAlter,"",ROUND(v^($CU70+FaktorAlter)*$L70*$D70*0.5*(VLOOKUP($CU70-CY$103,Männer!$G$9:$J$102,4)+VLOOKUP($CU70-CY$103+1,Männer!$G$9:$J$102,4))*0.5*(VLOOKUP($CU70-CY$103,Männer!$AZ$9:$BD$102,5)+VLOOKUP($CU70-CY$103+1,Männer!$AZ$9:$BD$102,5)),RundDx)))</f>
        <v/>
      </c>
      <c r="CZ70" s="25" t="str">
        <f>IF($CU70&gt;=RAF,"",IF($CU70-CZ$103&lt;BeginnAlter,"",ROUND(v^($CU70+FaktorAlter)*$L70*$D70*0.5*(VLOOKUP($CU70-CZ$103,Männer!$G$9:$J$102,4)+VLOOKUP($CU70-CZ$103+1,Männer!$G$9:$J$102,4))*0.5*(VLOOKUP($CU70-CZ$103,Männer!$AZ$9:$BD$102,5)+VLOOKUP($CU70-CZ$103+1,Männer!$AZ$9:$BD$102,5)),RundDx)))</f>
        <v/>
      </c>
      <c r="DA70" s="25" t="str">
        <f>IF($CU70&gt;=RAF,"",IF($CU70-DA$103&lt;BeginnAlter,"",ROUND(v^($CU70+FaktorAlter)*$L70*$D70*0.5*(VLOOKUP($CU70-DA$103,Männer!$G$9:$J$102,4)+VLOOKUP($CU70-DA$103+1,Männer!$G$9:$J$102,4))*0.5*(VLOOKUP($CU70-DA$103,Männer!$AZ$9:$BD$102,5)+VLOOKUP($CU70-DA$103+1,Männer!$AZ$9:$BD$102,5)),RundDx)))</f>
        <v/>
      </c>
      <c r="DB70" s="25" t="str">
        <f>IF($CU70&gt;=RAF,"",IF($CU70-DB$103&lt;BeginnAlter,"",ROUND(v^($CU70+FaktorAlter)*$L70*$D70*0.5*(VLOOKUP($CU70-DB$103,Männer!$G$9:$J$102,4)+VLOOKUP($CU70-DB$103+1,Männer!$G$9:$J$102,4))*0.5*(VLOOKUP($CU70-DB$103,Männer!$AZ$9:$BD$102,5)+VLOOKUP($CU70-DB$103+1,Männer!$AZ$9:$BD$102,5)),RundDx)))</f>
        <v/>
      </c>
      <c r="DC70" s="25" t="str">
        <f>IF($CU70&gt;=RAF,"",IF($CU70-DC$103&lt;BeginnAlter,"",ROUND(v^($CU70+FaktorAlter)*$L70*$D70*0.5*(VLOOKUP($CU70-DC$103,Männer!$G$9:$J$102,4)+VLOOKUP($CU70-DC$103+1,Männer!$G$9:$J$102,4))*0.5*(VLOOKUP($CU70-DC$103,Männer!$AZ$9:$BD$102,5)+VLOOKUP($CU70-DC$103+1,Männer!$AZ$9:$BD$102,5)),RundDx)))</f>
        <v/>
      </c>
      <c r="DD70" s="25" t="str">
        <f>IF($CU70&gt;=RAF,"",IF($CU70-DD$103&lt;BeginnAlter,"",ROUND(v^($CU70+FaktorAlter)*$L70*$D70*0.5*(VLOOKUP($CU70-DD$103,Männer!$G$9:$J$102,4)+VLOOKUP($CU70-DD$103+1,Männer!$G$9:$J$102,4))*0.5*(VLOOKUP($CU70-DD$103,Männer!$AZ$9:$BD$102,5)+VLOOKUP($CU70-DD$103+1,Männer!$AZ$9:$BD$102,5)),RundDx)))</f>
        <v/>
      </c>
      <c r="DE70" s="25" t="str">
        <f>IF($CU70&gt;=RAF,"",IF($CU70-DE$103&lt;BeginnAlter,"",ROUND(v^($CU70+FaktorAlter)*$L70*$D70*0.5*(VLOOKUP($CU70-DE$103,Männer!$G$9:$J$102,4)+VLOOKUP($CU70-DE$103+1,Männer!$G$9:$J$102,4))*0.5*(VLOOKUP($CU70-DE$103,Männer!$AZ$9:$BD$102,5)+VLOOKUP($CU70-DE$103+1,Männer!$AZ$9:$BD$102,5)),RundDx)))</f>
        <v/>
      </c>
      <c r="DF70" s="25" t="str">
        <f>IF($CU70&gt;=RAF,"",IF($CU70-DF$103&lt;BeginnAlter,"",ROUND(v^($CU70+FaktorAlter)*$L70*$D70*0.5*(VLOOKUP($CU70-DF$103,Männer!$G$9:$J$102,4)+VLOOKUP($CU70-DF$103+1,Männer!$G$9:$J$102,4))*0.5*(VLOOKUP($CU70-DF$103,Männer!$AZ$9:$BD$102,5)+VLOOKUP($CU70-DF$103+1,Männer!$AZ$9:$BD$102,5)),RundDx)))</f>
        <v/>
      </c>
      <c r="DG70" s="25" t="str">
        <f>IF($CU70&gt;=RAF,"",IF($CU70-DG$103&lt;BeginnAlter,"",ROUND(v^($CU70+FaktorAlter)*$L70*$D70*0.5*(VLOOKUP($CU70-DG$103,Männer!$G$9:$J$102,4)+VLOOKUP($CU70-DG$103+1,Männer!$G$9:$J$102,4))*0.5*(VLOOKUP($CU70-DG$103,Männer!$AZ$9:$BD$102,5)+VLOOKUP($CU70-DG$103+1,Männer!$AZ$9:$BD$102,5)),RundDx)))</f>
        <v/>
      </c>
      <c r="DH70" s="25" t="str">
        <f>IF($CU70&gt;=RAF,"",IF($CU70-DH$103&lt;BeginnAlter,"",ROUND(v^($CU70+FaktorAlter)*$L70*$D70*0.5*(VLOOKUP($CU70-DH$103,Männer!$G$9:$J$102,4)+VLOOKUP($CU70-DH$103+1,Männer!$G$9:$J$102,4))*0.5*(VLOOKUP($CU70-DH$103,Männer!$AZ$9:$BD$102,5)+VLOOKUP($CU70-DH$103+1,Männer!$AZ$9:$BD$102,5)),RundDx)))</f>
        <v/>
      </c>
      <c r="DI70" s="25" t="str">
        <f>IF($CU70&gt;=RAF,"",IF($CU70-DI$103&lt;BeginnAlter,"",ROUND(v^($CU70+FaktorAlter)*$L70*$D70*0.5*(VLOOKUP($CU70-DI$103,Männer!$G$9:$J$102,4)+VLOOKUP($CU70-DI$103+1,Männer!$G$9:$J$102,4))*0.5*(VLOOKUP($CU70-DI$103,Männer!$AZ$9:$BD$102,5)+VLOOKUP($CU70-DI$103+1,Männer!$AZ$9:$BD$102,5)),RundDx)))</f>
        <v/>
      </c>
      <c r="DJ70" s="25" t="str">
        <f>IF($CU70&gt;=RAF,"",IF($CU70-DJ$103&lt;BeginnAlter,"",ROUND(v^($CU70+FaktorAlter)*$L70*$D70*0.5*(VLOOKUP($CU70-DJ$103,Männer!$G$9:$J$102,4)+VLOOKUP($CU70-DJ$103+1,Männer!$G$9:$J$102,4))*0.5*(VLOOKUP($CU70-DJ$103,Männer!$AZ$9:$BD$102,5)+VLOOKUP($CU70-DJ$103+1,Männer!$AZ$9:$BD$102,5)),RundDx)))</f>
        <v/>
      </c>
      <c r="DK70" s="25" t="str">
        <f>IF($CU70&gt;=RAF,"",IF($CU70-DK$103&lt;BeginnAlter,"",ROUND(v^($CU70+FaktorAlter)*$L70*$D70*0.5*(VLOOKUP($CU70-DK$103,Männer!$G$9:$J$102,4)+VLOOKUP($CU70-DK$103+1,Männer!$G$9:$J$102,4))*0.5*(VLOOKUP($CU70-DK$103,Männer!$AZ$9:$BD$102,5)+VLOOKUP($CU70-DK$103+1,Männer!$AZ$9:$BD$102,5)),RundDx)))</f>
        <v/>
      </c>
      <c r="DL70" s="25" t="str">
        <f>IF($CU70&gt;=RAF,"",IF($CU70-DL$103&lt;BeginnAlter,"",ROUND(v^($CU70+FaktorAlter)*$L70*$D70*0.5*(VLOOKUP($CU70-DL$103,Männer!$G$9:$J$102,4)+VLOOKUP($CU70-DL$103+1,Männer!$G$9:$J$102,4))*0.5*(VLOOKUP($CU70-DL$103,Männer!$AZ$9:$BD$102,5)+VLOOKUP($CU70-DL$103+1,Männer!$AZ$9:$BD$102,5)),RundDx)))</f>
        <v/>
      </c>
      <c r="DM70" s="25" t="str">
        <f>IF($CU70&gt;=RAF,"",IF($CU70-DM$103&lt;BeginnAlter,"",ROUND(v^($CU70+FaktorAlter)*$L70*$D70*0.5*(VLOOKUP($CU70-DM$103,Männer!$G$9:$J$102,4)+VLOOKUP($CU70-DM$103+1,Männer!$G$9:$J$102,4))*0.5*(VLOOKUP($CU70-DM$103,Männer!$AZ$9:$BD$102,5)+VLOOKUP($CU70-DM$103+1,Männer!$AZ$9:$BD$102,5)),RundDx)))</f>
        <v/>
      </c>
      <c r="DN70" s="25" t="str">
        <f>IF($CU70&gt;=RAF,"",IF($CU70-DN$103&lt;BeginnAlter,"",ROUND(v^($CU70+FaktorAlter)*$L70*$D70*0.5*(VLOOKUP($CU70-DN$103,Männer!$G$9:$J$102,4)+VLOOKUP($CU70-DN$103+1,Männer!$G$9:$J$102,4))*0.5*(VLOOKUP($CU70-DN$103,Männer!$AZ$9:$BD$102,5)+VLOOKUP($CU70-DN$103+1,Männer!$AZ$9:$BD$102,5)),RundDx)))</f>
        <v/>
      </c>
      <c r="DO70" s="25" t="str">
        <f>IF($CU70&gt;=RAF,"",IF($CU70-DO$103&lt;BeginnAlter,"",ROUND(v^($CU70+FaktorAlter)*$L70*$D70*0.5*(VLOOKUP($CU70-DO$103,Männer!$G$9:$J$102,4)+VLOOKUP($CU70-DO$103+1,Männer!$G$9:$J$102,4))*0.5*(VLOOKUP($CU70-DO$103,Männer!$AZ$9:$BD$102,5)+VLOOKUP($CU70-DO$103+1,Männer!$AZ$9:$BD$102,5)),RundDx)))</f>
        <v/>
      </c>
      <c r="DP70" s="25" t="str">
        <f>IF($CU70&gt;=RAF,"",IF($CU70-DP$103&lt;BeginnAlter,"",ROUND(v^($CU70+FaktorAlter)*$L70*$D70*0.5*(VLOOKUP($CU70-DP$103,Männer!$G$9:$J$102,4)+VLOOKUP($CU70-DP$103+1,Männer!$G$9:$J$102,4))*0.5*(VLOOKUP($CU70-DP$103,Männer!$AZ$9:$BD$102,5)+VLOOKUP($CU70-DP$103+1,Männer!$AZ$9:$BD$102,5)),RundDx)))</f>
        <v/>
      </c>
      <c r="DQ70" s="25" t="str">
        <f>IF($CU70&gt;=RAF,"",IF($CU70-DQ$103&lt;BeginnAlter,"",ROUND(v^($CU70+FaktorAlter)*$L70*$D70*0.5*(VLOOKUP($CU70-DQ$103,Männer!$G$9:$J$102,4)+VLOOKUP($CU70-DQ$103+1,Männer!$G$9:$J$102,4))*0.5*(VLOOKUP($CU70-DQ$103,Männer!$AZ$9:$BD$102,5)+VLOOKUP($CU70-DQ$103+1,Männer!$AZ$9:$BD$102,5)),RundDx)))</f>
        <v/>
      </c>
      <c r="DR70" s="25" t="str">
        <f>IF($CU70&gt;=RAF,"",IF($CU70-DR$103&lt;BeginnAlter,"",ROUND(v^($CU70+FaktorAlter)*$L70*$D70*0.5*(VLOOKUP($CU70-DR$103,Männer!$G$9:$J$102,4)+VLOOKUP($CU70-DR$103+1,Männer!$G$9:$J$102,4))*0.5*(VLOOKUP($CU70-DR$103,Männer!$AZ$9:$BD$102,5)+VLOOKUP($CU70-DR$103+1,Männer!$AZ$9:$BD$102,5)),RundDx)))</f>
        <v/>
      </c>
      <c r="DS70" s="25" t="str">
        <f>IF($CU70&gt;=RAF,"",IF($CU70-DS$103&lt;BeginnAlter,"",ROUND(v^($CU70+FaktorAlter)*$L70*$D70*0.5*(VLOOKUP($CU70-DS$103,Männer!$G$9:$J$102,4)+VLOOKUP($CU70-DS$103+1,Männer!$G$9:$J$102,4))*0.5*(VLOOKUP($CU70-DS$103,Männer!$AZ$9:$BD$102,5)+VLOOKUP($CU70-DS$103+1,Männer!$AZ$9:$BD$102,5)),RundDx)))</f>
        <v/>
      </c>
      <c r="DT70" s="25" t="str">
        <f>IF($CU70&gt;=RAF,"",IF($CU70-DT$103&lt;BeginnAlter,"",ROUND(v^($CU70+FaktorAlter)*$L70*$D70*0.5*(VLOOKUP($CU70-DT$103,Männer!$G$9:$J$102,4)+VLOOKUP($CU70-DT$103+1,Männer!$G$9:$J$102,4))*0.5*(VLOOKUP($CU70-DT$103,Männer!$AZ$9:$BD$102,5)+VLOOKUP($CU70-DT$103+1,Männer!$AZ$9:$BD$102,5)),RundDx)))</f>
        <v/>
      </c>
      <c r="DU70" s="25" t="str">
        <f>IF($CU70&gt;=RAF,"",IF($CU70-DU$103&lt;BeginnAlter,"",ROUND(v^($CU70+FaktorAlter)*$L70*$D70*0.5*(VLOOKUP($CU70-DU$103,Männer!$G$9:$J$102,4)+VLOOKUP($CU70-DU$103+1,Männer!$G$9:$J$102,4))*0.5*(VLOOKUP($CU70-DU$103,Männer!$AZ$9:$BD$102,5)+VLOOKUP($CU70-DU$103+1,Männer!$AZ$9:$BD$102,5)),RundDx)))</f>
        <v/>
      </c>
      <c r="DV70" s="25" t="str">
        <f>IF($CU70&gt;=RAF,"",IF($CU70-DV$103&lt;BeginnAlter,"",ROUND(v^($CU70+FaktorAlter)*$L70*$D70*0.5*(VLOOKUP($CU70-DV$103,Männer!$G$9:$J$102,4)+VLOOKUP($CU70-DV$103+1,Männer!$G$9:$J$102,4))*0.5*(VLOOKUP($CU70-DV$103,Männer!$AZ$9:$BD$102,5)+VLOOKUP($CU70-DV$103+1,Männer!$AZ$9:$BD$102,5)),RundDx)))</f>
        <v/>
      </c>
      <c r="DW70" s="25" t="str">
        <f>IF($CU70&gt;=RAF,"",IF($CU70-DW$103&lt;BeginnAlter,"",ROUND(v^($CU70+FaktorAlter)*$L70*$D70*0.5*(VLOOKUP($CU70-DW$103,Männer!$G$9:$J$102,4)+VLOOKUP($CU70-DW$103+1,Männer!$G$9:$J$102,4))*0.5*(VLOOKUP($CU70-DW$103,Männer!$AZ$9:$BD$102,5)+VLOOKUP($CU70-DW$103+1,Männer!$AZ$9:$BD$102,5)),RundDx)))</f>
        <v/>
      </c>
      <c r="DX70" s="25" t="str">
        <f>IF($CU70&gt;=RAF,"",IF($CU70-DX$103&lt;BeginnAlter,"",ROUND(v^($CU70+FaktorAlter)*$L70*$D70*0.5*(VLOOKUP($CU70-DX$103,Männer!$G$9:$J$102,4)+VLOOKUP($CU70-DX$103+1,Männer!$G$9:$J$102,4))*0.5*(VLOOKUP($CU70-DX$103,Männer!$AZ$9:$BD$102,5)+VLOOKUP($CU70-DX$103+1,Männer!$AZ$9:$BD$102,5)),RundDx)))</f>
        <v/>
      </c>
      <c r="DY70" s="25" t="str">
        <f>IF($CU70&gt;=RAF,"",IF($CU70-DY$103&lt;BeginnAlter,"",ROUND(v^($CU70+FaktorAlter)*$L70*$D70*0.5*(VLOOKUP($CU70-DY$103,Männer!$G$9:$J$102,4)+VLOOKUP($CU70-DY$103+1,Männer!$G$9:$J$102,4))*0.5*(VLOOKUP($CU70-DY$103,Männer!$AZ$9:$BD$102,5)+VLOOKUP($CU70-DY$103+1,Männer!$AZ$9:$BD$102,5)),RundDx)))</f>
        <v/>
      </c>
      <c r="DZ70" s="25" t="str">
        <f>IF($CU70&gt;=RAF,"",IF($CU70-DZ$103&lt;BeginnAlter,"",ROUND(v^($CU70+FaktorAlter)*$L70*$D70*0.5*(VLOOKUP($CU70-DZ$103,Männer!$G$9:$J$102,4)+VLOOKUP($CU70-DZ$103+1,Männer!$G$9:$J$102,4))*0.5*(VLOOKUP($CU70-DZ$103,Männer!$AZ$9:$BD$102,5)+VLOOKUP($CU70-DZ$103+1,Männer!$AZ$9:$BD$102,5)),RundDx)))</f>
        <v/>
      </c>
      <c r="EA70" s="43" t="str">
        <f>IF($CU70&gt;=RAF,"",IF($CU70-EA$103&lt;BeginnAlter,"",ROUND((SUM(CV$56:CV70)+SUM(FN$9:FN$56))/VLOOKUP($CU70,$AH$9:$AI$102,2)/VLOOKUP($CU70-EA$103,Männer!$G$9:$J$102,4),Rundäx)))</f>
        <v/>
      </c>
      <c r="EB70" s="43" t="str">
        <f>IF($CU70&gt;=RAF,"",IF($CU70-EB$103&lt;BeginnAlter,"",ROUND((SUM(CW$56:CW70)+SUM(FO$9:FO$56))/VLOOKUP($CU70,$AH$9:$AI$102,2)/VLOOKUP($CU70-EB$103,Männer!$G$9:$J$102,4),Rundäx)))</f>
        <v/>
      </c>
      <c r="EC70" s="43" t="str">
        <f>IF($CU70&gt;=RAF,"",IF($CU70-EC$103&lt;BeginnAlter,"",ROUND((SUM(CX$56:CX70)+SUM(FP$9:FP$56))/VLOOKUP($CU70,$AH$9:$AI$102,2)/VLOOKUP($CU70-EC$103,Männer!$G$9:$J$102,4),Rundäx)))</f>
        <v/>
      </c>
      <c r="ED70" s="43" t="str">
        <f>IF($CU70&gt;=RAF,"",IF($CU70-ED$103&lt;BeginnAlter,"",ROUND((SUM(CY$56:CY70)+SUM(FQ$9:FQ$56))/VLOOKUP($CU70,$AH$9:$AI$102,2)/VLOOKUP($CU70-ED$103,Männer!$G$9:$J$102,4),Rundäx)))</f>
        <v/>
      </c>
      <c r="EE70" s="43" t="str">
        <f>IF($CU70&gt;=RAF,"",IF($CU70-EE$103&lt;BeginnAlter,"",ROUND((SUM(CZ$56:CZ70)+SUM(FR$9:FR$56))/VLOOKUP($CU70,$AH$9:$AI$102,2)/VLOOKUP($CU70-EE$103,Männer!$G$9:$J$102,4),Rundäx)))</f>
        <v/>
      </c>
      <c r="EF70" s="43" t="str">
        <f>IF($CU70&gt;=RAF,"",IF($CU70-EF$103&lt;BeginnAlter,"",ROUND((SUM(DA$56:DA70)+SUM(FS$9:FS$56))/VLOOKUP($CU70,$AH$9:$AI$102,2)/VLOOKUP($CU70-EF$103,Männer!$G$9:$J$102,4),Rundäx)))</f>
        <v/>
      </c>
      <c r="EG70" s="43" t="str">
        <f>IF($CU70&gt;=RAF,"",IF($CU70-EG$103&lt;BeginnAlter,"",ROUND((SUM(DB$56:DB70)+SUM(FT$9:FT$56))/VLOOKUP($CU70,$AH$9:$AI$102,2)/VLOOKUP($CU70-EG$103,Männer!$G$9:$J$102,4),Rundäx)))</f>
        <v/>
      </c>
      <c r="EH70" s="43" t="str">
        <f>IF($CU70&gt;=RAF,"",IF($CU70-EH$103&lt;BeginnAlter,"",ROUND((SUM(DC$56:DC70)+SUM(FU$9:FU$56))/VLOOKUP($CU70,$AH$9:$AI$102,2)/VLOOKUP($CU70-EH$103,Männer!$G$9:$J$102,4),Rundäx)))</f>
        <v/>
      </c>
      <c r="EI70" s="89"/>
      <c r="EJ70" s="35">
        <f t="shared" si="61"/>
        <v>78</v>
      </c>
      <c r="EK70" s="43" t="str">
        <f>IF($CU70&gt;=RAF,"",IF($CU70-EK$103&lt;BeginnAlter,"",ROUND((SUM(DD$56:DD70)+SUM(FV$9:FV$56))/VLOOKUP($CU70,$AH$9:$AI$102,2)/VLOOKUP($CU70-EK$103,Männer!$G$9:$J$102,4),Rundäx)))</f>
        <v/>
      </c>
      <c r="EL70" s="43" t="str">
        <f>IF($CU70&gt;=RAF,"",IF($CU70-EL$103&lt;BeginnAlter,"",ROUND((SUM(DE$56:DE70)+SUM(FW$9:FW$56))/VLOOKUP($CU70,$AH$9:$AI$102,2)/VLOOKUP($CU70-EL$103,Männer!$G$9:$J$102,4),Rundäx)))</f>
        <v/>
      </c>
      <c r="EM70" s="43" t="str">
        <f>IF($CU70&gt;=RAF,"",IF($CU70-EM$103&lt;BeginnAlter,"",ROUND((SUM(DF$56:DF70)+SUM(FX$9:FX$56))/VLOOKUP($CU70,$AH$9:$AI$102,2)/VLOOKUP($CU70-EM$103,Männer!$G$9:$J$102,4),Rundäx)))</f>
        <v/>
      </c>
      <c r="EN70" s="43" t="str">
        <f>IF($CU70&gt;=RAF,"",IF($CU70-EN$103&lt;BeginnAlter,"",ROUND((SUM(DG$56:DG70)+SUM(FY$9:FY$56))/VLOOKUP($CU70,$AH$9:$AI$102,2)/VLOOKUP($CU70-EN$103,Männer!$G$9:$J$102,4),Rundäx)))</f>
        <v/>
      </c>
      <c r="EO70" s="43" t="str">
        <f>IF($CU70&gt;=RAF,"",IF($CU70-EO$103&lt;BeginnAlter,"",ROUND((SUM(DH$56:DH70)+SUM(FZ$9:FZ$56))/VLOOKUP($CU70,$AH$9:$AI$102,2)/VLOOKUP($CU70-EO$103,Männer!$G$9:$J$102,4),Rundäx)))</f>
        <v/>
      </c>
      <c r="EP70" s="43" t="str">
        <f>IF($CU70&gt;=RAF,"",IF($CU70-EP$103&lt;BeginnAlter,"",ROUND((SUM(DI$56:DI70)+SUM(GA$9:GA$56))/VLOOKUP($CU70,$AH$9:$AI$102,2)/VLOOKUP($CU70-EP$103,Männer!$G$9:$J$102,4),Rundäx)))</f>
        <v/>
      </c>
      <c r="EQ70" s="43" t="str">
        <f>IF($CU70&gt;=RAF,"",IF($CU70-EQ$103&lt;BeginnAlter,"",ROUND((SUM(DJ$56:DJ70)+SUM(GB$9:GB$56))/VLOOKUP($CU70,$AH$9:$AI$102,2)/VLOOKUP($CU70-EQ$103,Männer!$G$9:$J$102,4),Rundäx)))</f>
        <v/>
      </c>
      <c r="ER70" s="43" t="str">
        <f>IF($CU70&gt;=RAF,"",IF($CU70-ER$103&lt;BeginnAlter,"",ROUND((SUM(DK$56:DK70)+SUM(GC$9:GC$56))/VLOOKUP($CU70,$AH$9:$AI$102,2)/VLOOKUP($CU70-ER$103,Männer!$G$9:$J$102,4),Rundäx)))</f>
        <v/>
      </c>
      <c r="ES70" s="89"/>
      <c r="ET70" s="35">
        <f t="shared" si="62"/>
        <v>78</v>
      </c>
      <c r="EU70" s="43" t="str">
        <f>IF($CU70&gt;=RAF,"",IF($CU70-EU$103&lt;BeginnAlter,"",ROUND((SUM(DL$56:DL70)+SUM(GD$9:GD$56))/VLOOKUP($CU70,$AH$9:$AI$102,2)/VLOOKUP($CU70-EU$103,Männer!$G$9:$J$102,4),Rundäx)))</f>
        <v/>
      </c>
      <c r="EV70" s="43" t="str">
        <f>IF($CU70&gt;=RAF,"",IF($CU70-EV$103&lt;BeginnAlter,"",ROUND((SUM(DM$56:DM70)+SUM(GE$9:GE$56))/VLOOKUP($CU70,$AH$9:$AI$102,2)/VLOOKUP($CU70-EV$103,Männer!$G$9:$J$102,4),Rundäx)))</f>
        <v/>
      </c>
      <c r="EW70" s="43" t="str">
        <f>IF($CU70&gt;=RAF,"",IF($CU70-EW$103&lt;BeginnAlter,"",ROUND((SUM(DN$56:DN70)+SUM(GF$9:GF$56))/VLOOKUP($CU70,$AH$9:$AI$102,2)/VLOOKUP($CU70-EW$103,Männer!$G$9:$J$102,4),Rundäx)))</f>
        <v/>
      </c>
      <c r="EX70" s="43" t="str">
        <f>IF($CU70&gt;=RAF,"",IF($CU70-EX$103&lt;BeginnAlter,"",ROUND((SUM(DO$56:DO70)+SUM(GG$9:GG$56))/VLOOKUP($CU70,$AH$9:$AI$102,2)/VLOOKUP($CU70-EX$103,Männer!$G$9:$J$102,4),Rundäx)))</f>
        <v/>
      </c>
      <c r="EY70" s="43" t="str">
        <f>IF($CU70&gt;=RAF,"",IF($CU70-EY$103&lt;BeginnAlter,"",ROUND((SUM(DP$56:DP70)+SUM(GH$9:GH$56))/VLOOKUP($CU70,$AH$9:$AI$102,2)/VLOOKUP($CU70-EY$103,Männer!$G$9:$J$102,4),Rundäx)))</f>
        <v/>
      </c>
      <c r="EZ70" s="43" t="str">
        <f>IF($CU70&gt;=RAF,"",IF($CU70-EZ$103&lt;BeginnAlter,"",ROUND((SUM(DQ$56:DQ70)+SUM(GI$9:GI$56))/VLOOKUP($CU70,$AH$9:$AI$102,2)/VLOOKUP($CU70-EZ$103,Männer!$G$9:$J$102,4),Rundäx)))</f>
        <v/>
      </c>
      <c r="FA70" s="43" t="str">
        <f>IF($CU70&gt;=RAF,"",IF($CU70-FA$103&lt;BeginnAlter,"",ROUND((SUM(DR$56:DR70)+SUM(GJ$9:GJ$56))/VLOOKUP($CU70,$AH$9:$AI$102,2)/VLOOKUP($CU70-FA$103,Männer!$G$9:$J$102,4),Rundäx)))</f>
        <v/>
      </c>
      <c r="FB70" s="43" t="str">
        <f>IF($CU70&gt;=RAF,"",IF($CU70-FB$103&lt;BeginnAlter,"",ROUND((SUM(DS$56:DS70)+SUM(GK$9:GK$56))/VLOOKUP($CU70,$AH$9:$AI$102,2)/VLOOKUP($CU70-FB$103,Männer!$G$9:$J$102,4),Rundäx)))</f>
        <v/>
      </c>
      <c r="FC70" s="89"/>
      <c r="FD70" s="35">
        <f t="shared" si="63"/>
        <v>78</v>
      </c>
      <c r="FE70" s="43" t="str">
        <f>IF($CU70&gt;=RAF,"",IF($CU70-FE$103&lt;BeginnAlter,"",ROUND((SUM(DT$56:DT70)+SUM(GL$9:GL$56))/VLOOKUP($CU70,$AH$9:$AI$102,2)/VLOOKUP($CU70-FE$103,Männer!$G$9:$J$102,4),Rundäx)))</f>
        <v/>
      </c>
      <c r="FF70" s="43" t="str">
        <f>IF($CU70&gt;=RAF,"",IF($CU70-FF$103&lt;BeginnAlter,"",ROUND((SUM(DU$56:DU70)+SUM(GM$9:GM$56))/VLOOKUP($CU70,$AH$9:$AI$102,2)/VLOOKUP($CU70-FF$103,Männer!$G$9:$J$102,4),Rundäx)))</f>
        <v/>
      </c>
      <c r="FG70" s="43" t="str">
        <f>IF($CU70&gt;=RAF,"",IF($CU70-FG$103&lt;BeginnAlter,"",ROUND((SUM(DV$56:DV70)+SUM(GN$9:GN$56))/VLOOKUP($CU70,$AH$9:$AI$102,2)/VLOOKUP($CU70-FG$103,Männer!$G$9:$J$102,4),Rundäx)))</f>
        <v/>
      </c>
      <c r="FH70" s="43" t="str">
        <f>IF($CU70&gt;=RAF,"",IF($CU70-FH$103&lt;BeginnAlter,"",ROUND((SUM(DW$56:DW70)+SUM(GO$9:GO$56))/VLOOKUP($CU70,$AH$9:$AI$102,2)/VLOOKUP($CU70-FH$103,Männer!$G$9:$J$102,4),Rundäx)))</f>
        <v/>
      </c>
      <c r="FI70" s="43" t="str">
        <f>IF($CU70&gt;=RAF,"",IF($CU70-FI$103&lt;BeginnAlter,"",ROUND((SUM(DX$56:DX70)+SUM(GP$9:GP$56))/VLOOKUP($CU70,$AH$9:$AI$102,2)/VLOOKUP($CU70-FI$103,Männer!$G$9:$J$102,4),Rundäx)))</f>
        <v/>
      </c>
      <c r="FJ70" s="43" t="str">
        <f>IF($CU70&gt;=RAF,"",IF($CU70-FJ$103&lt;BeginnAlter,"",ROUND((SUM(DY$56:DY70)+SUM(GQ$9:GQ$56))/VLOOKUP($CU70,$AH$9:$AI$102,2)/VLOOKUP($CU70-FJ$103,Männer!$G$9:$J$102,4),Rundäx)))</f>
        <v/>
      </c>
      <c r="FK70" s="43" t="str">
        <f>IF($CU70&gt;=RAF,"",IF($CU70-FK$103&lt;BeginnAlter,"",ROUND((SUM(DZ$56:DZ70)+SUM(GR$9:GR$56))/VLOOKUP($CU70,$AH$9:$AI$102,2)/VLOOKUP($CU70-FK$103,Männer!$G$9:$J$102,4),Rundäx)))</f>
        <v/>
      </c>
      <c r="FL70" s="89"/>
      <c r="FM70" s="35">
        <f t="shared" si="64"/>
        <v>125</v>
      </c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4"/>
      <c r="GT70" s="24"/>
      <c r="GU70" s="24" t="str">
        <f>IF(FM70&gt;=RAF," ",#REF!/$AI70/Frauen!$J58)</f>
        <v xml:space="preserve"> </v>
      </c>
      <c r="GV70" s="24" t="str">
        <f>IF(FM70&gt;=RAF," ",#REF!/$AI70/Frauen!$J61)</f>
        <v xml:space="preserve"> </v>
      </c>
      <c r="GW70" s="24" t="str">
        <f>IF(FM70&gt;=RAF," ",#REF!/$AI70/Frauen!$J64)</f>
        <v xml:space="preserve"> </v>
      </c>
      <c r="GX70" s="24" t="str">
        <f>IF(FM70&gt;=RAF," ",#REF!/$AI70/Frauen!$J67)</f>
        <v xml:space="preserve"> </v>
      </c>
      <c r="GY70" s="24" t="str">
        <f>IF(FM70&gt;=RAF," ",#REF!/$AI70/Frauen!$J70)</f>
        <v xml:space="preserve"> </v>
      </c>
      <c r="GZ70" s="24" t="str">
        <f>IF(FM70&gt;=RAF," ",#REF!/$AI70/Frauen!$J73)</f>
        <v xml:space="preserve"> </v>
      </c>
      <c r="HA70" s="89"/>
      <c r="HB70" s="35">
        <f t="shared" si="65"/>
        <v>125</v>
      </c>
      <c r="HC70" s="24"/>
      <c r="HD70" s="24"/>
      <c r="HE70" s="24"/>
      <c r="HF70" s="24"/>
      <c r="HG70" s="24"/>
      <c r="HH70" s="24"/>
      <c r="HI70" s="24"/>
      <c r="HJ70" s="24"/>
      <c r="HK70" s="89"/>
      <c r="HL70" s="35">
        <f t="shared" si="66"/>
        <v>125</v>
      </c>
      <c r="HM70" s="24"/>
      <c r="HN70" s="24"/>
      <c r="HO70" s="24"/>
      <c r="HP70" s="24"/>
      <c r="HQ70" s="24"/>
      <c r="HR70" s="24"/>
      <c r="HS70" s="24"/>
      <c r="HT70" s="24"/>
      <c r="HU70" s="89"/>
      <c r="HV70" s="35">
        <f t="shared" si="67"/>
        <v>125</v>
      </c>
      <c r="HW70" s="24"/>
      <c r="HX70" s="24"/>
      <c r="HY70" s="24"/>
      <c r="HZ70" s="24"/>
      <c r="IA70" s="24"/>
      <c r="IB70" s="24"/>
      <c r="IC70" s="24"/>
      <c r="ID70" s="89"/>
      <c r="IE70" s="9">
        <f t="shared" si="80"/>
        <v>78</v>
      </c>
      <c r="IF70" s="11" t="str">
        <f t="shared" si="25"/>
        <v/>
      </c>
      <c r="IG70" s="11" t="str">
        <f>IF($IE70&lt;RAF,IF(S71&lt;=RAK,ROUND(SUM(IF70:INDEX(Daky,RAF-BeginnAlter))+INDEX(Day,RAF-BeginnAlter+1)*INDEX(äky,1),RundDx),0),"")</f>
        <v/>
      </c>
      <c r="IH70" s="11" t="str">
        <f>IF($IE70&lt;RAF,IF(S71&lt;=RAK,ROUND(SUM(IG70:INDEX(Naky,RAF-BeginnAlter))+INDEX(Day,RAF-BeginnAlter+1)*INDEX(äky,1),RundDx),0),"")</f>
        <v/>
      </c>
      <c r="II70" s="10" t="str">
        <f t="shared" si="26"/>
        <v/>
      </c>
      <c r="IJ70" s="11" t="str">
        <f t="shared" si="27"/>
        <v/>
      </c>
      <c r="IK70" s="11" t="str">
        <f>IF($IE70&lt;RAF,IF(S71&lt;=RAK,SUM(IJ70:INDEX(Diky,RAF-BeginnAlter))+INDEX(Diy,RAF-BeginnAlter+1)*INDEX(äky,1),0),"")</f>
        <v/>
      </c>
      <c r="IL70" s="10" t="str">
        <f t="shared" si="28"/>
        <v/>
      </c>
      <c r="IM70" s="89"/>
      <c r="IN70" s="9">
        <f t="shared" si="29"/>
        <v>125</v>
      </c>
      <c r="IO70" s="11"/>
      <c r="IP70" s="11"/>
      <c r="IQ70" s="10"/>
      <c r="IR70" s="86"/>
    </row>
    <row r="71" spans="1:252" ht="15.75" customHeight="1" x14ac:dyDescent="0.25">
      <c r="A71" s="9">
        <f t="shared" si="69"/>
        <v>79</v>
      </c>
      <c r="B71" s="93"/>
      <c r="C71" s="93"/>
      <c r="D71" s="93"/>
      <c r="E71" s="93">
        <v>3.1753858962966716E-2</v>
      </c>
      <c r="F71" s="89"/>
      <c r="G71" s="9">
        <f t="shared" si="70"/>
        <v>79</v>
      </c>
      <c r="H71" s="11" t="str">
        <f t="shared" si="30"/>
        <v/>
      </c>
      <c r="I71" s="25" t="str">
        <f t="shared" si="31"/>
        <v/>
      </c>
      <c r="J71" s="25">
        <f t="shared" si="32"/>
        <v>69838</v>
      </c>
      <c r="K71" s="30">
        <f>IF(J71&gt;0,ROUND(SUM(J71:J$102)/J71-0.5,Rundex),"")</f>
        <v>9.91</v>
      </c>
      <c r="L71" s="25">
        <f t="shared" si="6"/>
        <v>69838</v>
      </c>
      <c r="M71" s="30">
        <f>IF(L71&gt;0,ROUND(SUM(L71:L$102)/L71-0.5,Rundex),"")</f>
        <v>9.91</v>
      </c>
      <c r="N71" s="89"/>
      <c r="O71" s="9">
        <f t="shared" si="71"/>
        <v>79</v>
      </c>
      <c r="P71" s="94">
        <v>9.6962869755667785E-3</v>
      </c>
      <c r="Q71" s="95">
        <v>79.768552351306312</v>
      </c>
      <c r="R71" s="94"/>
      <c r="S71" s="95"/>
      <c r="T71" s="28">
        <v>3.147943776974118E-2</v>
      </c>
      <c r="U71" s="11">
        <f t="shared" si="33"/>
        <v>74017</v>
      </c>
      <c r="V71" s="30">
        <f>IF(U71&gt;0,ROUND(SUM(U71:U$102)/U71-0.5,Rundex),"")</f>
        <v>10.27</v>
      </c>
      <c r="W71" s="89"/>
      <c r="X71" s="9">
        <f t="shared" si="72"/>
        <v>79</v>
      </c>
      <c r="Y71" s="11" t="str">
        <f t="shared" si="34"/>
        <v xml:space="preserve"> </v>
      </c>
      <c r="Z71" s="11" t="str">
        <f>IF($X71&lt;RAF,SUM(Y71:INDEX(Day,RAF-BeginnAlter))," ")</f>
        <v xml:space="preserve"> </v>
      </c>
      <c r="AA71" s="11" t="str">
        <f t="shared" si="0"/>
        <v xml:space="preserve"> </v>
      </c>
      <c r="AB71" s="11" t="str">
        <f>IF($X71&lt;RAF,SUM(AA71:INDEX(Cay,RAF-BeginnAlter))," ")</f>
        <v xml:space="preserve"> </v>
      </c>
      <c r="AC71" s="11" t="str">
        <f t="shared" si="1"/>
        <v xml:space="preserve"> </v>
      </c>
      <c r="AD71" s="11" t="str">
        <f>IF($X71&lt;RAF,SUM(AC71:INDEX(Caiy,RAF-BeginnAlter))," ")</f>
        <v xml:space="preserve"> </v>
      </c>
      <c r="AE71" s="10" t="str">
        <f t="shared" si="35"/>
        <v xml:space="preserve"> </v>
      </c>
      <c r="AF71" s="10" t="str">
        <f t="shared" si="36"/>
        <v xml:space="preserve"> </v>
      </c>
      <c r="AG71" s="89"/>
      <c r="AH71" s="9">
        <f t="shared" si="73"/>
        <v>79</v>
      </c>
      <c r="AI71" s="11" t="str">
        <f t="shared" si="37"/>
        <v xml:space="preserve"> </v>
      </c>
      <c r="AJ71" s="11" t="str">
        <f>IF($AH71&gt;RAF," ",IF($AH71&lt;RAF,SUM(AI71:INDEX(Diy,RAF-BeginnAlter))+INDEX(Ny,RAF-BeginnAlter+1),INDEX(Ny,RAF-BeginnAlter+1)))</f>
        <v xml:space="preserve"> </v>
      </c>
      <c r="AK71" s="11" t="str">
        <f>IF($AH71&lt;RAF,SUM(AI71:INDEX(Diy,RAF-BeginnAlter))," ")</f>
        <v xml:space="preserve"> </v>
      </c>
      <c r="AL71" s="10" t="str">
        <f t="shared" si="38"/>
        <v xml:space="preserve"> </v>
      </c>
      <c r="AM71" s="10" t="str">
        <f t="shared" si="39"/>
        <v xml:space="preserve"> </v>
      </c>
      <c r="AN71" s="10" t="str">
        <f t="shared" si="40"/>
        <v xml:space="preserve"> </v>
      </c>
      <c r="AO71" s="10" t="str">
        <f t="shared" si="41"/>
        <v xml:space="preserve"> </v>
      </c>
      <c r="AP71" s="89"/>
      <c r="AQ71" s="9">
        <f t="shared" si="74"/>
        <v>79</v>
      </c>
      <c r="AR71" s="11">
        <f t="shared" si="42"/>
        <v>12042</v>
      </c>
      <c r="AS71" s="11">
        <f>SUM(AR71:AR$96)</f>
        <v>110113</v>
      </c>
      <c r="AT71" s="25" t="str">
        <f>IF($AQ71&lt;RAF,SUM(AR71:INDEX(Dy,RAF-BeginnAlter))," ")</f>
        <v xml:space="preserve"> </v>
      </c>
      <c r="AU71" s="24">
        <f t="shared" si="43"/>
        <v>9.1440000000000001</v>
      </c>
      <c r="AV71" s="24">
        <f t="shared" si="44"/>
        <v>8.6859999999999999</v>
      </c>
      <c r="AW71" s="24" t="str">
        <f t="shared" si="45"/>
        <v xml:space="preserve"> </v>
      </c>
      <c r="AX71" s="24" t="str">
        <f t="shared" si="46"/>
        <v xml:space="preserve"> </v>
      </c>
      <c r="AY71" s="89"/>
      <c r="AZ71" s="9">
        <f t="shared" si="75"/>
        <v>79</v>
      </c>
      <c r="BA71" s="11">
        <f t="shared" si="47"/>
        <v>12762</v>
      </c>
      <c r="BB71" s="11">
        <f>SUM(BA71:BA$96)</f>
        <v>120205</v>
      </c>
      <c r="BC71" s="10">
        <f t="shared" si="48"/>
        <v>9.4190000000000005</v>
      </c>
      <c r="BD71" s="10">
        <f t="shared" si="7"/>
        <v>8.9610000000000003</v>
      </c>
      <c r="BE71" s="89"/>
      <c r="BF71" s="9">
        <f t="shared" si="54"/>
        <v>62</v>
      </c>
      <c r="BG71" s="10" t="str">
        <f t="shared" si="8"/>
        <v/>
      </c>
      <c r="BH71" s="10" t="str">
        <f t="shared" si="9"/>
        <v/>
      </c>
      <c r="BI71" s="89"/>
      <c r="BJ71" s="9">
        <f t="shared" si="76"/>
        <v>79</v>
      </c>
      <c r="BK71" s="11" t="str">
        <f t="shared" si="10"/>
        <v xml:space="preserve"> </v>
      </c>
      <c r="BL71" s="11" t="str">
        <f>IF(BJ71&lt;RAF,SUM(BK71:INDEX(Daiy,RAF-BeginnAlter))," ")</f>
        <v xml:space="preserve"> </v>
      </c>
      <c r="BM71" s="11" t="str">
        <f>IF(BJ71&lt;RAF,SUM(BL71:INDEX(Naiy,RAF-BeginnAlter))," ")</f>
        <v xml:space="preserve"> </v>
      </c>
      <c r="BN71" s="10" t="str">
        <f t="shared" si="11"/>
        <v xml:space="preserve"> </v>
      </c>
      <c r="BO71" s="10" t="str">
        <f t="shared" si="12"/>
        <v xml:space="preserve"> </v>
      </c>
      <c r="BP71" s="89"/>
      <c r="BQ71" s="9">
        <f t="shared" si="77"/>
        <v>79</v>
      </c>
      <c r="BR71" s="11" t="str">
        <f t="shared" si="13"/>
        <v xml:space="preserve"> </v>
      </c>
      <c r="BS71" s="11" t="str">
        <f>IF(BQ71&lt;RAF,SUM(BR71:INDEX(Daiys,RAF-BeginnAlter))," ")</f>
        <v xml:space="preserve"> </v>
      </c>
      <c r="BT71" s="11" t="str">
        <f>IF(BQ71&lt;RAF,SUM(BS71:INDEX(Naiys,RAF-BeginnAlter))," ")</f>
        <v xml:space="preserve"> </v>
      </c>
      <c r="BU71" s="10" t="str">
        <f t="shared" si="14"/>
        <v xml:space="preserve"> </v>
      </c>
      <c r="BV71" s="10" t="str">
        <f t="shared" si="15"/>
        <v xml:space="preserve"> </v>
      </c>
      <c r="BW71" s="89"/>
      <c r="BX71" s="9">
        <f t="shared" si="78"/>
        <v>79</v>
      </c>
      <c r="BY71" s="10" t="str">
        <f t="shared" si="16"/>
        <v/>
      </c>
      <c r="BZ71" s="11" t="str">
        <f t="shared" si="17"/>
        <v/>
      </c>
      <c r="CA71" s="11" t="str">
        <f>IF(S72&lt;=RAK,IF($BX71&lt;RAF,SUM(BZ71:INDEX(Dazy,RAF-BeginnAlter)),""),"")</f>
        <v/>
      </c>
      <c r="CB71" s="10" t="str">
        <f t="shared" si="18"/>
        <v/>
      </c>
      <c r="CC71" s="11">
        <f t="shared" si="19"/>
        <v>0</v>
      </c>
      <c r="CD71" s="10">
        <f t="shared" si="20"/>
        <v>0</v>
      </c>
      <c r="CE71" s="10" t="str">
        <f t="shared" si="21"/>
        <v/>
      </c>
      <c r="CF71" s="89"/>
      <c r="CG71" s="9">
        <f t="shared" si="79"/>
        <v>79</v>
      </c>
      <c r="CH71" s="11" t="str">
        <f>IF(CG71&lt;RAF,ROUND(v^($CG71+FaktorAlter)*$H71*($B71*0.5*($P71+$P72)*(VLOOKUP(TRUNC(0.5*($Q71+$Q72),0),Männer!$AZ$9:$BD$95,5)+(0.5*($Q71+$Q72)-TRUNC(0.5*($Q71+$Q72),0))*(VLOOKUP(TRUNC(0.5*($Q71+$Q72)+1,0),Männer!$AZ$9:$BD$95,5)-VLOOKUP(TRUNC(0.5*($Q71+$Q72),0),Männer!$AZ$9:$BD$95,5)))+$C71*0.5*($CN71+$CN72)),RundDx),"")</f>
        <v/>
      </c>
      <c r="CI71" s="11" t="str">
        <f>IF(CG71&lt;RAF,ROUND(SUM(CH71:INDEX(Dawy,RAF-BeginnAlter))+INDEX(Day,RAF-BeginnAlter+1)*INDEX(äwy,1),RundDx),"")</f>
        <v/>
      </c>
      <c r="CJ71" s="11" t="str">
        <f>IF(CG71&lt;RAF,ROUND(SUM(CI71:INDEX(Nawy,RAF-BeginnAlter))+INDEX(Day,RAF-BeginnAlter+1)*INDEX(äwy,1),RundDx),"")</f>
        <v/>
      </c>
      <c r="CK71" s="10" t="str">
        <f t="shared" si="22"/>
        <v/>
      </c>
      <c r="CL71" s="11" t="str">
        <f>IF(CG71&lt;RAF,ROUND(v^($CG71+FaktorAlter)*$L71*$D71*0.5*($P71+$P72)*(VLOOKUP(TRUNC(0.5*($Q71+$Q72),0),Männer!$AZ$9:$BD$95,5)+(0.5*($Q71+$Q72)-TRUNC(0.5*($Q71+$Q72),0))*(VLOOKUP(TRUNC(0.5*($Q71+$Q72)+1,0),Männer!$AZ$9:$BD$95,5)-VLOOKUP(TRUNC(0.5*($Q71+$Q72),0),Männer!$AZ$9:$BD$95,5))),RundDx),"")</f>
        <v/>
      </c>
      <c r="CM71" s="11" t="str">
        <f>IF(CG71&lt;RAF,SUM(CL71:INDEX(Diwy,RAF-BeginnAlter))+INDEX(Diy,RAF-BeginnAlter+1)*INDEX(äwy,1),"")</f>
        <v/>
      </c>
      <c r="CN71" s="10" t="str">
        <f t="shared" si="23"/>
        <v/>
      </c>
      <c r="CO71" s="89"/>
      <c r="CP71" s="9">
        <f t="shared" si="59"/>
        <v>126</v>
      </c>
      <c r="CQ71" s="11"/>
      <c r="CR71" s="11"/>
      <c r="CS71" s="10"/>
      <c r="CT71" s="89"/>
      <c r="CU71" s="35">
        <f t="shared" si="60"/>
        <v>79</v>
      </c>
      <c r="CV71" s="25" t="str">
        <f>IF($CU71&gt;=RAF,"",IF($CU71-CV$103&lt;BeginnAlter,"",ROUND(v^($CU71+FaktorAlter)*$L71*$D71*0.5*(VLOOKUP($CU71-CV$103,Männer!$G$9:$J$102,4)+VLOOKUP($CU71-CV$103+1,Männer!$G$9:$J$102,4))*0.5*(VLOOKUP($CU71-CV$103,Männer!$AZ$9:$BD$102,5)+VLOOKUP($CU71-CV$103+1,Männer!$AZ$9:$BD$102,5)),RundDx)))</f>
        <v/>
      </c>
      <c r="CW71" s="25" t="str">
        <f>IF($CU71&gt;=RAF,"",IF($CU71-CW$103&lt;BeginnAlter,"",ROUND(v^($CU71+FaktorAlter)*$L71*$D71*0.5*(VLOOKUP($CU71-CW$103,Männer!$G$9:$J$102,4)+VLOOKUP($CU71-CW$103+1,Männer!$G$9:$J$102,4))*0.5*(VLOOKUP($CU71-CW$103,Männer!$AZ$9:$BD$102,5)+VLOOKUP($CU71-CW$103+1,Männer!$AZ$9:$BD$102,5)),RundDx)))</f>
        <v/>
      </c>
      <c r="CX71" s="25" t="str">
        <f>IF($CU71&gt;=RAF,"",IF($CU71-CX$103&lt;BeginnAlter,"",ROUND(v^($CU71+FaktorAlter)*$L71*$D71*0.5*(VLOOKUP($CU71-CX$103,Männer!$G$9:$J$102,4)+VLOOKUP($CU71-CX$103+1,Männer!$G$9:$J$102,4))*0.5*(VLOOKUP($CU71-CX$103,Männer!$AZ$9:$BD$102,5)+VLOOKUP($CU71-CX$103+1,Männer!$AZ$9:$BD$102,5)),RundDx)))</f>
        <v/>
      </c>
      <c r="CY71" s="25" t="str">
        <f>IF($CU71&gt;=RAF,"",IF($CU71-CY$103&lt;BeginnAlter,"",ROUND(v^($CU71+FaktorAlter)*$L71*$D71*0.5*(VLOOKUP($CU71-CY$103,Männer!$G$9:$J$102,4)+VLOOKUP($CU71-CY$103+1,Männer!$G$9:$J$102,4))*0.5*(VLOOKUP($CU71-CY$103,Männer!$AZ$9:$BD$102,5)+VLOOKUP($CU71-CY$103+1,Männer!$AZ$9:$BD$102,5)),RundDx)))</f>
        <v/>
      </c>
      <c r="CZ71" s="25" t="str">
        <f>IF($CU71&gt;=RAF,"",IF($CU71-CZ$103&lt;BeginnAlter,"",ROUND(v^($CU71+FaktorAlter)*$L71*$D71*0.5*(VLOOKUP($CU71-CZ$103,Männer!$G$9:$J$102,4)+VLOOKUP($CU71-CZ$103+1,Männer!$G$9:$J$102,4))*0.5*(VLOOKUP($CU71-CZ$103,Männer!$AZ$9:$BD$102,5)+VLOOKUP($CU71-CZ$103+1,Männer!$AZ$9:$BD$102,5)),RundDx)))</f>
        <v/>
      </c>
      <c r="DA71" s="25" t="str">
        <f>IF($CU71&gt;=RAF,"",IF($CU71-DA$103&lt;BeginnAlter,"",ROUND(v^($CU71+FaktorAlter)*$L71*$D71*0.5*(VLOOKUP($CU71-DA$103,Männer!$G$9:$J$102,4)+VLOOKUP($CU71-DA$103+1,Männer!$G$9:$J$102,4))*0.5*(VLOOKUP($CU71-DA$103,Männer!$AZ$9:$BD$102,5)+VLOOKUP($CU71-DA$103+1,Männer!$AZ$9:$BD$102,5)),RundDx)))</f>
        <v/>
      </c>
      <c r="DB71" s="25" t="str">
        <f>IF($CU71&gt;=RAF,"",IF($CU71-DB$103&lt;BeginnAlter,"",ROUND(v^($CU71+FaktorAlter)*$L71*$D71*0.5*(VLOOKUP($CU71-DB$103,Männer!$G$9:$J$102,4)+VLOOKUP($CU71-DB$103+1,Männer!$G$9:$J$102,4))*0.5*(VLOOKUP($CU71-DB$103,Männer!$AZ$9:$BD$102,5)+VLOOKUP($CU71-DB$103+1,Männer!$AZ$9:$BD$102,5)),RundDx)))</f>
        <v/>
      </c>
      <c r="DC71" s="25" t="str">
        <f>IF($CU71&gt;=RAF,"",IF($CU71-DC$103&lt;BeginnAlter,"",ROUND(v^($CU71+FaktorAlter)*$L71*$D71*0.5*(VLOOKUP($CU71-DC$103,Männer!$G$9:$J$102,4)+VLOOKUP($CU71-DC$103+1,Männer!$G$9:$J$102,4))*0.5*(VLOOKUP($CU71-DC$103,Männer!$AZ$9:$BD$102,5)+VLOOKUP($CU71-DC$103+1,Männer!$AZ$9:$BD$102,5)),RundDx)))</f>
        <v/>
      </c>
      <c r="DD71" s="25" t="str">
        <f>IF($CU71&gt;=RAF,"",IF($CU71-DD$103&lt;BeginnAlter,"",ROUND(v^($CU71+FaktorAlter)*$L71*$D71*0.5*(VLOOKUP($CU71-DD$103,Männer!$G$9:$J$102,4)+VLOOKUP($CU71-DD$103+1,Männer!$G$9:$J$102,4))*0.5*(VLOOKUP($CU71-DD$103,Männer!$AZ$9:$BD$102,5)+VLOOKUP($CU71-DD$103+1,Männer!$AZ$9:$BD$102,5)),RundDx)))</f>
        <v/>
      </c>
      <c r="DE71" s="25" t="str">
        <f>IF($CU71&gt;=RAF,"",IF($CU71-DE$103&lt;BeginnAlter,"",ROUND(v^($CU71+FaktorAlter)*$L71*$D71*0.5*(VLOOKUP($CU71-DE$103,Männer!$G$9:$J$102,4)+VLOOKUP($CU71-DE$103+1,Männer!$G$9:$J$102,4))*0.5*(VLOOKUP($CU71-DE$103,Männer!$AZ$9:$BD$102,5)+VLOOKUP($CU71-DE$103+1,Männer!$AZ$9:$BD$102,5)),RundDx)))</f>
        <v/>
      </c>
      <c r="DF71" s="25" t="str">
        <f>IF($CU71&gt;=RAF,"",IF($CU71-DF$103&lt;BeginnAlter,"",ROUND(v^($CU71+FaktorAlter)*$L71*$D71*0.5*(VLOOKUP($CU71-DF$103,Männer!$G$9:$J$102,4)+VLOOKUP($CU71-DF$103+1,Männer!$G$9:$J$102,4))*0.5*(VLOOKUP($CU71-DF$103,Männer!$AZ$9:$BD$102,5)+VLOOKUP($CU71-DF$103+1,Männer!$AZ$9:$BD$102,5)),RundDx)))</f>
        <v/>
      </c>
      <c r="DG71" s="25" t="str">
        <f>IF($CU71&gt;=RAF,"",IF($CU71-DG$103&lt;BeginnAlter,"",ROUND(v^($CU71+FaktorAlter)*$L71*$D71*0.5*(VLOOKUP($CU71-DG$103,Männer!$G$9:$J$102,4)+VLOOKUP($CU71-DG$103+1,Männer!$G$9:$J$102,4))*0.5*(VLOOKUP($CU71-DG$103,Männer!$AZ$9:$BD$102,5)+VLOOKUP($CU71-DG$103+1,Männer!$AZ$9:$BD$102,5)),RundDx)))</f>
        <v/>
      </c>
      <c r="DH71" s="25" t="str">
        <f>IF($CU71&gt;=RAF,"",IF($CU71-DH$103&lt;BeginnAlter,"",ROUND(v^($CU71+FaktorAlter)*$L71*$D71*0.5*(VLOOKUP($CU71-DH$103,Männer!$G$9:$J$102,4)+VLOOKUP($CU71-DH$103+1,Männer!$G$9:$J$102,4))*0.5*(VLOOKUP($CU71-DH$103,Männer!$AZ$9:$BD$102,5)+VLOOKUP($CU71-DH$103+1,Männer!$AZ$9:$BD$102,5)),RundDx)))</f>
        <v/>
      </c>
      <c r="DI71" s="25" t="str">
        <f>IF($CU71&gt;=RAF,"",IF($CU71-DI$103&lt;BeginnAlter,"",ROUND(v^($CU71+FaktorAlter)*$L71*$D71*0.5*(VLOOKUP($CU71-DI$103,Männer!$G$9:$J$102,4)+VLOOKUP($CU71-DI$103+1,Männer!$G$9:$J$102,4))*0.5*(VLOOKUP($CU71-DI$103,Männer!$AZ$9:$BD$102,5)+VLOOKUP($CU71-DI$103+1,Männer!$AZ$9:$BD$102,5)),RundDx)))</f>
        <v/>
      </c>
      <c r="DJ71" s="25" t="str">
        <f>IF($CU71&gt;=RAF,"",IF($CU71-DJ$103&lt;BeginnAlter,"",ROUND(v^($CU71+FaktorAlter)*$L71*$D71*0.5*(VLOOKUP($CU71-DJ$103,Männer!$G$9:$J$102,4)+VLOOKUP($CU71-DJ$103+1,Männer!$G$9:$J$102,4))*0.5*(VLOOKUP($CU71-DJ$103,Männer!$AZ$9:$BD$102,5)+VLOOKUP($CU71-DJ$103+1,Männer!$AZ$9:$BD$102,5)),RundDx)))</f>
        <v/>
      </c>
      <c r="DK71" s="25" t="str">
        <f>IF($CU71&gt;=RAF,"",IF($CU71-DK$103&lt;BeginnAlter,"",ROUND(v^($CU71+FaktorAlter)*$L71*$D71*0.5*(VLOOKUP($CU71-DK$103,Männer!$G$9:$J$102,4)+VLOOKUP($CU71-DK$103+1,Männer!$G$9:$J$102,4))*0.5*(VLOOKUP($CU71-DK$103,Männer!$AZ$9:$BD$102,5)+VLOOKUP($CU71-DK$103+1,Männer!$AZ$9:$BD$102,5)),RundDx)))</f>
        <v/>
      </c>
      <c r="DL71" s="25" t="str">
        <f>IF($CU71&gt;=RAF,"",IF($CU71-DL$103&lt;BeginnAlter,"",ROUND(v^($CU71+FaktorAlter)*$L71*$D71*0.5*(VLOOKUP($CU71-DL$103,Männer!$G$9:$J$102,4)+VLOOKUP($CU71-DL$103+1,Männer!$G$9:$J$102,4))*0.5*(VLOOKUP($CU71-DL$103,Männer!$AZ$9:$BD$102,5)+VLOOKUP($CU71-DL$103+1,Männer!$AZ$9:$BD$102,5)),RundDx)))</f>
        <v/>
      </c>
      <c r="DM71" s="25" t="str">
        <f>IF($CU71&gt;=RAF,"",IF($CU71-DM$103&lt;BeginnAlter,"",ROUND(v^($CU71+FaktorAlter)*$L71*$D71*0.5*(VLOOKUP($CU71-DM$103,Männer!$G$9:$J$102,4)+VLOOKUP($CU71-DM$103+1,Männer!$G$9:$J$102,4))*0.5*(VLOOKUP($CU71-DM$103,Männer!$AZ$9:$BD$102,5)+VLOOKUP($CU71-DM$103+1,Männer!$AZ$9:$BD$102,5)),RundDx)))</f>
        <v/>
      </c>
      <c r="DN71" s="25" t="str">
        <f>IF($CU71&gt;=RAF,"",IF($CU71-DN$103&lt;BeginnAlter,"",ROUND(v^($CU71+FaktorAlter)*$L71*$D71*0.5*(VLOOKUP($CU71-DN$103,Männer!$G$9:$J$102,4)+VLOOKUP($CU71-DN$103+1,Männer!$G$9:$J$102,4))*0.5*(VLOOKUP($CU71-DN$103,Männer!$AZ$9:$BD$102,5)+VLOOKUP($CU71-DN$103+1,Männer!$AZ$9:$BD$102,5)),RundDx)))</f>
        <v/>
      </c>
      <c r="DO71" s="25" t="str">
        <f>IF($CU71&gt;=RAF,"",IF($CU71-DO$103&lt;BeginnAlter,"",ROUND(v^($CU71+FaktorAlter)*$L71*$D71*0.5*(VLOOKUP($CU71-DO$103,Männer!$G$9:$J$102,4)+VLOOKUP($CU71-DO$103+1,Männer!$G$9:$J$102,4))*0.5*(VLOOKUP($CU71-DO$103,Männer!$AZ$9:$BD$102,5)+VLOOKUP($CU71-DO$103+1,Männer!$AZ$9:$BD$102,5)),RundDx)))</f>
        <v/>
      </c>
      <c r="DP71" s="25" t="str">
        <f>IF($CU71&gt;=RAF,"",IF($CU71-DP$103&lt;BeginnAlter,"",ROUND(v^($CU71+FaktorAlter)*$L71*$D71*0.5*(VLOOKUP($CU71-DP$103,Männer!$G$9:$J$102,4)+VLOOKUP($CU71-DP$103+1,Männer!$G$9:$J$102,4))*0.5*(VLOOKUP($CU71-DP$103,Männer!$AZ$9:$BD$102,5)+VLOOKUP($CU71-DP$103+1,Männer!$AZ$9:$BD$102,5)),RundDx)))</f>
        <v/>
      </c>
      <c r="DQ71" s="25" t="str">
        <f>IF($CU71&gt;=RAF,"",IF($CU71-DQ$103&lt;BeginnAlter,"",ROUND(v^($CU71+FaktorAlter)*$L71*$D71*0.5*(VLOOKUP($CU71-DQ$103,Männer!$G$9:$J$102,4)+VLOOKUP($CU71-DQ$103+1,Männer!$G$9:$J$102,4))*0.5*(VLOOKUP($CU71-DQ$103,Männer!$AZ$9:$BD$102,5)+VLOOKUP($CU71-DQ$103+1,Männer!$AZ$9:$BD$102,5)),RundDx)))</f>
        <v/>
      </c>
      <c r="DR71" s="25" t="str">
        <f>IF($CU71&gt;=RAF,"",IF($CU71-DR$103&lt;BeginnAlter,"",ROUND(v^($CU71+FaktorAlter)*$L71*$D71*0.5*(VLOOKUP($CU71-DR$103,Männer!$G$9:$J$102,4)+VLOOKUP($CU71-DR$103+1,Männer!$G$9:$J$102,4))*0.5*(VLOOKUP($CU71-DR$103,Männer!$AZ$9:$BD$102,5)+VLOOKUP($CU71-DR$103+1,Männer!$AZ$9:$BD$102,5)),RundDx)))</f>
        <v/>
      </c>
      <c r="DS71" s="25" t="str">
        <f>IF($CU71&gt;=RAF,"",IF($CU71-DS$103&lt;BeginnAlter,"",ROUND(v^($CU71+FaktorAlter)*$L71*$D71*0.5*(VLOOKUP($CU71-DS$103,Männer!$G$9:$J$102,4)+VLOOKUP($CU71-DS$103+1,Männer!$G$9:$J$102,4))*0.5*(VLOOKUP($CU71-DS$103,Männer!$AZ$9:$BD$102,5)+VLOOKUP($CU71-DS$103+1,Männer!$AZ$9:$BD$102,5)),RundDx)))</f>
        <v/>
      </c>
      <c r="DT71" s="25" t="str">
        <f>IF($CU71&gt;=RAF,"",IF($CU71-DT$103&lt;BeginnAlter,"",ROUND(v^($CU71+FaktorAlter)*$L71*$D71*0.5*(VLOOKUP($CU71-DT$103,Männer!$G$9:$J$102,4)+VLOOKUP($CU71-DT$103+1,Männer!$G$9:$J$102,4))*0.5*(VLOOKUP($CU71-DT$103,Männer!$AZ$9:$BD$102,5)+VLOOKUP($CU71-DT$103+1,Männer!$AZ$9:$BD$102,5)),RundDx)))</f>
        <v/>
      </c>
      <c r="DU71" s="25" t="str">
        <f>IF($CU71&gt;=RAF,"",IF($CU71-DU$103&lt;BeginnAlter,"",ROUND(v^($CU71+FaktorAlter)*$L71*$D71*0.5*(VLOOKUP($CU71-DU$103,Männer!$G$9:$J$102,4)+VLOOKUP($CU71-DU$103+1,Männer!$G$9:$J$102,4))*0.5*(VLOOKUP($CU71-DU$103,Männer!$AZ$9:$BD$102,5)+VLOOKUP($CU71-DU$103+1,Männer!$AZ$9:$BD$102,5)),RundDx)))</f>
        <v/>
      </c>
      <c r="DV71" s="25" t="str">
        <f>IF($CU71&gt;=RAF,"",IF($CU71-DV$103&lt;BeginnAlter,"",ROUND(v^($CU71+FaktorAlter)*$L71*$D71*0.5*(VLOOKUP($CU71-DV$103,Männer!$G$9:$J$102,4)+VLOOKUP($CU71-DV$103+1,Männer!$G$9:$J$102,4))*0.5*(VLOOKUP($CU71-DV$103,Männer!$AZ$9:$BD$102,5)+VLOOKUP($CU71-DV$103+1,Männer!$AZ$9:$BD$102,5)),RundDx)))</f>
        <v/>
      </c>
      <c r="DW71" s="25" t="str">
        <f>IF($CU71&gt;=RAF,"",IF($CU71-DW$103&lt;BeginnAlter,"",ROUND(v^($CU71+FaktorAlter)*$L71*$D71*0.5*(VLOOKUP($CU71-DW$103,Männer!$G$9:$J$102,4)+VLOOKUP($CU71-DW$103+1,Männer!$G$9:$J$102,4))*0.5*(VLOOKUP($CU71-DW$103,Männer!$AZ$9:$BD$102,5)+VLOOKUP($CU71-DW$103+1,Männer!$AZ$9:$BD$102,5)),RundDx)))</f>
        <v/>
      </c>
      <c r="DX71" s="25" t="str">
        <f>IF($CU71&gt;=RAF,"",IF($CU71-DX$103&lt;BeginnAlter,"",ROUND(v^($CU71+FaktorAlter)*$L71*$D71*0.5*(VLOOKUP($CU71-DX$103,Männer!$G$9:$J$102,4)+VLOOKUP($CU71-DX$103+1,Männer!$G$9:$J$102,4))*0.5*(VLOOKUP($CU71-DX$103,Männer!$AZ$9:$BD$102,5)+VLOOKUP($CU71-DX$103+1,Männer!$AZ$9:$BD$102,5)),RundDx)))</f>
        <v/>
      </c>
      <c r="DY71" s="25" t="str">
        <f>IF($CU71&gt;=RAF,"",IF($CU71-DY$103&lt;BeginnAlter,"",ROUND(v^($CU71+FaktorAlter)*$L71*$D71*0.5*(VLOOKUP($CU71-DY$103,Männer!$G$9:$J$102,4)+VLOOKUP($CU71-DY$103+1,Männer!$G$9:$J$102,4))*0.5*(VLOOKUP($CU71-DY$103,Männer!$AZ$9:$BD$102,5)+VLOOKUP($CU71-DY$103+1,Männer!$AZ$9:$BD$102,5)),RundDx)))</f>
        <v/>
      </c>
      <c r="DZ71" s="25" t="str">
        <f>IF($CU71&gt;=RAF,"",IF($CU71-DZ$103&lt;BeginnAlter,"",ROUND(v^($CU71+FaktorAlter)*$L71*$D71*0.5*(VLOOKUP($CU71-DZ$103,Männer!$G$9:$J$102,4)+VLOOKUP($CU71-DZ$103+1,Männer!$G$9:$J$102,4))*0.5*(VLOOKUP($CU71-DZ$103,Männer!$AZ$9:$BD$102,5)+VLOOKUP($CU71-DZ$103+1,Männer!$AZ$9:$BD$102,5)),RundDx)))</f>
        <v/>
      </c>
      <c r="EA71" s="43" t="str">
        <f>IF($CU71&gt;=RAF,"",IF($CU71-EA$103&lt;BeginnAlter,"",ROUND((SUM(CV$56:CV71)+SUM(FN$9:FN$56))/VLOOKUP($CU71,$AH$9:$AI$102,2)/VLOOKUP($CU71-EA$103,Männer!$G$9:$J$102,4),Rundäx)))</f>
        <v/>
      </c>
      <c r="EB71" s="43" t="str">
        <f>IF($CU71&gt;=RAF,"",IF($CU71-EB$103&lt;BeginnAlter,"",ROUND((SUM(CW$56:CW71)+SUM(FO$9:FO$56))/VLOOKUP($CU71,$AH$9:$AI$102,2)/VLOOKUP($CU71-EB$103,Männer!$G$9:$J$102,4),Rundäx)))</f>
        <v/>
      </c>
      <c r="EC71" s="43" t="str">
        <f>IF($CU71&gt;=RAF,"",IF($CU71-EC$103&lt;BeginnAlter,"",ROUND((SUM(CX$56:CX71)+SUM(FP$9:FP$56))/VLOOKUP($CU71,$AH$9:$AI$102,2)/VLOOKUP($CU71-EC$103,Männer!$G$9:$J$102,4),Rundäx)))</f>
        <v/>
      </c>
      <c r="ED71" s="43" t="str">
        <f>IF($CU71&gt;=RAF,"",IF($CU71-ED$103&lt;BeginnAlter,"",ROUND((SUM(CY$56:CY71)+SUM(FQ$9:FQ$56))/VLOOKUP($CU71,$AH$9:$AI$102,2)/VLOOKUP($CU71-ED$103,Männer!$G$9:$J$102,4),Rundäx)))</f>
        <v/>
      </c>
      <c r="EE71" s="43" t="str">
        <f>IF($CU71&gt;=RAF,"",IF($CU71-EE$103&lt;BeginnAlter,"",ROUND((SUM(CZ$56:CZ71)+SUM(FR$9:FR$56))/VLOOKUP($CU71,$AH$9:$AI$102,2)/VLOOKUP($CU71-EE$103,Männer!$G$9:$J$102,4),Rundäx)))</f>
        <v/>
      </c>
      <c r="EF71" s="43" t="str">
        <f>IF($CU71&gt;=RAF,"",IF($CU71-EF$103&lt;BeginnAlter,"",ROUND((SUM(DA$56:DA71)+SUM(FS$9:FS$56))/VLOOKUP($CU71,$AH$9:$AI$102,2)/VLOOKUP($CU71-EF$103,Männer!$G$9:$J$102,4),Rundäx)))</f>
        <v/>
      </c>
      <c r="EG71" s="43" t="str">
        <f>IF($CU71&gt;=RAF,"",IF($CU71-EG$103&lt;BeginnAlter,"",ROUND((SUM(DB$56:DB71)+SUM(FT$9:FT$56))/VLOOKUP($CU71,$AH$9:$AI$102,2)/VLOOKUP($CU71-EG$103,Männer!$G$9:$J$102,4),Rundäx)))</f>
        <v/>
      </c>
      <c r="EH71" s="43" t="str">
        <f>IF($CU71&gt;=RAF,"",IF($CU71-EH$103&lt;BeginnAlter,"",ROUND((SUM(DC$56:DC71)+SUM(FU$9:FU$56))/VLOOKUP($CU71,$AH$9:$AI$102,2)/VLOOKUP($CU71-EH$103,Männer!$G$9:$J$102,4),Rundäx)))</f>
        <v/>
      </c>
      <c r="EI71" s="89"/>
      <c r="EJ71" s="35">
        <f t="shared" si="61"/>
        <v>79</v>
      </c>
      <c r="EK71" s="43" t="str">
        <f>IF($CU71&gt;=RAF,"",IF($CU71-EK$103&lt;BeginnAlter,"",ROUND((SUM(DD$56:DD71)+SUM(FV$9:FV$56))/VLOOKUP($CU71,$AH$9:$AI$102,2)/VLOOKUP($CU71-EK$103,Männer!$G$9:$J$102,4),Rundäx)))</f>
        <v/>
      </c>
      <c r="EL71" s="43" t="str">
        <f>IF($CU71&gt;=RAF,"",IF($CU71-EL$103&lt;BeginnAlter,"",ROUND((SUM(DE$56:DE71)+SUM(FW$9:FW$56))/VLOOKUP($CU71,$AH$9:$AI$102,2)/VLOOKUP($CU71-EL$103,Männer!$G$9:$J$102,4),Rundäx)))</f>
        <v/>
      </c>
      <c r="EM71" s="43" t="str">
        <f>IF($CU71&gt;=RAF,"",IF($CU71-EM$103&lt;BeginnAlter,"",ROUND((SUM(DF$56:DF71)+SUM(FX$9:FX$56))/VLOOKUP($CU71,$AH$9:$AI$102,2)/VLOOKUP($CU71-EM$103,Männer!$G$9:$J$102,4),Rundäx)))</f>
        <v/>
      </c>
      <c r="EN71" s="43" t="str">
        <f>IF($CU71&gt;=RAF,"",IF($CU71-EN$103&lt;BeginnAlter,"",ROUND((SUM(DG$56:DG71)+SUM(FY$9:FY$56))/VLOOKUP($CU71,$AH$9:$AI$102,2)/VLOOKUP($CU71-EN$103,Männer!$G$9:$J$102,4),Rundäx)))</f>
        <v/>
      </c>
      <c r="EO71" s="43" t="str">
        <f>IF($CU71&gt;=RAF,"",IF($CU71-EO$103&lt;BeginnAlter,"",ROUND((SUM(DH$56:DH71)+SUM(FZ$9:FZ$56))/VLOOKUP($CU71,$AH$9:$AI$102,2)/VLOOKUP($CU71-EO$103,Männer!$G$9:$J$102,4),Rundäx)))</f>
        <v/>
      </c>
      <c r="EP71" s="43" t="str">
        <f>IF($CU71&gt;=RAF,"",IF($CU71-EP$103&lt;BeginnAlter,"",ROUND((SUM(DI$56:DI71)+SUM(GA$9:GA$56))/VLOOKUP($CU71,$AH$9:$AI$102,2)/VLOOKUP($CU71-EP$103,Männer!$G$9:$J$102,4),Rundäx)))</f>
        <v/>
      </c>
      <c r="EQ71" s="43" t="str">
        <f>IF($CU71&gt;=RAF,"",IF($CU71-EQ$103&lt;BeginnAlter,"",ROUND((SUM(DJ$56:DJ71)+SUM(GB$9:GB$56))/VLOOKUP($CU71,$AH$9:$AI$102,2)/VLOOKUP($CU71-EQ$103,Männer!$G$9:$J$102,4),Rundäx)))</f>
        <v/>
      </c>
      <c r="ER71" s="43" t="str">
        <f>IF($CU71&gt;=RAF,"",IF($CU71-ER$103&lt;BeginnAlter,"",ROUND((SUM(DK$56:DK71)+SUM(GC$9:GC$56))/VLOOKUP($CU71,$AH$9:$AI$102,2)/VLOOKUP($CU71-ER$103,Männer!$G$9:$J$102,4),Rundäx)))</f>
        <v/>
      </c>
      <c r="ES71" s="89"/>
      <c r="ET71" s="35">
        <f t="shared" si="62"/>
        <v>79</v>
      </c>
      <c r="EU71" s="43" t="str">
        <f>IF($CU71&gt;=RAF,"",IF($CU71-EU$103&lt;BeginnAlter,"",ROUND((SUM(DL$56:DL71)+SUM(GD$9:GD$56))/VLOOKUP($CU71,$AH$9:$AI$102,2)/VLOOKUP($CU71-EU$103,Männer!$G$9:$J$102,4),Rundäx)))</f>
        <v/>
      </c>
      <c r="EV71" s="43" t="str">
        <f>IF($CU71&gt;=RAF,"",IF($CU71-EV$103&lt;BeginnAlter,"",ROUND((SUM(DM$56:DM71)+SUM(GE$9:GE$56))/VLOOKUP($CU71,$AH$9:$AI$102,2)/VLOOKUP($CU71-EV$103,Männer!$G$9:$J$102,4),Rundäx)))</f>
        <v/>
      </c>
      <c r="EW71" s="43" t="str">
        <f>IF($CU71&gt;=RAF,"",IF($CU71-EW$103&lt;BeginnAlter,"",ROUND((SUM(DN$56:DN71)+SUM(GF$9:GF$56))/VLOOKUP($CU71,$AH$9:$AI$102,2)/VLOOKUP($CU71-EW$103,Männer!$G$9:$J$102,4),Rundäx)))</f>
        <v/>
      </c>
      <c r="EX71" s="43" t="str">
        <f>IF($CU71&gt;=RAF,"",IF($CU71-EX$103&lt;BeginnAlter,"",ROUND((SUM(DO$56:DO71)+SUM(GG$9:GG$56))/VLOOKUP($CU71,$AH$9:$AI$102,2)/VLOOKUP($CU71-EX$103,Männer!$G$9:$J$102,4),Rundäx)))</f>
        <v/>
      </c>
      <c r="EY71" s="43" t="str">
        <f>IF($CU71&gt;=RAF,"",IF($CU71-EY$103&lt;BeginnAlter,"",ROUND((SUM(DP$56:DP71)+SUM(GH$9:GH$56))/VLOOKUP($CU71,$AH$9:$AI$102,2)/VLOOKUP($CU71-EY$103,Männer!$G$9:$J$102,4),Rundäx)))</f>
        <v/>
      </c>
      <c r="EZ71" s="43" t="str">
        <f>IF($CU71&gt;=RAF,"",IF($CU71-EZ$103&lt;BeginnAlter,"",ROUND((SUM(DQ$56:DQ71)+SUM(GI$9:GI$56))/VLOOKUP($CU71,$AH$9:$AI$102,2)/VLOOKUP($CU71-EZ$103,Männer!$G$9:$J$102,4),Rundäx)))</f>
        <v/>
      </c>
      <c r="FA71" s="43" t="str">
        <f>IF($CU71&gt;=RAF,"",IF($CU71-FA$103&lt;BeginnAlter,"",ROUND((SUM(DR$56:DR71)+SUM(GJ$9:GJ$56))/VLOOKUP($CU71,$AH$9:$AI$102,2)/VLOOKUP($CU71-FA$103,Männer!$G$9:$J$102,4),Rundäx)))</f>
        <v/>
      </c>
      <c r="FB71" s="43" t="str">
        <f>IF($CU71&gt;=RAF,"",IF($CU71-FB$103&lt;BeginnAlter,"",ROUND((SUM(DS$56:DS71)+SUM(GK$9:GK$56))/VLOOKUP($CU71,$AH$9:$AI$102,2)/VLOOKUP($CU71-FB$103,Männer!$G$9:$J$102,4),Rundäx)))</f>
        <v/>
      </c>
      <c r="FC71" s="89"/>
      <c r="FD71" s="35">
        <f t="shared" si="63"/>
        <v>79</v>
      </c>
      <c r="FE71" s="43" t="str">
        <f>IF($CU71&gt;=RAF,"",IF($CU71-FE$103&lt;BeginnAlter,"",ROUND((SUM(DT$56:DT71)+SUM(GL$9:GL$56))/VLOOKUP($CU71,$AH$9:$AI$102,2)/VLOOKUP($CU71-FE$103,Männer!$G$9:$J$102,4),Rundäx)))</f>
        <v/>
      </c>
      <c r="FF71" s="43" t="str">
        <f>IF($CU71&gt;=RAF,"",IF($CU71-FF$103&lt;BeginnAlter,"",ROUND((SUM(DU$56:DU71)+SUM(GM$9:GM$56))/VLOOKUP($CU71,$AH$9:$AI$102,2)/VLOOKUP($CU71-FF$103,Männer!$G$9:$J$102,4),Rundäx)))</f>
        <v/>
      </c>
      <c r="FG71" s="43" t="str">
        <f>IF($CU71&gt;=RAF,"",IF($CU71-FG$103&lt;BeginnAlter,"",ROUND((SUM(DV$56:DV71)+SUM(GN$9:GN$56))/VLOOKUP($CU71,$AH$9:$AI$102,2)/VLOOKUP($CU71-FG$103,Männer!$G$9:$J$102,4),Rundäx)))</f>
        <v/>
      </c>
      <c r="FH71" s="43" t="str">
        <f>IF($CU71&gt;=RAF,"",IF($CU71-FH$103&lt;BeginnAlter,"",ROUND((SUM(DW$56:DW71)+SUM(GO$9:GO$56))/VLOOKUP($CU71,$AH$9:$AI$102,2)/VLOOKUP($CU71-FH$103,Männer!$G$9:$J$102,4),Rundäx)))</f>
        <v/>
      </c>
      <c r="FI71" s="43" t="str">
        <f>IF($CU71&gt;=RAF,"",IF($CU71-FI$103&lt;BeginnAlter,"",ROUND((SUM(DX$56:DX71)+SUM(GP$9:GP$56))/VLOOKUP($CU71,$AH$9:$AI$102,2)/VLOOKUP($CU71-FI$103,Männer!$G$9:$J$102,4),Rundäx)))</f>
        <v/>
      </c>
      <c r="FJ71" s="43" t="str">
        <f>IF($CU71&gt;=RAF,"",IF($CU71-FJ$103&lt;BeginnAlter,"",ROUND((SUM(DY$56:DY71)+SUM(GQ$9:GQ$56))/VLOOKUP($CU71,$AH$9:$AI$102,2)/VLOOKUP($CU71-FJ$103,Männer!$G$9:$J$102,4),Rundäx)))</f>
        <v/>
      </c>
      <c r="FK71" s="43" t="str">
        <f>IF($CU71&gt;=RAF,"",IF($CU71-FK$103&lt;BeginnAlter,"",ROUND((SUM(DZ$56:DZ71)+SUM(GR$9:GR$56))/VLOOKUP($CU71,$AH$9:$AI$102,2)/VLOOKUP($CU71-FK$103,Männer!$G$9:$J$102,4),Rundäx)))</f>
        <v/>
      </c>
      <c r="FL71" s="89"/>
      <c r="FM71" s="35">
        <f t="shared" si="64"/>
        <v>126</v>
      </c>
      <c r="FN71" s="25"/>
      <c r="FO71" s="25"/>
      <c r="FP71" s="25"/>
      <c r="FQ71" s="25"/>
      <c r="FR71" s="25"/>
      <c r="FS71" s="25"/>
      <c r="FT71" s="25"/>
      <c r="FU71" s="25"/>
      <c r="FV71" s="25"/>
      <c r="FW71" s="25"/>
      <c r="FX71" s="25"/>
      <c r="FY71" s="25"/>
      <c r="FZ71" s="25"/>
      <c r="GA71" s="25"/>
      <c r="GB71" s="25"/>
      <c r="GC71" s="25"/>
      <c r="GD71" s="25"/>
      <c r="GE71" s="25"/>
      <c r="GF71" s="25"/>
      <c r="GG71" s="25"/>
      <c r="GH71" s="25"/>
      <c r="GI71" s="25"/>
      <c r="GJ71" s="25"/>
      <c r="GK71" s="25"/>
      <c r="GL71" s="25"/>
      <c r="GM71" s="25"/>
      <c r="GN71" s="25"/>
      <c r="GO71" s="25"/>
      <c r="GP71" s="25"/>
      <c r="GQ71" s="25"/>
      <c r="GR71" s="25"/>
      <c r="GS71" s="24"/>
      <c r="GT71" s="24"/>
      <c r="GU71" s="24" t="str">
        <f>IF(FM71&gt;=RAF," ",#REF!/$AI71/Frauen!$J59)</f>
        <v xml:space="preserve"> </v>
      </c>
      <c r="GV71" s="24" t="str">
        <f>IF(FM71&gt;=RAF," ",#REF!/$AI71/Frauen!$J62)</f>
        <v xml:space="preserve"> </v>
      </c>
      <c r="GW71" s="24" t="str">
        <f>IF(FM71&gt;=RAF," ",#REF!/$AI71/Frauen!$J65)</f>
        <v xml:space="preserve"> </v>
      </c>
      <c r="GX71" s="24" t="str">
        <f>IF(FM71&gt;=RAF," ",#REF!/$AI71/Frauen!$J68)</f>
        <v xml:space="preserve"> </v>
      </c>
      <c r="GY71" s="24" t="str">
        <f>IF(FM71&gt;=RAF," ",#REF!/$AI71/Frauen!$J71)</f>
        <v xml:space="preserve"> </v>
      </c>
      <c r="GZ71" s="24" t="str">
        <f>IF(FM71&gt;=RAF," ",#REF!/$AI71/Frauen!$J74)</f>
        <v xml:space="preserve"> </v>
      </c>
      <c r="HA71" s="89"/>
      <c r="HB71" s="35">
        <f t="shared" si="65"/>
        <v>126</v>
      </c>
      <c r="HC71" s="24"/>
      <c r="HD71" s="24"/>
      <c r="HE71" s="24"/>
      <c r="HF71" s="24"/>
      <c r="HG71" s="24"/>
      <c r="HH71" s="24"/>
      <c r="HI71" s="24"/>
      <c r="HJ71" s="24"/>
      <c r="HK71" s="89"/>
      <c r="HL71" s="35">
        <f t="shared" si="66"/>
        <v>126</v>
      </c>
      <c r="HM71" s="24"/>
      <c r="HN71" s="24"/>
      <c r="HO71" s="24"/>
      <c r="HP71" s="24"/>
      <c r="HQ71" s="24"/>
      <c r="HR71" s="24"/>
      <c r="HS71" s="24"/>
      <c r="HT71" s="24"/>
      <c r="HU71" s="89"/>
      <c r="HV71" s="35">
        <f t="shared" si="67"/>
        <v>126</v>
      </c>
      <c r="HW71" s="24"/>
      <c r="HX71" s="24"/>
      <c r="HY71" s="24"/>
      <c r="HZ71" s="24"/>
      <c r="IA71" s="24"/>
      <c r="IB71" s="24"/>
      <c r="IC71" s="24"/>
      <c r="ID71" s="89"/>
      <c r="IE71" s="9">
        <f t="shared" si="80"/>
        <v>79</v>
      </c>
      <c r="IF71" s="11" t="str">
        <f t="shared" si="25"/>
        <v/>
      </c>
      <c r="IG71" s="11" t="str">
        <f>IF($IE71&lt;RAF,IF(S72&lt;=RAK,ROUND(SUM(IF71:INDEX(Daky,RAF-BeginnAlter))+INDEX(Day,RAF-BeginnAlter+1)*INDEX(äky,1),RundDx),0),"")</f>
        <v/>
      </c>
      <c r="IH71" s="11" t="str">
        <f>IF($IE71&lt;RAF,IF(S72&lt;=RAK,ROUND(SUM(IG71:INDEX(Naky,RAF-BeginnAlter))+INDEX(Day,RAF-BeginnAlter+1)*INDEX(äky,1),RundDx),0),"")</f>
        <v/>
      </c>
      <c r="II71" s="10" t="str">
        <f t="shared" si="26"/>
        <v/>
      </c>
      <c r="IJ71" s="11" t="str">
        <f t="shared" si="27"/>
        <v/>
      </c>
      <c r="IK71" s="11" t="str">
        <f>IF($IE71&lt;RAF,IF(S72&lt;=RAK,SUM(IJ71:INDEX(Diky,RAF-BeginnAlter))+INDEX(Diy,RAF-BeginnAlter+1)*INDEX(äky,1),0),"")</f>
        <v/>
      </c>
      <c r="IL71" s="10" t="str">
        <f t="shared" si="28"/>
        <v/>
      </c>
      <c r="IM71" s="89"/>
      <c r="IN71" s="9">
        <f t="shared" si="29"/>
        <v>126</v>
      </c>
      <c r="IO71" s="11"/>
      <c r="IP71" s="11"/>
      <c r="IQ71" s="10"/>
      <c r="IR71" s="86"/>
    </row>
    <row r="72" spans="1:252" ht="15.75" customHeight="1" x14ac:dyDescent="0.25">
      <c r="A72" s="9">
        <f t="shared" si="69"/>
        <v>80</v>
      </c>
      <c r="B72" s="93"/>
      <c r="C72" s="93"/>
      <c r="D72" s="93"/>
      <c r="E72" s="93">
        <v>3.7287319628732205E-2</v>
      </c>
      <c r="F72" s="89"/>
      <c r="G72" s="9">
        <f t="shared" si="70"/>
        <v>80</v>
      </c>
      <c r="H72" s="11" t="str">
        <f t="shared" si="30"/>
        <v/>
      </c>
      <c r="I72" s="25" t="str">
        <f t="shared" si="31"/>
        <v/>
      </c>
      <c r="J72" s="25">
        <f t="shared" si="32"/>
        <v>67620</v>
      </c>
      <c r="K72" s="30">
        <f>IF(J72&gt;0,ROUND(SUM(J72:J$102)/J72-0.5,Rundex),"")</f>
        <v>9.2200000000000006</v>
      </c>
      <c r="L72" s="25">
        <f t="shared" si="6"/>
        <v>67620</v>
      </c>
      <c r="M72" s="30">
        <f>IF(L72&gt;0,ROUND(SUM(L72:L$102)/L72-0.5,Rundex),"")</f>
        <v>9.2200000000000006</v>
      </c>
      <c r="N72" s="89"/>
      <c r="O72" s="9">
        <f t="shared" si="71"/>
        <v>80</v>
      </c>
      <c r="P72" s="94">
        <v>7.2453992068153145E-3</v>
      </c>
      <c r="Q72" s="95">
        <v>80.706083432046185</v>
      </c>
      <c r="R72" s="94"/>
      <c r="S72" s="95"/>
      <c r="T72" s="28">
        <v>3.6456606286933167E-2</v>
      </c>
      <c r="U72" s="11">
        <f t="shared" si="33"/>
        <v>71687</v>
      </c>
      <c r="V72" s="30">
        <f>IF(U72&gt;0,ROUND(SUM(U72:U$102)/U72-0.5,Rundex),"")</f>
        <v>9.59</v>
      </c>
      <c r="W72" s="89"/>
      <c r="X72" s="9">
        <f t="shared" si="72"/>
        <v>80</v>
      </c>
      <c r="Y72" s="11" t="str">
        <f t="shared" si="34"/>
        <v xml:space="preserve"> </v>
      </c>
      <c r="Z72" s="11" t="str">
        <f>IF($X72&lt;RAF,SUM(Y72:INDEX(Day,RAF-BeginnAlter))," ")</f>
        <v xml:space="preserve"> </v>
      </c>
      <c r="AA72" s="11" t="str">
        <f t="shared" si="0"/>
        <v xml:space="preserve"> </v>
      </c>
      <c r="AB72" s="11" t="str">
        <f>IF($X72&lt;RAF,SUM(AA72:INDEX(Cay,RAF-BeginnAlter))," ")</f>
        <v xml:space="preserve"> </v>
      </c>
      <c r="AC72" s="11" t="str">
        <f t="shared" si="1"/>
        <v xml:space="preserve"> </v>
      </c>
      <c r="AD72" s="11" t="str">
        <f>IF($X72&lt;RAF,SUM(AC72:INDEX(Caiy,RAF-BeginnAlter))," ")</f>
        <v xml:space="preserve"> </v>
      </c>
      <c r="AE72" s="10" t="str">
        <f t="shared" si="35"/>
        <v xml:space="preserve"> </v>
      </c>
      <c r="AF72" s="10" t="str">
        <f t="shared" si="36"/>
        <v xml:space="preserve"> </v>
      </c>
      <c r="AG72" s="89"/>
      <c r="AH72" s="9">
        <f t="shared" si="73"/>
        <v>80</v>
      </c>
      <c r="AI72" s="11" t="str">
        <f t="shared" si="37"/>
        <v xml:space="preserve"> </v>
      </c>
      <c r="AJ72" s="11" t="str">
        <f>IF($AH72&gt;RAF," ",IF($AH72&lt;RAF,SUM(AI72:INDEX(Diy,RAF-BeginnAlter))+INDEX(Ny,RAF-BeginnAlter+1),INDEX(Ny,RAF-BeginnAlter+1)))</f>
        <v xml:space="preserve"> </v>
      </c>
      <c r="AK72" s="11" t="str">
        <f>IF($AH72&lt;RAF,SUM(AI72:INDEX(Diy,RAF-BeginnAlter))," ")</f>
        <v xml:space="preserve"> </v>
      </c>
      <c r="AL72" s="10" t="str">
        <f t="shared" si="38"/>
        <v xml:space="preserve"> </v>
      </c>
      <c r="AM72" s="10" t="str">
        <f t="shared" si="39"/>
        <v xml:space="preserve"> </v>
      </c>
      <c r="AN72" s="10" t="str">
        <f t="shared" si="40"/>
        <v xml:space="preserve"> </v>
      </c>
      <c r="AO72" s="10" t="str">
        <f t="shared" si="41"/>
        <v xml:space="preserve"> </v>
      </c>
      <c r="AP72" s="89"/>
      <c r="AQ72" s="9">
        <f t="shared" si="74"/>
        <v>80</v>
      </c>
      <c r="AR72" s="11">
        <f t="shared" si="42"/>
        <v>11403</v>
      </c>
      <c r="AS72" s="11">
        <f>SUM(AR72:AR$96)</f>
        <v>98071</v>
      </c>
      <c r="AT72" s="25" t="str">
        <f>IF($AQ72&lt;RAF,SUM(AR72:INDEX(Dy,RAF-BeginnAlter))," ")</f>
        <v xml:space="preserve"> </v>
      </c>
      <c r="AU72" s="24">
        <f t="shared" si="43"/>
        <v>8.6</v>
      </c>
      <c r="AV72" s="24">
        <f t="shared" si="44"/>
        <v>8.1419999999999995</v>
      </c>
      <c r="AW72" s="24" t="str">
        <f t="shared" si="45"/>
        <v xml:space="preserve"> </v>
      </c>
      <c r="AX72" s="24" t="str">
        <f t="shared" si="46"/>
        <v xml:space="preserve"> </v>
      </c>
      <c r="AY72" s="89"/>
      <c r="AZ72" s="9">
        <f t="shared" si="75"/>
        <v>80</v>
      </c>
      <c r="BA72" s="11">
        <f t="shared" si="47"/>
        <v>12089</v>
      </c>
      <c r="BB72" s="11">
        <f>SUM(BA72:BA$96)</f>
        <v>107443</v>
      </c>
      <c r="BC72" s="10">
        <f t="shared" si="48"/>
        <v>8.8879999999999999</v>
      </c>
      <c r="BD72" s="10">
        <f t="shared" si="7"/>
        <v>8.4290000000000003</v>
      </c>
      <c r="BE72" s="89"/>
      <c r="BF72" s="9">
        <f t="shared" si="54"/>
        <v>63</v>
      </c>
      <c r="BG72" s="10" t="str">
        <f t="shared" si="8"/>
        <v/>
      </c>
      <c r="BH72" s="10" t="str">
        <f t="shared" si="9"/>
        <v/>
      </c>
      <c r="BI72" s="89"/>
      <c r="BJ72" s="9">
        <f t="shared" si="76"/>
        <v>80</v>
      </c>
      <c r="BK72" s="11" t="str">
        <f t="shared" si="10"/>
        <v xml:space="preserve"> </v>
      </c>
      <c r="BL72" s="11" t="str">
        <f>IF(BJ72&lt;RAF,SUM(BK72:INDEX(Daiy,RAF-BeginnAlter))," ")</f>
        <v xml:space="preserve"> </v>
      </c>
      <c r="BM72" s="11" t="str">
        <f>IF(BJ72&lt;RAF,SUM(BL72:INDEX(Naiy,RAF-BeginnAlter))," ")</f>
        <v xml:space="preserve"> </v>
      </c>
      <c r="BN72" s="10" t="str">
        <f t="shared" si="11"/>
        <v xml:space="preserve"> </v>
      </c>
      <c r="BO72" s="10" t="str">
        <f t="shared" si="12"/>
        <v xml:space="preserve"> </v>
      </c>
      <c r="BP72" s="89"/>
      <c r="BQ72" s="9">
        <f t="shared" si="77"/>
        <v>80</v>
      </c>
      <c r="BR72" s="11" t="str">
        <f t="shared" si="13"/>
        <v xml:space="preserve"> </v>
      </c>
      <c r="BS72" s="11" t="str">
        <f>IF(BQ72&lt;RAF,SUM(BR72:INDEX(Daiys,RAF-BeginnAlter))," ")</f>
        <v xml:space="preserve"> </v>
      </c>
      <c r="BT72" s="11" t="str">
        <f>IF(BQ72&lt;RAF,SUM(BS72:INDEX(Naiys,RAF-BeginnAlter))," ")</f>
        <v xml:space="preserve"> </v>
      </c>
      <c r="BU72" s="10" t="str">
        <f t="shared" si="14"/>
        <v xml:space="preserve"> </v>
      </c>
      <c r="BV72" s="10" t="str">
        <f t="shared" si="15"/>
        <v xml:space="preserve"> </v>
      </c>
      <c r="BW72" s="89"/>
      <c r="BX72" s="9">
        <f t="shared" si="78"/>
        <v>80</v>
      </c>
      <c r="BY72" s="10" t="str">
        <f t="shared" si="16"/>
        <v/>
      </c>
      <c r="BZ72" s="11" t="str">
        <f t="shared" si="17"/>
        <v/>
      </c>
      <c r="CA72" s="11" t="str">
        <f>IF(S73&lt;=RAK,IF($BX72&lt;RAF,SUM(BZ72:INDEX(Dazy,RAF-BeginnAlter)),""),"")</f>
        <v/>
      </c>
      <c r="CB72" s="10" t="str">
        <f t="shared" si="18"/>
        <v/>
      </c>
      <c r="CC72" s="11">
        <f t="shared" si="19"/>
        <v>0</v>
      </c>
      <c r="CD72" s="10">
        <f t="shared" si="20"/>
        <v>0</v>
      </c>
      <c r="CE72" s="10" t="str">
        <f t="shared" si="21"/>
        <v/>
      </c>
      <c r="CF72" s="89"/>
      <c r="CG72" s="9">
        <f t="shared" si="79"/>
        <v>80</v>
      </c>
      <c r="CH72" s="11" t="str">
        <f>IF(CG72&lt;RAF,ROUND(v^($CG72+FaktorAlter)*$H72*($B72*0.5*($P72+$P73)*(VLOOKUP(TRUNC(0.5*($Q72+$Q73),0),Männer!$AZ$9:$BD$95,5)+(0.5*($Q72+$Q73)-TRUNC(0.5*($Q72+$Q73),0))*(VLOOKUP(TRUNC(0.5*($Q72+$Q73)+1,0),Männer!$AZ$9:$BD$95,5)-VLOOKUP(TRUNC(0.5*($Q72+$Q73),0),Männer!$AZ$9:$BD$95,5)))+$C72*0.5*($CN72+$CN73)),RundDx),"")</f>
        <v/>
      </c>
      <c r="CI72" s="11" t="str">
        <f>IF(CG72&lt;RAF,ROUND(SUM(CH72:INDEX(Dawy,RAF-BeginnAlter))+INDEX(Day,RAF-BeginnAlter+1)*INDEX(äwy,1),RundDx),"")</f>
        <v/>
      </c>
      <c r="CJ72" s="11" t="str">
        <f>IF(CG72&lt;RAF,ROUND(SUM(CI72:INDEX(Nawy,RAF-BeginnAlter))+INDEX(Day,RAF-BeginnAlter+1)*INDEX(äwy,1),RundDx),"")</f>
        <v/>
      </c>
      <c r="CK72" s="10" t="str">
        <f t="shared" si="22"/>
        <v/>
      </c>
      <c r="CL72" s="11" t="str">
        <f>IF(CG72&lt;RAF,ROUND(v^($CG72+FaktorAlter)*$L72*$D72*0.5*($P72+$P73)*(VLOOKUP(TRUNC(0.5*($Q72+$Q73),0),Männer!$AZ$9:$BD$95,5)+(0.5*($Q72+$Q73)-TRUNC(0.5*($Q72+$Q73),0))*(VLOOKUP(TRUNC(0.5*($Q72+$Q73)+1,0),Männer!$AZ$9:$BD$95,5)-VLOOKUP(TRUNC(0.5*($Q72+$Q73),0),Männer!$AZ$9:$BD$95,5))),RundDx),"")</f>
        <v/>
      </c>
      <c r="CM72" s="11" t="str">
        <f>IF(CG72&lt;RAF,SUM(CL72:INDEX(Diwy,RAF-BeginnAlter))+INDEX(Diy,RAF-BeginnAlter+1)*INDEX(äwy,1),"")</f>
        <v/>
      </c>
      <c r="CN72" s="10" t="str">
        <f t="shared" si="23"/>
        <v/>
      </c>
      <c r="CO72" s="89"/>
      <c r="CP72" s="9">
        <f t="shared" si="59"/>
        <v>127</v>
      </c>
      <c r="CQ72" s="11"/>
      <c r="CR72" s="11"/>
      <c r="CS72" s="10"/>
      <c r="CT72" s="89"/>
      <c r="CU72" s="35">
        <f t="shared" si="60"/>
        <v>80</v>
      </c>
      <c r="CV72" s="25" t="str">
        <f>IF($CU72&gt;=RAF,"",IF($CU72-CV$103&lt;BeginnAlter,"",ROUND(v^($CU72+FaktorAlter)*$L72*$D72*0.5*(VLOOKUP($CU72-CV$103,Männer!$G$9:$J$102,4)+VLOOKUP($CU72-CV$103+1,Männer!$G$9:$J$102,4))*0.5*(VLOOKUP($CU72-CV$103,Männer!$AZ$9:$BD$102,5)+VLOOKUP($CU72-CV$103+1,Männer!$AZ$9:$BD$102,5)),RundDx)))</f>
        <v/>
      </c>
      <c r="CW72" s="25" t="str">
        <f>IF($CU72&gt;=RAF,"",IF($CU72-CW$103&lt;BeginnAlter,"",ROUND(v^($CU72+FaktorAlter)*$L72*$D72*0.5*(VLOOKUP($CU72-CW$103,Männer!$G$9:$J$102,4)+VLOOKUP($CU72-CW$103+1,Männer!$G$9:$J$102,4))*0.5*(VLOOKUP($CU72-CW$103,Männer!$AZ$9:$BD$102,5)+VLOOKUP($CU72-CW$103+1,Männer!$AZ$9:$BD$102,5)),RundDx)))</f>
        <v/>
      </c>
      <c r="CX72" s="25" t="str">
        <f>IF($CU72&gt;=RAF,"",IF($CU72-CX$103&lt;BeginnAlter,"",ROUND(v^($CU72+FaktorAlter)*$L72*$D72*0.5*(VLOOKUP($CU72-CX$103,Männer!$G$9:$J$102,4)+VLOOKUP($CU72-CX$103+1,Männer!$G$9:$J$102,4))*0.5*(VLOOKUP($CU72-CX$103,Männer!$AZ$9:$BD$102,5)+VLOOKUP($CU72-CX$103+1,Männer!$AZ$9:$BD$102,5)),RundDx)))</f>
        <v/>
      </c>
      <c r="CY72" s="25" t="str">
        <f>IF($CU72&gt;=RAF,"",IF($CU72-CY$103&lt;BeginnAlter,"",ROUND(v^($CU72+FaktorAlter)*$L72*$D72*0.5*(VLOOKUP($CU72-CY$103,Männer!$G$9:$J$102,4)+VLOOKUP($CU72-CY$103+1,Männer!$G$9:$J$102,4))*0.5*(VLOOKUP($CU72-CY$103,Männer!$AZ$9:$BD$102,5)+VLOOKUP($CU72-CY$103+1,Männer!$AZ$9:$BD$102,5)),RundDx)))</f>
        <v/>
      </c>
      <c r="CZ72" s="25" t="str">
        <f>IF($CU72&gt;=RAF,"",IF($CU72-CZ$103&lt;BeginnAlter,"",ROUND(v^($CU72+FaktorAlter)*$L72*$D72*0.5*(VLOOKUP($CU72-CZ$103,Männer!$G$9:$J$102,4)+VLOOKUP($CU72-CZ$103+1,Männer!$G$9:$J$102,4))*0.5*(VLOOKUP($CU72-CZ$103,Männer!$AZ$9:$BD$102,5)+VLOOKUP($CU72-CZ$103+1,Männer!$AZ$9:$BD$102,5)),RundDx)))</f>
        <v/>
      </c>
      <c r="DA72" s="25" t="str">
        <f>IF($CU72&gt;=RAF,"",IF($CU72-DA$103&lt;BeginnAlter,"",ROUND(v^($CU72+FaktorAlter)*$L72*$D72*0.5*(VLOOKUP($CU72-DA$103,Männer!$G$9:$J$102,4)+VLOOKUP($CU72-DA$103+1,Männer!$G$9:$J$102,4))*0.5*(VLOOKUP($CU72-DA$103,Männer!$AZ$9:$BD$102,5)+VLOOKUP($CU72-DA$103+1,Männer!$AZ$9:$BD$102,5)),RundDx)))</f>
        <v/>
      </c>
      <c r="DB72" s="25" t="str">
        <f>IF($CU72&gt;=RAF,"",IF($CU72-DB$103&lt;BeginnAlter,"",ROUND(v^($CU72+FaktorAlter)*$L72*$D72*0.5*(VLOOKUP($CU72-DB$103,Männer!$G$9:$J$102,4)+VLOOKUP($CU72-DB$103+1,Männer!$G$9:$J$102,4))*0.5*(VLOOKUP($CU72-DB$103,Männer!$AZ$9:$BD$102,5)+VLOOKUP($CU72-DB$103+1,Männer!$AZ$9:$BD$102,5)),RundDx)))</f>
        <v/>
      </c>
      <c r="DC72" s="25" t="str">
        <f>IF($CU72&gt;=RAF,"",IF($CU72-DC$103&lt;BeginnAlter,"",ROUND(v^($CU72+FaktorAlter)*$L72*$D72*0.5*(VLOOKUP($CU72-DC$103,Männer!$G$9:$J$102,4)+VLOOKUP($CU72-DC$103+1,Männer!$G$9:$J$102,4))*0.5*(VLOOKUP($CU72-DC$103,Männer!$AZ$9:$BD$102,5)+VLOOKUP($CU72-DC$103+1,Männer!$AZ$9:$BD$102,5)),RundDx)))</f>
        <v/>
      </c>
      <c r="DD72" s="25" t="str">
        <f>IF($CU72&gt;=RAF,"",IF($CU72-DD$103&lt;BeginnAlter,"",ROUND(v^($CU72+FaktorAlter)*$L72*$D72*0.5*(VLOOKUP($CU72-DD$103,Männer!$G$9:$J$102,4)+VLOOKUP($CU72-DD$103+1,Männer!$G$9:$J$102,4))*0.5*(VLOOKUP($CU72-DD$103,Männer!$AZ$9:$BD$102,5)+VLOOKUP($CU72-DD$103+1,Männer!$AZ$9:$BD$102,5)),RundDx)))</f>
        <v/>
      </c>
      <c r="DE72" s="25" t="str">
        <f>IF($CU72&gt;=RAF,"",IF($CU72-DE$103&lt;BeginnAlter,"",ROUND(v^($CU72+FaktorAlter)*$L72*$D72*0.5*(VLOOKUP($CU72-DE$103,Männer!$G$9:$J$102,4)+VLOOKUP($CU72-DE$103+1,Männer!$G$9:$J$102,4))*0.5*(VLOOKUP($CU72-DE$103,Männer!$AZ$9:$BD$102,5)+VLOOKUP($CU72-DE$103+1,Männer!$AZ$9:$BD$102,5)),RundDx)))</f>
        <v/>
      </c>
      <c r="DF72" s="25" t="str">
        <f>IF($CU72&gt;=RAF,"",IF($CU72-DF$103&lt;BeginnAlter,"",ROUND(v^($CU72+FaktorAlter)*$L72*$D72*0.5*(VLOOKUP($CU72-DF$103,Männer!$G$9:$J$102,4)+VLOOKUP($CU72-DF$103+1,Männer!$G$9:$J$102,4))*0.5*(VLOOKUP($CU72-DF$103,Männer!$AZ$9:$BD$102,5)+VLOOKUP($CU72-DF$103+1,Männer!$AZ$9:$BD$102,5)),RundDx)))</f>
        <v/>
      </c>
      <c r="DG72" s="25" t="str">
        <f>IF($CU72&gt;=RAF,"",IF($CU72-DG$103&lt;BeginnAlter,"",ROUND(v^($CU72+FaktorAlter)*$L72*$D72*0.5*(VLOOKUP($CU72-DG$103,Männer!$G$9:$J$102,4)+VLOOKUP($CU72-DG$103+1,Männer!$G$9:$J$102,4))*0.5*(VLOOKUP($CU72-DG$103,Männer!$AZ$9:$BD$102,5)+VLOOKUP($CU72-DG$103+1,Männer!$AZ$9:$BD$102,5)),RundDx)))</f>
        <v/>
      </c>
      <c r="DH72" s="25" t="str">
        <f>IF($CU72&gt;=RAF,"",IF($CU72-DH$103&lt;BeginnAlter,"",ROUND(v^($CU72+FaktorAlter)*$L72*$D72*0.5*(VLOOKUP($CU72-DH$103,Männer!$G$9:$J$102,4)+VLOOKUP($CU72-DH$103+1,Männer!$G$9:$J$102,4))*0.5*(VLOOKUP($CU72-DH$103,Männer!$AZ$9:$BD$102,5)+VLOOKUP($CU72-DH$103+1,Männer!$AZ$9:$BD$102,5)),RundDx)))</f>
        <v/>
      </c>
      <c r="DI72" s="25" t="str">
        <f>IF($CU72&gt;=RAF,"",IF($CU72-DI$103&lt;BeginnAlter,"",ROUND(v^($CU72+FaktorAlter)*$L72*$D72*0.5*(VLOOKUP($CU72-DI$103,Männer!$G$9:$J$102,4)+VLOOKUP($CU72-DI$103+1,Männer!$G$9:$J$102,4))*0.5*(VLOOKUP($CU72-DI$103,Männer!$AZ$9:$BD$102,5)+VLOOKUP($CU72-DI$103+1,Männer!$AZ$9:$BD$102,5)),RundDx)))</f>
        <v/>
      </c>
      <c r="DJ72" s="25" t="str">
        <f>IF($CU72&gt;=RAF,"",IF($CU72-DJ$103&lt;BeginnAlter,"",ROUND(v^($CU72+FaktorAlter)*$L72*$D72*0.5*(VLOOKUP($CU72-DJ$103,Männer!$G$9:$J$102,4)+VLOOKUP($CU72-DJ$103+1,Männer!$G$9:$J$102,4))*0.5*(VLOOKUP($CU72-DJ$103,Männer!$AZ$9:$BD$102,5)+VLOOKUP($CU72-DJ$103+1,Männer!$AZ$9:$BD$102,5)),RundDx)))</f>
        <v/>
      </c>
      <c r="DK72" s="25" t="str">
        <f>IF($CU72&gt;=RAF,"",IF($CU72-DK$103&lt;BeginnAlter,"",ROUND(v^($CU72+FaktorAlter)*$L72*$D72*0.5*(VLOOKUP($CU72-DK$103,Männer!$G$9:$J$102,4)+VLOOKUP($CU72-DK$103+1,Männer!$G$9:$J$102,4))*0.5*(VLOOKUP($CU72-DK$103,Männer!$AZ$9:$BD$102,5)+VLOOKUP($CU72-DK$103+1,Männer!$AZ$9:$BD$102,5)),RundDx)))</f>
        <v/>
      </c>
      <c r="DL72" s="25" t="str">
        <f>IF($CU72&gt;=RAF,"",IF($CU72-DL$103&lt;BeginnAlter,"",ROUND(v^($CU72+FaktorAlter)*$L72*$D72*0.5*(VLOOKUP($CU72-DL$103,Männer!$G$9:$J$102,4)+VLOOKUP($CU72-DL$103+1,Männer!$G$9:$J$102,4))*0.5*(VLOOKUP($CU72-DL$103,Männer!$AZ$9:$BD$102,5)+VLOOKUP($CU72-DL$103+1,Männer!$AZ$9:$BD$102,5)),RundDx)))</f>
        <v/>
      </c>
      <c r="DM72" s="25" t="str">
        <f>IF($CU72&gt;=RAF,"",IF($CU72-DM$103&lt;BeginnAlter,"",ROUND(v^($CU72+FaktorAlter)*$L72*$D72*0.5*(VLOOKUP($CU72-DM$103,Männer!$G$9:$J$102,4)+VLOOKUP($CU72-DM$103+1,Männer!$G$9:$J$102,4))*0.5*(VLOOKUP($CU72-DM$103,Männer!$AZ$9:$BD$102,5)+VLOOKUP($CU72-DM$103+1,Männer!$AZ$9:$BD$102,5)),RundDx)))</f>
        <v/>
      </c>
      <c r="DN72" s="25" t="str">
        <f>IF($CU72&gt;=RAF,"",IF($CU72-DN$103&lt;BeginnAlter,"",ROUND(v^($CU72+FaktorAlter)*$L72*$D72*0.5*(VLOOKUP($CU72-DN$103,Männer!$G$9:$J$102,4)+VLOOKUP($CU72-DN$103+1,Männer!$G$9:$J$102,4))*0.5*(VLOOKUP($CU72-DN$103,Männer!$AZ$9:$BD$102,5)+VLOOKUP($CU72-DN$103+1,Männer!$AZ$9:$BD$102,5)),RundDx)))</f>
        <v/>
      </c>
      <c r="DO72" s="25" t="str">
        <f>IF($CU72&gt;=RAF,"",IF($CU72-DO$103&lt;BeginnAlter,"",ROUND(v^($CU72+FaktorAlter)*$L72*$D72*0.5*(VLOOKUP($CU72-DO$103,Männer!$G$9:$J$102,4)+VLOOKUP($CU72-DO$103+1,Männer!$G$9:$J$102,4))*0.5*(VLOOKUP($CU72-DO$103,Männer!$AZ$9:$BD$102,5)+VLOOKUP($CU72-DO$103+1,Männer!$AZ$9:$BD$102,5)),RundDx)))</f>
        <v/>
      </c>
      <c r="DP72" s="25" t="str">
        <f>IF($CU72&gt;=RAF,"",IF($CU72-DP$103&lt;BeginnAlter,"",ROUND(v^($CU72+FaktorAlter)*$L72*$D72*0.5*(VLOOKUP($CU72-DP$103,Männer!$G$9:$J$102,4)+VLOOKUP($CU72-DP$103+1,Männer!$G$9:$J$102,4))*0.5*(VLOOKUP($CU72-DP$103,Männer!$AZ$9:$BD$102,5)+VLOOKUP($CU72-DP$103+1,Männer!$AZ$9:$BD$102,5)),RundDx)))</f>
        <v/>
      </c>
      <c r="DQ72" s="25" t="str">
        <f>IF($CU72&gt;=RAF,"",IF($CU72-DQ$103&lt;BeginnAlter,"",ROUND(v^($CU72+FaktorAlter)*$L72*$D72*0.5*(VLOOKUP($CU72-DQ$103,Männer!$G$9:$J$102,4)+VLOOKUP($CU72-DQ$103+1,Männer!$G$9:$J$102,4))*0.5*(VLOOKUP($CU72-DQ$103,Männer!$AZ$9:$BD$102,5)+VLOOKUP($CU72-DQ$103+1,Männer!$AZ$9:$BD$102,5)),RundDx)))</f>
        <v/>
      </c>
      <c r="DR72" s="25" t="str">
        <f>IF($CU72&gt;=RAF,"",IF($CU72-DR$103&lt;BeginnAlter,"",ROUND(v^($CU72+FaktorAlter)*$L72*$D72*0.5*(VLOOKUP($CU72-DR$103,Männer!$G$9:$J$102,4)+VLOOKUP($CU72-DR$103+1,Männer!$G$9:$J$102,4))*0.5*(VLOOKUP($CU72-DR$103,Männer!$AZ$9:$BD$102,5)+VLOOKUP($CU72-DR$103+1,Männer!$AZ$9:$BD$102,5)),RundDx)))</f>
        <v/>
      </c>
      <c r="DS72" s="25" t="str">
        <f>IF($CU72&gt;=RAF,"",IF($CU72-DS$103&lt;BeginnAlter,"",ROUND(v^($CU72+FaktorAlter)*$L72*$D72*0.5*(VLOOKUP($CU72-DS$103,Männer!$G$9:$J$102,4)+VLOOKUP($CU72-DS$103+1,Männer!$G$9:$J$102,4))*0.5*(VLOOKUP($CU72-DS$103,Männer!$AZ$9:$BD$102,5)+VLOOKUP($CU72-DS$103+1,Männer!$AZ$9:$BD$102,5)),RundDx)))</f>
        <v/>
      </c>
      <c r="DT72" s="25" t="str">
        <f>IF($CU72&gt;=RAF,"",IF($CU72-DT$103&lt;BeginnAlter,"",ROUND(v^($CU72+FaktorAlter)*$L72*$D72*0.5*(VLOOKUP($CU72-DT$103,Männer!$G$9:$J$102,4)+VLOOKUP($CU72-DT$103+1,Männer!$G$9:$J$102,4))*0.5*(VLOOKUP($CU72-DT$103,Männer!$AZ$9:$BD$102,5)+VLOOKUP($CU72-DT$103+1,Männer!$AZ$9:$BD$102,5)),RundDx)))</f>
        <v/>
      </c>
      <c r="DU72" s="25" t="str">
        <f>IF($CU72&gt;=RAF,"",IF($CU72-DU$103&lt;BeginnAlter,"",ROUND(v^($CU72+FaktorAlter)*$L72*$D72*0.5*(VLOOKUP($CU72-DU$103,Männer!$G$9:$J$102,4)+VLOOKUP($CU72-DU$103+1,Männer!$G$9:$J$102,4))*0.5*(VLOOKUP($CU72-DU$103,Männer!$AZ$9:$BD$102,5)+VLOOKUP($CU72-DU$103+1,Männer!$AZ$9:$BD$102,5)),RundDx)))</f>
        <v/>
      </c>
      <c r="DV72" s="25" t="str">
        <f>IF($CU72&gt;=RAF,"",IF($CU72-DV$103&lt;BeginnAlter,"",ROUND(v^($CU72+FaktorAlter)*$L72*$D72*0.5*(VLOOKUP($CU72-DV$103,Männer!$G$9:$J$102,4)+VLOOKUP($CU72-DV$103+1,Männer!$G$9:$J$102,4))*0.5*(VLOOKUP($CU72-DV$103,Männer!$AZ$9:$BD$102,5)+VLOOKUP($CU72-DV$103+1,Männer!$AZ$9:$BD$102,5)),RundDx)))</f>
        <v/>
      </c>
      <c r="DW72" s="25" t="str">
        <f>IF($CU72&gt;=RAF,"",IF($CU72-DW$103&lt;BeginnAlter,"",ROUND(v^($CU72+FaktorAlter)*$L72*$D72*0.5*(VLOOKUP($CU72-DW$103,Männer!$G$9:$J$102,4)+VLOOKUP($CU72-DW$103+1,Männer!$G$9:$J$102,4))*0.5*(VLOOKUP($CU72-DW$103,Männer!$AZ$9:$BD$102,5)+VLOOKUP($CU72-DW$103+1,Männer!$AZ$9:$BD$102,5)),RundDx)))</f>
        <v/>
      </c>
      <c r="DX72" s="25" t="str">
        <f>IF($CU72&gt;=RAF,"",IF($CU72-DX$103&lt;BeginnAlter,"",ROUND(v^($CU72+FaktorAlter)*$L72*$D72*0.5*(VLOOKUP($CU72-DX$103,Männer!$G$9:$J$102,4)+VLOOKUP($CU72-DX$103+1,Männer!$G$9:$J$102,4))*0.5*(VLOOKUP($CU72-DX$103,Männer!$AZ$9:$BD$102,5)+VLOOKUP($CU72-DX$103+1,Männer!$AZ$9:$BD$102,5)),RundDx)))</f>
        <v/>
      </c>
      <c r="DY72" s="25" t="str">
        <f>IF($CU72&gt;=RAF,"",IF($CU72-DY$103&lt;BeginnAlter,"",ROUND(v^($CU72+FaktorAlter)*$L72*$D72*0.5*(VLOOKUP($CU72-DY$103,Männer!$G$9:$J$102,4)+VLOOKUP($CU72-DY$103+1,Männer!$G$9:$J$102,4))*0.5*(VLOOKUP($CU72-DY$103,Männer!$AZ$9:$BD$102,5)+VLOOKUP($CU72-DY$103+1,Männer!$AZ$9:$BD$102,5)),RundDx)))</f>
        <v/>
      </c>
      <c r="DZ72" s="25" t="str">
        <f>IF($CU72&gt;=RAF,"",IF($CU72-DZ$103&lt;BeginnAlter,"",ROUND(v^($CU72+FaktorAlter)*$L72*$D72*0.5*(VLOOKUP($CU72-DZ$103,Männer!$G$9:$J$102,4)+VLOOKUP($CU72-DZ$103+1,Männer!$G$9:$J$102,4))*0.5*(VLOOKUP($CU72-DZ$103,Männer!$AZ$9:$BD$102,5)+VLOOKUP($CU72-DZ$103+1,Männer!$AZ$9:$BD$102,5)),RundDx)))</f>
        <v/>
      </c>
      <c r="EA72" s="43" t="str">
        <f>IF($CU72&gt;=RAF,"",IF($CU72-EA$103&lt;BeginnAlter,"",ROUND((SUM(CV$56:CV72)+SUM(FN$9:FN$56))/VLOOKUP($CU72,$AH$9:$AI$102,2)/VLOOKUP($CU72-EA$103,Männer!$G$9:$J$102,4),Rundäx)))</f>
        <v/>
      </c>
      <c r="EB72" s="43" t="str">
        <f>IF($CU72&gt;=RAF,"",IF($CU72-EB$103&lt;BeginnAlter,"",ROUND((SUM(CW$56:CW72)+SUM(FO$9:FO$56))/VLOOKUP($CU72,$AH$9:$AI$102,2)/VLOOKUP($CU72-EB$103,Männer!$G$9:$J$102,4),Rundäx)))</f>
        <v/>
      </c>
      <c r="EC72" s="43" t="str">
        <f>IF($CU72&gt;=RAF,"",IF($CU72-EC$103&lt;BeginnAlter,"",ROUND((SUM(CX$56:CX72)+SUM(FP$9:FP$56))/VLOOKUP($CU72,$AH$9:$AI$102,2)/VLOOKUP($CU72-EC$103,Männer!$G$9:$J$102,4),Rundäx)))</f>
        <v/>
      </c>
      <c r="ED72" s="43" t="str">
        <f>IF($CU72&gt;=RAF,"",IF($CU72-ED$103&lt;BeginnAlter,"",ROUND((SUM(CY$56:CY72)+SUM(FQ$9:FQ$56))/VLOOKUP($CU72,$AH$9:$AI$102,2)/VLOOKUP($CU72-ED$103,Männer!$G$9:$J$102,4),Rundäx)))</f>
        <v/>
      </c>
      <c r="EE72" s="43" t="str">
        <f>IF($CU72&gt;=RAF,"",IF($CU72-EE$103&lt;BeginnAlter,"",ROUND((SUM(CZ$56:CZ72)+SUM(FR$9:FR$56))/VLOOKUP($CU72,$AH$9:$AI$102,2)/VLOOKUP($CU72-EE$103,Männer!$G$9:$J$102,4),Rundäx)))</f>
        <v/>
      </c>
      <c r="EF72" s="43" t="str">
        <f>IF($CU72&gt;=RAF,"",IF($CU72-EF$103&lt;BeginnAlter,"",ROUND((SUM(DA$56:DA72)+SUM(FS$9:FS$56))/VLOOKUP($CU72,$AH$9:$AI$102,2)/VLOOKUP($CU72-EF$103,Männer!$G$9:$J$102,4),Rundäx)))</f>
        <v/>
      </c>
      <c r="EG72" s="43" t="str">
        <f>IF($CU72&gt;=RAF,"",IF($CU72-EG$103&lt;BeginnAlter,"",ROUND((SUM(DB$56:DB72)+SUM(FT$9:FT$56))/VLOOKUP($CU72,$AH$9:$AI$102,2)/VLOOKUP($CU72-EG$103,Männer!$G$9:$J$102,4),Rundäx)))</f>
        <v/>
      </c>
      <c r="EH72" s="43" t="str">
        <f>IF($CU72&gt;=RAF,"",IF($CU72-EH$103&lt;BeginnAlter,"",ROUND((SUM(DC$56:DC72)+SUM(FU$9:FU$56))/VLOOKUP($CU72,$AH$9:$AI$102,2)/VLOOKUP($CU72-EH$103,Männer!$G$9:$J$102,4),Rundäx)))</f>
        <v/>
      </c>
      <c r="EI72" s="89"/>
      <c r="EJ72" s="35">
        <f t="shared" si="61"/>
        <v>80</v>
      </c>
      <c r="EK72" s="43" t="str">
        <f>IF($CU72&gt;=RAF,"",IF($CU72-EK$103&lt;BeginnAlter,"",ROUND((SUM(DD$56:DD72)+SUM(FV$9:FV$56))/VLOOKUP($CU72,$AH$9:$AI$102,2)/VLOOKUP($CU72-EK$103,Männer!$G$9:$J$102,4),Rundäx)))</f>
        <v/>
      </c>
      <c r="EL72" s="43" t="str">
        <f>IF($CU72&gt;=RAF,"",IF($CU72-EL$103&lt;BeginnAlter,"",ROUND((SUM(DE$56:DE72)+SUM(FW$9:FW$56))/VLOOKUP($CU72,$AH$9:$AI$102,2)/VLOOKUP($CU72-EL$103,Männer!$G$9:$J$102,4),Rundäx)))</f>
        <v/>
      </c>
      <c r="EM72" s="43" t="str">
        <f>IF($CU72&gt;=RAF,"",IF($CU72-EM$103&lt;BeginnAlter,"",ROUND((SUM(DF$56:DF72)+SUM(FX$9:FX$56))/VLOOKUP($CU72,$AH$9:$AI$102,2)/VLOOKUP($CU72-EM$103,Männer!$G$9:$J$102,4),Rundäx)))</f>
        <v/>
      </c>
      <c r="EN72" s="43" t="str">
        <f>IF($CU72&gt;=RAF,"",IF($CU72-EN$103&lt;BeginnAlter,"",ROUND((SUM(DG$56:DG72)+SUM(FY$9:FY$56))/VLOOKUP($CU72,$AH$9:$AI$102,2)/VLOOKUP($CU72-EN$103,Männer!$G$9:$J$102,4),Rundäx)))</f>
        <v/>
      </c>
      <c r="EO72" s="43" t="str">
        <f>IF($CU72&gt;=RAF,"",IF($CU72-EO$103&lt;BeginnAlter,"",ROUND((SUM(DH$56:DH72)+SUM(FZ$9:FZ$56))/VLOOKUP($CU72,$AH$9:$AI$102,2)/VLOOKUP($CU72-EO$103,Männer!$G$9:$J$102,4),Rundäx)))</f>
        <v/>
      </c>
      <c r="EP72" s="43" t="str">
        <f>IF($CU72&gt;=RAF,"",IF($CU72-EP$103&lt;BeginnAlter,"",ROUND((SUM(DI$56:DI72)+SUM(GA$9:GA$56))/VLOOKUP($CU72,$AH$9:$AI$102,2)/VLOOKUP($CU72-EP$103,Männer!$G$9:$J$102,4),Rundäx)))</f>
        <v/>
      </c>
      <c r="EQ72" s="43" t="str">
        <f>IF($CU72&gt;=RAF,"",IF($CU72-EQ$103&lt;BeginnAlter,"",ROUND((SUM(DJ$56:DJ72)+SUM(GB$9:GB$56))/VLOOKUP($CU72,$AH$9:$AI$102,2)/VLOOKUP($CU72-EQ$103,Männer!$G$9:$J$102,4),Rundäx)))</f>
        <v/>
      </c>
      <c r="ER72" s="43" t="str">
        <f>IF($CU72&gt;=RAF,"",IF($CU72-ER$103&lt;BeginnAlter,"",ROUND((SUM(DK$56:DK72)+SUM(GC$9:GC$56))/VLOOKUP($CU72,$AH$9:$AI$102,2)/VLOOKUP($CU72-ER$103,Männer!$G$9:$J$102,4),Rundäx)))</f>
        <v/>
      </c>
      <c r="ES72" s="89"/>
      <c r="ET72" s="35">
        <f t="shared" si="62"/>
        <v>80</v>
      </c>
      <c r="EU72" s="43" t="str">
        <f>IF($CU72&gt;=RAF,"",IF($CU72-EU$103&lt;BeginnAlter,"",ROUND((SUM(DL$56:DL72)+SUM(GD$9:GD$56))/VLOOKUP($CU72,$AH$9:$AI$102,2)/VLOOKUP($CU72-EU$103,Männer!$G$9:$J$102,4),Rundäx)))</f>
        <v/>
      </c>
      <c r="EV72" s="43" t="str">
        <f>IF($CU72&gt;=RAF,"",IF($CU72-EV$103&lt;BeginnAlter,"",ROUND((SUM(DM$56:DM72)+SUM(GE$9:GE$56))/VLOOKUP($CU72,$AH$9:$AI$102,2)/VLOOKUP($CU72-EV$103,Männer!$G$9:$J$102,4),Rundäx)))</f>
        <v/>
      </c>
      <c r="EW72" s="43" t="str">
        <f>IF($CU72&gt;=RAF,"",IF($CU72-EW$103&lt;BeginnAlter,"",ROUND((SUM(DN$56:DN72)+SUM(GF$9:GF$56))/VLOOKUP($CU72,$AH$9:$AI$102,2)/VLOOKUP($CU72-EW$103,Männer!$G$9:$J$102,4),Rundäx)))</f>
        <v/>
      </c>
      <c r="EX72" s="43" t="str">
        <f>IF($CU72&gt;=RAF,"",IF($CU72-EX$103&lt;BeginnAlter,"",ROUND((SUM(DO$56:DO72)+SUM(GG$9:GG$56))/VLOOKUP($CU72,$AH$9:$AI$102,2)/VLOOKUP($CU72-EX$103,Männer!$G$9:$J$102,4),Rundäx)))</f>
        <v/>
      </c>
      <c r="EY72" s="43" t="str">
        <f>IF($CU72&gt;=RAF,"",IF($CU72-EY$103&lt;BeginnAlter,"",ROUND((SUM(DP$56:DP72)+SUM(GH$9:GH$56))/VLOOKUP($CU72,$AH$9:$AI$102,2)/VLOOKUP($CU72-EY$103,Männer!$G$9:$J$102,4),Rundäx)))</f>
        <v/>
      </c>
      <c r="EZ72" s="43" t="str">
        <f>IF($CU72&gt;=RAF,"",IF($CU72-EZ$103&lt;BeginnAlter,"",ROUND((SUM(DQ$56:DQ72)+SUM(GI$9:GI$56))/VLOOKUP($CU72,$AH$9:$AI$102,2)/VLOOKUP($CU72-EZ$103,Männer!$G$9:$J$102,4),Rundäx)))</f>
        <v/>
      </c>
      <c r="FA72" s="43" t="str">
        <f>IF($CU72&gt;=RAF,"",IF($CU72-FA$103&lt;BeginnAlter,"",ROUND((SUM(DR$56:DR72)+SUM(GJ$9:GJ$56))/VLOOKUP($CU72,$AH$9:$AI$102,2)/VLOOKUP($CU72-FA$103,Männer!$G$9:$J$102,4),Rundäx)))</f>
        <v/>
      </c>
      <c r="FB72" s="43" t="str">
        <f>IF($CU72&gt;=RAF,"",IF($CU72-FB$103&lt;BeginnAlter,"",ROUND((SUM(DS$56:DS72)+SUM(GK$9:GK$56))/VLOOKUP($CU72,$AH$9:$AI$102,2)/VLOOKUP($CU72-FB$103,Männer!$G$9:$J$102,4),Rundäx)))</f>
        <v/>
      </c>
      <c r="FC72" s="89"/>
      <c r="FD72" s="35">
        <f t="shared" si="63"/>
        <v>80</v>
      </c>
      <c r="FE72" s="43" t="str">
        <f>IF($CU72&gt;=RAF,"",IF($CU72-FE$103&lt;BeginnAlter,"",ROUND((SUM(DT$56:DT72)+SUM(GL$9:GL$56))/VLOOKUP($CU72,$AH$9:$AI$102,2)/VLOOKUP($CU72-FE$103,Männer!$G$9:$J$102,4),Rundäx)))</f>
        <v/>
      </c>
      <c r="FF72" s="43" t="str">
        <f>IF($CU72&gt;=RAF,"",IF($CU72-FF$103&lt;BeginnAlter,"",ROUND((SUM(DU$56:DU72)+SUM(GM$9:GM$56))/VLOOKUP($CU72,$AH$9:$AI$102,2)/VLOOKUP($CU72-FF$103,Männer!$G$9:$J$102,4),Rundäx)))</f>
        <v/>
      </c>
      <c r="FG72" s="43" t="str">
        <f>IF($CU72&gt;=RAF,"",IF($CU72-FG$103&lt;BeginnAlter,"",ROUND((SUM(DV$56:DV72)+SUM(GN$9:GN$56))/VLOOKUP($CU72,$AH$9:$AI$102,2)/VLOOKUP($CU72-FG$103,Männer!$G$9:$J$102,4),Rundäx)))</f>
        <v/>
      </c>
      <c r="FH72" s="43" t="str">
        <f>IF($CU72&gt;=RAF,"",IF($CU72-FH$103&lt;BeginnAlter,"",ROUND((SUM(DW$56:DW72)+SUM(GO$9:GO$56))/VLOOKUP($CU72,$AH$9:$AI$102,2)/VLOOKUP($CU72-FH$103,Männer!$G$9:$J$102,4),Rundäx)))</f>
        <v/>
      </c>
      <c r="FI72" s="43" t="str">
        <f>IF($CU72&gt;=RAF,"",IF($CU72-FI$103&lt;BeginnAlter,"",ROUND((SUM(DX$56:DX72)+SUM(GP$9:GP$56))/VLOOKUP($CU72,$AH$9:$AI$102,2)/VLOOKUP($CU72-FI$103,Männer!$G$9:$J$102,4),Rundäx)))</f>
        <v/>
      </c>
      <c r="FJ72" s="43" t="str">
        <f>IF($CU72&gt;=RAF,"",IF($CU72-FJ$103&lt;BeginnAlter,"",ROUND((SUM(DY$56:DY72)+SUM(GQ$9:GQ$56))/VLOOKUP($CU72,$AH$9:$AI$102,2)/VLOOKUP($CU72-FJ$103,Männer!$G$9:$J$102,4),Rundäx)))</f>
        <v/>
      </c>
      <c r="FK72" s="43" t="str">
        <f>IF($CU72&gt;=RAF,"",IF($CU72-FK$103&lt;BeginnAlter,"",ROUND((SUM(DZ$56:DZ72)+SUM(GR$9:GR$56))/VLOOKUP($CU72,$AH$9:$AI$102,2)/VLOOKUP($CU72-FK$103,Männer!$G$9:$J$102,4),Rundäx)))</f>
        <v/>
      </c>
      <c r="FL72" s="89"/>
      <c r="FM72" s="35">
        <f t="shared" si="64"/>
        <v>127</v>
      </c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4"/>
      <c r="GT72" s="24"/>
      <c r="GU72" s="24" t="str">
        <f>IF(FM72&gt;=RAF," ",#REF!/$AI72/Frauen!$J60)</f>
        <v xml:space="preserve"> </v>
      </c>
      <c r="GV72" s="24" t="str">
        <f>IF(FM72&gt;=RAF," ",#REF!/$AI72/Frauen!$J63)</f>
        <v xml:space="preserve"> </v>
      </c>
      <c r="GW72" s="24" t="str">
        <f>IF(FM72&gt;=RAF," ",#REF!/$AI72/Frauen!$J66)</f>
        <v xml:space="preserve"> </v>
      </c>
      <c r="GX72" s="24" t="str">
        <f>IF(FM72&gt;=RAF," ",#REF!/$AI72/Frauen!$J69)</f>
        <v xml:space="preserve"> </v>
      </c>
      <c r="GY72" s="24" t="str">
        <f>IF(FM72&gt;=RAF," ",#REF!/$AI72/Frauen!$J72)</f>
        <v xml:space="preserve"> </v>
      </c>
      <c r="GZ72" s="24" t="str">
        <f>IF(FM72&gt;=RAF," ",#REF!/$AI72/Frauen!$J75)</f>
        <v xml:space="preserve"> </v>
      </c>
      <c r="HA72" s="89"/>
      <c r="HB72" s="35">
        <f t="shared" si="65"/>
        <v>127</v>
      </c>
      <c r="HC72" s="24"/>
      <c r="HD72" s="24"/>
      <c r="HE72" s="24"/>
      <c r="HF72" s="24"/>
      <c r="HG72" s="24"/>
      <c r="HH72" s="24"/>
      <c r="HI72" s="24"/>
      <c r="HJ72" s="24"/>
      <c r="HK72" s="89"/>
      <c r="HL72" s="35">
        <f t="shared" si="66"/>
        <v>127</v>
      </c>
      <c r="HM72" s="24"/>
      <c r="HN72" s="24"/>
      <c r="HO72" s="24"/>
      <c r="HP72" s="24"/>
      <c r="HQ72" s="24"/>
      <c r="HR72" s="24"/>
      <c r="HS72" s="24"/>
      <c r="HT72" s="24"/>
      <c r="HU72" s="89"/>
      <c r="HV72" s="35">
        <f t="shared" si="67"/>
        <v>127</v>
      </c>
      <c r="HW72" s="24"/>
      <c r="HX72" s="24"/>
      <c r="HY72" s="24"/>
      <c r="HZ72" s="24"/>
      <c r="IA72" s="24"/>
      <c r="IB72" s="24"/>
      <c r="IC72" s="24"/>
      <c r="ID72" s="89"/>
      <c r="IE72" s="9">
        <f t="shared" si="80"/>
        <v>80</v>
      </c>
      <c r="IF72" s="11" t="str">
        <f t="shared" si="25"/>
        <v/>
      </c>
      <c r="IG72" s="11" t="str">
        <f>IF($IE72&lt;RAF,IF(S73&lt;=RAK,ROUND(SUM(IF72:INDEX(Daky,RAF-BeginnAlter))+INDEX(Day,RAF-BeginnAlter+1)*INDEX(äky,1),RundDx),0),"")</f>
        <v/>
      </c>
      <c r="IH72" s="11" t="str">
        <f>IF($IE72&lt;RAF,IF(S73&lt;=RAK,ROUND(SUM(IG72:INDEX(Naky,RAF-BeginnAlter))+INDEX(Day,RAF-BeginnAlter+1)*INDEX(äky,1),RundDx),0),"")</f>
        <v/>
      </c>
      <c r="II72" s="10" t="str">
        <f t="shared" si="26"/>
        <v/>
      </c>
      <c r="IJ72" s="11" t="str">
        <f t="shared" si="27"/>
        <v/>
      </c>
      <c r="IK72" s="11" t="str">
        <f>IF($IE72&lt;RAF,IF(S73&lt;=RAK,SUM(IJ72:INDEX(Diky,RAF-BeginnAlter))+INDEX(Diy,RAF-BeginnAlter+1)*INDEX(äky,1),0),"")</f>
        <v/>
      </c>
      <c r="IL72" s="10" t="str">
        <f t="shared" si="28"/>
        <v/>
      </c>
      <c r="IM72" s="89"/>
      <c r="IN72" s="9">
        <f t="shared" si="29"/>
        <v>127</v>
      </c>
      <c r="IO72" s="11"/>
      <c r="IP72" s="11"/>
      <c r="IQ72" s="10"/>
      <c r="IR72" s="86"/>
    </row>
    <row r="73" spans="1:252" ht="15.75" customHeight="1" x14ac:dyDescent="0.25">
      <c r="A73" s="9">
        <f t="shared" si="69"/>
        <v>81</v>
      </c>
      <c r="B73" s="93"/>
      <c r="C73" s="93"/>
      <c r="D73" s="93"/>
      <c r="E73" s="93">
        <v>4.3998671370974782E-2</v>
      </c>
      <c r="F73" s="89"/>
      <c r="G73" s="9">
        <f t="shared" si="70"/>
        <v>81</v>
      </c>
      <c r="H73" s="11" t="str">
        <f t="shared" si="30"/>
        <v/>
      </c>
      <c r="I73" s="25" t="str">
        <f t="shared" si="31"/>
        <v/>
      </c>
      <c r="J73" s="25">
        <f t="shared" si="32"/>
        <v>65099</v>
      </c>
      <c r="K73" s="30">
        <f>IF(J73&gt;0,ROUND(SUM(J73:J$102)/J73-0.5,Rundex),"")</f>
        <v>8.56</v>
      </c>
      <c r="L73" s="25">
        <f t="shared" si="6"/>
        <v>65099</v>
      </c>
      <c r="M73" s="30">
        <f>IF(L73&gt;0,ROUND(SUM(L73:L$102)/L73-0.5,Rundex),"")</f>
        <v>8.56</v>
      </c>
      <c r="N73" s="89"/>
      <c r="O73" s="9">
        <f t="shared" si="71"/>
        <v>81</v>
      </c>
      <c r="P73" s="94">
        <v>7.0053992068153147E-3</v>
      </c>
      <c r="Q73" s="95">
        <v>81.643614512786058</v>
      </c>
      <c r="R73" s="94"/>
      <c r="S73" s="95"/>
      <c r="T73" s="28">
        <v>4.2226332342052662E-2</v>
      </c>
      <c r="U73" s="11">
        <f t="shared" si="33"/>
        <v>69074</v>
      </c>
      <c r="V73" s="30">
        <f>IF(U73&gt;0,ROUND(SUM(U73:U$102)/U73-0.5,Rundex),"")</f>
        <v>8.93</v>
      </c>
      <c r="W73" s="89"/>
      <c r="X73" s="9">
        <f t="shared" si="72"/>
        <v>81</v>
      </c>
      <c r="Y73" s="11" t="str">
        <f t="shared" si="34"/>
        <v xml:space="preserve"> </v>
      </c>
      <c r="Z73" s="11" t="str">
        <f>IF($X73&lt;RAF,SUM(Y73:INDEX(Day,RAF-BeginnAlter))," ")</f>
        <v xml:space="preserve"> </v>
      </c>
      <c r="AA73" s="11" t="str">
        <f t="shared" ref="AA73:AA102" si="81">IF($X73&lt;RAF,ROUND(v^($X73+FaktorAlter)*$H73*$B73,RundCx)," ")</f>
        <v xml:space="preserve"> </v>
      </c>
      <c r="AB73" s="11" t="str">
        <f>IF($X73&lt;RAF,SUM(AA73:INDEX(Cay,RAF-BeginnAlter))," ")</f>
        <v xml:space="preserve"> </v>
      </c>
      <c r="AC73" s="11" t="str">
        <f t="shared" ref="AC73:AC102" si="82">IF($X73&lt;RAF,ROUND(v^($X73+FaktorAlter)*$H73*$C73,RundCx)," ")</f>
        <v xml:space="preserve"> </v>
      </c>
      <c r="AD73" s="11" t="str">
        <f>IF($X73&lt;RAF,SUM(AC73:INDEX(Caiy,RAF-BeginnAlter))," ")</f>
        <v xml:space="preserve"> </v>
      </c>
      <c r="AE73" s="10" t="str">
        <f t="shared" si="35"/>
        <v xml:space="preserve"> </v>
      </c>
      <c r="AF73" s="10" t="str">
        <f t="shared" si="36"/>
        <v xml:space="preserve"> </v>
      </c>
      <c r="AG73" s="89"/>
      <c r="AH73" s="9">
        <f t="shared" si="73"/>
        <v>81</v>
      </c>
      <c r="AI73" s="11" t="str">
        <f t="shared" si="37"/>
        <v xml:space="preserve"> </v>
      </c>
      <c r="AJ73" s="11" t="str">
        <f>IF($AH73&gt;RAF," ",IF($AH73&lt;RAF,SUM(AI73:INDEX(Diy,RAF-BeginnAlter))+INDEX(Ny,RAF-BeginnAlter+1),INDEX(Ny,RAF-BeginnAlter+1)))</f>
        <v xml:space="preserve"> </v>
      </c>
      <c r="AK73" s="11" t="str">
        <f>IF($AH73&lt;RAF,SUM(AI73:INDEX(Diy,RAF-BeginnAlter))," ")</f>
        <v xml:space="preserve"> </v>
      </c>
      <c r="AL73" s="10" t="str">
        <f t="shared" si="38"/>
        <v xml:space="preserve"> </v>
      </c>
      <c r="AM73" s="10" t="str">
        <f t="shared" si="39"/>
        <v xml:space="preserve"> </v>
      </c>
      <c r="AN73" s="10" t="str">
        <f t="shared" si="40"/>
        <v xml:space="preserve"> </v>
      </c>
      <c r="AO73" s="10" t="str">
        <f t="shared" si="41"/>
        <v xml:space="preserve"> </v>
      </c>
      <c r="AP73" s="89"/>
      <c r="AQ73" s="9">
        <f t="shared" si="74"/>
        <v>81</v>
      </c>
      <c r="AR73" s="11">
        <f t="shared" si="42"/>
        <v>10736</v>
      </c>
      <c r="AS73" s="11">
        <f>SUM(AR73:AR$96)</f>
        <v>86668</v>
      </c>
      <c r="AT73" s="25" t="str">
        <f>IF($AQ73&lt;RAF,SUM(AR73:INDEX(Dy,RAF-BeginnAlter))," ")</f>
        <v xml:space="preserve"> </v>
      </c>
      <c r="AU73" s="24">
        <f t="shared" si="43"/>
        <v>8.0730000000000004</v>
      </c>
      <c r="AV73" s="24">
        <f t="shared" si="44"/>
        <v>7.6139999999999999</v>
      </c>
      <c r="AW73" s="24" t="str">
        <f t="shared" si="45"/>
        <v xml:space="preserve"> </v>
      </c>
      <c r="AX73" s="24" t="str">
        <f t="shared" si="46"/>
        <v xml:space="preserve"> </v>
      </c>
      <c r="AY73" s="89"/>
      <c r="AZ73" s="9">
        <f t="shared" si="75"/>
        <v>81</v>
      </c>
      <c r="BA73" s="11">
        <f t="shared" si="47"/>
        <v>11392</v>
      </c>
      <c r="BB73" s="11">
        <f>SUM(BA73:BA$96)</f>
        <v>95354</v>
      </c>
      <c r="BC73" s="10">
        <f t="shared" si="48"/>
        <v>8.3699999999999992</v>
      </c>
      <c r="BD73" s="10">
        <f t="shared" si="7"/>
        <v>7.9119999999999999</v>
      </c>
      <c r="BE73" s="89"/>
      <c r="BF73" s="9">
        <f t="shared" si="54"/>
        <v>64</v>
      </c>
      <c r="BG73" s="10" t="str">
        <f t="shared" si="8"/>
        <v/>
      </c>
      <c r="BH73" s="10" t="str">
        <f t="shared" si="9"/>
        <v/>
      </c>
      <c r="BI73" s="89"/>
      <c r="BJ73" s="9">
        <f t="shared" si="76"/>
        <v>81</v>
      </c>
      <c r="BK73" s="11" t="str">
        <f t="shared" si="10"/>
        <v xml:space="preserve"> </v>
      </c>
      <c r="BL73" s="11" t="str">
        <f>IF(BJ73&lt;RAF,SUM(BK73:INDEX(Daiy,RAF-BeginnAlter))," ")</f>
        <v xml:space="preserve"> </v>
      </c>
      <c r="BM73" s="11" t="str">
        <f>IF(BJ73&lt;RAF,SUM(BL73:INDEX(Naiy,RAF-BeginnAlter))," ")</f>
        <v xml:space="preserve"> </v>
      </c>
      <c r="BN73" s="10" t="str">
        <f t="shared" si="11"/>
        <v xml:space="preserve"> </v>
      </c>
      <c r="BO73" s="10" t="str">
        <f t="shared" si="12"/>
        <v xml:space="preserve"> </v>
      </c>
      <c r="BP73" s="89"/>
      <c r="BQ73" s="9">
        <f t="shared" si="77"/>
        <v>81</v>
      </c>
      <c r="BR73" s="11" t="str">
        <f t="shared" si="13"/>
        <v xml:space="preserve"> </v>
      </c>
      <c r="BS73" s="11" t="str">
        <f>IF(BQ73&lt;RAF,SUM(BR73:INDEX(Daiys,RAF-BeginnAlter))," ")</f>
        <v xml:space="preserve"> </v>
      </c>
      <c r="BT73" s="11" t="str">
        <f>IF(BQ73&lt;RAF,SUM(BS73:INDEX(Naiys,RAF-BeginnAlter))," ")</f>
        <v xml:space="preserve"> </v>
      </c>
      <c r="BU73" s="10" t="str">
        <f t="shared" si="14"/>
        <v xml:space="preserve"> </v>
      </c>
      <c r="BV73" s="10" t="str">
        <f t="shared" si="15"/>
        <v xml:space="preserve"> </v>
      </c>
      <c r="BW73" s="89"/>
      <c r="BX73" s="9">
        <f t="shared" si="78"/>
        <v>81</v>
      </c>
      <c r="BY73" s="10" t="str">
        <f t="shared" si="16"/>
        <v/>
      </c>
      <c r="BZ73" s="11" t="str">
        <f t="shared" si="17"/>
        <v/>
      </c>
      <c r="CA73" s="11" t="str">
        <f>IF(S74&lt;=RAK,IF($BX73&lt;RAF,SUM(BZ73:INDEX(Dazy,RAF-BeginnAlter)),""),"")</f>
        <v/>
      </c>
      <c r="CB73" s="10" t="str">
        <f t="shared" si="18"/>
        <v/>
      </c>
      <c r="CC73" s="11">
        <f t="shared" si="19"/>
        <v>0</v>
      </c>
      <c r="CD73" s="10">
        <f t="shared" si="20"/>
        <v>0</v>
      </c>
      <c r="CE73" s="10" t="str">
        <f t="shared" si="21"/>
        <v/>
      </c>
      <c r="CF73" s="89"/>
      <c r="CG73" s="9">
        <f t="shared" si="79"/>
        <v>81</v>
      </c>
      <c r="CH73" s="11" t="str">
        <f>IF(CG73&lt;RAF,ROUND(v^($CG73+FaktorAlter)*$H73*($B73*0.5*($P73+$P74)*(VLOOKUP(TRUNC(0.5*($Q73+$Q74),0),Männer!$AZ$9:$BD$95,5)+(0.5*($Q73+$Q74)-TRUNC(0.5*($Q73+$Q74),0))*(VLOOKUP(TRUNC(0.5*($Q73+$Q74)+1,0),Männer!$AZ$9:$BD$95,5)-VLOOKUP(TRUNC(0.5*($Q73+$Q74),0),Männer!$AZ$9:$BD$95,5)))+$C73*0.5*($CN73+$CN74)),RundDx),"")</f>
        <v/>
      </c>
      <c r="CI73" s="11" t="str">
        <f>IF(CG73&lt;RAF,ROUND(SUM(CH73:INDEX(Dawy,RAF-BeginnAlter))+INDEX(Day,RAF-BeginnAlter+1)*INDEX(äwy,1),RundDx),"")</f>
        <v/>
      </c>
      <c r="CJ73" s="11" t="str">
        <f>IF(CG73&lt;RAF,ROUND(SUM(CI73:INDEX(Nawy,RAF-BeginnAlter))+INDEX(Day,RAF-BeginnAlter+1)*INDEX(äwy,1),RundDx),"")</f>
        <v/>
      </c>
      <c r="CK73" s="10" t="str">
        <f t="shared" si="22"/>
        <v/>
      </c>
      <c r="CL73" s="11" t="str">
        <f>IF(CG73&lt;RAF,ROUND(v^($CG73+FaktorAlter)*$L73*$D73*0.5*($P73+$P74)*(VLOOKUP(TRUNC(0.5*($Q73+$Q74),0),Männer!$AZ$9:$BD$95,5)+(0.5*($Q73+$Q74)-TRUNC(0.5*($Q73+$Q74),0))*(VLOOKUP(TRUNC(0.5*($Q73+$Q74)+1,0),Männer!$AZ$9:$BD$95,5)-VLOOKUP(TRUNC(0.5*($Q73+$Q74),0),Männer!$AZ$9:$BD$95,5))),RundDx),"")</f>
        <v/>
      </c>
      <c r="CM73" s="11" t="str">
        <f>IF(CG73&lt;RAF,SUM(CL73:INDEX(Diwy,RAF-BeginnAlter))+INDEX(Diy,RAF-BeginnAlter+1)*INDEX(äwy,1),"")</f>
        <v/>
      </c>
      <c r="CN73" s="10" t="str">
        <f t="shared" si="23"/>
        <v/>
      </c>
      <c r="CO73" s="89"/>
      <c r="CP73" s="9">
        <f t="shared" si="59"/>
        <v>128</v>
      </c>
      <c r="CQ73" s="11"/>
      <c r="CR73" s="11"/>
      <c r="CS73" s="10"/>
      <c r="CT73" s="89"/>
      <c r="CU73" s="35">
        <f t="shared" si="60"/>
        <v>81</v>
      </c>
      <c r="CV73" s="25" t="str">
        <f>IF($CU73&gt;=RAF,"",IF($CU73-CV$103&lt;BeginnAlter,"",ROUND(v^($CU73+FaktorAlter)*$L73*$D73*0.5*(VLOOKUP($CU73-CV$103,Männer!$G$9:$J$102,4)+VLOOKUP($CU73-CV$103+1,Männer!$G$9:$J$102,4))*0.5*(VLOOKUP($CU73-CV$103,Männer!$AZ$9:$BD$102,5)+VLOOKUP($CU73-CV$103+1,Männer!$AZ$9:$BD$102,5)),RundDx)))</f>
        <v/>
      </c>
      <c r="CW73" s="25" t="str">
        <f>IF($CU73&gt;=RAF,"",IF($CU73-CW$103&lt;BeginnAlter,"",ROUND(v^($CU73+FaktorAlter)*$L73*$D73*0.5*(VLOOKUP($CU73-CW$103,Männer!$G$9:$J$102,4)+VLOOKUP($CU73-CW$103+1,Männer!$G$9:$J$102,4))*0.5*(VLOOKUP($CU73-CW$103,Männer!$AZ$9:$BD$102,5)+VLOOKUP($CU73-CW$103+1,Männer!$AZ$9:$BD$102,5)),RundDx)))</f>
        <v/>
      </c>
      <c r="CX73" s="25" t="str">
        <f>IF($CU73&gt;=RAF,"",IF($CU73-CX$103&lt;BeginnAlter,"",ROUND(v^($CU73+FaktorAlter)*$L73*$D73*0.5*(VLOOKUP($CU73-CX$103,Männer!$G$9:$J$102,4)+VLOOKUP($CU73-CX$103+1,Männer!$G$9:$J$102,4))*0.5*(VLOOKUP($CU73-CX$103,Männer!$AZ$9:$BD$102,5)+VLOOKUP($CU73-CX$103+1,Männer!$AZ$9:$BD$102,5)),RundDx)))</f>
        <v/>
      </c>
      <c r="CY73" s="25" t="str">
        <f>IF($CU73&gt;=RAF,"",IF($CU73-CY$103&lt;BeginnAlter,"",ROUND(v^($CU73+FaktorAlter)*$L73*$D73*0.5*(VLOOKUP($CU73-CY$103,Männer!$G$9:$J$102,4)+VLOOKUP($CU73-CY$103+1,Männer!$G$9:$J$102,4))*0.5*(VLOOKUP($CU73-CY$103,Männer!$AZ$9:$BD$102,5)+VLOOKUP($CU73-CY$103+1,Männer!$AZ$9:$BD$102,5)),RundDx)))</f>
        <v/>
      </c>
      <c r="CZ73" s="25" t="str">
        <f>IF($CU73&gt;=RAF,"",IF($CU73-CZ$103&lt;BeginnAlter,"",ROUND(v^($CU73+FaktorAlter)*$L73*$D73*0.5*(VLOOKUP($CU73-CZ$103,Männer!$G$9:$J$102,4)+VLOOKUP($CU73-CZ$103+1,Männer!$G$9:$J$102,4))*0.5*(VLOOKUP($CU73-CZ$103,Männer!$AZ$9:$BD$102,5)+VLOOKUP($CU73-CZ$103+1,Männer!$AZ$9:$BD$102,5)),RundDx)))</f>
        <v/>
      </c>
      <c r="DA73" s="25" t="str">
        <f>IF($CU73&gt;=RAF,"",IF($CU73-DA$103&lt;BeginnAlter,"",ROUND(v^($CU73+FaktorAlter)*$L73*$D73*0.5*(VLOOKUP($CU73-DA$103,Männer!$G$9:$J$102,4)+VLOOKUP($CU73-DA$103+1,Männer!$G$9:$J$102,4))*0.5*(VLOOKUP($CU73-DA$103,Männer!$AZ$9:$BD$102,5)+VLOOKUP($CU73-DA$103+1,Männer!$AZ$9:$BD$102,5)),RundDx)))</f>
        <v/>
      </c>
      <c r="DB73" s="25" t="str">
        <f>IF($CU73&gt;=RAF,"",IF($CU73-DB$103&lt;BeginnAlter,"",ROUND(v^($CU73+FaktorAlter)*$L73*$D73*0.5*(VLOOKUP($CU73-DB$103,Männer!$G$9:$J$102,4)+VLOOKUP($CU73-DB$103+1,Männer!$G$9:$J$102,4))*0.5*(VLOOKUP($CU73-DB$103,Männer!$AZ$9:$BD$102,5)+VLOOKUP($CU73-DB$103+1,Männer!$AZ$9:$BD$102,5)),RundDx)))</f>
        <v/>
      </c>
      <c r="DC73" s="25" t="str">
        <f>IF($CU73&gt;=RAF,"",IF($CU73-DC$103&lt;BeginnAlter,"",ROUND(v^($CU73+FaktorAlter)*$L73*$D73*0.5*(VLOOKUP($CU73-DC$103,Männer!$G$9:$J$102,4)+VLOOKUP($CU73-DC$103+1,Männer!$G$9:$J$102,4))*0.5*(VLOOKUP($CU73-DC$103,Männer!$AZ$9:$BD$102,5)+VLOOKUP($CU73-DC$103+1,Männer!$AZ$9:$BD$102,5)),RundDx)))</f>
        <v/>
      </c>
      <c r="DD73" s="25" t="str">
        <f>IF($CU73&gt;=RAF,"",IF($CU73-DD$103&lt;BeginnAlter,"",ROUND(v^($CU73+FaktorAlter)*$L73*$D73*0.5*(VLOOKUP($CU73-DD$103,Männer!$G$9:$J$102,4)+VLOOKUP($CU73-DD$103+1,Männer!$G$9:$J$102,4))*0.5*(VLOOKUP($CU73-DD$103,Männer!$AZ$9:$BD$102,5)+VLOOKUP($CU73-DD$103+1,Männer!$AZ$9:$BD$102,5)),RundDx)))</f>
        <v/>
      </c>
      <c r="DE73" s="25" t="str">
        <f>IF($CU73&gt;=RAF,"",IF($CU73-DE$103&lt;BeginnAlter,"",ROUND(v^($CU73+FaktorAlter)*$L73*$D73*0.5*(VLOOKUP($CU73-DE$103,Männer!$G$9:$J$102,4)+VLOOKUP($CU73-DE$103+1,Männer!$G$9:$J$102,4))*0.5*(VLOOKUP($CU73-DE$103,Männer!$AZ$9:$BD$102,5)+VLOOKUP($CU73-DE$103+1,Männer!$AZ$9:$BD$102,5)),RundDx)))</f>
        <v/>
      </c>
      <c r="DF73" s="25" t="str">
        <f>IF($CU73&gt;=RAF,"",IF($CU73-DF$103&lt;BeginnAlter,"",ROUND(v^($CU73+FaktorAlter)*$L73*$D73*0.5*(VLOOKUP($CU73-DF$103,Männer!$G$9:$J$102,4)+VLOOKUP($CU73-DF$103+1,Männer!$G$9:$J$102,4))*0.5*(VLOOKUP($CU73-DF$103,Männer!$AZ$9:$BD$102,5)+VLOOKUP($CU73-DF$103+1,Männer!$AZ$9:$BD$102,5)),RundDx)))</f>
        <v/>
      </c>
      <c r="DG73" s="25" t="str">
        <f>IF($CU73&gt;=RAF,"",IF($CU73-DG$103&lt;BeginnAlter,"",ROUND(v^($CU73+FaktorAlter)*$L73*$D73*0.5*(VLOOKUP($CU73-DG$103,Männer!$G$9:$J$102,4)+VLOOKUP($CU73-DG$103+1,Männer!$G$9:$J$102,4))*0.5*(VLOOKUP($CU73-DG$103,Männer!$AZ$9:$BD$102,5)+VLOOKUP($CU73-DG$103+1,Männer!$AZ$9:$BD$102,5)),RundDx)))</f>
        <v/>
      </c>
      <c r="DH73" s="25" t="str">
        <f>IF($CU73&gt;=RAF,"",IF($CU73-DH$103&lt;BeginnAlter,"",ROUND(v^($CU73+FaktorAlter)*$L73*$D73*0.5*(VLOOKUP($CU73-DH$103,Männer!$G$9:$J$102,4)+VLOOKUP($CU73-DH$103+1,Männer!$G$9:$J$102,4))*0.5*(VLOOKUP($CU73-DH$103,Männer!$AZ$9:$BD$102,5)+VLOOKUP($CU73-DH$103+1,Männer!$AZ$9:$BD$102,5)),RundDx)))</f>
        <v/>
      </c>
      <c r="DI73" s="25" t="str">
        <f>IF($CU73&gt;=RAF,"",IF($CU73-DI$103&lt;BeginnAlter,"",ROUND(v^($CU73+FaktorAlter)*$L73*$D73*0.5*(VLOOKUP($CU73-DI$103,Männer!$G$9:$J$102,4)+VLOOKUP($CU73-DI$103+1,Männer!$G$9:$J$102,4))*0.5*(VLOOKUP($CU73-DI$103,Männer!$AZ$9:$BD$102,5)+VLOOKUP($CU73-DI$103+1,Männer!$AZ$9:$BD$102,5)),RundDx)))</f>
        <v/>
      </c>
      <c r="DJ73" s="25" t="str">
        <f>IF($CU73&gt;=RAF,"",IF($CU73-DJ$103&lt;BeginnAlter,"",ROUND(v^($CU73+FaktorAlter)*$L73*$D73*0.5*(VLOOKUP($CU73-DJ$103,Männer!$G$9:$J$102,4)+VLOOKUP($CU73-DJ$103+1,Männer!$G$9:$J$102,4))*0.5*(VLOOKUP($CU73-DJ$103,Männer!$AZ$9:$BD$102,5)+VLOOKUP($CU73-DJ$103+1,Männer!$AZ$9:$BD$102,5)),RundDx)))</f>
        <v/>
      </c>
      <c r="DK73" s="25" t="str">
        <f>IF($CU73&gt;=RAF,"",IF($CU73-DK$103&lt;BeginnAlter,"",ROUND(v^($CU73+FaktorAlter)*$L73*$D73*0.5*(VLOOKUP($CU73-DK$103,Männer!$G$9:$J$102,4)+VLOOKUP($CU73-DK$103+1,Männer!$G$9:$J$102,4))*0.5*(VLOOKUP($CU73-DK$103,Männer!$AZ$9:$BD$102,5)+VLOOKUP($CU73-DK$103+1,Männer!$AZ$9:$BD$102,5)),RundDx)))</f>
        <v/>
      </c>
      <c r="DL73" s="25" t="str">
        <f>IF($CU73&gt;=RAF,"",IF($CU73-DL$103&lt;BeginnAlter,"",ROUND(v^($CU73+FaktorAlter)*$L73*$D73*0.5*(VLOOKUP($CU73-DL$103,Männer!$G$9:$J$102,4)+VLOOKUP($CU73-DL$103+1,Männer!$G$9:$J$102,4))*0.5*(VLOOKUP($CU73-DL$103,Männer!$AZ$9:$BD$102,5)+VLOOKUP($CU73-DL$103+1,Männer!$AZ$9:$BD$102,5)),RundDx)))</f>
        <v/>
      </c>
      <c r="DM73" s="25" t="str">
        <f>IF($CU73&gt;=RAF,"",IF($CU73-DM$103&lt;BeginnAlter,"",ROUND(v^($CU73+FaktorAlter)*$L73*$D73*0.5*(VLOOKUP($CU73-DM$103,Männer!$G$9:$J$102,4)+VLOOKUP($CU73-DM$103+1,Männer!$G$9:$J$102,4))*0.5*(VLOOKUP($CU73-DM$103,Männer!$AZ$9:$BD$102,5)+VLOOKUP($CU73-DM$103+1,Männer!$AZ$9:$BD$102,5)),RundDx)))</f>
        <v/>
      </c>
      <c r="DN73" s="25" t="str">
        <f>IF($CU73&gt;=RAF,"",IF($CU73-DN$103&lt;BeginnAlter,"",ROUND(v^($CU73+FaktorAlter)*$L73*$D73*0.5*(VLOOKUP($CU73-DN$103,Männer!$G$9:$J$102,4)+VLOOKUP($CU73-DN$103+1,Männer!$G$9:$J$102,4))*0.5*(VLOOKUP($CU73-DN$103,Männer!$AZ$9:$BD$102,5)+VLOOKUP($CU73-DN$103+1,Männer!$AZ$9:$BD$102,5)),RundDx)))</f>
        <v/>
      </c>
      <c r="DO73" s="25" t="str">
        <f>IF($CU73&gt;=RAF,"",IF($CU73-DO$103&lt;BeginnAlter,"",ROUND(v^($CU73+FaktorAlter)*$L73*$D73*0.5*(VLOOKUP($CU73-DO$103,Männer!$G$9:$J$102,4)+VLOOKUP($CU73-DO$103+1,Männer!$G$9:$J$102,4))*0.5*(VLOOKUP($CU73-DO$103,Männer!$AZ$9:$BD$102,5)+VLOOKUP($CU73-DO$103+1,Männer!$AZ$9:$BD$102,5)),RundDx)))</f>
        <v/>
      </c>
      <c r="DP73" s="25" t="str">
        <f>IF($CU73&gt;=RAF,"",IF($CU73-DP$103&lt;BeginnAlter,"",ROUND(v^($CU73+FaktorAlter)*$L73*$D73*0.5*(VLOOKUP($CU73-DP$103,Männer!$G$9:$J$102,4)+VLOOKUP($CU73-DP$103+1,Männer!$G$9:$J$102,4))*0.5*(VLOOKUP($CU73-DP$103,Männer!$AZ$9:$BD$102,5)+VLOOKUP($CU73-DP$103+1,Männer!$AZ$9:$BD$102,5)),RundDx)))</f>
        <v/>
      </c>
      <c r="DQ73" s="25" t="str">
        <f>IF($CU73&gt;=RAF,"",IF($CU73-DQ$103&lt;BeginnAlter,"",ROUND(v^($CU73+FaktorAlter)*$L73*$D73*0.5*(VLOOKUP($CU73-DQ$103,Männer!$G$9:$J$102,4)+VLOOKUP($CU73-DQ$103+1,Männer!$G$9:$J$102,4))*0.5*(VLOOKUP($CU73-DQ$103,Männer!$AZ$9:$BD$102,5)+VLOOKUP($CU73-DQ$103+1,Männer!$AZ$9:$BD$102,5)),RundDx)))</f>
        <v/>
      </c>
      <c r="DR73" s="25" t="str">
        <f>IF($CU73&gt;=RAF,"",IF($CU73-DR$103&lt;BeginnAlter,"",ROUND(v^($CU73+FaktorAlter)*$L73*$D73*0.5*(VLOOKUP($CU73-DR$103,Männer!$G$9:$J$102,4)+VLOOKUP($CU73-DR$103+1,Männer!$G$9:$J$102,4))*0.5*(VLOOKUP($CU73-DR$103,Männer!$AZ$9:$BD$102,5)+VLOOKUP($CU73-DR$103+1,Männer!$AZ$9:$BD$102,5)),RundDx)))</f>
        <v/>
      </c>
      <c r="DS73" s="25" t="str">
        <f>IF($CU73&gt;=RAF,"",IF($CU73-DS$103&lt;BeginnAlter,"",ROUND(v^($CU73+FaktorAlter)*$L73*$D73*0.5*(VLOOKUP($CU73-DS$103,Männer!$G$9:$J$102,4)+VLOOKUP($CU73-DS$103+1,Männer!$G$9:$J$102,4))*0.5*(VLOOKUP($CU73-DS$103,Männer!$AZ$9:$BD$102,5)+VLOOKUP($CU73-DS$103+1,Männer!$AZ$9:$BD$102,5)),RundDx)))</f>
        <v/>
      </c>
      <c r="DT73" s="25" t="str">
        <f>IF($CU73&gt;=RAF,"",IF($CU73-DT$103&lt;BeginnAlter,"",ROUND(v^($CU73+FaktorAlter)*$L73*$D73*0.5*(VLOOKUP($CU73-DT$103,Männer!$G$9:$J$102,4)+VLOOKUP($CU73-DT$103+1,Männer!$G$9:$J$102,4))*0.5*(VLOOKUP($CU73-DT$103,Männer!$AZ$9:$BD$102,5)+VLOOKUP($CU73-DT$103+1,Männer!$AZ$9:$BD$102,5)),RundDx)))</f>
        <v/>
      </c>
      <c r="DU73" s="25" t="str">
        <f>IF($CU73&gt;=RAF,"",IF($CU73-DU$103&lt;BeginnAlter,"",ROUND(v^($CU73+FaktorAlter)*$L73*$D73*0.5*(VLOOKUP($CU73-DU$103,Männer!$G$9:$J$102,4)+VLOOKUP($CU73-DU$103+1,Männer!$G$9:$J$102,4))*0.5*(VLOOKUP($CU73-DU$103,Männer!$AZ$9:$BD$102,5)+VLOOKUP($CU73-DU$103+1,Männer!$AZ$9:$BD$102,5)),RundDx)))</f>
        <v/>
      </c>
      <c r="DV73" s="25" t="str">
        <f>IF($CU73&gt;=RAF,"",IF($CU73-DV$103&lt;BeginnAlter,"",ROUND(v^($CU73+FaktorAlter)*$L73*$D73*0.5*(VLOOKUP($CU73-DV$103,Männer!$G$9:$J$102,4)+VLOOKUP($CU73-DV$103+1,Männer!$G$9:$J$102,4))*0.5*(VLOOKUP($CU73-DV$103,Männer!$AZ$9:$BD$102,5)+VLOOKUP($CU73-DV$103+1,Männer!$AZ$9:$BD$102,5)),RundDx)))</f>
        <v/>
      </c>
      <c r="DW73" s="25" t="str">
        <f>IF($CU73&gt;=RAF,"",IF($CU73-DW$103&lt;BeginnAlter,"",ROUND(v^($CU73+FaktorAlter)*$L73*$D73*0.5*(VLOOKUP($CU73-DW$103,Männer!$G$9:$J$102,4)+VLOOKUP($CU73-DW$103+1,Männer!$G$9:$J$102,4))*0.5*(VLOOKUP($CU73-DW$103,Männer!$AZ$9:$BD$102,5)+VLOOKUP($CU73-DW$103+1,Männer!$AZ$9:$BD$102,5)),RundDx)))</f>
        <v/>
      </c>
      <c r="DX73" s="25" t="str">
        <f>IF($CU73&gt;=RAF,"",IF($CU73-DX$103&lt;BeginnAlter,"",ROUND(v^($CU73+FaktorAlter)*$L73*$D73*0.5*(VLOOKUP($CU73-DX$103,Männer!$G$9:$J$102,4)+VLOOKUP($CU73-DX$103+1,Männer!$G$9:$J$102,4))*0.5*(VLOOKUP($CU73-DX$103,Männer!$AZ$9:$BD$102,5)+VLOOKUP($CU73-DX$103+1,Männer!$AZ$9:$BD$102,5)),RundDx)))</f>
        <v/>
      </c>
      <c r="DY73" s="25" t="str">
        <f>IF($CU73&gt;=RAF,"",IF($CU73-DY$103&lt;BeginnAlter,"",ROUND(v^($CU73+FaktorAlter)*$L73*$D73*0.5*(VLOOKUP($CU73-DY$103,Männer!$G$9:$J$102,4)+VLOOKUP($CU73-DY$103+1,Männer!$G$9:$J$102,4))*0.5*(VLOOKUP($CU73-DY$103,Männer!$AZ$9:$BD$102,5)+VLOOKUP($CU73-DY$103+1,Männer!$AZ$9:$BD$102,5)),RundDx)))</f>
        <v/>
      </c>
      <c r="DZ73" s="25" t="str">
        <f>IF($CU73&gt;=RAF,"",IF($CU73-DZ$103&lt;BeginnAlter,"",ROUND(v^($CU73+FaktorAlter)*$L73*$D73*0.5*(VLOOKUP($CU73-DZ$103,Männer!$G$9:$J$102,4)+VLOOKUP($CU73-DZ$103+1,Männer!$G$9:$J$102,4))*0.5*(VLOOKUP($CU73-DZ$103,Männer!$AZ$9:$BD$102,5)+VLOOKUP($CU73-DZ$103+1,Männer!$AZ$9:$BD$102,5)),RundDx)))</f>
        <v/>
      </c>
      <c r="EA73" s="43" t="str">
        <f>IF($CU73&gt;=RAF,"",IF($CU73-EA$103&lt;BeginnAlter,"",ROUND((SUM(CV$56:CV73)+SUM(FN$9:FN$56))/VLOOKUP($CU73,$AH$9:$AI$102,2)/VLOOKUP($CU73-EA$103,Männer!$G$9:$J$102,4),Rundäx)))</f>
        <v/>
      </c>
      <c r="EB73" s="43" t="str">
        <f>IF($CU73&gt;=RAF,"",IF($CU73-EB$103&lt;BeginnAlter,"",ROUND((SUM(CW$56:CW73)+SUM(FO$9:FO$56))/VLOOKUP($CU73,$AH$9:$AI$102,2)/VLOOKUP($CU73-EB$103,Männer!$G$9:$J$102,4),Rundäx)))</f>
        <v/>
      </c>
      <c r="EC73" s="43" t="str">
        <f>IF($CU73&gt;=RAF,"",IF($CU73-EC$103&lt;BeginnAlter,"",ROUND((SUM(CX$56:CX73)+SUM(FP$9:FP$56))/VLOOKUP($CU73,$AH$9:$AI$102,2)/VLOOKUP($CU73-EC$103,Männer!$G$9:$J$102,4),Rundäx)))</f>
        <v/>
      </c>
      <c r="ED73" s="43" t="str">
        <f>IF($CU73&gt;=RAF,"",IF($CU73-ED$103&lt;BeginnAlter,"",ROUND((SUM(CY$56:CY73)+SUM(FQ$9:FQ$56))/VLOOKUP($CU73,$AH$9:$AI$102,2)/VLOOKUP($CU73-ED$103,Männer!$G$9:$J$102,4),Rundäx)))</f>
        <v/>
      </c>
      <c r="EE73" s="43" t="str">
        <f>IF($CU73&gt;=RAF,"",IF($CU73-EE$103&lt;BeginnAlter,"",ROUND((SUM(CZ$56:CZ73)+SUM(FR$9:FR$56))/VLOOKUP($CU73,$AH$9:$AI$102,2)/VLOOKUP($CU73-EE$103,Männer!$G$9:$J$102,4),Rundäx)))</f>
        <v/>
      </c>
      <c r="EF73" s="43" t="str">
        <f>IF($CU73&gt;=RAF,"",IF($CU73-EF$103&lt;BeginnAlter,"",ROUND((SUM(DA$56:DA73)+SUM(FS$9:FS$56))/VLOOKUP($CU73,$AH$9:$AI$102,2)/VLOOKUP($CU73-EF$103,Männer!$G$9:$J$102,4),Rundäx)))</f>
        <v/>
      </c>
      <c r="EG73" s="43" t="str">
        <f>IF($CU73&gt;=RAF,"",IF($CU73-EG$103&lt;BeginnAlter,"",ROUND((SUM(DB$56:DB73)+SUM(FT$9:FT$56))/VLOOKUP($CU73,$AH$9:$AI$102,2)/VLOOKUP($CU73-EG$103,Männer!$G$9:$J$102,4),Rundäx)))</f>
        <v/>
      </c>
      <c r="EH73" s="43" t="str">
        <f>IF($CU73&gt;=RAF,"",IF($CU73-EH$103&lt;BeginnAlter,"",ROUND((SUM(DC$56:DC73)+SUM(FU$9:FU$56))/VLOOKUP($CU73,$AH$9:$AI$102,2)/VLOOKUP($CU73-EH$103,Männer!$G$9:$J$102,4),Rundäx)))</f>
        <v/>
      </c>
      <c r="EI73" s="89"/>
      <c r="EJ73" s="35">
        <f t="shared" si="61"/>
        <v>81</v>
      </c>
      <c r="EK73" s="43" t="str">
        <f>IF($CU73&gt;=RAF,"",IF($CU73-EK$103&lt;BeginnAlter,"",ROUND((SUM(DD$56:DD73)+SUM(FV$9:FV$56))/VLOOKUP($CU73,$AH$9:$AI$102,2)/VLOOKUP($CU73-EK$103,Männer!$G$9:$J$102,4),Rundäx)))</f>
        <v/>
      </c>
      <c r="EL73" s="43" t="str">
        <f>IF($CU73&gt;=RAF,"",IF($CU73-EL$103&lt;BeginnAlter,"",ROUND((SUM(DE$56:DE73)+SUM(FW$9:FW$56))/VLOOKUP($CU73,$AH$9:$AI$102,2)/VLOOKUP($CU73-EL$103,Männer!$G$9:$J$102,4),Rundäx)))</f>
        <v/>
      </c>
      <c r="EM73" s="43" t="str">
        <f>IF($CU73&gt;=RAF,"",IF($CU73-EM$103&lt;BeginnAlter,"",ROUND((SUM(DF$56:DF73)+SUM(FX$9:FX$56))/VLOOKUP($CU73,$AH$9:$AI$102,2)/VLOOKUP($CU73-EM$103,Männer!$G$9:$J$102,4),Rundäx)))</f>
        <v/>
      </c>
      <c r="EN73" s="43" t="str">
        <f>IF($CU73&gt;=RAF,"",IF($CU73-EN$103&lt;BeginnAlter,"",ROUND((SUM(DG$56:DG73)+SUM(FY$9:FY$56))/VLOOKUP($CU73,$AH$9:$AI$102,2)/VLOOKUP($CU73-EN$103,Männer!$G$9:$J$102,4),Rundäx)))</f>
        <v/>
      </c>
      <c r="EO73" s="43" t="str">
        <f>IF($CU73&gt;=RAF,"",IF($CU73-EO$103&lt;BeginnAlter,"",ROUND((SUM(DH$56:DH73)+SUM(FZ$9:FZ$56))/VLOOKUP($CU73,$AH$9:$AI$102,2)/VLOOKUP($CU73-EO$103,Männer!$G$9:$J$102,4),Rundäx)))</f>
        <v/>
      </c>
      <c r="EP73" s="43" t="str">
        <f>IF($CU73&gt;=RAF,"",IF($CU73-EP$103&lt;BeginnAlter,"",ROUND((SUM(DI$56:DI73)+SUM(GA$9:GA$56))/VLOOKUP($CU73,$AH$9:$AI$102,2)/VLOOKUP($CU73-EP$103,Männer!$G$9:$J$102,4),Rundäx)))</f>
        <v/>
      </c>
      <c r="EQ73" s="43" t="str">
        <f>IF($CU73&gt;=RAF,"",IF($CU73-EQ$103&lt;BeginnAlter,"",ROUND((SUM(DJ$56:DJ73)+SUM(GB$9:GB$56))/VLOOKUP($CU73,$AH$9:$AI$102,2)/VLOOKUP($CU73-EQ$103,Männer!$G$9:$J$102,4),Rundäx)))</f>
        <v/>
      </c>
      <c r="ER73" s="43" t="str">
        <f>IF($CU73&gt;=RAF,"",IF($CU73-ER$103&lt;BeginnAlter,"",ROUND((SUM(DK$56:DK73)+SUM(GC$9:GC$56))/VLOOKUP($CU73,$AH$9:$AI$102,2)/VLOOKUP($CU73-ER$103,Männer!$G$9:$J$102,4),Rundäx)))</f>
        <v/>
      </c>
      <c r="ES73" s="89"/>
      <c r="ET73" s="35">
        <f t="shared" si="62"/>
        <v>81</v>
      </c>
      <c r="EU73" s="43" t="str">
        <f>IF($CU73&gt;=RAF,"",IF($CU73-EU$103&lt;BeginnAlter,"",ROUND((SUM(DL$56:DL73)+SUM(GD$9:GD$56))/VLOOKUP($CU73,$AH$9:$AI$102,2)/VLOOKUP($CU73-EU$103,Männer!$G$9:$J$102,4),Rundäx)))</f>
        <v/>
      </c>
      <c r="EV73" s="43" t="str">
        <f>IF($CU73&gt;=RAF,"",IF($CU73-EV$103&lt;BeginnAlter,"",ROUND((SUM(DM$56:DM73)+SUM(GE$9:GE$56))/VLOOKUP($CU73,$AH$9:$AI$102,2)/VLOOKUP($CU73-EV$103,Männer!$G$9:$J$102,4),Rundäx)))</f>
        <v/>
      </c>
      <c r="EW73" s="43" t="str">
        <f>IF($CU73&gt;=RAF,"",IF($CU73-EW$103&lt;BeginnAlter,"",ROUND((SUM(DN$56:DN73)+SUM(GF$9:GF$56))/VLOOKUP($CU73,$AH$9:$AI$102,2)/VLOOKUP($CU73-EW$103,Männer!$G$9:$J$102,4),Rundäx)))</f>
        <v/>
      </c>
      <c r="EX73" s="43" t="str">
        <f>IF($CU73&gt;=RAF,"",IF($CU73-EX$103&lt;BeginnAlter,"",ROUND((SUM(DO$56:DO73)+SUM(GG$9:GG$56))/VLOOKUP($CU73,$AH$9:$AI$102,2)/VLOOKUP($CU73-EX$103,Männer!$G$9:$J$102,4),Rundäx)))</f>
        <v/>
      </c>
      <c r="EY73" s="43" t="str">
        <f>IF($CU73&gt;=RAF,"",IF($CU73-EY$103&lt;BeginnAlter,"",ROUND((SUM(DP$56:DP73)+SUM(GH$9:GH$56))/VLOOKUP($CU73,$AH$9:$AI$102,2)/VLOOKUP($CU73-EY$103,Männer!$G$9:$J$102,4),Rundäx)))</f>
        <v/>
      </c>
      <c r="EZ73" s="43" t="str">
        <f>IF($CU73&gt;=RAF,"",IF($CU73-EZ$103&lt;BeginnAlter,"",ROUND((SUM(DQ$56:DQ73)+SUM(GI$9:GI$56))/VLOOKUP($CU73,$AH$9:$AI$102,2)/VLOOKUP($CU73-EZ$103,Männer!$G$9:$J$102,4),Rundäx)))</f>
        <v/>
      </c>
      <c r="FA73" s="43" t="str">
        <f>IF($CU73&gt;=RAF,"",IF($CU73-FA$103&lt;BeginnAlter,"",ROUND((SUM(DR$56:DR73)+SUM(GJ$9:GJ$56))/VLOOKUP($CU73,$AH$9:$AI$102,2)/VLOOKUP($CU73-FA$103,Männer!$G$9:$J$102,4),Rundäx)))</f>
        <v/>
      </c>
      <c r="FB73" s="43" t="str">
        <f>IF($CU73&gt;=RAF,"",IF($CU73-FB$103&lt;BeginnAlter,"",ROUND((SUM(DS$56:DS73)+SUM(GK$9:GK$56))/VLOOKUP($CU73,$AH$9:$AI$102,2)/VLOOKUP($CU73-FB$103,Männer!$G$9:$J$102,4),Rundäx)))</f>
        <v/>
      </c>
      <c r="FC73" s="89"/>
      <c r="FD73" s="35">
        <f t="shared" si="63"/>
        <v>81</v>
      </c>
      <c r="FE73" s="43" t="str">
        <f>IF($CU73&gt;=RAF,"",IF($CU73-FE$103&lt;BeginnAlter,"",ROUND((SUM(DT$56:DT73)+SUM(GL$9:GL$56))/VLOOKUP($CU73,$AH$9:$AI$102,2)/VLOOKUP($CU73-FE$103,Männer!$G$9:$J$102,4),Rundäx)))</f>
        <v/>
      </c>
      <c r="FF73" s="43" t="str">
        <f>IF($CU73&gt;=RAF,"",IF($CU73-FF$103&lt;BeginnAlter,"",ROUND((SUM(DU$56:DU73)+SUM(GM$9:GM$56))/VLOOKUP($CU73,$AH$9:$AI$102,2)/VLOOKUP($CU73-FF$103,Männer!$G$9:$J$102,4),Rundäx)))</f>
        <v/>
      </c>
      <c r="FG73" s="43" t="str">
        <f>IF($CU73&gt;=RAF,"",IF($CU73-FG$103&lt;BeginnAlter,"",ROUND((SUM(DV$56:DV73)+SUM(GN$9:GN$56))/VLOOKUP($CU73,$AH$9:$AI$102,2)/VLOOKUP($CU73-FG$103,Männer!$G$9:$J$102,4),Rundäx)))</f>
        <v/>
      </c>
      <c r="FH73" s="43" t="str">
        <f>IF($CU73&gt;=RAF,"",IF($CU73-FH$103&lt;BeginnAlter,"",ROUND((SUM(DW$56:DW73)+SUM(GO$9:GO$56))/VLOOKUP($CU73,$AH$9:$AI$102,2)/VLOOKUP($CU73-FH$103,Männer!$G$9:$J$102,4),Rundäx)))</f>
        <v/>
      </c>
      <c r="FI73" s="43" t="str">
        <f>IF($CU73&gt;=RAF,"",IF($CU73-FI$103&lt;BeginnAlter,"",ROUND((SUM(DX$56:DX73)+SUM(GP$9:GP$56))/VLOOKUP($CU73,$AH$9:$AI$102,2)/VLOOKUP($CU73-FI$103,Männer!$G$9:$J$102,4),Rundäx)))</f>
        <v/>
      </c>
      <c r="FJ73" s="43" t="str">
        <f>IF($CU73&gt;=RAF,"",IF($CU73-FJ$103&lt;BeginnAlter,"",ROUND((SUM(DY$56:DY73)+SUM(GQ$9:GQ$56))/VLOOKUP($CU73,$AH$9:$AI$102,2)/VLOOKUP($CU73-FJ$103,Männer!$G$9:$J$102,4),Rundäx)))</f>
        <v/>
      </c>
      <c r="FK73" s="43" t="str">
        <f>IF($CU73&gt;=RAF,"",IF($CU73-FK$103&lt;BeginnAlter,"",ROUND((SUM(DZ$56:DZ73)+SUM(GR$9:GR$56))/VLOOKUP($CU73,$AH$9:$AI$102,2)/VLOOKUP($CU73-FK$103,Männer!$G$9:$J$102,4),Rundäx)))</f>
        <v/>
      </c>
      <c r="FL73" s="89"/>
      <c r="FM73" s="35">
        <f t="shared" si="64"/>
        <v>128</v>
      </c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4"/>
      <c r="GT73" s="24"/>
      <c r="GU73" s="24" t="str">
        <f>IF(FM73&gt;=RAF," ",#REF!/$AI73/Frauen!$J61)</f>
        <v xml:space="preserve"> </v>
      </c>
      <c r="GV73" s="24" t="str">
        <f>IF(FM73&gt;=RAF," ",#REF!/$AI73/Frauen!$J64)</f>
        <v xml:space="preserve"> </v>
      </c>
      <c r="GW73" s="24" t="str">
        <f>IF(FM73&gt;=RAF," ",#REF!/$AI73/Frauen!$J67)</f>
        <v xml:space="preserve"> </v>
      </c>
      <c r="GX73" s="24" t="str">
        <f>IF(FM73&gt;=RAF," ",#REF!/$AI73/Frauen!$J70)</f>
        <v xml:space="preserve"> </v>
      </c>
      <c r="GY73" s="24" t="str">
        <f>IF(FM73&gt;=RAF," ",#REF!/$AI73/Frauen!$J73)</f>
        <v xml:space="preserve"> </v>
      </c>
      <c r="GZ73" s="24" t="str">
        <f>IF(FM73&gt;=RAF," ",#REF!/$AI73/Frauen!$J76)</f>
        <v xml:space="preserve"> </v>
      </c>
      <c r="HA73" s="89"/>
      <c r="HB73" s="35">
        <f t="shared" si="65"/>
        <v>128</v>
      </c>
      <c r="HC73" s="24"/>
      <c r="HD73" s="24"/>
      <c r="HE73" s="24"/>
      <c r="HF73" s="24"/>
      <c r="HG73" s="24"/>
      <c r="HH73" s="24"/>
      <c r="HI73" s="24"/>
      <c r="HJ73" s="24"/>
      <c r="HK73" s="89"/>
      <c r="HL73" s="35">
        <f t="shared" si="66"/>
        <v>128</v>
      </c>
      <c r="HM73" s="24"/>
      <c r="HN73" s="24"/>
      <c r="HO73" s="24"/>
      <c r="HP73" s="24"/>
      <c r="HQ73" s="24"/>
      <c r="HR73" s="24"/>
      <c r="HS73" s="24"/>
      <c r="HT73" s="24"/>
      <c r="HU73" s="89"/>
      <c r="HV73" s="35">
        <f t="shared" si="67"/>
        <v>128</v>
      </c>
      <c r="HW73" s="24"/>
      <c r="HX73" s="24"/>
      <c r="HY73" s="24"/>
      <c r="HZ73" s="24"/>
      <c r="IA73" s="24"/>
      <c r="IB73" s="24"/>
      <c r="IC73" s="24"/>
      <c r="ID73" s="89"/>
      <c r="IE73" s="9">
        <f t="shared" si="80"/>
        <v>81</v>
      </c>
      <c r="IF73" s="11" t="str">
        <f t="shared" si="25"/>
        <v/>
      </c>
      <c r="IG73" s="11" t="str">
        <f>IF($IE73&lt;RAF,IF(S74&lt;=RAK,ROUND(SUM(IF73:INDEX(Daky,RAF-BeginnAlter))+INDEX(Day,RAF-BeginnAlter+1)*INDEX(äky,1),RundDx),0),"")</f>
        <v/>
      </c>
      <c r="IH73" s="11" t="str">
        <f>IF($IE73&lt;RAF,IF(S74&lt;=RAK,ROUND(SUM(IG73:INDEX(Naky,RAF-BeginnAlter))+INDEX(Day,RAF-BeginnAlter+1)*INDEX(äky,1),RundDx),0),"")</f>
        <v/>
      </c>
      <c r="II73" s="10" t="str">
        <f t="shared" si="26"/>
        <v/>
      </c>
      <c r="IJ73" s="11" t="str">
        <f t="shared" si="27"/>
        <v/>
      </c>
      <c r="IK73" s="11" t="str">
        <f>IF($IE73&lt;RAF,IF(S74&lt;=RAK,SUM(IJ73:INDEX(Diky,RAF-BeginnAlter))+INDEX(Diy,RAF-BeginnAlter+1)*INDEX(äky,1),0),"")</f>
        <v/>
      </c>
      <c r="IL73" s="10" t="str">
        <f t="shared" si="28"/>
        <v/>
      </c>
      <c r="IM73" s="89"/>
      <c r="IN73" s="9">
        <f t="shared" si="29"/>
        <v>128</v>
      </c>
      <c r="IO73" s="11"/>
      <c r="IP73" s="11"/>
      <c r="IQ73" s="10"/>
      <c r="IR73" s="86"/>
    </row>
    <row r="74" spans="1:252" ht="15.75" customHeight="1" x14ac:dyDescent="0.25">
      <c r="A74" s="9">
        <f t="shared" si="69"/>
        <v>82</v>
      </c>
      <c r="B74" s="93"/>
      <c r="C74" s="93"/>
      <c r="D74" s="93"/>
      <c r="E74" s="93">
        <v>5.190292292846814E-2</v>
      </c>
      <c r="F74" s="89"/>
      <c r="G74" s="9">
        <f t="shared" si="70"/>
        <v>82</v>
      </c>
      <c r="H74" s="11" t="str">
        <f t="shared" si="30"/>
        <v/>
      </c>
      <c r="I74" s="25" t="str">
        <f t="shared" si="31"/>
        <v/>
      </c>
      <c r="J74" s="25">
        <f t="shared" si="32"/>
        <v>62235</v>
      </c>
      <c r="K74" s="30">
        <f>IF(J74&gt;0,ROUND(SUM(J74:J$102)/J74-0.5,Rundex),"")</f>
        <v>7.93</v>
      </c>
      <c r="L74" s="25">
        <f t="shared" ref="L74:L97" si="83">IF(G74&gt;=RAF,J74,ROUND(L75/(1-D74),Rundlx))</f>
        <v>62235</v>
      </c>
      <c r="M74" s="30">
        <f>IF(L74&gt;0,ROUND(SUM(L74:L$102)/L74-0.5,Rundex),"")</f>
        <v>7.93</v>
      </c>
      <c r="N74" s="89"/>
      <c r="O74" s="9">
        <f t="shared" si="71"/>
        <v>82</v>
      </c>
      <c r="P74" s="94">
        <v>6.7653992068153149E-3</v>
      </c>
      <c r="Q74" s="95">
        <v>82.581145593525932</v>
      </c>
      <c r="R74" s="94"/>
      <c r="S74" s="95"/>
      <c r="T74" s="28">
        <v>4.8855322518378146E-2</v>
      </c>
      <c r="U74" s="11">
        <f t="shared" si="33"/>
        <v>66157</v>
      </c>
      <c r="V74" s="30">
        <f>IF(U74&gt;0,ROUND(SUM(U74:U$102)/U74-0.5,Rundex),"")</f>
        <v>8.3000000000000007</v>
      </c>
      <c r="W74" s="89"/>
      <c r="X74" s="9">
        <f t="shared" si="72"/>
        <v>82</v>
      </c>
      <c r="Y74" s="11" t="str">
        <f t="shared" si="34"/>
        <v xml:space="preserve"> </v>
      </c>
      <c r="Z74" s="11" t="str">
        <f>IF($X74&lt;RAF,SUM(Y74:INDEX(Day,RAF-BeginnAlter))," ")</f>
        <v xml:space="preserve"> </v>
      </c>
      <c r="AA74" s="11" t="str">
        <f t="shared" si="81"/>
        <v xml:space="preserve"> </v>
      </c>
      <c r="AB74" s="11" t="str">
        <f>IF($X74&lt;RAF,SUM(AA74:INDEX(Cay,RAF-BeginnAlter))," ")</f>
        <v xml:space="preserve"> </v>
      </c>
      <c r="AC74" s="11" t="str">
        <f t="shared" si="82"/>
        <v xml:space="preserve"> </v>
      </c>
      <c r="AD74" s="11" t="str">
        <f>IF($X74&lt;RAF,SUM(AC74:INDEX(Caiy,RAF-BeginnAlter))," ")</f>
        <v xml:space="preserve"> </v>
      </c>
      <c r="AE74" s="10" t="str">
        <f t="shared" si="35"/>
        <v xml:space="preserve"> </v>
      </c>
      <c r="AF74" s="10" t="str">
        <f t="shared" si="36"/>
        <v xml:space="preserve"> </v>
      </c>
      <c r="AG74" s="89"/>
      <c r="AH74" s="9">
        <f t="shared" si="73"/>
        <v>82</v>
      </c>
      <c r="AI74" s="11" t="str">
        <f t="shared" si="37"/>
        <v xml:space="preserve"> </v>
      </c>
      <c r="AJ74" s="11" t="str">
        <f>IF($AH74&gt;RAF," ",IF($AH74&lt;RAF,SUM(AI74:INDEX(Diy,RAF-BeginnAlter))+INDEX(Ny,RAF-BeginnAlter+1),INDEX(Ny,RAF-BeginnAlter+1)))</f>
        <v xml:space="preserve"> </v>
      </c>
      <c r="AK74" s="11" t="str">
        <f>IF($AH74&lt;RAF,SUM(AI74:INDEX(Diy,RAF-BeginnAlter))," ")</f>
        <v xml:space="preserve"> </v>
      </c>
      <c r="AL74" s="10" t="str">
        <f t="shared" si="38"/>
        <v xml:space="preserve"> </v>
      </c>
      <c r="AM74" s="10" t="str">
        <f t="shared" si="39"/>
        <v xml:space="preserve"> </v>
      </c>
      <c r="AN74" s="10" t="str">
        <f t="shared" si="40"/>
        <v xml:space="preserve"> </v>
      </c>
      <c r="AO74" s="10" t="str">
        <f t="shared" si="41"/>
        <v xml:space="preserve"> </v>
      </c>
      <c r="AP74" s="89"/>
      <c r="AQ74" s="9">
        <f t="shared" si="74"/>
        <v>82</v>
      </c>
      <c r="AR74" s="11">
        <f t="shared" si="42"/>
        <v>10038</v>
      </c>
      <c r="AS74" s="11">
        <f>SUM(AR74:AR$96)</f>
        <v>75932</v>
      </c>
      <c r="AT74" s="25" t="str">
        <f>IF($AQ74&lt;RAF,SUM(AR74:INDEX(Dy,RAF-BeginnAlter))," ")</f>
        <v xml:space="preserve"> </v>
      </c>
      <c r="AU74" s="24">
        <f t="shared" si="43"/>
        <v>7.5640000000000001</v>
      </c>
      <c r="AV74" s="24">
        <f t="shared" si="44"/>
        <v>7.1059999999999999</v>
      </c>
      <c r="AW74" s="24" t="str">
        <f t="shared" si="45"/>
        <v xml:space="preserve"> </v>
      </c>
      <c r="AX74" s="24" t="str">
        <f t="shared" si="46"/>
        <v xml:space="preserve"> </v>
      </c>
      <c r="AY74" s="89"/>
      <c r="AZ74" s="9">
        <f t="shared" si="75"/>
        <v>82</v>
      </c>
      <c r="BA74" s="11">
        <f t="shared" si="47"/>
        <v>10670</v>
      </c>
      <c r="BB74" s="11">
        <f>SUM(BA74:BA$96)</f>
        <v>83962</v>
      </c>
      <c r="BC74" s="10">
        <f t="shared" si="48"/>
        <v>7.8689999999999998</v>
      </c>
      <c r="BD74" s="10">
        <f t="shared" ref="BD74:BD102" si="84">IF(BA74&gt;0,ROUND(BB74/BA74-(m-1)/(2*m),Rundäx),0)</f>
        <v>7.4109999999999996</v>
      </c>
      <c r="BE74" s="89"/>
      <c r="BF74" s="9">
        <f t="shared" si="54"/>
        <v>65</v>
      </c>
      <c r="BG74" s="10" t="str">
        <f t="shared" ref="BG74:BG102" si="85">IF($BF74&lt;RAK,IF(Zins&lt;&gt;0,ROUND((1-v^(RAK-$BF74))/(1-v),Rundäx),RAK-$BF74),IF($BF74&gt;RAK,"",0))</f>
        <v/>
      </c>
      <c r="BH74" s="10" t="str">
        <f t="shared" ref="BH74:BH102" si="86">IF($BF74&lt;RAK,IF(Zins&lt;&gt;0,ROUND((1-v^(RAK-$BF74))/(1-v)-(m-1)/(2*m)*(1-v^(RAK-$BF74)),Rundäx),RAK-$BF74),IF($BF74&gt;RAK,"",0))</f>
        <v/>
      </c>
      <c r="BI74" s="89"/>
      <c r="BJ74" s="9">
        <f t="shared" si="76"/>
        <v>82</v>
      </c>
      <c r="BK74" s="11" t="str">
        <f t="shared" ref="BK74:BK92" si="87">IF(BJ74&lt;RAF,ROUND(v^(BJ74+FaktorAlter)*$H74*$C74*0.5*(AM74+AM75),RundDx)," ")</f>
        <v xml:space="preserve"> </v>
      </c>
      <c r="BL74" s="11" t="str">
        <f>IF(BJ74&lt;RAF,SUM(BK74:INDEX(Daiy,RAF-BeginnAlter))," ")</f>
        <v xml:space="preserve"> </v>
      </c>
      <c r="BM74" s="11" t="str">
        <f>IF(BJ74&lt;RAF,SUM(BL74:INDEX(Naiy,RAF-BeginnAlter))," ")</f>
        <v xml:space="preserve"> </v>
      </c>
      <c r="BN74" s="10" t="str">
        <f t="shared" ref="BN74:BN92" si="88">IF(BJ74&lt;RAF,ROUND(INDEX(Day,RAF-BeginnAlter+1)/Y74*INDEX(ämy,RAF-BeginnAlter+1),Rundäx)," ")</f>
        <v xml:space="preserve"> </v>
      </c>
      <c r="BO74" s="10" t="str">
        <f t="shared" ref="BO74:BO92" si="89">IF(BJ74&lt;RAF,ROUND(BL74/Y74,Rundäx)," ")</f>
        <v xml:space="preserve"> </v>
      </c>
      <c r="BP74" s="89"/>
      <c r="BQ74" s="9">
        <f t="shared" si="77"/>
        <v>82</v>
      </c>
      <c r="BR74" s="11" t="str">
        <f t="shared" ref="BR74:BR92" si="90">IF(BQ74&lt;RAF,ROUND(v^(BQ74+FaktorAlter)*C74*H74*(0.5*(AM74+AM75)-v^FaktorAlter*(1-D74)/(1-0.5*D74)*INDEX(Diy,RAF-BeginnAlter+1)/AI75*INDEX(äimy,RAF-BeginnAlter+1)),RundDx)," ")</f>
        <v xml:space="preserve"> </v>
      </c>
      <c r="BS74" s="11" t="str">
        <f>IF(BQ74&lt;RAF,SUM(BR74:INDEX(Daiys,RAF-BeginnAlter))," ")</f>
        <v xml:space="preserve"> </v>
      </c>
      <c r="BT74" s="11" t="str">
        <f>IF(BQ74&lt;RAF,SUM(BS74:INDEX(Naiys,RAF-BeginnAlter))," ")</f>
        <v xml:space="preserve"> </v>
      </c>
      <c r="BU74" s="10" t="str">
        <f t="shared" ref="BU74:BU92" si="91">IF(BQ74&lt;RAF,ROUND((1-I74/L74)*INDEX(ämy,RAF-BeginnAlter+1)/Y74*INDEX(Dy,RAF-BeginnAlter+1),Rundäx)," ")</f>
        <v xml:space="preserve"> </v>
      </c>
      <c r="BV74" s="10" t="str">
        <f t="shared" ref="BV74:BV92" si="92">IF(BQ74&lt;RAF,ROUND(BS74/Y74,Rundäx)," ")</f>
        <v xml:space="preserve"> </v>
      </c>
      <c r="BW74" s="89"/>
      <c r="BX74" s="9">
        <f t="shared" si="78"/>
        <v>82</v>
      </c>
      <c r="BY74" s="10" t="str">
        <f t="shared" ref="BY74:BY102" si="93">IF(S75&lt;=RAK,IF(ROUND($BX74+FaktorAlter+RAK-0.5*($S74+$S75),0)&lt;$BX74+1,"",IF(ROUND($BX74+FaktorAlter+RAK-0.5*($S74+$S75),0)&lt;RAF,0.5*($AM74+$AM75)-v^FaktorAlter*(1-$D74)/(1-0.5*$D74)/$AI75*VLOOKUP(ROUND($BX74+FaktorAlter+RAK-0.5*($S74+$S75),0),$AH$9:$AM$102,2)*VLOOKUP(ROUND($BX74+FaktorAlter+RAK-0.5*($S74+$S75),0),$AH$9:$AM$102,6),IF($BX74&lt;RAF,(0.5*($AM74+$AM75)-v^FaktorAlter*(1-$D74)/(1-0.5*$D74)/$AI75*VLOOKUP(ROUND($BX74+FaktorAlter+RAK-0.5*($S74+$S75),0),$AQ$9:$AX$102,2)*VLOOKUP(ROUND($BX74+FaktorAlter+RAK-0.5*($S74+$S75),0),$AQ$9:$AX$102,6)),""))),"")</f>
        <v/>
      </c>
      <c r="BZ74" s="11" t="str">
        <f t="shared" ref="BZ74:BZ102" si="94">IF(S75&lt;=RAK,IF($BX74&lt;RAF,ROUND(v^($BX74+FaktorAlter)*$H74*$C74*0.5*($R74+$R75)*BY74,RundDx),""),"")</f>
        <v/>
      </c>
      <c r="CA74" s="11" t="str">
        <f>IF(S75&lt;=RAK,IF($BX74&lt;RAF,SUM(BZ74:INDEX(Dazy,RAF-BeginnAlter)),""),"")</f>
        <v/>
      </c>
      <c r="CB74" s="10" t="str">
        <f t="shared" ref="CB74:CB102" si="95">IF(S75&lt;=RAK,IF($BX74&lt;RAF,ROUND($CA74/$Y74,Rundäx),""),"")</f>
        <v/>
      </c>
      <c r="CC74" s="11">
        <f t="shared" ref="CC74:CC102" si="96">IF(AND(S74&lt;=RAK,S74&lt;&gt;""),ROUND((1-MOD($BX74+RAK-S74,1))*INDEX(Dy,INT($BX74+RAK-S74-BeginnAlter+1))+MOD($BX74+RAK-S74,1)*INDEX(Dy,INT($BX74+RAK-S74-BeginnAlter+1)+1),RundDx),0)</f>
        <v>0</v>
      </c>
      <c r="CD74" s="10">
        <f t="shared" ref="CD74:CD102" si="97">IF(AND(S74&lt;=RAK,S74&lt;&gt;""),ROUND((1-MOD($BX74+RAK-MIN(S74,RAK),1))*INDEX(ämy,INT($BX74+RAK-MIN(S74,RAK)-BeginnAlter+1))+MOD($BX74+RAK-MIN(S74,RAK),1)*INDEX(ämy,INT($BX74+RAK-MIN(S74,RAK)-BeginnAlter+1)+1),Rundäx),0)</f>
        <v>0</v>
      </c>
      <c r="CE74" s="10" t="str">
        <f t="shared" ref="CE74:CE102" si="98">IF(S75&lt;=RAK,IF($BX74&lt;=RAF,ROUND((INDEX(ämy,RAF-BeginnAlter+1)-INDEX(Ds25zsy,RAF-BeginnAlter+1)/INDEX(Dy,RAF-BeginnAlter+1)*INDEX(äms25zsy,RAF-BeginnAlter+1))*INDEX(ky,RAF-BeginnAlter+1)*INDEX(Day,RAF-BeginnAlter+1)/$Y74,Rundäx),""),"")</f>
        <v/>
      </c>
      <c r="CF74" s="89"/>
      <c r="CG74" s="9">
        <f t="shared" si="79"/>
        <v>82</v>
      </c>
      <c r="CH74" s="11" t="str">
        <f>IF(CG74&lt;RAF,ROUND(v^($CG74+FaktorAlter)*$H74*($B74*0.5*($P74+$P75)*(VLOOKUP(TRUNC(0.5*($Q74+$Q75),0),Männer!$AZ$9:$BD$95,5)+(0.5*($Q74+$Q75)-TRUNC(0.5*($Q74+$Q75),0))*(VLOOKUP(TRUNC(0.5*($Q74+$Q75)+1,0),Männer!$AZ$9:$BD$95,5)-VLOOKUP(TRUNC(0.5*($Q74+$Q75),0),Männer!$AZ$9:$BD$95,5)))+$C74*0.5*($CN74+$CN75)),RundDx),"")</f>
        <v/>
      </c>
      <c r="CI74" s="11" t="str">
        <f>IF(CG74&lt;RAF,ROUND(SUM(CH74:INDEX(Dawy,RAF-BeginnAlter))+INDEX(Day,RAF-BeginnAlter+1)*INDEX(äwy,1),RundDx),"")</f>
        <v/>
      </c>
      <c r="CJ74" s="11" t="str">
        <f>IF(CG74&lt;RAF,ROUND(SUM(CI74:INDEX(Nawy,RAF-BeginnAlter))+INDEX(Day,RAF-BeginnAlter+1)*INDEX(äwy,1),RundDx),"")</f>
        <v/>
      </c>
      <c r="CK74" s="10" t="str">
        <f t="shared" ref="CK74:CK92" si="99">IF(CG74&lt;RAF,ROUND(CI74/$Y74,Rundäx),"")</f>
        <v/>
      </c>
      <c r="CL74" s="11" t="str">
        <f>IF(CG74&lt;RAF,ROUND(v^($CG74+FaktorAlter)*$L74*$D74*0.5*($P74+$P75)*(VLOOKUP(TRUNC(0.5*($Q74+$Q75),0),Männer!$AZ$9:$BD$95,5)+(0.5*($Q74+$Q75)-TRUNC(0.5*($Q74+$Q75),0))*(VLOOKUP(TRUNC(0.5*($Q74+$Q75)+1,0),Männer!$AZ$9:$BD$95,5)-VLOOKUP(TRUNC(0.5*($Q74+$Q75),0),Männer!$AZ$9:$BD$95,5))),RundDx),"")</f>
        <v/>
      </c>
      <c r="CM74" s="11" t="str">
        <f>IF(CG74&lt;RAF,SUM(CL74:INDEX(Diwy,RAF-BeginnAlter))+INDEX(Diy,RAF-BeginnAlter+1)*INDEX(äwy,1),"")</f>
        <v/>
      </c>
      <c r="CN74" s="10" t="str">
        <f t="shared" ref="CN74:CN92" si="100">IF(CG74&lt;RAF,ROUND(CM74/$AI74,Rundäx),IF(CG74&gt;RAF,"",INDEX(äwy,1)))</f>
        <v/>
      </c>
      <c r="CO74" s="89"/>
      <c r="CP74" s="9">
        <f t="shared" si="59"/>
        <v>129</v>
      </c>
      <c r="CQ74" s="11"/>
      <c r="CR74" s="11"/>
      <c r="CS74" s="10"/>
      <c r="CT74" s="89"/>
      <c r="CU74" s="35">
        <f t="shared" si="60"/>
        <v>82</v>
      </c>
      <c r="CV74" s="25" t="str">
        <f>IF($CU74&gt;=RAF,"",IF($CU74-CV$103&lt;BeginnAlter,"",ROUND(v^($CU74+FaktorAlter)*$L74*$D74*0.5*(VLOOKUP($CU74-CV$103,Männer!$G$9:$J$102,4)+VLOOKUP($CU74-CV$103+1,Männer!$G$9:$J$102,4))*0.5*(VLOOKUP($CU74-CV$103,Männer!$AZ$9:$BD$102,5)+VLOOKUP($CU74-CV$103+1,Männer!$AZ$9:$BD$102,5)),RundDx)))</f>
        <v/>
      </c>
      <c r="CW74" s="25" t="str">
        <f>IF($CU74&gt;=RAF,"",IF($CU74-CW$103&lt;BeginnAlter,"",ROUND(v^($CU74+FaktorAlter)*$L74*$D74*0.5*(VLOOKUP($CU74-CW$103,Männer!$G$9:$J$102,4)+VLOOKUP($CU74-CW$103+1,Männer!$G$9:$J$102,4))*0.5*(VLOOKUP($CU74-CW$103,Männer!$AZ$9:$BD$102,5)+VLOOKUP($CU74-CW$103+1,Männer!$AZ$9:$BD$102,5)),RundDx)))</f>
        <v/>
      </c>
      <c r="CX74" s="25" t="str">
        <f>IF($CU74&gt;=RAF,"",IF($CU74-CX$103&lt;BeginnAlter,"",ROUND(v^($CU74+FaktorAlter)*$L74*$D74*0.5*(VLOOKUP($CU74-CX$103,Männer!$G$9:$J$102,4)+VLOOKUP($CU74-CX$103+1,Männer!$G$9:$J$102,4))*0.5*(VLOOKUP($CU74-CX$103,Männer!$AZ$9:$BD$102,5)+VLOOKUP($CU74-CX$103+1,Männer!$AZ$9:$BD$102,5)),RundDx)))</f>
        <v/>
      </c>
      <c r="CY74" s="25" t="str">
        <f>IF($CU74&gt;=RAF,"",IF($CU74-CY$103&lt;BeginnAlter,"",ROUND(v^($CU74+FaktorAlter)*$L74*$D74*0.5*(VLOOKUP($CU74-CY$103,Männer!$G$9:$J$102,4)+VLOOKUP($CU74-CY$103+1,Männer!$G$9:$J$102,4))*0.5*(VLOOKUP($CU74-CY$103,Männer!$AZ$9:$BD$102,5)+VLOOKUP($CU74-CY$103+1,Männer!$AZ$9:$BD$102,5)),RundDx)))</f>
        <v/>
      </c>
      <c r="CZ74" s="25" t="str">
        <f>IF($CU74&gt;=RAF,"",IF($CU74-CZ$103&lt;BeginnAlter,"",ROUND(v^($CU74+FaktorAlter)*$L74*$D74*0.5*(VLOOKUP($CU74-CZ$103,Männer!$G$9:$J$102,4)+VLOOKUP($CU74-CZ$103+1,Männer!$G$9:$J$102,4))*0.5*(VLOOKUP($CU74-CZ$103,Männer!$AZ$9:$BD$102,5)+VLOOKUP($CU74-CZ$103+1,Männer!$AZ$9:$BD$102,5)),RundDx)))</f>
        <v/>
      </c>
      <c r="DA74" s="25" t="str">
        <f>IF($CU74&gt;=RAF,"",IF($CU74-DA$103&lt;BeginnAlter,"",ROUND(v^($CU74+FaktorAlter)*$L74*$D74*0.5*(VLOOKUP($CU74-DA$103,Männer!$G$9:$J$102,4)+VLOOKUP($CU74-DA$103+1,Männer!$G$9:$J$102,4))*0.5*(VLOOKUP($CU74-DA$103,Männer!$AZ$9:$BD$102,5)+VLOOKUP($CU74-DA$103+1,Männer!$AZ$9:$BD$102,5)),RundDx)))</f>
        <v/>
      </c>
      <c r="DB74" s="25" t="str">
        <f>IF($CU74&gt;=RAF,"",IF($CU74-DB$103&lt;BeginnAlter,"",ROUND(v^($CU74+FaktorAlter)*$L74*$D74*0.5*(VLOOKUP($CU74-DB$103,Männer!$G$9:$J$102,4)+VLOOKUP($CU74-DB$103+1,Männer!$G$9:$J$102,4))*0.5*(VLOOKUP($CU74-DB$103,Männer!$AZ$9:$BD$102,5)+VLOOKUP($CU74-DB$103+1,Männer!$AZ$9:$BD$102,5)),RundDx)))</f>
        <v/>
      </c>
      <c r="DC74" s="25" t="str">
        <f>IF($CU74&gt;=RAF,"",IF($CU74-DC$103&lt;BeginnAlter,"",ROUND(v^($CU74+FaktorAlter)*$L74*$D74*0.5*(VLOOKUP($CU74-DC$103,Männer!$G$9:$J$102,4)+VLOOKUP($CU74-DC$103+1,Männer!$G$9:$J$102,4))*0.5*(VLOOKUP($CU74-DC$103,Männer!$AZ$9:$BD$102,5)+VLOOKUP($CU74-DC$103+1,Männer!$AZ$9:$BD$102,5)),RundDx)))</f>
        <v/>
      </c>
      <c r="DD74" s="25" t="str">
        <f>IF($CU74&gt;=RAF,"",IF($CU74-DD$103&lt;BeginnAlter,"",ROUND(v^($CU74+FaktorAlter)*$L74*$D74*0.5*(VLOOKUP($CU74-DD$103,Männer!$G$9:$J$102,4)+VLOOKUP($CU74-DD$103+1,Männer!$G$9:$J$102,4))*0.5*(VLOOKUP($CU74-DD$103,Männer!$AZ$9:$BD$102,5)+VLOOKUP($CU74-DD$103+1,Männer!$AZ$9:$BD$102,5)),RundDx)))</f>
        <v/>
      </c>
      <c r="DE74" s="25" t="str">
        <f>IF($CU74&gt;=RAF,"",IF($CU74-DE$103&lt;BeginnAlter,"",ROUND(v^($CU74+FaktorAlter)*$L74*$D74*0.5*(VLOOKUP($CU74-DE$103,Männer!$G$9:$J$102,4)+VLOOKUP($CU74-DE$103+1,Männer!$G$9:$J$102,4))*0.5*(VLOOKUP($CU74-DE$103,Männer!$AZ$9:$BD$102,5)+VLOOKUP($CU74-DE$103+1,Männer!$AZ$9:$BD$102,5)),RundDx)))</f>
        <v/>
      </c>
      <c r="DF74" s="25" t="str">
        <f>IF($CU74&gt;=RAF,"",IF($CU74-DF$103&lt;BeginnAlter,"",ROUND(v^($CU74+FaktorAlter)*$L74*$D74*0.5*(VLOOKUP($CU74-DF$103,Männer!$G$9:$J$102,4)+VLOOKUP($CU74-DF$103+1,Männer!$G$9:$J$102,4))*0.5*(VLOOKUP($CU74-DF$103,Männer!$AZ$9:$BD$102,5)+VLOOKUP($CU74-DF$103+1,Männer!$AZ$9:$BD$102,5)),RundDx)))</f>
        <v/>
      </c>
      <c r="DG74" s="25" t="str">
        <f>IF($CU74&gt;=RAF,"",IF($CU74-DG$103&lt;BeginnAlter,"",ROUND(v^($CU74+FaktorAlter)*$L74*$D74*0.5*(VLOOKUP($CU74-DG$103,Männer!$G$9:$J$102,4)+VLOOKUP($CU74-DG$103+1,Männer!$G$9:$J$102,4))*0.5*(VLOOKUP($CU74-DG$103,Männer!$AZ$9:$BD$102,5)+VLOOKUP($CU74-DG$103+1,Männer!$AZ$9:$BD$102,5)),RundDx)))</f>
        <v/>
      </c>
      <c r="DH74" s="25" t="str">
        <f>IF($CU74&gt;=RAF,"",IF($CU74-DH$103&lt;BeginnAlter,"",ROUND(v^($CU74+FaktorAlter)*$L74*$D74*0.5*(VLOOKUP($CU74-DH$103,Männer!$G$9:$J$102,4)+VLOOKUP($CU74-DH$103+1,Männer!$G$9:$J$102,4))*0.5*(VLOOKUP($CU74-DH$103,Männer!$AZ$9:$BD$102,5)+VLOOKUP($CU74-DH$103+1,Männer!$AZ$9:$BD$102,5)),RundDx)))</f>
        <v/>
      </c>
      <c r="DI74" s="25" t="str">
        <f>IF($CU74&gt;=RAF,"",IF($CU74-DI$103&lt;BeginnAlter,"",ROUND(v^($CU74+FaktorAlter)*$L74*$D74*0.5*(VLOOKUP($CU74-DI$103,Männer!$G$9:$J$102,4)+VLOOKUP($CU74-DI$103+1,Männer!$G$9:$J$102,4))*0.5*(VLOOKUP($CU74-DI$103,Männer!$AZ$9:$BD$102,5)+VLOOKUP($CU74-DI$103+1,Männer!$AZ$9:$BD$102,5)),RundDx)))</f>
        <v/>
      </c>
      <c r="DJ74" s="25" t="str">
        <f>IF($CU74&gt;=RAF,"",IF($CU74-DJ$103&lt;BeginnAlter,"",ROUND(v^($CU74+FaktorAlter)*$L74*$D74*0.5*(VLOOKUP($CU74-DJ$103,Männer!$G$9:$J$102,4)+VLOOKUP($CU74-DJ$103+1,Männer!$G$9:$J$102,4))*0.5*(VLOOKUP($CU74-DJ$103,Männer!$AZ$9:$BD$102,5)+VLOOKUP($CU74-DJ$103+1,Männer!$AZ$9:$BD$102,5)),RundDx)))</f>
        <v/>
      </c>
      <c r="DK74" s="25" t="str">
        <f>IF($CU74&gt;=RAF,"",IF($CU74-DK$103&lt;BeginnAlter,"",ROUND(v^($CU74+FaktorAlter)*$L74*$D74*0.5*(VLOOKUP($CU74-DK$103,Männer!$G$9:$J$102,4)+VLOOKUP($CU74-DK$103+1,Männer!$G$9:$J$102,4))*0.5*(VLOOKUP($CU74-DK$103,Männer!$AZ$9:$BD$102,5)+VLOOKUP($CU74-DK$103+1,Männer!$AZ$9:$BD$102,5)),RundDx)))</f>
        <v/>
      </c>
      <c r="DL74" s="25" t="str">
        <f>IF($CU74&gt;=RAF,"",IF($CU74-DL$103&lt;BeginnAlter,"",ROUND(v^($CU74+FaktorAlter)*$L74*$D74*0.5*(VLOOKUP($CU74-DL$103,Männer!$G$9:$J$102,4)+VLOOKUP($CU74-DL$103+1,Männer!$G$9:$J$102,4))*0.5*(VLOOKUP($CU74-DL$103,Männer!$AZ$9:$BD$102,5)+VLOOKUP($CU74-DL$103+1,Männer!$AZ$9:$BD$102,5)),RundDx)))</f>
        <v/>
      </c>
      <c r="DM74" s="25" t="str">
        <f>IF($CU74&gt;=RAF,"",IF($CU74-DM$103&lt;BeginnAlter,"",ROUND(v^($CU74+FaktorAlter)*$L74*$D74*0.5*(VLOOKUP($CU74-DM$103,Männer!$G$9:$J$102,4)+VLOOKUP($CU74-DM$103+1,Männer!$G$9:$J$102,4))*0.5*(VLOOKUP($CU74-DM$103,Männer!$AZ$9:$BD$102,5)+VLOOKUP($CU74-DM$103+1,Männer!$AZ$9:$BD$102,5)),RundDx)))</f>
        <v/>
      </c>
      <c r="DN74" s="25" t="str">
        <f>IF($CU74&gt;=RAF,"",IF($CU74-DN$103&lt;BeginnAlter,"",ROUND(v^($CU74+FaktorAlter)*$L74*$D74*0.5*(VLOOKUP($CU74-DN$103,Männer!$G$9:$J$102,4)+VLOOKUP($CU74-DN$103+1,Männer!$G$9:$J$102,4))*0.5*(VLOOKUP($CU74-DN$103,Männer!$AZ$9:$BD$102,5)+VLOOKUP($CU74-DN$103+1,Männer!$AZ$9:$BD$102,5)),RundDx)))</f>
        <v/>
      </c>
      <c r="DO74" s="25" t="str">
        <f>IF($CU74&gt;=RAF,"",IF($CU74-DO$103&lt;BeginnAlter,"",ROUND(v^($CU74+FaktorAlter)*$L74*$D74*0.5*(VLOOKUP($CU74-DO$103,Männer!$G$9:$J$102,4)+VLOOKUP($CU74-DO$103+1,Männer!$G$9:$J$102,4))*0.5*(VLOOKUP($CU74-DO$103,Männer!$AZ$9:$BD$102,5)+VLOOKUP($CU74-DO$103+1,Männer!$AZ$9:$BD$102,5)),RundDx)))</f>
        <v/>
      </c>
      <c r="DP74" s="25" t="str">
        <f>IF($CU74&gt;=RAF,"",IF($CU74-DP$103&lt;BeginnAlter,"",ROUND(v^($CU74+FaktorAlter)*$L74*$D74*0.5*(VLOOKUP($CU74-DP$103,Männer!$G$9:$J$102,4)+VLOOKUP($CU74-DP$103+1,Männer!$G$9:$J$102,4))*0.5*(VLOOKUP($CU74-DP$103,Männer!$AZ$9:$BD$102,5)+VLOOKUP($CU74-DP$103+1,Männer!$AZ$9:$BD$102,5)),RundDx)))</f>
        <v/>
      </c>
      <c r="DQ74" s="25" t="str">
        <f>IF($CU74&gt;=RAF,"",IF($CU74-DQ$103&lt;BeginnAlter,"",ROUND(v^($CU74+FaktorAlter)*$L74*$D74*0.5*(VLOOKUP($CU74-DQ$103,Männer!$G$9:$J$102,4)+VLOOKUP($CU74-DQ$103+1,Männer!$G$9:$J$102,4))*0.5*(VLOOKUP($CU74-DQ$103,Männer!$AZ$9:$BD$102,5)+VLOOKUP($CU74-DQ$103+1,Männer!$AZ$9:$BD$102,5)),RundDx)))</f>
        <v/>
      </c>
      <c r="DR74" s="25" t="str">
        <f>IF($CU74&gt;=RAF,"",IF($CU74-DR$103&lt;BeginnAlter,"",ROUND(v^($CU74+FaktorAlter)*$L74*$D74*0.5*(VLOOKUP($CU74-DR$103,Männer!$G$9:$J$102,4)+VLOOKUP($CU74-DR$103+1,Männer!$G$9:$J$102,4))*0.5*(VLOOKUP($CU74-DR$103,Männer!$AZ$9:$BD$102,5)+VLOOKUP($CU74-DR$103+1,Männer!$AZ$9:$BD$102,5)),RundDx)))</f>
        <v/>
      </c>
      <c r="DS74" s="25" t="str">
        <f>IF($CU74&gt;=RAF,"",IF($CU74-DS$103&lt;BeginnAlter,"",ROUND(v^($CU74+FaktorAlter)*$L74*$D74*0.5*(VLOOKUP($CU74-DS$103,Männer!$G$9:$J$102,4)+VLOOKUP($CU74-DS$103+1,Männer!$G$9:$J$102,4))*0.5*(VLOOKUP($CU74-DS$103,Männer!$AZ$9:$BD$102,5)+VLOOKUP($CU74-DS$103+1,Männer!$AZ$9:$BD$102,5)),RundDx)))</f>
        <v/>
      </c>
      <c r="DT74" s="25" t="str">
        <f>IF($CU74&gt;=RAF,"",IF($CU74-DT$103&lt;BeginnAlter,"",ROUND(v^($CU74+FaktorAlter)*$L74*$D74*0.5*(VLOOKUP($CU74-DT$103,Männer!$G$9:$J$102,4)+VLOOKUP($CU74-DT$103+1,Männer!$G$9:$J$102,4))*0.5*(VLOOKUP($CU74-DT$103,Männer!$AZ$9:$BD$102,5)+VLOOKUP($CU74-DT$103+1,Männer!$AZ$9:$BD$102,5)),RundDx)))</f>
        <v/>
      </c>
      <c r="DU74" s="25" t="str">
        <f>IF($CU74&gt;=RAF,"",IF($CU74-DU$103&lt;BeginnAlter,"",ROUND(v^($CU74+FaktorAlter)*$L74*$D74*0.5*(VLOOKUP($CU74-DU$103,Männer!$G$9:$J$102,4)+VLOOKUP($CU74-DU$103+1,Männer!$G$9:$J$102,4))*0.5*(VLOOKUP($CU74-DU$103,Männer!$AZ$9:$BD$102,5)+VLOOKUP($CU74-DU$103+1,Männer!$AZ$9:$BD$102,5)),RundDx)))</f>
        <v/>
      </c>
      <c r="DV74" s="25" t="str">
        <f>IF($CU74&gt;=RAF,"",IF($CU74-DV$103&lt;BeginnAlter,"",ROUND(v^($CU74+FaktorAlter)*$L74*$D74*0.5*(VLOOKUP($CU74-DV$103,Männer!$G$9:$J$102,4)+VLOOKUP($CU74-DV$103+1,Männer!$G$9:$J$102,4))*0.5*(VLOOKUP($CU74-DV$103,Männer!$AZ$9:$BD$102,5)+VLOOKUP($CU74-DV$103+1,Männer!$AZ$9:$BD$102,5)),RundDx)))</f>
        <v/>
      </c>
      <c r="DW74" s="25" t="str">
        <f>IF($CU74&gt;=RAF,"",IF($CU74-DW$103&lt;BeginnAlter,"",ROUND(v^($CU74+FaktorAlter)*$L74*$D74*0.5*(VLOOKUP($CU74-DW$103,Männer!$G$9:$J$102,4)+VLOOKUP($CU74-DW$103+1,Männer!$G$9:$J$102,4))*0.5*(VLOOKUP($CU74-DW$103,Männer!$AZ$9:$BD$102,5)+VLOOKUP($CU74-DW$103+1,Männer!$AZ$9:$BD$102,5)),RundDx)))</f>
        <v/>
      </c>
      <c r="DX74" s="25" t="str">
        <f>IF($CU74&gt;=RAF,"",IF($CU74-DX$103&lt;BeginnAlter,"",ROUND(v^($CU74+FaktorAlter)*$L74*$D74*0.5*(VLOOKUP($CU74-DX$103,Männer!$G$9:$J$102,4)+VLOOKUP($CU74-DX$103+1,Männer!$G$9:$J$102,4))*0.5*(VLOOKUP($CU74-DX$103,Männer!$AZ$9:$BD$102,5)+VLOOKUP($CU74-DX$103+1,Männer!$AZ$9:$BD$102,5)),RundDx)))</f>
        <v/>
      </c>
      <c r="DY74" s="25" t="str">
        <f>IF($CU74&gt;=RAF,"",IF($CU74-DY$103&lt;BeginnAlter,"",ROUND(v^($CU74+FaktorAlter)*$L74*$D74*0.5*(VLOOKUP($CU74-DY$103,Männer!$G$9:$J$102,4)+VLOOKUP($CU74-DY$103+1,Männer!$G$9:$J$102,4))*0.5*(VLOOKUP($CU74-DY$103,Männer!$AZ$9:$BD$102,5)+VLOOKUP($CU74-DY$103+1,Männer!$AZ$9:$BD$102,5)),RundDx)))</f>
        <v/>
      </c>
      <c r="DZ74" s="25" t="str">
        <f>IF($CU74&gt;=RAF,"",IF($CU74-DZ$103&lt;BeginnAlter,"",ROUND(v^($CU74+FaktorAlter)*$L74*$D74*0.5*(VLOOKUP($CU74-DZ$103,Männer!$G$9:$J$102,4)+VLOOKUP($CU74-DZ$103+1,Männer!$G$9:$J$102,4))*0.5*(VLOOKUP($CU74-DZ$103,Männer!$AZ$9:$BD$102,5)+VLOOKUP($CU74-DZ$103+1,Männer!$AZ$9:$BD$102,5)),RundDx)))</f>
        <v/>
      </c>
      <c r="EA74" s="43" t="str">
        <f>IF($CU74&gt;=RAF,"",IF($CU74-EA$103&lt;BeginnAlter,"",ROUND((SUM(CV$56:CV74)+SUM(FN$9:FN$56))/VLOOKUP($CU74,$AH$9:$AI$102,2)/VLOOKUP($CU74-EA$103,Männer!$G$9:$J$102,4),Rundäx)))</f>
        <v/>
      </c>
      <c r="EB74" s="43" t="str">
        <f>IF($CU74&gt;=RAF,"",IF($CU74-EB$103&lt;BeginnAlter,"",ROUND((SUM(CW$56:CW74)+SUM(FO$9:FO$56))/VLOOKUP($CU74,$AH$9:$AI$102,2)/VLOOKUP($CU74-EB$103,Männer!$G$9:$J$102,4),Rundäx)))</f>
        <v/>
      </c>
      <c r="EC74" s="43" t="str">
        <f>IF($CU74&gt;=RAF,"",IF($CU74-EC$103&lt;BeginnAlter,"",ROUND((SUM(CX$56:CX74)+SUM(FP$9:FP$56))/VLOOKUP($CU74,$AH$9:$AI$102,2)/VLOOKUP($CU74-EC$103,Männer!$G$9:$J$102,4),Rundäx)))</f>
        <v/>
      </c>
      <c r="ED74" s="43" t="str">
        <f>IF($CU74&gt;=RAF,"",IF($CU74-ED$103&lt;BeginnAlter,"",ROUND((SUM(CY$56:CY74)+SUM(FQ$9:FQ$56))/VLOOKUP($CU74,$AH$9:$AI$102,2)/VLOOKUP($CU74-ED$103,Männer!$G$9:$J$102,4),Rundäx)))</f>
        <v/>
      </c>
      <c r="EE74" s="43" t="str">
        <f>IF($CU74&gt;=RAF,"",IF($CU74-EE$103&lt;BeginnAlter,"",ROUND((SUM(CZ$56:CZ74)+SUM(FR$9:FR$56))/VLOOKUP($CU74,$AH$9:$AI$102,2)/VLOOKUP($CU74-EE$103,Männer!$G$9:$J$102,4),Rundäx)))</f>
        <v/>
      </c>
      <c r="EF74" s="43" t="str">
        <f>IF($CU74&gt;=RAF,"",IF($CU74-EF$103&lt;BeginnAlter,"",ROUND((SUM(DA$56:DA74)+SUM(FS$9:FS$56))/VLOOKUP($CU74,$AH$9:$AI$102,2)/VLOOKUP($CU74-EF$103,Männer!$G$9:$J$102,4),Rundäx)))</f>
        <v/>
      </c>
      <c r="EG74" s="43" t="str">
        <f>IF($CU74&gt;=RAF,"",IF($CU74-EG$103&lt;BeginnAlter,"",ROUND((SUM(DB$56:DB74)+SUM(FT$9:FT$56))/VLOOKUP($CU74,$AH$9:$AI$102,2)/VLOOKUP($CU74-EG$103,Männer!$G$9:$J$102,4),Rundäx)))</f>
        <v/>
      </c>
      <c r="EH74" s="43" t="str">
        <f>IF($CU74&gt;=RAF,"",IF($CU74-EH$103&lt;BeginnAlter,"",ROUND((SUM(DC$56:DC74)+SUM(FU$9:FU$56))/VLOOKUP($CU74,$AH$9:$AI$102,2)/VLOOKUP($CU74-EH$103,Männer!$G$9:$J$102,4),Rundäx)))</f>
        <v/>
      </c>
      <c r="EI74" s="89"/>
      <c r="EJ74" s="35">
        <f t="shared" si="61"/>
        <v>82</v>
      </c>
      <c r="EK74" s="43" t="str">
        <f>IF($CU74&gt;=RAF,"",IF($CU74-EK$103&lt;BeginnAlter,"",ROUND((SUM(DD$56:DD74)+SUM(FV$9:FV$56))/VLOOKUP($CU74,$AH$9:$AI$102,2)/VLOOKUP($CU74-EK$103,Männer!$G$9:$J$102,4),Rundäx)))</f>
        <v/>
      </c>
      <c r="EL74" s="43" t="str">
        <f>IF($CU74&gt;=RAF,"",IF($CU74-EL$103&lt;BeginnAlter,"",ROUND((SUM(DE$56:DE74)+SUM(FW$9:FW$56))/VLOOKUP($CU74,$AH$9:$AI$102,2)/VLOOKUP($CU74-EL$103,Männer!$G$9:$J$102,4),Rundäx)))</f>
        <v/>
      </c>
      <c r="EM74" s="43" t="str">
        <f>IF($CU74&gt;=RAF,"",IF($CU74-EM$103&lt;BeginnAlter,"",ROUND((SUM(DF$56:DF74)+SUM(FX$9:FX$56))/VLOOKUP($CU74,$AH$9:$AI$102,2)/VLOOKUP($CU74-EM$103,Männer!$G$9:$J$102,4),Rundäx)))</f>
        <v/>
      </c>
      <c r="EN74" s="43" t="str">
        <f>IF($CU74&gt;=RAF,"",IF($CU74-EN$103&lt;BeginnAlter,"",ROUND((SUM(DG$56:DG74)+SUM(FY$9:FY$56))/VLOOKUP($CU74,$AH$9:$AI$102,2)/VLOOKUP($CU74-EN$103,Männer!$G$9:$J$102,4),Rundäx)))</f>
        <v/>
      </c>
      <c r="EO74" s="43" t="str">
        <f>IF($CU74&gt;=RAF,"",IF($CU74-EO$103&lt;BeginnAlter,"",ROUND((SUM(DH$56:DH74)+SUM(FZ$9:FZ$56))/VLOOKUP($CU74,$AH$9:$AI$102,2)/VLOOKUP($CU74-EO$103,Männer!$G$9:$J$102,4),Rundäx)))</f>
        <v/>
      </c>
      <c r="EP74" s="43" t="str">
        <f>IF($CU74&gt;=RAF,"",IF($CU74-EP$103&lt;BeginnAlter,"",ROUND((SUM(DI$56:DI74)+SUM(GA$9:GA$56))/VLOOKUP($CU74,$AH$9:$AI$102,2)/VLOOKUP($CU74-EP$103,Männer!$G$9:$J$102,4),Rundäx)))</f>
        <v/>
      </c>
      <c r="EQ74" s="43" t="str">
        <f>IF($CU74&gt;=RAF,"",IF($CU74-EQ$103&lt;BeginnAlter,"",ROUND((SUM(DJ$56:DJ74)+SUM(GB$9:GB$56))/VLOOKUP($CU74,$AH$9:$AI$102,2)/VLOOKUP($CU74-EQ$103,Männer!$G$9:$J$102,4),Rundäx)))</f>
        <v/>
      </c>
      <c r="ER74" s="43" t="str">
        <f>IF($CU74&gt;=RAF,"",IF($CU74-ER$103&lt;BeginnAlter,"",ROUND((SUM(DK$56:DK74)+SUM(GC$9:GC$56))/VLOOKUP($CU74,$AH$9:$AI$102,2)/VLOOKUP($CU74-ER$103,Männer!$G$9:$J$102,4),Rundäx)))</f>
        <v/>
      </c>
      <c r="ES74" s="89"/>
      <c r="ET74" s="35">
        <f t="shared" si="62"/>
        <v>82</v>
      </c>
      <c r="EU74" s="43" t="str">
        <f>IF($CU74&gt;=RAF,"",IF($CU74-EU$103&lt;BeginnAlter,"",ROUND((SUM(DL$56:DL74)+SUM(GD$9:GD$56))/VLOOKUP($CU74,$AH$9:$AI$102,2)/VLOOKUP($CU74-EU$103,Männer!$G$9:$J$102,4),Rundäx)))</f>
        <v/>
      </c>
      <c r="EV74" s="43" t="str">
        <f>IF($CU74&gt;=RAF,"",IF($CU74-EV$103&lt;BeginnAlter,"",ROUND((SUM(DM$56:DM74)+SUM(GE$9:GE$56))/VLOOKUP($CU74,$AH$9:$AI$102,2)/VLOOKUP($CU74-EV$103,Männer!$G$9:$J$102,4),Rundäx)))</f>
        <v/>
      </c>
      <c r="EW74" s="43" t="str">
        <f>IF($CU74&gt;=RAF,"",IF($CU74-EW$103&lt;BeginnAlter,"",ROUND((SUM(DN$56:DN74)+SUM(GF$9:GF$56))/VLOOKUP($CU74,$AH$9:$AI$102,2)/VLOOKUP($CU74-EW$103,Männer!$G$9:$J$102,4),Rundäx)))</f>
        <v/>
      </c>
      <c r="EX74" s="43" t="str">
        <f>IF($CU74&gt;=RAF,"",IF($CU74-EX$103&lt;BeginnAlter,"",ROUND((SUM(DO$56:DO74)+SUM(GG$9:GG$56))/VLOOKUP($CU74,$AH$9:$AI$102,2)/VLOOKUP($CU74-EX$103,Männer!$G$9:$J$102,4),Rundäx)))</f>
        <v/>
      </c>
      <c r="EY74" s="43" t="str">
        <f>IF($CU74&gt;=RAF,"",IF($CU74-EY$103&lt;BeginnAlter,"",ROUND((SUM(DP$56:DP74)+SUM(GH$9:GH$56))/VLOOKUP($CU74,$AH$9:$AI$102,2)/VLOOKUP($CU74-EY$103,Männer!$G$9:$J$102,4),Rundäx)))</f>
        <v/>
      </c>
      <c r="EZ74" s="43" t="str">
        <f>IF($CU74&gt;=RAF,"",IF($CU74-EZ$103&lt;BeginnAlter,"",ROUND((SUM(DQ$56:DQ74)+SUM(GI$9:GI$56))/VLOOKUP($CU74,$AH$9:$AI$102,2)/VLOOKUP($CU74-EZ$103,Männer!$G$9:$J$102,4),Rundäx)))</f>
        <v/>
      </c>
      <c r="FA74" s="43" t="str">
        <f>IF($CU74&gt;=RAF,"",IF($CU74-FA$103&lt;BeginnAlter,"",ROUND((SUM(DR$56:DR74)+SUM(GJ$9:GJ$56))/VLOOKUP($CU74,$AH$9:$AI$102,2)/VLOOKUP($CU74-FA$103,Männer!$G$9:$J$102,4),Rundäx)))</f>
        <v/>
      </c>
      <c r="FB74" s="43" t="str">
        <f>IF($CU74&gt;=RAF,"",IF($CU74-FB$103&lt;BeginnAlter,"",ROUND((SUM(DS$56:DS74)+SUM(GK$9:GK$56))/VLOOKUP($CU74,$AH$9:$AI$102,2)/VLOOKUP($CU74-FB$103,Männer!$G$9:$J$102,4),Rundäx)))</f>
        <v/>
      </c>
      <c r="FC74" s="89"/>
      <c r="FD74" s="35">
        <f t="shared" si="63"/>
        <v>82</v>
      </c>
      <c r="FE74" s="43" t="str">
        <f>IF($CU74&gt;=RAF,"",IF($CU74-FE$103&lt;BeginnAlter,"",ROUND((SUM(DT$56:DT74)+SUM(GL$9:GL$56))/VLOOKUP($CU74,$AH$9:$AI$102,2)/VLOOKUP($CU74-FE$103,Männer!$G$9:$J$102,4),Rundäx)))</f>
        <v/>
      </c>
      <c r="FF74" s="43" t="str">
        <f>IF($CU74&gt;=RAF,"",IF($CU74-FF$103&lt;BeginnAlter,"",ROUND((SUM(DU$56:DU74)+SUM(GM$9:GM$56))/VLOOKUP($CU74,$AH$9:$AI$102,2)/VLOOKUP($CU74-FF$103,Männer!$G$9:$J$102,4),Rundäx)))</f>
        <v/>
      </c>
      <c r="FG74" s="43" t="str">
        <f>IF($CU74&gt;=RAF,"",IF($CU74-FG$103&lt;BeginnAlter,"",ROUND((SUM(DV$56:DV74)+SUM(GN$9:GN$56))/VLOOKUP($CU74,$AH$9:$AI$102,2)/VLOOKUP($CU74-FG$103,Männer!$G$9:$J$102,4),Rundäx)))</f>
        <v/>
      </c>
      <c r="FH74" s="43" t="str">
        <f>IF($CU74&gt;=RAF,"",IF($CU74-FH$103&lt;BeginnAlter,"",ROUND((SUM(DW$56:DW74)+SUM(GO$9:GO$56))/VLOOKUP($CU74,$AH$9:$AI$102,2)/VLOOKUP($CU74-FH$103,Männer!$G$9:$J$102,4),Rundäx)))</f>
        <v/>
      </c>
      <c r="FI74" s="43" t="str">
        <f>IF($CU74&gt;=RAF,"",IF($CU74-FI$103&lt;BeginnAlter,"",ROUND((SUM(DX$56:DX74)+SUM(GP$9:GP$56))/VLOOKUP($CU74,$AH$9:$AI$102,2)/VLOOKUP($CU74-FI$103,Männer!$G$9:$J$102,4),Rundäx)))</f>
        <v/>
      </c>
      <c r="FJ74" s="43" t="str">
        <f>IF($CU74&gt;=RAF,"",IF($CU74-FJ$103&lt;BeginnAlter,"",ROUND((SUM(DY$56:DY74)+SUM(GQ$9:GQ$56))/VLOOKUP($CU74,$AH$9:$AI$102,2)/VLOOKUP($CU74-FJ$103,Männer!$G$9:$J$102,4),Rundäx)))</f>
        <v/>
      </c>
      <c r="FK74" s="43" t="str">
        <f>IF($CU74&gt;=RAF,"",IF($CU74-FK$103&lt;BeginnAlter,"",ROUND((SUM(DZ$56:DZ74)+SUM(GR$9:GR$56))/VLOOKUP($CU74,$AH$9:$AI$102,2)/VLOOKUP($CU74-FK$103,Männer!$G$9:$J$102,4),Rundäx)))</f>
        <v/>
      </c>
      <c r="FL74" s="89"/>
      <c r="FM74" s="35">
        <f t="shared" si="64"/>
        <v>129</v>
      </c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4"/>
      <c r="GT74" s="24"/>
      <c r="GU74" s="24" t="str">
        <f>IF(FM74&gt;=RAF," ",#REF!/$AI74/Frauen!$J62)</f>
        <v xml:space="preserve"> </v>
      </c>
      <c r="GV74" s="24" t="str">
        <f>IF(FM74&gt;=RAF," ",#REF!/$AI74/Frauen!$J65)</f>
        <v xml:space="preserve"> </v>
      </c>
      <c r="GW74" s="24" t="str">
        <f>IF(FM74&gt;=RAF," ",#REF!/$AI74/Frauen!$J68)</f>
        <v xml:space="preserve"> </v>
      </c>
      <c r="GX74" s="24" t="str">
        <f>IF(FM74&gt;=RAF," ",#REF!/$AI74/Frauen!$J71)</f>
        <v xml:space="preserve"> </v>
      </c>
      <c r="GY74" s="24" t="str">
        <f>IF(FM74&gt;=RAF," ",#REF!/$AI74/Frauen!$J74)</f>
        <v xml:space="preserve"> </v>
      </c>
      <c r="GZ74" s="24" t="str">
        <f>IF(FM74&gt;=RAF," ",#REF!/$AI74/Frauen!$J77)</f>
        <v xml:space="preserve"> </v>
      </c>
      <c r="HA74" s="89"/>
      <c r="HB74" s="35">
        <f t="shared" si="65"/>
        <v>129</v>
      </c>
      <c r="HC74" s="24"/>
      <c r="HD74" s="24"/>
      <c r="HE74" s="24"/>
      <c r="HF74" s="24"/>
      <c r="HG74" s="24"/>
      <c r="HH74" s="24"/>
      <c r="HI74" s="24"/>
      <c r="HJ74" s="24"/>
      <c r="HK74" s="89"/>
      <c r="HL74" s="35">
        <f t="shared" si="66"/>
        <v>129</v>
      </c>
      <c r="HM74" s="24"/>
      <c r="HN74" s="24"/>
      <c r="HO74" s="24"/>
      <c r="HP74" s="24"/>
      <c r="HQ74" s="24"/>
      <c r="HR74" s="24"/>
      <c r="HS74" s="24"/>
      <c r="HT74" s="24"/>
      <c r="HU74" s="89"/>
      <c r="HV74" s="35">
        <f t="shared" si="67"/>
        <v>129</v>
      </c>
      <c r="HW74" s="24"/>
      <c r="HX74" s="24"/>
      <c r="HY74" s="24"/>
      <c r="HZ74" s="24"/>
      <c r="IA74" s="24"/>
      <c r="IB74" s="24"/>
      <c r="IC74" s="24"/>
      <c r="ID74" s="89"/>
      <c r="IE74" s="9">
        <f t="shared" si="80"/>
        <v>82</v>
      </c>
      <c r="IF74" s="11" t="str">
        <f t="shared" ref="IF74:IF102" si="101">IF($IE74&lt;RAF,IF(S75&lt;=RAK,ROUND(v^($IE74+FaktorAlter)*$H74*($B74*0.5*($R74+$R75)*(VLOOKUP(TRUNC(0.5*($S74+$S75),0),$BF$9:$BH$102,3)+(0.5*($S74+$S75)-TRUNC(0.5*($S74+$S75),0))*(VLOOKUP(TRUNC(0.5*($S74+$S75)+1,0),$BF$9:$BH$102,3)-VLOOKUP(TRUNC(0.5*($S74+$S75),0),$BF$9:$BH$102,3)))+$C74*0.5*($IL74+$IL75)),RundDx),0),"")</f>
        <v/>
      </c>
      <c r="IG74" s="11" t="str">
        <f>IF($IE74&lt;RAF,IF(S75&lt;=RAK,ROUND(SUM(IF74:INDEX(Daky,RAF-BeginnAlter))+INDEX(Day,RAF-BeginnAlter+1)*INDEX(äky,1),RundDx),0),"")</f>
        <v/>
      </c>
      <c r="IH74" s="11" t="str">
        <f>IF($IE74&lt;RAF,IF(S75&lt;=RAK,ROUND(SUM(IG74:INDEX(Naky,RAF-BeginnAlter))+INDEX(Day,RAF-BeginnAlter+1)*INDEX(äky,1),RundDx),0),"")</f>
        <v/>
      </c>
      <c r="II74" s="10" t="str">
        <f t="shared" ref="II74:II102" si="102">IF($IE74&lt;RAF,IF(S75&lt;=RAK,ROUND(IG74/$Y74,Rundäx),0),"")</f>
        <v/>
      </c>
      <c r="IJ74" s="11" t="str">
        <f t="shared" ref="IJ74:IJ102" si="103">IF($IE74&lt;RAF,IF(S75&lt;=RAK,ROUND(v^($IE74+FaktorAlter)*$L74*$D74*0.5*($R74+$R75)*(VLOOKUP(TRUNC(0.5*($S74+$S75),0),$BF$9:$BH$102,3)+(0.5*($S74+$S75)-TRUNC(0.5*($S74+$S75),0))*(VLOOKUP(TRUNC(0.5*($S74+$S75)+1,0),$BF$9:$BH$102,3)-VLOOKUP(TRUNC(0.5*($S74+$S75),0),$BF$9:$BH$102,3))),RundDx),0),"")</f>
        <v/>
      </c>
      <c r="IK74" s="11" t="str">
        <f>IF($IE74&lt;RAF,IF(S75&lt;=RAK,SUM(IJ74:INDEX(Diky,RAF-BeginnAlter))+INDEX(Diy,RAF-BeginnAlter+1)*INDEX(äky,1),0),"")</f>
        <v/>
      </c>
      <c r="IL74" s="10" t="str">
        <f t="shared" ref="IL74:IL102" si="104">IF($IE74&lt;RAF,IF(S75&lt;=RAK,ROUND(IK74/$AI74,Rundäx),0),IF(IE74&gt;RAF,"",INDEX(äky,1)))</f>
        <v/>
      </c>
      <c r="IM74" s="89"/>
      <c r="IN74" s="9">
        <f t="shared" ref="IN74:IN92" si="105">1+IN73</f>
        <v>129</v>
      </c>
      <c r="IO74" s="11"/>
      <c r="IP74" s="11"/>
      <c r="IQ74" s="10"/>
      <c r="IR74" s="86"/>
    </row>
    <row r="75" spans="1:252" ht="15.75" customHeight="1" x14ac:dyDescent="0.25">
      <c r="A75" s="9">
        <f t="shared" si="69"/>
        <v>83</v>
      </c>
      <c r="B75" s="93"/>
      <c r="C75" s="93"/>
      <c r="D75" s="93"/>
      <c r="E75" s="93">
        <v>6.0984060062763898E-2</v>
      </c>
      <c r="F75" s="89"/>
      <c r="G75" s="9">
        <f t="shared" si="70"/>
        <v>83</v>
      </c>
      <c r="H75" s="11" t="str">
        <f t="shared" ref="H75:H99" si="106">IF(G75&lt;=RAF,ROUND(H74*(1-B74-C74),Rundlx),"")</f>
        <v/>
      </c>
      <c r="I75" s="25" t="str">
        <f t="shared" ref="I75:I99" si="107">IF(G75&lt;=RAF,ROUND(H74*C74*(1-D74)/(1-0.5*D74)+I74*(1-D74),RundIx),"")</f>
        <v/>
      </c>
      <c r="J75" s="25">
        <f t="shared" ref="J75:J97" si="108">IF(G75&lt;=RAF,H75+I75,ROUND(J74*(1-E74),Rundlx))</f>
        <v>59005</v>
      </c>
      <c r="K75" s="30">
        <f>IF(J75&gt;0,ROUND(SUM(J75:J$102)/J75-0.5,Rundex),"")</f>
        <v>7.34</v>
      </c>
      <c r="L75" s="25">
        <f t="shared" si="83"/>
        <v>59005</v>
      </c>
      <c r="M75" s="30">
        <f>IF(L75&gt;0,ROUND(SUM(L75:L$102)/L75-0.5,Rundex),"")</f>
        <v>7.34</v>
      </c>
      <c r="N75" s="89"/>
      <c r="O75" s="9">
        <f t="shared" si="71"/>
        <v>83</v>
      </c>
      <c r="P75" s="94">
        <v>6.5253992068153152E-3</v>
      </c>
      <c r="Q75" s="95">
        <v>83.518676674265805</v>
      </c>
      <c r="R75" s="94"/>
      <c r="S75" s="95"/>
      <c r="T75" s="28">
        <v>5.640725110253713E-2</v>
      </c>
      <c r="U75" s="11">
        <f t="shared" ref="U75:U99" si="109">ROUND(U74*(1-T74),Rundlx)</f>
        <v>62925</v>
      </c>
      <c r="V75" s="30">
        <f>IF(U75&gt;0,ROUND(SUM(U75:U$102)/U75-0.5,Rundex),"")</f>
        <v>7.7</v>
      </c>
      <c r="W75" s="89"/>
      <c r="X75" s="9">
        <f t="shared" si="72"/>
        <v>83</v>
      </c>
      <c r="Y75" s="11" t="str">
        <f t="shared" ref="Y75:Y92" si="110">IF($X75&lt;=RAF,ROUND(v^X75*H75,RundDx)," ")</f>
        <v xml:space="preserve"> </v>
      </c>
      <c r="Z75" s="11" t="str">
        <f>IF($X75&lt;RAF,SUM(Y75:INDEX(Day,RAF-BeginnAlter))," ")</f>
        <v xml:space="preserve"> </v>
      </c>
      <c r="AA75" s="11" t="str">
        <f t="shared" si="81"/>
        <v xml:space="preserve"> </v>
      </c>
      <c r="AB75" s="11" t="str">
        <f>IF($X75&lt;RAF,SUM(AA75:INDEX(Cay,RAF-BeginnAlter))," ")</f>
        <v xml:space="preserve"> </v>
      </c>
      <c r="AC75" s="11" t="str">
        <f t="shared" si="82"/>
        <v xml:space="preserve"> </v>
      </c>
      <c r="AD75" s="11" t="str">
        <f>IF($X75&lt;RAF,SUM(AC75:INDEX(Caiy,RAF-BeginnAlter))," ")</f>
        <v xml:space="preserve"> </v>
      </c>
      <c r="AE75" s="10" t="str">
        <f t="shared" ref="AE75:AE92" si="111">IF($X75&lt;RAF,ROUND(Z75/Y75,Rundäx)," ")</f>
        <v xml:space="preserve"> </v>
      </c>
      <c r="AF75" s="10" t="str">
        <f t="shared" ref="AF75:AF92" si="112">IF($X75&lt;RAF,ROUND(AE75-(m-1)/(2*m)*((Y75-INDEX(Day,RAF-BeginnAlter+1))/Y75),Rundäx)," ")</f>
        <v xml:space="preserve"> </v>
      </c>
      <c r="AG75" s="89"/>
      <c r="AH75" s="9">
        <f t="shared" si="73"/>
        <v>83</v>
      </c>
      <c r="AI75" s="11" t="str">
        <f t="shared" ref="AI75:AI92" si="113">IF($AH75&lt;=RAF,ROUND(v^AH75*L75,RundDx)," ")</f>
        <v xml:space="preserve"> </v>
      </c>
      <c r="AJ75" s="11" t="str">
        <f>IF($AH75&gt;RAF," ",IF($AH75&lt;RAF,SUM(AI75:INDEX(Diy,RAF-BeginnAlter))+INDEX(Ny,RAF-BeginnAlter+1),INDEX(Ny,RAF-BeginnAlter+1)))</f>
        <v xml:space="preserve"> </v>
      </c>
      <c r="AK75" s="11" t="str">
        <f>IF($AH75&lt;RAF,SUM(AI75:INDEX(Diy,RAF-BeginnAlter))," ")</f>
        <v xml:space="preserve"> </v>
      </c>
      <c r="AL75" s="10" t="str">
        <f t="shared" ref="AL75:AL92" si="114">IF($AH75&gt;RAF," ",ROUND(AJ75/AI75,Rundäx))</f>
        <v xml:space="preserve"> </v>
      </c>
      <c r="AM75" s="10" t="str">
        <f t="shared" ref="AM75:AM92" si="115">IF($AH75&gt;RAF," ",ROUND(AJ75/AI75-(m-1)/(2*m),Rundäx))</f>
        <v xml:space="preserve"> </v>
      </c>
      <c r="AN75" s="10" t="str">
        <f t="shared" ref="AN75:AN92" si="116">IF($AH75&lt;RAF,ROUND(AK75/AI75,Rundäx)," ")</f>
        <v xml:space="preserve"> </v>
      </c>
      <c r="AO75" s="10" t="str">
        <f t="shared" ref="AO75:AO92" si="117">IF($AH75&lt;RAF,ROUND(AK75/AI75-(m-1)/(2*m)*(AI75-INDEX(Diy,RAF-BeginnAlter+1))/AI75,Rundäx)," ")</f>
        <v xml:space="preserve"> </v>
      </c>
      <c r="AP75" s="89"/>
      <c r="AQ75" s="9">
        <f t="shared" si="74"/>
        <v>83</v>
      </c>
      <c r="AR75" s="11">
        <f t="shared" ref="AR75:AR92" si="118">ROUND(v^AQ75*J75,RundDx)</f>
        <v>9308</v>
      </c>
      <c r="AS75" s="11">
        <f>SUM(AR75:AR$96)</f>
        <v>65894</v>
      </c>
      <c r="AT75" s="25" t="str">
        <f>IF($AQ75&lt;RAF,SUM(AR75:INDEX(Dy,RAF-BeginnAlter))," ")</f>
        <v xml:space="preserve"> </v>
      </c>
      <c r="AU75" s="24">
        <f t="shared" ref="AU75:AU92" si="119">IF(AR75&gt;0,ROUND(AS75/AR75,Rundäx)," ")</f>
        <v>7.0789999999999997</v>
      </c>
      <c r="AV75" s="24">
        <f t="shared" ref="AV75:AV92" si="120">IF(AR75&gt;0,ROUND(AS75/AR75-(m-1)/(2*m),Rundäx)," ")</f>
        <v>6.6210000000000004</v>
      </c>
      <c r="AW75" s="24" t="str">
        <f t="shared" ref="AW75:AW92" si="121">IF($AQ75&lt;RAF,ROUND(AT75/AR75,Rundäx)," ")</f>
        <v xml:space="preserve"> </v>
      </c>
      <c r="AX75" s="24" t="str">
        <f t="shared" ref="AX75:AX92" si="122">IF($AQ75&lt;RAF,ROUND(AT75/AR75-(m-1)/(2*m)*(AR75-INDEX(Dy,RAF-BeginnAlter+1))/AR75,Rundäx)," ")</f>
        <v xml:space="preserve"> </v>
      </c>
      <c r="AY75" s="89"/>
      <c r="AZ75" s="9">
        <f t="shared" si="75"/>
        <v>83</v>
      </c>
      <c r="BA75" s="11">
        <f t="shared" ref="BA75:BA92" si="123">ROUND(v^AZ75*U75,0)</f>
        <v>9926</v>
      </c>
      <c r="BB75" s="11">
        <f>SUM(BA75:BA$96)</f>
        <v>73292</v>
      </c>
      <c r="BC75" s="10">
        <f t="shared" ref="BC75:BC92" si="124">IF(BA75&gt;0,ROUND(BB75/BA75,Rundäx)," ")</f>
        <v>7.3840000000000003</v>
      </c>
      <c r="BD75" s="10">
        <f t="shared" si="84"/>
        <v>6.9260000000000002</v>
      </c>
      <c r="BE75" s="89"/>
      <c r="BF75" s="9">
        <f t="shared" si="54"/>
        <v>66</v>
      </c>
      <c r="BG75" s="10" t="str">
        <f t="shared" si="85"/>
        <v/>
      </c>
      <c r="BH75" s="10" t="str">
        <f t="shared" si="86"/>
        <v/>
      </c>
      <c r="BI75" s="89"/>
      <c r="BJ75" s="9">
        <f t="shared" si="76"/>
        <v>83</v>
      </c>
      <c r="BK75" s="11" t="str">
        <f t="shared" si="87"/>
        <v xml:space="preserve"> </v>
      </c>
      <c r="BL75" s="11" t="str">
        <f>IF(BJ75&lt;RAF,SUM(BK75:INDEX(Daiy,RAF-BeginnAlter))," ")</f>
        <v xml:space="preserve"> </v>
      </c>
      <c r="BM75" s="11" t="str">
        <f>IF(BJ75&lt;RAF,SUM(BL75:INDEX(Naiy,RAF-BeginnAlter))," ")</f>
        <v xml:space="preserve"> </v>
      </c>
      <c r="BN75" s="10" t="str">
        <f t="shared" si="88"/>
        <v xml:space="preserve"> </v>
      </c>
      <c r="BO75" s="10" t="str">
        <f t="shared" si="89"/>
        <v xml:space="preserve"> </v>
      </c>
      <c r="BP75" s="89"/>
      <c r="BQ75" s="9">
        <f t="shared" si="77"/>
        <v>83</v>
      </c>
      <c r="BR75" s="11" t="str">
        <f t="shared" si="90"/>
        <v xml:space="preserve"> </v>
      </c>
      <c r="BS75" s="11" t="str">
        <f>IF(BQ75&lt;RAF,SUM(BR75:INDEX(Daiys,RAF-BeginnAlter))," ")</f>
        <v xml:space="preserve"> </v>
      </c>
      <c r="BT75" s="11" t="str">
        <f>IF(BQ75&lt;RAF,SUM(BS75:INDEX(Naiys,RAF-BeginnAlter))," ")</f>
        <v xml:space="preserve"> </v>
      </c>
      <c r="BU75" s="10" t="str">
        <f t="shared" si="91"/>
        <v xml:space="preserve"> </v>
      </c>
      <c r="BV75" s="10" t="str">
        <f t="shared" si="92"/>
        <v xml:space="preserve"> </v>
      </c>
      <c r="BW75" s="89"/>
      <c r="BX75" s="9">
        <f t="shared" si="78"/>
        <v>83</v>
      </c>
      <c r="BY75" s="10" t="str">
        <f t="shared" si="93"/>
        <v/>
      </c>
      <c r="BZ75" s="11" t="str">
        <f t="shared" si="94"/>
        <v/>
      </c>
      <c r="CA75" s="11" t="str">
        <f>IF(S76&lt;=RAK,IF($BX75&lt;RAF,SUM(BZ75:INDEX(Dazy,RAF-BeginnAlter)),""),"")</f>
        <v/>
      </c>
      <c r="CB75" s="10" t="str">
        <f t="shared" si="95"/>
        <v/>
      </c>
      <c r="CC75" s="11">
        <f t="shared" si="96"/>
        <v>0</v>
      </c>
      <c r="CD75" s="10">
        <f t="shared" si="97"/>
        <v>0</v>
      </c>
      <c r="CE75" s="10" t="str">
        <f t="shared" si="98"/>
        <v/>
      </c>
      <c r="CF75" s="89"/>
      <c r="CG75" s="9">
        <f t="shared" si="79"/>
        <v>83</v>
      </c>
      <c r="CH75" s="11" t="str">
        <f>IF(CG75&lt;RAF,ROUND(v^($CG75+FaktorAlter)*$H75*($B75*0.5*($P75+$P76)*(VLOOKUP(TRUNC(0.5*($Q75+$Q76),0),Männer!$AZ$9:$BD$95,5)+(0.5*($Q75+$Q76)-TRUNC(0.5*($Q75+$Q76),0))*(VLOOKUP(TRUNC(0.5*($Q75+$Q76)+1,0),Männer!$AZ$9:$BD$95,5)-VLOOKUP(TRUNC(0.5*($Q75+$Q76),0),Männer!$AZ$9:$BD$95,5)))+$C75*0.5*($CN75+$CN76)),RundDx),"")</f>
        <v/>
      </c>
      <c r="CI75" s="11" t="str">
        <f>IF(CG75&lt;RAF,ROUND(SUM(CH75:INDEX(Dawy,RAF-BeginnAlter))+INDEX(Day,RAF-BeginnAlter+1)*INDEX(äwy,1),RundDx),"")</f>
        <v/>
      </c>
      <c r="CJ75" s="11" t="str">
        <f>IF(CG75&lt;RAF,ROUND(SUM(CI75:INDEX(Nawy,RAF-BeginnAlter))+INDEX(Day,RAF-BeginnAlter+1)*INDEX(äwy,1),RundDx),"")</f>
        <v/>
      </c>
      <c r="CK75" s="10" t="str">
        <f t="shared" si="99"/>
        <v/>
      </c>
      <c r="CL75" s="11" t="str">
        <f>IF(CG75&lt;RAF,ROUND(v^($CG75+FaktorAlter)*$L75*$D75*0.5*($P75+$P76)*(VLOOKUP(TRUNC(0.5*($Q75+$Q76),0),Männer!$AZ$9:$BD$95,5)+(0.5*($Q75+$Q76)-TRUNC(0.5*($Q75+$Q76),0))*(VLOOKUP(TRUNC(0.5*($Q75+$Q76)+1,0),Männer!$AZ$9:$BD$95,5)-VLOOKUP(TRUNC(0.5*($Q75+$Q76),0),Männer!$AZ$9:$BD$95,5))),RundDx),"")</f>
        <v/>
      </c>
      <c r="CM75" s="11" t="str">
        <f>IF(CG75&lt;RAF,SUM(CL75:INDEX(Diwy,RAF-BeginnAlter))+INDEX(Diy,RAF-BeginnAlter+1)*INDEX(äwy,1),"")</f>
        <v/>
      </c>
      <c r="CN75" s="10" t="str">
        <f t="shared" si="100"/>
        <v/>
      </c>
      <c r="CO75" s="89"/>
      <c r="CP75" s="9">
        <f t="shared" si="59"/>
        <v>130</v>
      </c>
      <c r="CQ75" s="11"/>
      <c r="CR75" s="11"/>
      <c r="CS75" s="10"/>
      <c r="CT75" s="89"/>
      <c r="CU75" s="35">
        <f t="shared" si="60"/>
        <v>83</v>
      </c>
      <c r="CV75" s="25" t="str">
        <f>IF($CU75&gt;=RAF,"",IF($CU75-CV$103&lt;BeginnAlter,"",ROUND(v^($CU75+FaktorAlter)*$L75*$D75*0.5*(VLOOKUP($CU75-CV$103,Männer!$G$9:$J$102,4)+VLOOKUP($CU75-CV$103+1,Männer!$G$9:$J$102,4))*0.5*(VLOOKUP($CU75-CV$103,Männer!$AZ$9:$BD$102,5)+VLOOKUP($CU75-CV$103+1,Männer!$AZ$9:$BD$102,5)),RundDx)))</f>
        <v/>
      </c>
      <c r="CW75" s="25" t="str">
        <f>IF($CU75&gt;=RAF,"",IF($CU75-CW$103&lt;BeginnAlter,"",ROUND(v^($CU75+FaktorAlter)*$L75*$D75*0.5*(VLOOKUP($CU75-CW$103,Männer!$G$9:$J$102,4)+VLOOKUP($CU75-CW$103+1,Männer!$G$9:$J$102,4))*0.5*(VLOOKUP($CU75-CW$103,Männer!$AZ$9:$BD$102,5)+VLOOKUP($CU75-CW$103+1,Männer!$AZ$9:$BD$102,5)),RundDx)))</f>
        <v/>
      </c>
      <c r="CX75" s="25" t="str">
        <f>IF($CU75&gt;=RAF,"",IF($CU75-CX$103&lt;BeginnAlter,"",ROUND(v^($CU75+FaktorAlter)*$L75*$D75*0.5*(VLOOKUP($CU75-CX$103,Männer!$G$9:$J$102,4)+VLOOKUP($CU75-CX$103+1,Männer!$G$9:$J$102,4))*0.5*(VLOOKUP($CU75-CX$103,Männer!$AZ$9:$BD$102,5)+VLOOKUP($CU75-CX$103+1,Männer!$AZ$9:$BD$102,5)),RundDx)))</f>
        <v/>
      </c>
      <c r="CY75" s="25" t="str">
        <f>IF($CU75&gt;=RAF,"",IF($CU75-CY$103&lt;BeginnAlter,"",ROUND(v^($CU75+FaktorAlter)*$L75*$D75*0.5*(VLOOKUP($CU75-CY$103,Männer!$G$9:$J$102,4)+VLOOKUP($CU75-CY$103+1,Männer!$G$9:$J$102,4))*0.5*(VLOOKUP($CU75-CY$103,Männer!$AZ$9:$BD$102,5)+VLOOKUP($CU75-CY$103+1,Männer!$AZ$9:$BD$102,5)),RundDx)))</f>
        <v/>
      </c>
      <c r="CZ75" s="25" t="str">
        <f>IF($CU75&gt;=RAF,"",IF($CU75-CZ$103&lt;BeginnAlter,"",ROUND(v^($CU75+FaktorAlter)*$L75*$D75*0.5*(VLOOKUP($CU75-CZ$103,Männer!$G$9:$J$102,4)+VLOOKUP($CU75-CZ$103+1,Männer!$G$9:$J$102,4))*0.5*(VLOOKUP($CU75-CZ$103,Männer!$AZ$9:$BD$102,5)+VLOOKUP($CU75-CZ$103+1,Männer!$AZ$9:$BD$102,5)),RundDx)))</f>
        <v/>
      </c>
      <c r="DA75" s="25" t="str">
        <f>IF($CU75&gt;=RAF,"",IF($CU75-DA$103&lt;BeginnAlter,"",ROUND(v^($CU75+FaktorAlter)*$L75*$D75*0.5*(VLOOKUP($CU75-DA$103,Männer!$G$9:$J$102,4)+VLOOKUP($CU75-DA$103+1,Männer!$G$9:$J$102,4))*0.5*(VLOOKUP($CU75-DA$103,Männer!$AZ$9:$BD$102,5)+VLOOKUP($CU75-DA$103+1,Männer!$AZ$9:$BD$102,5)),RundDx)))</f>
        <v/>
      </c>
      <c r="DB75" s="25" t="str">
        <f>IF($CU75&gt;=RAF,"",IF($CU75-DB$103&lt;BeginnAlter,"",ROUND(v^($CU75+FaktorAlter)*$L75*$D75*0.5*(VLOOKUP($CU75-DB$103,Männer!$G$9:$J$102,4)+VLOOKUP($CU75-DB$103+1,Männer!$G$9:$J$102,4))*0.5*(VLOOKUP($CU75-DB$103,Männer!$AZ$9:$BD$102,5)+VLOOKUP($CU75-DB$103+1,Männer!$AZ$9:$BD$102,5)),RundDx)))</f>
        <v/>
      </c>
      <c r="DC75" s="25" t="str">
        <f>IF($CU75&gt;=RAF,"",IF($CU75-DC$103&lt;BeginnAlter,"",ROUND(v^($CU75+FaktorAlter)*$L75*$D75*0.5*(VLOOKUP($CU75-DC$103,Männer!$G$9:$J$102,4)+VLOOKUP($CU75-DC$103+1,Männer!$G$9:$J$102,4))*0.5*(VLOOKUP($CU75-DC$103,Männer!$AZ$9:$BD$102,5)+VLOOKUP($CU75-DC$103+1,Männer!$AZ$9:$BD$102,5)),RundDx)))</f>
        <v/>
      </c>
      <c r="DD75" s="25" t="str">
        <f>IF($CU75&gt;=RAF,"",IF($CU75-DD$103&lt;BeginnAlter,"",ROUND(v^($CU75+FaktorAlter)*$L75*$D75*0.5*(VLOOKUP($CU75-DD$103,Männer!$G$9:$J$102,4)+VLOOKUP($CU75-DD$103+1,Männer!$G$9:$J$102,4))*0.5*(VLOOKUP($CU75-DD$103,Männer!$AZ$9:$BD$102,5)+VLOOKUP($CU75-DD$103+1,Männer!$AZ$9:$BD$102,5)),RundDx)))</f>
        <v/>
      </c>
      <c r="DE75" s="25" t="str">
        <f>IF($CU75&gt;=RAF,"",IF($CU75-DE$103&lt;BeginnAlter,"",ROUND(v^($CU75+FaktorAlter)*$L75*$D75*0.5*(VLOOKUP($CU75-DE$103,Männer!$G$9:$J$102,4)+VLOOKUP($CU75-DE$103+1,Männer!$G$9:$J$102,4))*0.5*(VLOOKUP($CU75-DE$103,Männer!$AZ$9:$BD$102,5)+VLOOKUP($CU75-DE$103+1,Männer!$AZ$9:$BD$102,5)),RundDx)))</f>
        <v/>
      </c>
      <c r="DF75" s="25" t="str">
        <f>IF($CU75&gt;=RAF,"",IF($CU75-DF$103&lt;BeginnAlter,"",ROUND(v^($CU75+FaktorAlter)*$L75*$D75*0.5*(VLOOKUP($CU75-DF$103,Männer!$G$9:$J$102,4)+VLOOKUP($CU75-DF$103+1,Männer!$G$9:$J$102,4))*0.5*(VLOOKUP($CU75-DF$103,Männer!$AZ$9:$BD$102,5)+VLOOKUP($CU75-DF$103+1,Männer!$AZ$9:$BD$102,5)),RundDx)))</f>
        <v/>
      </c>
      <c r="DG75" s="25" t="str">
        <f>IF($CU75&gt;=RAF,"",IF($CU75-DG$103&lt;BeginnAlter,"",ROUND(v^($CU75+FaktorAlter)*$L75*$D75*0.5*(VLOOKUP($CU75-DG$103,Männer!$G$9:$J$102,4)+VLOOKUP($CU75-DG$103+1,Männer!$G$9:$J$102,4))*0.5*(VLOOKUP($CU75-DG$103,Männer!$AZ$9:$BD$102,5)+VLOOKUP($CU75-DG$103+1,Männer!$AZ$9:$BD$102,5)),RundDx)))</f>
        <v/>
      </c>
      <c r="DH75" s="25" t="str">
        <f>IF($CU75&gt;=RAF,"",IF($CU75-DH$103&lt;BeginnAlter,"",ROUND(v^($CU75+FaktorAlter)*$L75*$D75*0.5*(VLOOKUP($CU75-DH$103,Männer!$G$9:$J$102,4)+VLOOKUP($CU75-DH$103+1,Männer!$G$9:$J$102,4))*0.5*(VLOOKUP($CU75-DH$103,Männer!$AZ$9:$BD$102,5)+VLOOKUP($CU75-DH$103+1,Männer!$AZ$9:$BD$102,5)),RundDx)))</f>
        <v/>
      </c>
      <c r="DI75" s="25" t="str">
        <f>IF($CU75&gt;=RAF,"",IF($CU75-DI$103&lt;BeginnAlter,"",ROUND(v^($CU75+FaktorAlter)*$L75*$D75*0.5*(VLOOKUP($CU75-DI$103,Männer!$G$9:$J$102,4)+VLOOKUP($CU75-DI$103+1,Männer!$G$9:$J$102,4))*0.5*(VLOOKUP($CU75-DI$103,Männer!$AZ$9:$BD$102,5)+VLOOKUP($CU75-DI$103+1,Männer!$AZ$9:$BD$102,5)),RundDx)))</f>
        <v/>
      </c>
      <c r="DJ75" s="25" t="str">
        <f>IF($CU75&gt;=RAF,"",IF($CU75-DJ$103&lt;BeginnAlter,"",ROUND(v^($CU75+FaktorAlter)*$L75*$D75*0.5*(VLOOKUP($CU75-DJ$103,Männer!$G$9:$J$102,4)+VLOOKUP($CU75-DJ$103+1,Männer!$G$9:$J$102,4))*0.5*(VLOOKUP($CU75-DJ$103,Männer!$AZ$9:$BD$102,5)+VLOOKUP($CU75-DJ$103+1,Männer!$AZ$9:$BD$102,5)),RundDx)))</f>
        <v/>
      </c>
      <c r="DK75" s="25" t="str">
        <f>IF($CU75&gt;=RAF,"",IF($CU75-DK$103&lt;BeginnAlter,"",ROUND(v^($CU75+FaktorAlter)*$L75*$D75*0.5*(VLOOKUP($CU75-DK$103,Männer!$G$9:$J$102,4)+VLOOKUP($CU75-DK$103+1,Männer!$G$9:$J$102,4))*0.5*(VLOOKUP($CU75-DK$103,Männer!$AZ$9:$BD$102,5)+VLOOKUP($CU75-DK$103+1,Männer!$AZ$9:$BD$102,5)),RundDx)))</f>
        <v/>
      </c>
      <c r="DL75" s="25" t="str">
        <f>IF($CU75&gt;=RAF,"",IF($CU75-DL$103&lt;BeginnAlter,"",ROUND(v^($CU75+FaktorAlter)*$L75*$D75*0.5*(VLOOKUP($CU75-DL$103,Männer!$G$9:$J$102,4)+VLOOKUP($CU75-DL$103+1,Männer!$G$9:$J$102,4))*0.5*(VLOOKUP($CU75-DL$103,Männer!$AZ$9:$BD$102,5)+VLOOKUP($CU75-DL$103+1,Männer!$AZ$9:$BD$102,5)),RundDx)))</f>
        <v/>
      </c>
      <c r="DM75" s="25" t="str">
        <f>IF($CU75&gt;=RAF,"",IF($CU75-DM$103&lt;BeginnAlter,"",ROUND(v^($CU75+FaktorAlter)*$L75*$D75*0.5*(VLOOKUP($CU75-DM$103,Männer!$G$9:$J$102,4)+VLOOKUP($CU75-DM$103+1,Männer!$G$9:$J$102,4))*0.5*(VLOOKUP($CU75-DM$103,Männer!$AZ$9:$BD$102,5)+VLOOKUP($CU75-DM$103+1,Männer!$AZ$9:$BD$102,5)),RundDx)))</f>
        <v/>
      </c>
      <c r="DN75" s="25" t="str">
        <f>IF($CU75&gt;=RAF,"",IF($CU75-DN$103&lt;BeginnAlter,"",ROUND(v^($CU75+FaktorAlter)*$L75*$D75*0.5*(VLOOKUP($CU75-DN$103,Männer!$G$9:$J$102,4)+VLOOKUP($CU75-DN$103+1,Männer!$G$9:$J$102,4))*0.5*(VLOOKUP($CU75-DN$103,Männer!$AZ$9:$BD$102,5)+VLOOKUP($CU75-DN$103+1,Männer!$AZ$9:$BD$102,5)),RundDx)))</f>
        <v/>
      </c>
      <c r="DO75" s="25" t="str">
        <f>IF($CU75&gt;=RAF,"",IF($CU75-DO$103&lt;BeginnAlter,"",ROUND(v^($CU75+FaktorAlter)*$L75*$D75*0.5*(VLOOKUP($CU75-DO$103,Männer!$G$9:$J$102,4)+VLOOKUP($CU75-DO$103+1,Männer!$G$9:$J$102,4))*0.5*(VLOOKUP($CU75-DO$103,Männer!$AZ$9:$BD$102,5)+VLOOKUP($CU75-DO$103+1,Männer!$AZ$9:$BD$102,5)),RundDx)))</f>
        <v/>
      </c>
      <c r="DP75" s="25" t="str">
        <f>IF($CU75&gt;=RAF,"",IF($CU75-DP$103&lt;BeginnAlter,"",ROUND(v^($CU75+FaktorAlter)*$L75*$D75*0.5*(VLOOKUP($CU75-DP$103,Männer!$G$9:$J$102,4)+VLOOKUP($CU75-DP$103+1,Männer!$G$9:$J$102,4))*0.5*(VLOOKUP($CU75-DP$103,Männer!$AZ$9:$BD$102,5)+VLOOKUP($CU75-DP$103+1,Männer!$AZ$9:$BD$102,5)),RundDx)))</f>
        <v/>
      </c>
      <c r="DQ75" s="25" t="str">
        <f>IF($CU75&gt;=RAF,"",IF($CU75-DQ$103&lt;BeginnAlter,"",ROUND(v^($CU75+FaktorAlter)*$L75*$D75*0.5*(VLOOKUP($CU75-DQ$103,Männer!$G$9:$J$102,4)+VLOOKUP($CU75-DQ$103+1,Männer!$G$9:$J$102,4))*0.5*(VLOOKUP($CU75-DQ$103,Männer!$AZ$9:$BD$102,5)+VLOOKUP($CU75-DQ$103+1,Männer!$AZ$9:$BD$102,5)),RundDx)))</f>
        <v/>
      </c>
      <c r="DR75" s="25" t="str">
        <f>IF($CU75&gt;=RAF,"",IF($CU75-DR$103&lt;BeginnAlter,"",ROUND(v^($CU75+FaktorAlter)*$L75*$D75*0.5*(VLOOKUP($CU75-DR$103,Männer!$G$9:$J$102,4)+VLOOKUP($CU75-DR$103+1,Männer!$G$9:$J$102,4))*0.5*(VLOOKUP($CU75-DR$103,Männer!$AZ$9:$BD$102,5)+VLOOKUP($CU75-DR$103+1,Männer!$AZ$9:$BD$102,5)),RundDx)))</f>
        <v/>
      </c>
      <c r="DS75" s="25" t="str">
        <f>IF($CU75&gt;=RAF,"",IF($CU75-DS$103&lt;BeginnAlter,"",ROUND(v^($CU75+FaktorAlter)*$L75*$D75*0.5*(VLOOKUP($CU75-DS$103,Männer!$G$9:$J$102,4)+VLOOKUP($CU75-DS$103+1,Männer!$G$9:$J$102,4))*0.5*(VLOOKUP($CU75-DS$103,Männer!$AZ$9:$BD$102,5)+VLOOKUP($CU75-DS$103+1,Männer!$AZ$9:$BD$102,5)),RundDx)))</f>
        <v/>
      </c>
      <c r="DT75" s="25" t="str">
        <f>IF($CU75&gt;=RAF,"",IF($CU75-DT$103&lt;BeginnAlter,"",ROUND(v^($CU75+FaktorAlter)*$L75*$D75*0.5*(VLOOKUP($CU75-DT$103,Männer!$G$9:$J$102,4)+VLOOKUP($CU75-DT$103+1,Männer!$G$9:$J$102,4))*0.5*(VLOOKUP($CU75-DT$103,Männer!$AZ$9:$BD$102,5)+VLOOKUP($CU75-DT$103+1,Männer!$AZ$9:$BD$102,5)),RundDx)))</f>
        <v/>
      </c>
      <c r="DU75" s="25" t="str">
        <f>IF($CU75&gt;=RAF,"",IF($CU75-DU$103&lt;BeginnAlter,"",ROUND(v^($CU75+FaktorAlter)*$L75*$D75*0.5*(VLOOKUP($CU75-DU$103,Männer!$G$9:$J$102,4)+VLOOKUP($CU75-DU$103+1,Männer!$G$9:$J$102,4))*0.5*(VLOOKUP($CU75-DU$103,Männer!$AZ$9:$BD$102,5)+VLOOKUP($CU75-DU$103+1,Männer!$AZ$9:$BD$102,5)),RundDx)))</f>
        <v/>
      </c>
      <c r="DV75" s="25" t="str">
        <f>IF($CU75&gt;=RAF,"",IF($CU75-DV$103&lt;BeginnAlter,"",ROUND(v^($CU75+FaktorAlter)*$L75*$D75*0.5*(VLOOKUP($CU75-DV$103,Männer!$G$9:$J$102,4)+VLOOKUP($CU75-DV$103+1,Männer!$G$9:$J$102,4))*0.5*(VLOOKUP($CU75-DV$103,Männer!$AZ$9:$BD$102,5)+VLOOKUP($CU75-DV$103+1,Männer!$AZ$9:$BD$102,5)),RundDx)))</f>
        <v/>
      </c>
      <c r="DW75" s="25" t="str">
        <f>IF($CU75&gt;=RAF,"",IF($CU75-DW$103&lt;BeginnAlter,"",ROUND(v^($CU75+FaktorAlter)*$L75*$D75*0.5*(VLOOKUP($CU75-DW$103,Männer!$G$9:$J$102,4)+VLOOKUP($CU75-DW$103+1,Männer!$G$9:$J$102,4))*0.5*(VLOOKUP($CU75-DW$103,Männer!$AZ$9:$BD$102,5)+VLOOKUP($CU75-DW$103+1,Männer!$AZ$9:$BD$102,5)),RundDx)))</f>
        <v/>
      </c>
      <c r="DX75" s="25" t="str">
        <f>IF($CU75&gt;=RAF,"",IF($CU75-DX$103&lt;BeginnAlter,"",ROUND(v^($CU75+FaktorAlter)*$L75*$D75*0.5*(VLOOKUP($CU75-DX$103,Männer!$G$9:$J$102,4)+VLOOKUP($CU75-DX$103+1,Männer!$G$9:$J$102,4))*0.5*(VLOOKUP($CU75-DX$103,Männer!$AZ$9:$BD$102,5)+VLOOKUP($CU75-DX$103+1,Männer!$AZ$9:$BD$102,5)),RundDx)))</f>
        <v/>
      </c>
      <c r="DY75" s="25" t="str">
        <f>IF($CU75&gt;=RAF,"",IF($CU75-DY$103&lt;BeginnAlter,"",ROUND(v^($CU75+FaktorAlter)*$L75*$D75*0.5*(VLOOKUP($CU75-DY$103,Männer!$G$9:$J$102,4)+VLOOKUP($CU75-DY$103+1,Männer!$G$9:$J$102,4))*0.5*(VLOOKUP($CU75-DY$103,Männer!$AZ$9:$BD$102,5)+VLOOKUP($CU75-DY$103+1,Männer!$AZ$9:$BD$102,5)),RundDx)))</f>
        <v/>
      </c>
      <c r="DZ75" s="25" t="str">
        <f>IF($CU75&gt;=RAF,"",IF($CU75-DZ$103&lt;BeginnAlter,"",ROUND(v^($CU75+FaktorAlter)*$L75*$D75*0.5*(VLOOKUP($CU75-DZ$103,Männer!$G$9:$J$102,4)+VLOOKUP($CU75-DZ$103+1,Männer!$G$9:$J$102,4))*0.5*(VLOOKUP($CU75-DZ$103,Männer!$AZ$9:$BD$102,5)+VLOOKUP($CU75-DZ$103+1,Männer!$AZ$9:$BD$102,5)),RundDx)))</f>
        <v/>
      </c>
      <c r="EA75" s="43" t="str">
        <f>IF($CU75&gt;=RAF,"",IF($CU75-EA$103&lt;BeginnAlter,"",ROUND((SUM(CV$56:CV75)+SUM(FN$9:FN$56))/VLOOKUP($CU75,$AH$9:$AI$102,2)/VLOOKUP($CU75-EA$103,Männer!$G$9:$J$102,4),Rundäx)))</f>
        <v/>
      </c>
      <c r="EB75" s="43" t="str">
        <f>IF($CU75&gt;=RAF,"",IF($CU75-EB$103&lt;BeginnAlter,"",ROUND((SUM(CW$56:CW75)+SUM(FO$9:FO$56))/VLOOKUP($CU75,$AH$9:$AI$102,2)/VLOOKUP($CU75-EB$103,Männer!$G$9:$J$102,4),Rundäx)))</f>
        <v/>
      </c>
      <c r="EC75" s="43" t="str">
        <f>IF($CU75&gt;=RAF,"",IF($CU75-EC$103&lt;BeginnAlter,"",ROUND((SUM(CX$56:CX75)+SUM(FP$9:FP$56))/VLOOKUP($CU75,$AH$9:$AI$102,2)/VLOOKUP($CU75-EC$103,Männer!$G$9:$J$102,4),Rundäx)))</f>
        <v/>
      </c>
      <c r="ED75" s="43" t="str">
        <f>IF($CU75&gt;=RAF,"",IF($CU75-ED$103&lt;BeginnAlter,"",ROUND((SUM(CY$56:CY75)+SUM(FQ$9:FQ$56))/VLOOKUP($CU75,$AH$9:$AI$102,2)/VLOOKUP($CU75-ED$103,Männer!$G$9:$J$102,4),Rundäx)))</f>
        <v/>
      </c>
      <c r="EE75" s="43" t="str">
        <f>IF($CU75&gt;=RAF,"",IF($CU75-EE$103&lt;BeginnAlter,"",ROUND((SUM(CZ$56:CZ75)+SUM(FR$9:FR$56))/VLOOKUP($CU75,$AH$9:$AI$102,2)/VLOOKUP($CU75-EE$103,Männer!$G$9:$J$102,4),Rundäx)))</f>
        <v/>
      </c>
      <c r="EF75" s="43" t="str">
        <f>IF($CU75&gt;=RAF,"",IF($CU75-EF$103&lt;BeginnAlter,"",ROUND((SUM(DA$56:DA75)+SUM(FS$9:FS$56))/VLOOKUP($CU75,$AH$9:$AI$102,2)/VLOOKUP($CU75-EF$103,Männer!$G$9:$J$102,4),Rundäx)))</f>
        <v/>
      </c>
      <c r="EG75" s="43" t="str">
        <f>IF($CU75&gt;=RAF,"",IF($CU75-EG$103&lt;BeginnAlter,"",ROUND((SUM(DB$56:DB75)+SUM(FT$9:FT$56))/VLOOKUP($CU75,$AH$9:$AI$102,2)/VLOOKUP($CU75-EG$103,Männer!$G$9:$J$102,4),Rundäx)))</f>
        <v/>
      </c>
      <c r="EH75" s="43" t="str">
        <f>IF($CU75&gt;=RAF,"",IF($CU75-EH$103&lt;BeginnAlter,"",ROUND((SUM(DC$56:DC75)+SUM(FU$9:FU$56))/VLOOKUP($CU75,$AH$9:$AI$102,2)/VLOOKUP($CU75-EH$103,Männer!$G$9:$J$102,4),Rundäx)))</f>
        <v/>
      </c>
      <c r="EI75" s="89"/>
      <c r="EJ75" s="35">
        <f t="shared" si="61"/>
        <v>83</v>
      </c>
      <c r="EK75" s="43" t="str">
        <f>IF($CU75&gt;=RAF,"",IF($CU75-EK$103&lt;BeginnAlter,"",ROUND((SUM(DD$56:DD75)+SUM(FV$9:FV$56))/VLOOKUP($CU75,$AH$9:$AI$102,2)/VLOOKUP($CU75-EK$103,Männer!$G$9:$J$102,4),Rundäx)))</f>
        <v/>
      </c>
      <c r="EL75" s="43" t="str">
        <f>IF($CU75&gt;=RAF,"",IF($CU75-EL$103&lt;BeginnAlter,"",ROUND((SUM(DE$56:DE75)+SUM(FW$9:FW$56))/VLOOKUP($CU75,$AH$9:$AI$102,2)/VLOOKUP($CU75-EL$103,Männer!$G$9:$J$102,4),Rundäx)))</f>
        <v/>
      </c>
      <c r="EM75" s="43" t="str">
        <f>IF($CU75&gt;=RAF,"",IF($CU75-EM$103&lt;BeginnAlter,"",ROUND((SUM(DF$56:DF75)+SUM(FX$9:FX$56))/VLOOKUP($CU75,$AH$9:$AI$102,2)/VLOOKUP($CU75-EM$103,Männer!$G$9:$J$102,4),Rundäx)))</f>
        <v/>
      </c>
      <c r="EN75" s="43" t="str">
        <f>IF($CU75&gt;=RAF,"",IF($CU75-EN$103&lt;BeginnAlter,"",ROUND((SUM(DG$56:DG75)+SUM(FY$9:FY$56))/VLOOKUP($CU75,$AH$9:$AI$102,2)/VLOOKUP($CU75-EN$103,Männer!$G$9:$J$102,4),Rundäx)))</f>
        <v/>
      </c>
      <c r="EO75" s="43" t="str">
        <f>IF($CU75&gt;=RAF,"",IF($CU75-EO$103&lt;BeginnAlter,"",ROUND((SUM(DH$56:DH75)+SUM(FZ$9:FZ$56))/VLOOKUP($CU75,$AH$9:$AI$102,2)/VLOOKUP($CU75-EO$103,Männer!$G$9:$J$102,4),Rundäx)))</f>
        <v/>
      </c>
      <c r="EP75" s="43" t="str">
        <f>IF($CU75&gt;=RAF,"",IF($CU75-EP$103&lt;BeginnAlter,"",ROUND((SUM(DI$56:DI75)+SUM(GA$9:GA$56))/VLOOKUP($CU75,$AH$9:$AI$102,2)/VLOOKUP($CU75-EP$103,Männer!$G$9:$J$102,4),Rundäx)))</f>
        <v/>
      </c>
      <c r="EQ75" s="43" t="str">
        <f>IF($CU75&gt;=RAF,"",IF($CU75-EQ$103&lt;BeginnAlter,"",ROUND((SUM(DJ$56:DJ75)+SUM(GB$9:GB$56))/VLOOKUP($CU75,$AH$9:$AI$102,2)/VLOOKUP($CU75-EQ$103,Männer!$G$9:$J$102,4),Rundäx)))</f>
        <v/>
      </c>
      <c r="ER75" s="43" t="str">
        <f>IF($CU75&gt;=RAF,"",IF($CU75-ER$103&lt;BeginnAlter,"",ROUND((SUM(DK$56:DK75)+SUM(GC$9:GC$56))/VLOOKUP($CU75,$AH$9:$AI$102,2)/VLOOKUP($CU75-ER$103,Männer!$G$9:$J$102,4),Rundäx)))</f>
        <v/>
      </c>
      <c r="ES75" s="89"/>
      <c r="ET75" s="35">
        <f t="shared" si="62"/>
        <v>83</v>
      </c>
      <c r="EU75" s="43" t="str">
        <f>IF($CU75&gt;=RAF,"",IF($CU75-EU$103&lt;BeginnAlter,"",ROUND((SUM(DL$56:DL75)+SUM(GD$9:GD$56))/VLOOKUP($CU75,$AH$9:$AI$102,2)/VLOOKUP($CU75-EU$103,Männer!$G$9:$J$102,4),Rundäx)))</f>
        <v/>
      </c>
      <c r="EV75" s="43" t="str">
        <f>IF($CU75&gt;=RAF,"",IF($CU75-EV$103&lt;BeginnAlter,"",ROUND((SUM(DM$56:DM75)+SUM(GE$9:GE$56))/VLOOKUP($CU75,$AH$9:$AI$102,2)/VLOOKUP($CU75-EV$103,Männer!$G$9:$J$102,4),Rundäx)))</f>
        <v/>
      </c>
      <c r="EW75" s="43" t="str">
        <f>IF($CU75&gt;=RAF,"",IF($CU75-EW$103&lt;BeginnAlter,"",ROUND((SUM(DN$56:DN75)+SUM(GF$9:GF$56))/VLOOKUP($CU75,$AH$9:$AI$102,2)/VLOOKUP($CU75-EW$103,Männer!$G$9:$J$102,4),Rundäx)))</f>
        <v/>
      </c>
      <c r="EX75" s="43" t="str">
        <f>IF($CU75&gt;=RAF,"",IF($CU75-EX$103&lt;BeginnAlter,"",ROUND((SUM(DO$56:DO75)+SUM(GG$9:GG$56))/VLOOKUP($CU75,$AH$9:$AI$102,2)/VLOOKUP($CU75-EX$103,Männer!$G$9:$J$102,4),Rundäx)))</f>
        <v/>
      </c>
      <c r="EY75" s="43" t="str">
        <f>IF($CU75&gt;=RAF,"",IF($CU75-EY$103&lt;BeginnAlter,"",ROUND((SUM(DP$56:DP75)+SUM(GH$9:GH$56))/VLOOKUP($CU75,$AH$9:$AI$102,2)/VLOOKUP($CU75-EY$103,Männer!$G$9:$J$102,4),Rundäx)))</f>
        <v/>
      </c>
      <c r="EZ75" s="43" t="str">
        <f>IF($CU75&gt;=RAF,"",IF($CU75-EZ$103&lt;BeginnAlter,"",ROUND((SUM(DQ$56:DQ75)+SUM(GI$9:GI$56))/VLOOKUP($CU75,$AH$9:$AI$102,2)/VLOOKUP($CU75-EZ$103,Männer!$G$9:$J$102,4),Rundäx)))</f>
        <v/>
      </c>
      <c r="FA75" s="43" t="str">
        <f>IF($CU75&gt;=RAF,"",IF($CU75-FA$103&lt;BeginnAlter,"",ROUND((SUM(DR$56:DR75)+SUM(GJ$9:GJ$56))/VLOOKUP($CU75,$AH$9:$AI$102,2)/VLOOKUP($CU75-FA$103,Männer!$G$9:$J$102,4),Rundäx)))</f>
        <v/>
      </c>
      <c r="FB75" s="43" t="str">
        <f>IF($CU75&gt;=RAF,"",IF($CU75-FB$103&lt;BeginnAlter,"",ROUND((SUM(DS$56:DS75)+SUM(GK$9:GK$56))/VLOOKUP($CU75,$AH$9:$AI$102,2)/VLOOKUP($CU75-FB$103,Männer!$G$9:$J$102,4),Rundäx)))</f>
        <v/>
      </c>
      <c r="FC75" s="89"/>
      <c r="FD75" s="35">
        <f t="shared" si="63"/>
        <v>83</v>
      </c>
      <c r="FE75" s="43" t="str">
        <f>IF($CU75&gt;=RAF,"",IF($CU75-FE$103&lt;BeginnAlter,"",ROUND((SUM(DT$56:DT75)+SUM(GL$9:GL$56))/VLOOKUP($CU75,$AH$9:$AI$102,2)/VLOOKUP($CU75-FE$103,Männer!$G$9:$J$102,4),Rundäx)))</f>
        <v/>
      </c>
      <c r="FF75" s="43" t="str">
        <f>IF($CU75&gt;=RAF,"",IF($CU75-FF$103&lt;BeginnAlter,"",ROUND((SUM(DU$56:DU75)+SUM(GM$9:GM$56))/VLOOKUP($CU75,$AH$9:$AI$102,2)/VLOOKUP($CU75-FF$103,Männer!$G$9:$J$102,4),Rundäx)))</f>
        <v/>
      </c>
      <c r="FG75" s="43" t="str">
        <f>IF($CU75&gt;=RAF,"",IF($CU75-FG$103&lt;BeginnAlter,"",ROUND((SUM(DV$56:DV75)+SUM(GN$9:GN$56))/VLOOKUP($CU75,$AH$9:$AI$102,2)/VLOOKUP($CU75-FG$103,Männer!$G$9:$J$102,4),Rundäx)))</f>
        <v/>
      </c>
      <c r="FH75" s="43" t="str">
        <f>IF($CU75&gt;=RAF,"",IF($CU75-FH$103&lt;BeginnAlter,"",ROUND((SUM(DW$56:DW75)+SUM(GO$9:GO$56))/VLOOKUP($CU75,$AH$9:$AI$102,2)/VLOOKUP($CU75-FH$103,Männer!$G$9:$J$102,4),Rundäx)))</f>
        <v/>
      </c>
      <c r="FI75" s="43" t="str">
        <f>IF($CU75&gt;=RAF,"",IF($CU75-FI$103&lt;BeginnAlter,"",ROUND((SUM(DX$56:DX75)+SUM(GP$9:GP$56))/VLOOKUP($CU75,$AH$9:$AI$102,2)/VLOOKUP($CU75-FI$103,Männer!$G$9:$J$102,4),Rundäx)))</f>
        <v/>
      </c>
      <c r="FJ75" s="43" t="str">
        <f>IF($CU75&gt;=RAF,"",IF($CU75-FJ$103&lt;BeginnAlter,"",ROUND((SUM(DY$56:DY75)+SUM(GQ$9:GQ$56))/VLOOKUP($CU75,$AH$9:$AI$102,2)/VLOOKUP($CU75-FJ$103,Männer!$G$9:$J$102,4),Rundäx)))</f>
        <v/>
      </c>
      <c r="FK75" s="43" t="str">
        <f>IF($CU75&gt;=RAF,"",IF($CU75-FK$103&lt;BeginnAlter,"",ROUND((SUM(DZ$56:DZ75)+SUM(GR$9:GR$56))/VLOOKUP($CU75,$AH$9:$AI$102,2)/VLOOKUP($CU75-FK$103,Männer!$G$9:$J$102,4),Rundäx)))</f>
        <v/>
      </c>
      <c r="FL75" s="89"/>
      <c r="FM75" s="35">
        <f t="shared" si="64"/>
        <v>130</v>
      </c>
      <c r="FN75" s="25"/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4"/>
      <c r="GT75" s="24"/>
      <c r="GU75" s="24" t="str">
        <f>IF(FM75&gt;=RAF," ",#REF!/$AI75/Frauen!$J63)</f>
        <v xml:space="preserve"> </v>
      </c>
      <c r="GV75" s="24" t="str">
        <f>IF(FM75&gt;=RAF," ",#REF!/$AI75/Frauen!$J66)</f>
        <v xml:space="preserve"> </v>
      </c>
      <c r="GW75" s="24" t="str">
        <f>IF(FM75&gt;=RAF," ",#REF!/$AI75/Frauen!$J69)</f>
        <v xml:space="preserve"> </v>
      </c>
      <c r="GX75" s="24" t="str">
        <f>IF(FM75&gt;=RAF," ",#REF!/$AI75/Frauen!$J72)</f>
        <v xml:space="preserve"> </v>
      </c>
      <c r="GY75" s="24" t="str">
        <f>IF(FM75&gt;=RAF," ",#REF!/$AI75/Frauen!$J75)</f>
        <v xml:space="preserve"> </v>
      </c>
      <c r="GZ75" s="24" t="str">
        <f>IF(FM75&gt;=RAF," ",#REF!/$AI75/Frauen!$J78)</f>
        <v xml:space="preserve"> </v>
      </c>
      <c r="HA75" s="89"/>
      <c r="HB75" s="35">
        <f t="shared" si="65"/>
        <v>130</v>
      </c>
      <c r="HC75" s="24"/>
      <c r="HD75" s="24"/>
      <c r="HE75" s="24"/>
      <c r="HF75" s="24"/>
      <c r="HG75" s="24"/>
      <c r="HH75" s="24"/>
      <c r="HI75" s="24"/>
      <c r="HJ75" s="24"/>
      <c r="HK75" s="89"/>
      <c r="HL75" s="35">
        <f t="shared" si="66"/>
        <v>130</v>
      </c>
      <c r="HM75" s="24"/>
      <c r="HN75" s="24"/>
      <c r="HO75" s="24"/>
      <c r="HP75" s="24"/>
      <c r="HQ75" s="24"/>
      <c r="HR75" s="24"/>
      <c r="HS75" s="24"/>
      <c r="HT75" s="24"/>
      <c r="HU75" s="89"/>
      <c r="HV75" s="35">
        <f t="shared" si="67"/>
        <v>130</v>
      </c>
      <c r="HW75" s="24"/>
      <c r="HX75" s="24"/>
      <c r="HY75" s="24"/>
      <c r="HZ75" s="24"/>
      <c r="IA75" s="24"/>
      <c r="IB75" s="24"/>
      <c r="IC75" s="24"/>
      <c r="ID75" s="89"/>
      <c r="IE75" s="9">
        <f t="shared" si="80"/>
        <v>83</v>
      </c>
      <c r="IF75" s="11" t="str">
        <f t="shared" si="101"/>
        <v/>
      </c>
      <c r="IG75" s="11" t="str">
        <f>IF($IE75&lt;RAF,IF(S76&lt;=RAK,ROUND(SUM(IF75:INDEX(Daky,RAF-BeginnAlter))+INDEX(Day,RAF-BeginnAlter+1)*INDEX(äky,1),RundDx),0),"")</f>
        <v/>
      </c>
      <c r="IH75" s="11" t="str">
        <f>IF($IE75&lt;RAF,IF(S76&lt;=RAK,ROUND(SUM(IG75:INDEX(Naky,RAF-BeginnAlter))+INDEX(Day,RAF-BeginnAlter+1)*INDEX(äky,1),RundDx),0),"")</f>
        <v/>
      </c>
      <c r="II75" s="10" t="str">
        <f t="shared" si="102"/>
        <v/>
      </c>
      <c r="IJ75" s="11" t="str">
        <f t="shared" si="103"/>
        <v/>
      </c>
      <c r="IK75" s="11" t="str">
        <f>IF($IE75&lt;RAF,IF(S76&lt;=RAK,SUM(IJ75:INDEX(Diky,RAF-BeginnAlter))+INDEX(Diy,RAF-BeginnAlter+1)*INDEX(äky,1),0),"")</f>
        <v/>
      </c>
      <c r="IL75" s="10" t="str">
        <f t="shared" si="104"/>
        <v/>
      </c>
      <c r="IM75" s="89"/>
      <c r="IN75" s="9">
        <f t="shared" si="105"/>
        <v>130</v>
      </c>
      <c r="IO75" s="11"/>
      <c r="IP75" s="11"/>
      <c r="IQ75" s="10"/>
      <c r="IR75" s="86"/>
    </row>
    <row r="76" spans="1:252" ht="15.75" customHeight="1" x14ac:dyDescent="0.25">
      <c r="A76" s="9">
        <f t="shared" si="69"/>
        <v>84</v>
      </c>
      <c r="B76" s="93"/>
      <c r="C76" s="93"/>
      <c r="D76" s="93"/>
      <c r="E76" s="93">
        <v>7.1200401073537742E-2</v>
      </c>
      <c r="F76" s="89"/>
      <c r="G76" s="9">
        <f t="shared" si="70"/>
        <v>84</v>
      </c>
      <c r="H76" s="11" t="str">
        <f t="shared" si="106"/>
        <v/>
      </c>
      <c r="I76" s="25" t="str">
        <f t="shared" si="107"/>
        <v/>
      </c>
      <c r="J76" s="25">
        <f t="shared" si="108"/>
        <v>55407</v>
      </c>
      <c r="K76" s="30">
        <f>IF(J76&gt;0,ROUND(SUM(J76:J$102)/J76-0.5,Rundex),"")</f>
        <v>6.78</v>
      </c>
      <c r="L76" s="25">
        <f t="shared" si="83"/>
        <v>55407</v>
      </c>
      <c r="M76" s="30">
        <f>IF(L76&gt;0,ROUND(SUM(L76:L$102)/L76-0.5,Rundex),"")</f>
        <v>6.78</v>
      </c>
      <c r="N76" s="89"/>
      <c r="O76" s="9">
        <f t="shared" si="71"/>
        <v>84</v>
      </c>
      <c r="P76" s="94">
        <v>6.2853992068153154E-3</v>
      </c>
      <c r="Q76" s="95">
        <v>84.456207755005693</v>
      </c>
      <c r="R76" s="94"/>
      <c r="S76" s="95"/>
      <c r="T76" s="28">
        <v>6.4941563036593541E-2</v>
      </c>
      <c r="U76" s="11">
        <f t="shared" si="109"/>
        <v>59376</v>
      </c>
      <c r="V76" s="30">
        <f>IF(U76&gt;0,ROUND(SUM(U76:U$102)/U76-0.5,Rundex),"")</f>
        <v>7.13</v>
      </c>
      <c r="W76" s="89"/>
      <c r="X76" s="9">
        <f t="shared" si="72"/>
        <v>84</v>
      </c>
      <c r="Y76" s="11" t="str">
        <f t="shared" si="110"/>
        <v xml:space="preserve"> </v>
      </c>
      <c r="Z76" s="11" t="str">
        <f>IF($X76&lt;RAF,SUM(Y76:INDEX(Day,RAF-BeginnAlter))," ")</f>
        <v xml:space="preserve"> </v>
      </c>
      <c r="AA76" s="11" t="str">
        <f t="shared" si="81"/>
        <v xml:space="preserve"> </v>
      </c>
      <c r="AB76" s="11" t="str">
        <f>IF($X76&lt;RAF,SUM(AA76:INDEX(Cay,RAF-BeginnAlter))," ")</f>
        <v xml:space="preserve"> </v>
      </c>
      <c r="AC76" s="11" t="str">
        <f t="shared" si="82"/>
        <v xml:space="preserve"> </v>
      </c>
      <c r="AD76" s="11" t="str">
        <f>IF($X76&lt;RAF,SUM(AC76:INDEX(Caiy,RAF-BeginnAlter))," ")</f>
        <v xml:space="preserve"> </v>
      </c>
      <c r="AE76" s="10" t="str">
        <f t="shared" si="111"/>
        <v xml:space="preserve"> </v>
      </c>
      <c r="AF76" s="10" t="str">
        <f t="shared" si="112"/>
        <v xml:space="preserve"> </v>
      </c>
      <c r="AG76" s="89"/>
      <c r="AH76" s="9">
        <f t="shared" si="73"/>
        <v>84</v>
      </c>
      <c r="AI76" s="11" t="str">
        <f t="shared" si="113"/>
        <v xml:space="preserve"> </v>
      </c>
      <c r="AJ76" s="11" t="str">
        <f>IF($AH76&gt;RAF," ",IF($AH76&lt;RAF,SUM(AI76:INDEX(Diy,RAF-BeginnAlter))+INDEX(Ny,RAF-BeginnAlter+1),INDEX(Ny,RAF-BeginnAlter+1)))</f>
        <v xml:space="preserve"> </v>
      </c>
      <c r="AK76" s="11" t="str">
        <f>IF($AH76&lt;RAF,SUM(AI76:INDEX(Diy,RAF-BeginnAlter))," ")</f>
        <v xml:space="preserve"> </v>
      </c>
      <c r="AL76" s="10" t="str">
        <f t="shared" si="114"/>
        <v xml:space="preserve"> </v>
      </c>
      <c r="AM76" s="10" t="str">
        <f t="shared" si="115"/>
        <v xml:space="preserve"> </v>
      </c>
      <c r="AN76" s="10" t="str">
        <f t="shared" si="116"/>
        <v xml:space="preserve"> </v>
      </c>
      <c r="AO76" s="10" t="str">
        <f t="shared" si="117"/>
        <v xml:space="preserve"> </v>
      </c>
      <c r="AP76" s="89"/>
      <c r="AQ76" s="9">
        <f t="shared" si="74"/>
        <v>84</v>
      </c>
      <c r="AR76" s="11">
        <f t="shared" si="118"/>
        <v>8548</v>
      </c>
      <c r="AS76" s="11">
        <f>SUM(AR76:AR$96)</f>
        <v>56586</v>
      </c>
      <c r="AT76" s="25" t="str">
        <f>IF($AQ76&lt;RAF,SUM(AR76:INDEX(Dy,RAF-BeginnAlter))," ")</f>
        <v xml:space="preserve"> </v>
      </c>
      <c r="AU76" s="24">
        <f t="shared" si="119"/>
        <v>6.62</v>
      </c>
      <c r="AV76" s="24">
        <f t="shared" si="120"/>
        <v>6.1609999999999996</v>
      </c>
      <c r="AW76" s="24" t="str">
        <f t="shared" si="121"/>
        <v xml:space="preserve"> </v>
      </c>
      <c r="AX76" s="24" t="str">
        <f t="shared" si="122"/>
        <v xml:space="preserve"> </v>
      </c>
      <c r="AY76" s="89"/>
      <c r="AZ76" s="9">
        <f t="shared" si="75"/>
        <v>84</v>
      </c>
      <c r="BA76" s="11">
        <f t="shared" si="123"/>
        <v>9160</v>
      </c>
      <c r="BB76" s="11">
        <f>SUM(BA76:BA$96)</f>
        <v>63366</v>
      </c>
      <c r="BC76" s="10">
        <f t="shared" si="124"/>
        <v>6.9180000000000001</v>
      </c>
      <c r="BD76" s="10">
        <f t="shared" si="84"/>
        <v>6.4589999999999996</v>
      </c>
      <c r="BE76" s="89"/>
      <c r="BF76" s="9">
        <f t="shared" si="54"/>
        <v>67</v>
      </c>
      <c r="BG76" s="10" t="str">
        <f t="shared" si="85"/>
        <v/>
      </c>
      <c r="BH76" s="10" t="str">
        <f t="shared" si="86"/>
        <v/>
      </c>
      <c r="BI76" s="89"/>
      <c r="BJ76" s="9">
        <f t="shared" si="76"/>
        <v>84</v>
      </c>
      <c r="BK76" s="11" t="str">
        <f t="shared" si="87"/>
        <v xml:space="preserve"> </v>
      </c>
      <c r="BL76" s="11" t="str">
        <f>IF(BJ76&lt;RAF,SUM(BK76:INDEX(Daiy,RAF-BeginnAlter))," ")</f>
        <v xml:space="preserve"> </v>
      </c>
      <c r="BM76" s="11" t="str">
        <f>IF(BJ76&lt;RAF,SUM(BL76:INDEX(Naiy,RAF-BeginnAlter))," ")</f>
        <v xml:space="preserve"> </v>
      </c>
      <c r="BN76" s="10" t="str">
        <f t="shared" si="88"/>
        <v xml:space="preserve"> </v>
      </c>
      <c r="BO76" s="10" t="str">
        <f t="shared" si="89"/>
        <v xml:space="preserve"> </v>
      </c>
      <c r="BP76" s="89"/>
      <c r="BQ76" s="9">
        <f t="shared" si="77"/>
        <v>84</v>
      </c>
      <c r="BR76" s="11" t="str">
        <f t="shared" si="90"/>
        <v xml:space="preserve"> </v>
      </c>
      <c r="BS76" s="11" t="str">
        <f>IF(BQ76&lt;RAF,SUM(BR76:INDEX(Daiys,RAF-BeginnAlter))," ")</f>
        <v xml:space="preserve"> </v>
      </c>
      <c r="BT76" s="11" t="str">
        <f>IF(BQ76&lt;RAF,SUM(BS76:INDEX(Naiys,RAF-BeginnAlter))," ")</f>
        <v xml:space="preserve"> </v>
      </c>
      <c r="BU76" s="10" t="str">
        <f t="shared" si="91"/>
        <v xml:space="preserve"> </v>
      </c>
      <c r="BV76" s="10" t="str">
        <f t="shared" si="92"/>
        <v xml:space="preserve"> </v>
      </c>
      <c r="BW76" s="89"/>
      <c r="BX76" s="9">
        <f t="shared" si="78"/>
        <v>84</v>
      </c>
      <c r="BY76" s="10" t="str">
        <f t="shared" si="93"/>
        <v/>
      </c>
      <c r="BZ76" s="11" t="str">
        <f t="shared" si="94"/>
        <v/>
      </c>
      <c r="CA76" s="11" t="str">
        <f>IF(S77&lt;=RAK,IF($BX76&lt;RAF,SUM(BZ76:INDEX(Dazy,RAF-BeginnAlter)),""),"")</f>
        <v/>
      </c>
      <c r="CB76" s="10" t="str">
        <f t="shared" si="95"/>
        <v/>
      </c>
      <c r="CC76" s="11">
        <f t="shared" si="96"/>
        <v>0</v>
      </c>
      <c r="CD76" s="10">
        <f t="shared" si="97"/>
        <v>0</v>
      </c>
      <c r="CE76" s="10" t="str">
        <f t="shared" si="98"/>
        <v/>
      </c>
      <c r="CF76" s="89"/>
      <c r="CG76" s="9">
        <f t="shared" si="79"/>
        <v>84</v>
      </c>
      <c r="CH76" s="11" t="str">
        <f>IF(CG76&lt;RAF,ROUND(v^($CG76+FaktorAlter)*$H76*($B76*0.5*($P76+$P77)*(VLOOKUP(TRUNC(0.5*($Q76+$Q77),0),Männer!$AZ$9:$BD$95,5)+(0.5*($Q76+$Q77)-TRUNC(0.5*($Q76+$Q77),0))*(VLOOKUP(TRUNC(0.5*($Q76+$Q77)+1,0),Männer!$AZ$9:$BD$95,5)-VLOOKUP(TRUNC(0.5*($Q76+$Q77),0),Männer!$AZ$9:$BD$95,5)))+$C76*0.5*($CN76+$CN77)),RundDx),"")</f>
        <v/>
      </c>
      <c r="CI76" s="11" t="str">
        <f>IF(CG76&lt;RAF,ROUND(SUM(CH76:INDEX(Dawy,RAF-BeginnAlter))+INDEX(Day,RAF-BeginnAlter+1)*INDEX(äwy,1),RundDx),"")</f>
        <v/>
      </c>
      <c r="CJ76" s="11" t="str">
        <f>IF(CG76&lt;RAF,ROUND(SUM(CI76:INDEX(Nawy,RAF-BeginnAlter))+INDEX(Day,RAF-BeginnAlter+1)*INDEX(äwy,1),RundDx),"")</f>
        <v/>
      </c>
      <c r="CK76" s="10" t="str">
        <f t="shared" si="99"/>
        <v/>
      </c>
      <c r="CL76" s="11" t="str">
        <f>IF(CG76&lt;RAF,ROUND(v^($CG76+FaktorAlter)*$L76*$D76*0.5*($P76+$P77)*(VLOOKUP(TRUNC(0.5*($Q76+$Q77),0),Männer!$AZ$9:$BD$95,5)+(0.5*($Q76+$Q77)-TRUNC(0.5*($Q76+$Q77),0))*(VLOOKUP(TRUNC(0.5*($Q76+$Q77)+1,0),Männer!$AZ$9:$BD$95,5)-VLOOKUP(TRUNC(0.5*($Q76+$Q77),0),Männer!$AZ$9:$BD$95,5))),RundDx),"")</f>
        <v/>
      </c>
      <c r="CM76" s="11" t="str">
        <f>IF(CG76&lt;RAF,SUM(CL76:INDEX(Diwy,RAF-BeginnAlter))+INDEX(Diy,RAF-BeginnAlter+1)*INDEX(äwy,1),"")</f>
        <v/>
      </c>
      <c r="CN76" s="10" t="str">
        <f t="shared" si="100"/>
        <v/>
      </c>
      <c r="CO76" s="89"/>
      <c r="CP76" s="9">
        <f t="shared" si="59"/>
        <v>131</v>
      </c>
      <c r="CQ76" s="11"/>
      <c r="CR76" s="11"/>
      <c r="CS76" s="10"/>
      <c r="CT76" s="89"/>
      <c r="CU76" s="35">
        <f t="shared" si="60"/>
        <v>84</v>
      </c>
      <c r="CV76" s="25" t="str">
        <f>IF($CU76&gt;=RAF,"",IF($CU76-CV$103&lt;BeginnAlter,"",ROUND(v^($CU76+FaktorAlter)*$L76*$D76*0.5*(VLOOKUP($CU76-CV$103,Männer!$G$9:$J$102,4)+VLOOKUP($CU76-CV$103+1,Männer!$G$9:$J$102,4))*0.5*(VLOOKUP($CU76-CV$103,Männer!$AZ$9:$BD$102,5)+VLOOKUP($CU76-CV$103+1,Männer!$AZ$9:$BD$102,5)),RundDx)))</f>
        <v/>
      </c>
      <c r="CW76" s="25" t="str">
        <f>IF($CU76&gt;=RAF,"",IF($CU76-CW$103&lt;BeginnAlter,"",ROUND(v^($CU76+FaktorAlter)*$L76*$D76*0.5*(VLOOKUP($CU76-CW$103,Männer!$G$9:$J$102,4)+VLOOKUP($CU76-CW$103+1,Männer!$G$9:$J$102,4))*0.5*(VLOOKUP($CU76-CW$103,Männer!$AZ$9:$BD$102,5)+VLOOKUP($CU76-CW$103+1,Männer!$AZ$9:$BD$102,5)),RundDx)))</f>
        <v/>
      </c>
      <c r="CX76" s="25" t="str">
        <f>IF($CU76&gt;=RAF,"",IF($CU76-CX$103&lt;BeginnAlter,"",ROUND(v^($CU76+FaktorAlter)*$L76*$D76*0.5*(VLOOKUP($CU76-CX$103,Männer!$G$9:$J$102,4)+VLOOKUP($CU76-CX$103+1,Männer!$G$9:$J$102,4))*0.5*(VLOOKUP($CU76-CX$103,Männer!$AZ$9:$BD$102,5)+VLOOKUP($CU76-CX$103+1,Männer!$AZ$9:$BD$102,5)),RundDx)))</f>
        <v/>
      </c>
      <c r="CY76" s="25" t="str">
        <f>IF($CU76&gt;=RAF,"",IF($CU76-CY$103&lt;BeginnAlter,"",ROUND(v^($CU76+FaktorAlter)*$L76*$D76*0.5*(VLOOKUP($CU76-CY$103,Männer!$G$9:$J$102,4)+VLOOKUP($CU76-CY$103+1,Männer!$G$9:$J$102,4))*0.5*(VLOOKUP($CU76-CY$103,Männer!$AZ$9:$BD$102,5)+VLOOKUP($CU76-CY$103+1,Männer!$AZ$9:$BD$102,5)),RundDx)))</f>
        <v/>
      </c>
      <c r="CZ76" s="25" t="str">
        <f>IF($CU76&gt;=RAF,"",IF($CU76-CZ$103&lt;BeginnAlter,"",ROUND(v^($CU76+FaktorAlter)*$L76*$D76*0.5*(VLOOKUP($CU76-CZ$103,Männer!$G$9:$J$102,4)+VLOOKUP($CU76-CZ$103+1,Männer!$G$9:$J$102,4))*0.5*(VLOOKUP($CU76-CZ$103,Männer!$AZ$9:$BD$102,5)+VLOOKUP($CU76-CZ$103+1,Männer!$AZ$9:$BD$102,5)),RundDx)))</f>
        <v/>
      </c>
      <c r="DA76" s="25" t="str">
        <f>IF($CU76&gt;=RAF,"",IF($CU76-DA$103&lt;BeginnAlter,"",ROUND(v^($CU76+FaktorAlter)*$L76*$D76*0.5*(VLOOKUP($CU76-DA$103,Männer!$G$9:$J$102,4)+VLOOKUP($CU76-DA$103+1,Männer!$G$9:$J$102,4))*0.5*(VLOOKUP($CU76-DA$103,Männer!$AZ$9:$BD$102,5)+VLOOKUP($CU76-DA$103+1,Männer!$AZ$9:$BD$102,5)),RundDx)))</f>
        <v/>
      </c>
      <c r="DB76" s="25" t="str">
        <f>IF($CU76&gt;=RAF,"",IF($CU76-DB$103&lt;BeginnAlter,"",ROUND(v^($CU76+FaktorAlter)*$L76*$D76*0.5*(VLOOKUP($CU76-DB$103,Männer!$G$9:$J$102,4)+VLOOKUP($CU76-DB$103+1,Männer!$G$9:$J$102,4))*0.5*(VLOOKUP($CU76-DB$103,Männer!$AZ$9:$BD$102,5)+VLOOKUP($CU76-DB$103+1,Männer!$AZ$9:$BD$102,5)),RundDx)))</f>
        <v/>
      </c>
      <c r="DC76" s="25" t="str">
        <f>IF($CU76&gt;=RAF,"",IF($CU76-DC$103&lt;BeginnAlter,"",ROUND(v^($CU76+FaktorAlter)*$L76*$D76*0.5*(VLOOKUP($CU76-DC$103,Männer!$G$9:$J$102,4)+VLOOKUP($CU76-DC$103+1,Männer!$G$9:$J$102,4))*0.5*(VLOOKUP($CU76-DC$103,Männer!$AZ$9:$BD$102,5)+VLOOKUP($CU76-DC$103+1,Männer!$AZ$9:$BD$102,5)),RundDx)))</f>
        <v/>
      </c>
      <c r="DD76" s="25" t="str">
        <f>IF($CU76&gt;=RAF,"",IF($CU76-DD$103&lt;BeginnAlter,"",ROUND(v^($CU76+FaktorAlter)*$L76*$D76*0.5*(VLOOKUP($CU76-DD$103,Männer!$G$9:$J$102,4)+VLOOKUP($CU76-DD$103+1,Männer!$G$9:$J$102,4))*0.5*(VLOOKUP($CU76-DD$103,Männer!$AZ$9:$BD$102,5)+VLOOKUP($CU76-DD$103+1,Männer!$AZ$9:$BD$102,5)),RundDx)))</f>
        <v/>
      </c>
      <c r="DE76" s="25" t="str">
        <f>IF($CU76&gt;=RAF,"",IF($CU76-DE$103&lt;BeginnAlter,"",ROUND(v^($CU76+FaktorAlter)*$L76*$D76*0.5*(VLOOKUP($CU76-DE$103,Männer!$G$9:$J$102,4)+VLOOKUP($CU76-DE$103+1,Männer!$G$9:$J$102,4))*0.5*(VLOOKUP($CU76-DE$103,Männer!$AZ$9:$BD$102,5)+VLOOKUP($CU76-DE$103+1,Männer!$AZ$9:$BD$102,5)),RundDx)))</f>
        <v/>
      </c>
      <c r="DF76" s="25" t="str">
        <f>IF($CU76&gt;=RAF,"",IF($CU76-DF$103&lt;BeginnAlter,"",ROUND(v^($CU76+FaktorAlter)*$L76*$D76*0.5*(VLOOKUP($CU76-DF$103,Männer!$G$9:$J$102,4)+VLOOKUP($CU76-DF$103+1,Männer!$G$9:$J$102,4))*0.5*(VLOOKUP($CU76-DF$103,Männer!$AZ$9:$BD$102,5)+VLOOKUP($CU76-DF$103+1,Männer!$AZ$9:$BD$102,5)),RundDx)))</f>
        <v/>
      </c>
      <c r="DG76" s="25" t="str">
        <f>IF($CU76&gt;=RAF,"",IF($CU76-DG$103&lt;BeginnAlter,"",ROUND(v^($CU76+FaktorAlter)*$L76*$D76*0.5*(VLOOKUP($CU76-DG$103,Männer!$G$9:$J$102,4)+VLOOKUP($CU76-DG$103+1,Männer!$G$9:$J$102,4))*0.5*(VLOOKUP($CU76-DG$103,Männer!$AZ$9:$BD$102,5)+VLOOKUP($CU76-DG$103+1,Männer!$AZ$9:$BD$102,5)),RundDx)))</f>
        <v/>
      </c>
      <c r="DH76" s="25" t="str">
        <f>IF($CU76&gt;=RAF,"",IF($CU76-DH$103&lt;BeginnAlter,"",ROUND(v^($CU76+FaktorAlter)*$L76*$D76*0.5*(VLOOKUP($CU76-DH$103,Männer!$G$9:$J$102,4)+VLOOKUP($CU76-DH$103+1,Männer!$G$9:$J$102,4))*0.5*(VLOOKUP($CU76-DH$103,Männer!$AZ$9:$BD$102,5)+VLOOKUP($CU76-DH$103+1,Männer!$AZ$9:$BD$102,5)),RundDx)))</f>
        <v/>
      </c>
      <c r="DI76" s="25" t="str">
        <f>IF($CU76&gt;=RAF,"",IF($CU76-DI$103&lt;BeginnAlter,"",ROUND(v^($CU76+FaktorAlter)*$L76*$D76*0.5*(VLOOKUP($CU76-DI$103,Männer!$G$9:$J$102,4)+VLOOKUP($CU76-DI$103+1,Männer!$G$9:$J$102,4))*0.5*(VLOOKUP($CU76-DI$103,Männer!$AZ$9:$BD$102,5)+VLOOKUP($CU76-DI$103+1,Männer!$AZ$9:$BD$102,5)),RundDx)))</f>
        <v/>
      </c>
      <c r="DJ76" s="25" t="str">
        <f>IF($CU76&gt;=RAF,"",IF($CU76-DJ$103&lt;BeginnAlter,"",ROUND(v^($CU76+FaktorAlter)*$L76*$D76*0.5*(VLOOKUP($CU76-DJ$103,Männer!$G$9:$J$102,4)+VLOOKUP($CU76-DJ$103+1,Männer!$G$9:$J$102,4))*0.5*(VLOOKUP($CU76-DJ$103,Männer!$AZ$9:$BD$102,5)+VLOOKUP($CU76-DJ$103+1,Männer!$AZ$9:$BD$102,5)),RundDx)))</f>
        <v/>
      </c>
      <c r="DK76" s="25" t="str">
        <f>IF($CU76&gt;=RAF,"",IF($CU76-DK$103&lt;BeginnAlter,"",ROUND(v^($CU76+FaktorAlter)*$L76*$D76*0.5*(VLOOKUP($CU76-DK$103,Männer!$G$9:$J$102,4)+VLOOKUP($CU76-DK$103+1,Männer!$G$9:$J$102,4))*0.5*(VLOOKUP($CU76-DK$103,Männer!$AZ$9:$BD$102,5)+VLOOKUP($CU76-DK$103+1,Männer!$AZ$9:$BD$102,5)),RundDx)))</f>
        <v/>
      </c>
      <c r="DL76" s="25" t="str">
        <f>IF($CU76&gt;=RAF,"",IF($CU76-DL$103&lt;BeginnAlter,"",ROUND(v^($CU76+FaktorAlter)*$L76*$D76*0.5*(VLOOKUP($CU76-DL$103,Männer!$G$9:$J$102,4)+VLOOKUP($CU76-DL$103+1,Männer!$G$9:$J$102,4))*0.5*(VLOOKUP($CU76-DL$103,Männer!$AZ$9:$BD$102,5)+VLOOKUP($CU76-DL$103+1,Männer!$AZ$9:$BD$102,5)),RundDx)))</f>
        <v/>
      </c>
      <c r="DM76" s="25" t="str">
        <f>IF($CU76&gt;=RAF,"",IF($CU76-DM$103&lt;BeginnAlter,"",ROUND(v^($CU76+FaktorAlter)*$L76*$D76*0.5*(VLOOKUP($CU76-DM$103,Männer!$G$9:$J$102,4)+VLOOKUP($CU76-DM$103+1,Männer!$G$9:$J$102,4))*0.5*(VLOOKUP($CU76-DM$103,Männer!$AZ$9:$BD$102,5)+VLOOKUP($CU76-DM$103+1,Männer!$AZ$9:$BD$102,5)),RundDx)))</f>
        <v/>
      </c>
      <c r="DN76" s="25" t="str">
        <f>IF($CU76&gt;=RAF,"",IF($CU76-DN$103&lt;BeginnAlter,"",ROUND(v^($CU76+FaktorAlter)*$L76*$D76*0.5*(VLOOKUP($CU76-DN$103,Männer!$G$9:$J$102,4)+VLOOKUP($CU76-DN$103+1,Männer!$G$9:$J$102,4))*0.5*(VLOOKUP($CU76-DN$103,Männer!$AZ$9:$BD$102,5)+VLOOKUP($CU76-DN$103+1,Männer!$AZ$9:$BD$102,5)),RundDx)))</f>
        <v/>
      </c>
      <c r="DO76" s="25" t="str">
        <f>IF($CU76&gt;=RAF,"",IF($CU76-DO$103&lt;BeginnAlter,"",ROUND(v^($CU76+FaktorAlter)*$L76*$D76*0.5*(VLOOKUP($CU76-DO$103,Männer!$G$9:$J$102,4)+VLOOKUP($CU76-DO$103+1,Männer!$G$9:$J$102,4))*0.5*(VLOOKUP($CU76-DO$103,Männer!$AZ$9:$BD$102,5)+VLOOKUP($CU76-DO$103+1,Männer!$AZ$9:$BD$102,5)),RundDx)))</f>
        <v/>
      </c>
      <c r="DP76" s="25" t="str">
        <f>IF($CU76&gt;=RAF,"",IF($CU76-DP$103&lt;BeginnAlter,"",ROUND(v^($CU76+FaktorAlter)*$L76*$D76*0.5*(VLOOKUP($CU76-DP$103,Männer!$G$9:$J$102,4)+VLOOKUP($CU76-DP$103+1,Männer!$G$9:$J$102,4))*0.5*(VLOOKUP($CU76-DP$103,Männer!$AZ$9:$BD$102,5)+VLOOKUP($CU76-DP$103+1,Männer!$AZ$9:$BD$102,5)),RundDx)))</f>
        <v/>
      </c>
      <c r="DQ76" s="25" t="str">
        <f>IF($CU76&gt;=RAF,"",IF($CU76-DQ$103&lt;BeginnAlter,"",ROUND(v^($CU76+FaktorAlter)*$L76*$D76*0.5*(VLOOKUP($CU76-DQ$103,Männer!$G$9:$J$102,4)+VLOOKUP($CU76-DQ$103+1,Männer!$G$9:$J$102,4))*0.5*(VLOOKUP($CU76-DQ$103,Männer!$AZ$9:$BD$102,5)+VLOOKUP($CU76-DQ$103+1,Männer!$AZ$9:$BD$102,5)),RundDx)))</f>
        <v/>
      </c>
      <c r="DR76" s="25" t="str">
        <f>IF($CU76&gt;=RAF,"",IF($CU76-DR$103&lt;BeginnAlter,"",ROUND(v^($CU76+FaktorAlter)*$L76*$D76*0.5*(VLOOKUP($CU76-DR$103,Männer!$G$9:$J$102,4)+VLOOKUP($CU76-DR$103+1,Männer!$G$9:$J$102,4))*0.5*(VLOOKUP($CU76-DR$103,Männer!$AZ$9:$BD$102,5)+VLOOKUP($CU76-DR$103+1,Männer!$AZ$9:$BD$102,5)),RundDx)))</f>
        <v/>
      </c>
      <c r="DS76" s="25" t="str">
        <f>IF($CU76&gt;=RAF,"",IF($CU76-DS$103&lt;BeginnAlter,"",ROUND(v^($CU76+FaktorAlter)*$L76*$D76*0.5*(VLOOKUP($CU76-DS$103,Männer!$G$9:$J$102,4)+VLOOKUP($CU76-DS$103+1,Männer!$G$9:$J$102,4))*0.5*(VLOOKUP($CU76-DS$103,Männer!$AZ$9:$BD$102,5)+VLOOKUP($CU76-DS$103+1,Männer!$AZ$9:$BD$102,5)),RundDx)))</f>
        <v/>
      </c>
      <c r="DT76" s="25" t="str">
        <f>IF($CU76&gt;=RAF,"",IF($CU76-DT$103&lt;BeginnAlter,"",ROUND(v^($CU76+FaktorAlter)*$L76*$D76*0.5*(VLOOKUP($CU76-DT$103,Männer!$G$9:$J$102,4)+VLOOKUP($CU76-DT$103+1,Männer!$G$9:$J$102,4))*0.5*(VLOOKUP($CU76-DT$103,Männer!$AZ$9:$BD$102,5)+VLOOKUP($CU76-DT$103+1,Männer!$AZ$9:$BD$102,5)),RundDx)))</f>
        <v/>
      </c>
      <c r="DU76" s="25" t="str">
        <f>IF($CU76&gt;=RAF,"",IF($CU76-DU$103&lt;BeginnAlter,"",ROUND(v^($CU76+FaktorAlter)*$L76*$D76*0.5*(VLOOKUP($CU76-DU$103,Männer!$G$9:$J$102,4)+VLOOKUP($CU76-DU$103+1,Männer!$G$9:$J$102,4))*0.5*(VLOOKUP($CU76-DU$103,Männer!$AZ$9:$BD$102,5)+VLOOKUP($CU76-DU$103+1,Männer!$AZ$9:$BD$102,5)),RundDx)))</f>
        <v/>
      </c>
      <c r="DV76" s="25" t="str">
        <f>IF($CU76&gt;=RAF,"",IF($CU76-DV$103&lt;BeginnAlter,"",ROUND(v^($CU76+FaktorAlter)*$L76*$D76*0.5*(VLOOKUP($CU76-DV$103,Männer!$G$9:$J$102,4)+VLOOKUP($CU76-DV$103+1,Männer!$G$9:$J$102,4))*0.5*(VLOOKUP($CU76-DV$103,Männer!$AZ$9:$BD$102,5)+VLOOKUP($CU76-DV$103+1,Männer!$AZ$9:$BD$102,5)),RundDx)))</f>
        <v/>
      </c>
      <c r="DW76" s="25" t="str">
        <f>IF($CU76&gt;=RAF,"",IF($CU76-DW$103&lt;BeginnAlter,"",ROUND(v^($CU76+FaktorAlter)*$L76*$D76*0.5*(VLOOKUP($CU76-DW$103,Männer!$G$9:$J$102,4)+VLOOKUP($CU76-DW$103+1,Männer!$G$9:$J$102,4))*0.5*(VLOOKUP($CU76-DW$103,Männer!$AZ$9:$BD$102,5)+VLOOKUP($CU76-DW$103+1,Männer!$AZ$9:$BD$102,5)),RundDx)))</f>
        <v/>
      </c>
      <c r="DX76" s="25" t="str">
        <f>IF($CU76&gt;=RAF,"",IF($CU76-DX$103&lt;BeginnAlter,"",ROUND(v^($CU76+FaktorAlter)*$L76*$D76*0.5*(VLOOKUP($CU76-DX$103,Männer!$G$9:$J$102,4)+VLOOKUP($CU76-DX$103+1,Männer!$G$9:$J$102,4))*0.5*(VLOOKUP($CU76-DX$103,Männer!$AZ$9:$BD$102,5)+VLOOKUP($CU76-DX$103+1,Männer!$AZ$9:$BD$102,5)),RundDx)))</f>
        <v/>
      </c>
      <c r="DY76" s="25" t="str">
        <f>IF($CU76&gt;=RAF,"",IF($CU76-DY$103&lt;BeginnAlter,"",ROUND(v^($CU76+FaktorAlter)*$L76*$D76*0.5*(VLOOKUP($CU76-DY$103,Männer!$G$9:$J$102,4)+VLOOKUP($CU76-DY$103+1,Männer!$G$9:$J$102,4))*0.5*(VLOOKUP($CU76-DY$103,Männer!$AZ$9:$BD$102,5)+VLOOKUP($CU76-DY$103+1,Männer!$AZ$9:$BD$102,5)),RundDx)))</f>
        <v/>
      </c>
      <c r="DZ76" s="25" t="str">
        <f>IF($CU76&gt;=RAF,"",IF($CU76-DZ$103&lt;BeginnAlter,"",ROUND(v^($CU76+FaktorAlter)*$L76*$D76*0.5*(VLOOKUP($CU76-DZ$103,Männer!$G$9:$J$102,4)+VLOOKUP($CU76-DZ$103+1,Männer!$G$9:$J$102,4))*0.5*(VLOOKUP($CU76-DZ$103,Männer!$AZ$9:$BD$102,5)+VLOOKUP($CU76-DZ$103+1,Männer!$AZ$9:$BD$102,5)),RundDx)))</f>
        <v/>
      </c>
      <c r="EA76" s="43" t="str">
        <f>IF($CU76&gt;=RAF,"",IF($CU76-EA$103&lt;BeginnAlter,"",ROUND((SUM(CV$56:CV76)+SUM(FN$9:FN$56))/VLOOKUP($CU76,$AH$9:$AI$102,2)/VLOOKUP($CU76-EA$103,Männer!$G$9:$J$102,4),Rundäx)))</f>
        <v/>
      </c>
      <c r="EB76" s="43" t="str">
        <f>IF($CU76&gt;=RAF,"",IF($CU76-EB$103&lt;BeginnAlter,"",ROUND((SUM(CW$56:CW76)+SUM(FO$9:FO$56))/VLOOKUP($CU76,$AH$9:$AI$102,2)/VLOOKUP($CU76-EB$103,Männer!$G$9:$J$102,4),Rundäx)))</f>
        <v/>
      </c>
      <c r="EC76" s="43" t="str">
        <f>IF($CU76&gt;=RAF,"",IF($CU76-EC$103&lt;BeginnAlter,"",ROUND((SUM(CX$56:CX76)+SUM(FP$9:FP$56))/VLOOKUP($CU76,$AH$9:$AI$102,2)/VLOOKUP($CU76-EC$103,Männer!$G$9:$J$102,4),Rundäx)))</f>
        <v/>
      </c>
      <c r="ED76" s="43" t="str">
        <f>IF($CU76&gt;=RAF,"",IF($CU76-ED$103&lt;BeginnAlter,"",ROUND((SUM(CY$56:CY76)+SUM(FQ$9:FQ$56))/VLOOKUP($CU76,$AH$9:$AI$102,2)/VLOOKUP($CU76-ED$103,Männer!$G$9:$J$102,4),Rundäx)))</f>
        <v/>
      </c>
      <c r="EE76" s="43" t="str">
        <f>IF($CU76&gt;=RAF,"",IF($CU76-EE$103&lt;BeginnAlter,"",ROUND((SUM(CZ$56:CZ76)+SUM(FR$9:FR$56))/VLOOKUP($CU76,$AH$9:$AI$102,2)/VLOOKUP($CU76-EE$103,Männer!$G$9:$J$102,4),Rundäx)))</f>
        <v/>
      </c>
      <c r="EF76" s="43" t="str">
        <f>IF($CU76&gt;=RAF,"",IF($CU76-EF$103&lt;BeginnAlter,"",ROUND((SUM(DA$56:DA76)+SUM(FS$9:FS$56))/VLOOKUP($CU76,$AH$9:$AI$102,2)/VLOOKUP($CU76-EF$103,Männer!$G$9:$J$102,4),Rundäx)))</f>
        <v/>
      </c>
      <c r="EG76" s="43" t="str">
        <f>IF($CU76&gt;=RAF,"",IF($CU76-EG$103&lt;BeginnAlter,"",ROUND((SUM(DB$56:DB76)+SUM(FT$9:FT$56))/VLOOKUP($CU76,$AH$9:$AI$102,2)/VLOOKUP($CU76-EG$103,Männer!$G$9:$J$102,4),Rundäx)))</f>
        <v/>
      </c>
      <c r="EH76" s="43" t="str">
        <f>IF($CU76&gt;=RAF,"",IF($CU76-EH$103&lt;BeginnAlter,"",ROUND((SUM(DC$56:DC76)+SUM(FU$9:FU$56))/VLOOKUP($CU76,$AH$9:$AI$102,2)/VLOOKUP($CU76-EH$103,Männer!$G$9:$J$102,4),Rundäx)))</f>
        <v/>
      </c>
      <c r="EI76" s="89"/>
      <c r="EJ76" s="35">
        <f t="shared" si="61"/>
        <v>84</v>
      </c>
      <c r="EK76" s="43" t="str">
        <f>IF($CU76&gt;=RAF,"",IF($CU76-EK$103&lt;BeginnAlter,"",ROUND((SUM(DD$56:DD76)+SUM(FV$9:FV$56))/VLOOKUP($CU76,$AH$9:$AI$102,2)/VLOOKUP($CU76-EK$103,Männer!$G$9:$J$102,4),Rundäx)))</f>
        <v/>
      </c>
      <c r="EL76" s="43" t="str">
        <f>IF($CU76&gt;=RAF,"",IF($CU76-EL$103&lt;BeginnAlter,"",ROUND((SUM(DE$56:DE76)+SUM(FW$9:FW$56))/VLOOKUP($CU76,$AH$9:$AI$102,2)/VLOOKUP($CU76-EL$103,Männer!$G$9:$J$102,4),Rundäx)))</f>
        <v/>
      </c>
      <c r="EM76" s="43" t="str">
        <f>IF($CU76&gt;=RAF,"",IF($CU76-EM$103&lt;BeginnAlter,"",ROUND((SUM(DF$56:DF76)+SUM(FX$9:FX$56))/VLOOKUP($CU76,$AH$9:$AI$102,2)/VLOOKUP($CU76-EM$103,Männer!$G$9:$J$102,4),Rundäx)))</f>
        <v/>
      </c>
      <c r="EN76" s="43" t="str">
        <f>IF($CU76&gt;=RAF,"",IF($CU76-EN$103&lt;BeginnAlter,"",ROUND((SUM(DG$56:DG76)+SUM(FY$9:FY$56))/VLOOKUP($CU76,$AH$9:$AI$102,2)/VLOOKUP($CU76-EN$103,Männer!$G$9:$J$102,4),Rundäx)))</f>
        <v/>
      </c>
      <c r="EO76" s="43" t="str">
        <f>IF($CU76&gt;=RAF,"",IF($CU76-EO$103&lt;BeginnAlter,"",ROUND((SUM(DH$56:DH76)+SUM(FZ$9:FZ$56))/VLOOKUP($CU76,$AH$9:$AI$102,2)/VLOOKUP($CU76-EO$103,Männer!$G$9:$J$102,4),Rundäx)))</f>
        <v/>
      </c>
      <c r="EP76" s="43" t="str">
        <f>IF($CU76&gt;=RAF,"",IF($CU76-EP$103&lt;BeginnAlter,"",ROUND((SUM(DI$56:DI76)+SUM(GA$9:GA$56))/VLOOKUP($CU76,$AH$9:$AI$102,2)/VLOOKUP($CU76-EP$103,Männer!$G$9:$J$102,4),Rundäx)))</f>
        <v/>
      </c>
      <c r="EQ76" s="43" t="str">
        <f>IF($CU76&gt;=RAF,"",IF($CU76-EQ$103&lt;BeginnAlter,"",ROUND((SUM(DJ$56:DJ76)+SUM(GB$9:GB$56))/VLOOKUP($CU76,$AH$9:$AI$102,2)/VLOOKUP($CU76-EQ$103,Männer!$G$9:$J$102,4),Rundäx)))</f>
        <v/>
      </c>
      <c r="ER76" s="43" t="str">
        <f>IF($CU76&gt;=RAF,"",IF($CU76-ER$103&lt;BeginnAlter,"",ROUND((SUM(DK$56:DK76)+SUM(GC$9:GC$56))/VLOOKUP($CU76,$AH$9:$AI$102,2)/VLOOKUP($CU76-ER$103,Männer!$G$9:$J$102,4),Rundäx)))</f>
        <v/>
      </c>
      <c r="ES76" s="89"/>
      <c r="ET76" s="35">
        <f t="shared" si="62"/>
        <v>84</v>
      </c>
      <c r="EU76" s="43" t="str">
        <f>IF($CU76&gt;=RAF,"",IF($CU76-EU$103&lt;BeginnAlter,"",ROUND((SUM(DL$56:DL76)+SUM(GD$9:GD$56))/VLOOKUP($CU76,$AH$9:$AI$102,2)/VLOOKUP($CU76-EU$103,Männer!$G$9:$J$102,4),Rundäx)))</f>
        <v/>
      </c>
      <c r="EV76" s="43" t="str">
        <f>IF($CU76&gt;=RAF,"",IF($CU76-EV$103&lt;BeginnAlter,"",ROUND((SUM(DM$56:DM76)+SUM(GE$9:GE$56))/VLOOKUP($CU76,$AH$9:$AI$102,2)/VLOOKUP($CU76-EV$103,Männer!$G$9:$J$102,4),Rundäx)))</f>
        <v/>
      </c>
      <c r="EW76" s="43" t="str">
        <f>IF($CU76&gt;=RAF,"",IF($CU76-EW$103&lt;BeginnAlter,"",ROUND((SUM(DN$56:DN76)+SUM(GF$9:GF$56))/VLOOKUP($CU76,$AH$9:$AI$102,2)/VLOOKUP($CU76-EW$103,Männer!$G$9:$J$102,4),Rundäx)))</f>
        <v/>
      </c>
      <c r="EX76" s="43" t="str">
        <f>IF($CU76&gt;=RAF,"",IF($CU76-EX$103&lt;BeginnAlter,"",ROUND((SUM(DO$56:DO76)+SUM(GG$9:GG$56))/VLOOKUP($CU76,$AH$9:$AI$102,2)/VLOOKUP($CU76-EX$103,Männer!$G$9:$J$102,4),Rundäx)))</f>
        <v/>
      </c>
      <c r="EY76" s="43" t="str">
        <f>IF($CU76&gt;=RAF,"",IF($CU76-EY$103&lt;BeginnAlter,"",ROUND((SUM(DP$56:DP76)+SUM(GH$9:GH$56))/VLOOKUP($CU76,$AH$9:$AI$102,2)/VLOOKUP($CU76-EY$103,Männer!$G$9:$J$102,4),Rundäx)))</f>
        <v/>
      </c>
      <c r="EZ76" s="43" t="str">
        <f>IF($CU76&gt;=RAF,"",IF($CU76-EZ$103&lt;BeginnAlter,"",ROUND((SUM(DQ$56:DQ76)+SUM(GI$9:GI$56))/VLOOKUP($CU76,$AH$9:$AI$102,2)/VLOOKUP($CU76-EZ$103,Männer!$G$9:$J$102,4),Rundäx)))</f>
        <v/>
      </c>
      <c r="FA76" s="43" t="str">
        <f>IF($CU76&gt;=RAF,"",IF($CU76-FA$103&lt;BeginnAlter,"",ROUND((SUM(DR$56:DR76)+SUM(GJ$9:GJ$56))/VLOOKUP($CU76,$AH$9:$AI$102,2)/VLOOKUP($CU76-FA$103,Männer!$G$9:$J$102,4),Rundäx)))</f>
        <v/>
      </c>
      <c r="FB76" s="43" t="str">
        <f>IF($CU76&gt;=RAF,"",IF($CU76-FB$103&lt;BeginnAlter,"",ROUND((SUM(DS$56:DS76)+SUM(GK$9:GK$56))/VLOOKUP($CU76,$AH$9:$AI$102,2)/VLOOKUP($CU76-FB$103,Männer!$G$9:$J$102,4),Rundäx)))</f>
        <v/>
      </c>
      <c r="FC76" s="89"/>
      <c r="FD76" s="35">
        <f t="shared" si="63"/>
        <v>84</v>
      </c>
      <c r="FE76" s="43" t="str">
        <f>IF($CU76&gt;=RAF,"",IF($CU76-FE$103&lt;BeginnAlter,"",ROUND((SUM(DT$56:DT76)+SUM(GL$9:GL$56))/VLOOKUP($CU76,$AH$9:$AI$102,2)/VLOOKUP($CU76-FE$103,Männer!$G$9:$J$102,4),Rundäx)))</f>
        <v/>
      </c>
      <c r="FF76" s="43" t="str">
        <f>IF($CU76&gt;=RAF,"",IF($CU76-FF$103&lt;BeginnAlter,"",ROUND((SUM(DU$56:DU76)+SUM(GM$9:GM$56))/VLOOKUP($CU76,$AH$9:$AI$102,2)/VLOOKUP($CU76-FF$103,Männer!$G$9:$J$102,4),Rundäx)))</f>
        <v/>
      </c>
      <c r="FG76" s="43" t="str">
        <f>IF($CU76&gt;=RAF,"",IF($CU76-FG$103&lt;BeginnAlter,"",ROUND((SUM(DV$56:DV76)+SUM(GN$9:GN$56))/VLOOKUP($CU76,$AH$9:$AI$102,2)/VLOOKUP($CU76-FG$103,Männer!$G$9:$J$102,4),Rundäx)))</f>
        <v/>
      </c>
      <c r="FH76" s="43" t="str">
        <f>IF($CU76&gt;=RAF,"",IF($CU76-FH$103&lt;BeginnAlter,"",ROUND((SUM(DW$56:DW76)+SUM(GO$9:GO$56))/VLOOKUP($CU76,$AH$9:$AI$102,2)/VLOOKUP($CU76-FH$103,Männer!$G$9:$J$102,4),Rundäx)))</f>
        <v/>
      </c>
      <c r="FI76" s="43" t="str">
        <f>IF($CU76&gt;=RAF,"",IF($CU76-FI$103&lt;BeginnAlter,"",ROUND((SUM(DX$56:DX76)+SUM(GP$9:GP$56))/VLOOKUP($CU76,$AH$9:$AI$102,2)/VLOOKUP($CU76-FI$103,Männer!$G$9:$J$102,4),Rundäx)))</f>
        <v/>
      </c>
      <c r="FJ76" s="43" t="str">
        <f>IF($CU76&gt;=RAF,"",IF($CU76-FJ$103&lt;BeginnAlter,"",ROUND((SUM(DY$56:DY76)+SUM(GQ$9:GQ$56))/VLOOKUP($CU76,$AH$9:$AI$102,2)/VLOOKUP($CU76-FJ$103,Männer!$G$9:$J$102,4),Rundäx)))</f>
        <v/>
      </c>
      <c r="FK76" s="43" t="str">
        <f>IF($CU76&gt;=RAF,"",IF($CU76-FK$103&lt;BeginnAlter,"",ROUND((SUM(DZ$56:DZ76)+SUM(GR$9:GR$56))/VLOOKUP($CU76,$AH$9:$AI$102,2)/VLOOKUP($CU76-FK$103,Männer!$G$9:$J$102,4),Rundäx)))</f>
        <v/>
      </c>
      <c r="FL76" s="89"/>
      <c r="FM76" s="35">
        <f t="shared" si="64"/>
        <v>131</v>
      </c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4"/>
      <c r="GT76" s="24"/>
      <c r="GU76" s="24" t="str">
        <f>IF(FM76&gt;=RAF," ",#REF!/$AI76/Frauen!$J64)</f>
        <v xml:space="preserve"> </v>
      </c>
      <c r="GV76" s="24" t="str">
        <f>IF(FM76&gt;=RAF," ",#REF!/$AI76/Frauen!$J67)</f>
        <v xml:space="preserve"> </v>
      </c>
      <c r="GW76" s="24" t="str">
        <f>IF(FM76&gt;=RAF," ",#REF!/$AI76/Frauen!$J70)</f>
        <v xml:space="preserve"> </v>
      </c>
      <c r="GX76" s="24" t="str">
        <f>IF(FM76&gt;=RAF," ",#REF!/$AI76/Frauen!$J73)</f>
        <v xml:space="preserve"> </v>
      </c>
      <c r="GY76" s="24" t="str">
        <f>IF(FM76&gt;=RAF," ",#REF!/$AI76/Frauen!$J76)</f>
        <v xml:space="preserve"> </v>
      </c>
      <c r="GZ76" s="24" t="str">
        <f>IF(FM76&gt;=RAF," ",#REF!/$AI76/Frauen!$J79)</f>
        <v xml:space="preserve"> </v>
      </c>
      <c r="HA76" s="89"/>
      <c r="HB76" s="35">
        <f t="shared" si="65"/>
        <v>131</v>
      </c>
      <c r="HC76" s="24"/>
      <c r="HD76" s="24"/>
      <c r="HE76" s="24"/>
      <c r="HF76" s="24"/>
      <c r="HG76" s="24"/>
      <c r="HH76" s="24"/>
      <c r="HI76" s="24"/>
      <c r="HJ76" s="24"/>
      <c r="HK76" s="89"/>
      <c r="HL76" s="35">
        <f t="shared" si="66"/>
        <v>131</v>
      </c>
      <c r="HM76" s="24"/>
      <c r="HN76" s="24"/>
      <c r="HO76" s="24"/>
      <c r="HP76" s="24"/>
      <c r="HQ76" s="24"/>
      <c r="HR76" s="24"/>
      <c r="HS76" s="24"/>
      <c r="HT76" s="24"/>
      <c r="HU76" s="89"/>
      <c r="HV76" s="35">
        <f t="shared" si="67"/>
        <v>131</v>
      </c>
      <c r="HW76" s="24"/>
      <c r="HX76" s="24"/>
      <c r="HY76" s="24"/>
      <c r="HZ76" s="24"/>
      <c r="IA76" s="24"/>
      <c r="IB76" s="24"/>
      <c r="IC76" s="24"/>
      <c r="ID76" s="89"/>
      <c r="IE76" s="9">
        <f t="shared" si="80"/>
        <v>84</v>
      </c>
      <c r="IF76" s="11" t="str">
        <f t="shared" si="101"/>
        <v/>
      </c>
      <c r="IG76" s="11" t="str">
        <f>IF($IE76&lt;RAF,IF(S77&lt;=RAK,ROUND(SUM(IF76:INDEX(Daky,RAF-BeginnAlter))+INDEX(Day,RAF-BeginnAlter+1)*INDEX(äky,1),RundDx),0),"")</f>
        <v/>
      </c>
      <c r="IH76" s="11" t="str">
        <f>IF($IE76&lt;RAF,IF(S77&lt;=RAK,ROUND(SUM(IG76:INDEX(Naky,RAF-BeginnAlter))+INDEX(Day,RAF-BeginnAlter+1)*INDEX(äky,1),RundDx),0),"")</f>
        <v/>
      </c>
      <c r="II76" s="10" t="str">
        <f t="shared" si="102"/>
        <v/>
      </c>
      <c r="IJ76" s="11" t="str">
        <f t="shared" si="103"/>
        <v/>
      </c>
      <c r="IK76" s="11" t="str">
        <f>IF($IE76&lt;RAF,IF(S77&lt;=RAK,SUM(IJ76:INDEX(Diky,RAF-BeginnAlter))+INDEX(Diy,RAF-BeginnAlter+1)*INDEX(äky,1),0),"")</f>
        <v/>
      </c>
      <c r="IL76" s="10" t="str">
        <f t="shared" si="104"/>
        <v/>
      </c>
      <c r="IM76" s="89"/>
      <c r="IN76" s="9">
        <f t="shared" si="105"/>
        <v>131</v>
      </c>
      <c r="IO76" s="11"/>
      <c r="IP76" s="11"/>
      <c r="IQ76" s="10"/>
      <c r="IR76" s="86"/>
    </row>
    <row r="77" spans="1:252" ht="15.75" customHeight="1" x14ac:dyDescent="0.25">
      <c r="A77" s="9">
        <f t="shared" ref="A77:A102" si="125">1+A76</f>
        <v>85</v>
      </c>
      <c r="B77" s="93"/>
      <c r="C77" s="93"/>
      <c r="D77" s="93"/>
      <c r="E77" s="93">
        <v>8.2492089599128834E-2</v>
      </c>
      <c r="F77" s="89"/>
      <c r="G77" s="9">
        <f t="shared" ref="G77:G102" si="126">1+G76</f>
        <v>85</v>
      </c>
      <c r="H77" s="11" t="str">
        <f t="shared" si="106"/>
        <v/>
      </c>
      <c r="I77" s="25" t="str">
        <f t="shared" si="107"/>
        <v/>
      </c>
      <c r="J77" s="25">
        <f t="shared" si="108"/>
        <v>51462</v>
      </c>
      <c r="K77" s="30">
        <f>IF(J77&gt;0,ROUND(SUM(J77:J$102)/J77-0.5,Rundex),"")</f>
        <v>6.26</v>
      </c>
      <c r="L77" s="25">
        <f t="shared" si="83"/>
        <v>51462</v>
      </c>
      <c r="M77" s="30">
        <f>IF(L77&gt;0,ROUND(SUM(L77:L$102)/L77-0.5,Rundex),"")</f>
        <v>6.26</v>
      </c>
      <c r="N77" s="89"/>
      <c r="O77" s="9">
        <f t="shared" ref="O77:O102" si="127">1+O76</f>
        <v>85</v>
      </c>
      <c r="P77" s="94">
        <v>6.0453992068153157E-3</v>
      </c>
      <c r="Q77" s="95">
        <v>85.393738835745552</v>
      </c>
      <c r="R77" s="94"/>
      <c r="S77" s="95"/>
      <c r="T77" s="28">
        <v>7.4512198519146422E-2</v>
      </c>
      <c r="U77" s="11">
        <f t="shared" si="109"/>
        <v>55520</v>
      </c>
      <c r="V77" s="30">
        <f>IF(U77&gt;0,ROUND(SUM(U77:U$102)/U77-0.5,Rundex),"")</f>
        <v>6.59</v>
      </c>
      <c r="W77" s="89"/>
      <c r="X77" s="9">
        <f t="shared" ref="X77:X92" si="128">1+X76</f>
        <v>85</v>
      </c>
      <c r="Y77" s="11" t="str">
        <f t="shared" si="110"/>
        <v xml:space="preserve"> </v>
      </c>
      <c r="Z77" s="11" t="str">
        <f>IF($X77&lt;RAF,SUM(Y77:INDEX(Day,RAF-BeginnAlter))," ")</f>
        <v xml:space="preserve"> </v>
      </c>
      <c r="AA77" s="11" t="str">
        <f t="shared" si="81"/>
        <v xml:space="preserve"> </v>
      </c>
      <c r="AB77" s="11" t="str">
        <f>IF($X77&lt;RAF,SUM(AA77:INDEX(Cay,RAF-BeginnAlter))," ")</f>
        <v xml:space="preserve"> </v>
      </c>
      <c r="AC77" s="11" t="str">
        <f t="shared" si="82"/>
        <v xml:space="preserve"> </v>
      </c>
      <c r="AD77" s="11" t="str">
        <f>IF($X77&lt;RAF,SUM(AC77:INDEX(Caiy,RAF-BeginnAlter))," ")</f>
        <v xml:space="preserve"> </v>
      </c>
      <c r="AE77" s="10" t="str">
        <f t="shared" si="111"/>
        <v xml:space="preserve"> </v>
      </c>
      <c r="AF77" s="10" t="str">
        <f t="shared" si="112"/>
        <v xml:space="preserve"> </v>
      </c>
      <c r="AG77" s="89"/>
      <c r="AH77" s="9">
        <f t="shared" ref="AH77:AH92" si="129">1+AH76</f>
        <v>85</v>
      </c>
      <c r="AI77" s="11" t="str">
        <f t="shared" si="113"/>
        <v xml:space="preserve"> </v>
      </c>
      <c r="AJ77" s="11" t="str">
        <f>IF($AH77&gt;RAF," ",IF($AH77&lt;RAF,SUM(AI77:INDEX(Diy,RAF-BeginnAlter))+INDEX(Ny,RAF-BeginnAlter+1),INDEX(Ny,RAF-BeginnAlter+1)))</f>
        <v xml:space="preserve"> </v>
      </c>
      <c r="AK77" s="11" t="str">
        <f>IF($AH77&lt;RAF,SUM(AI77:INDEX(Diy,RAF-BeginnAlter))," ")</f>
        <v xml:space="preserve"> </v>
      </c>
      <c r="AL77" s="10" t="str">
        <f t="shared" si="114"/>
        <v xml:space="preserve"> </v>
      </c>
      <c r="AM77" s="10" t="str">
        <f t="shared" si="115"/>
        <v xml:space="preserve"> </v>
      </c>
      <c r="AN77" s="10" t="str">
        <f t="shared" si="116"/>
        <v xml:space="preserve"> </v>
      </c>
      <c r="AO77" s="10" t="str">
        <f t="shared" si="117"/>
        <v xml:space="preserve"> </v>
      </c>
      <c r="AP77" s="89"/>
      <c r="AQ77" s="9">
        <f t="shared" ref="AQ77:AQ92" si="130">1+AQ76</f>
        <v>85</v>
      </c>
      <c r="AR77" s="11">
        <f t="shared" si="118"/>
        <v>7764</v>
      </c>
      <c r="AS77" s="11">
        <f>SUM(AR77:AR$96)</f>
        <v>48038</v>
      </c>
      <c r="AT77" s="25" t="str">
        <f>IF($AQ77&lt;RAF,SUM(AR77:INDEX(Dy,RAF-BeginnAlter))," ")</f>
        <v xml:space="preserve"> </v>
      </c>
      <c r="AU77" s="24">
        <f t="shared" si="119"/>
        <v>6.1870000000000003</v>
      </c>
      <c r="AV77" s="24">
        <f t="shared" si="120"/>
        <v>5.7290000000000001</v>
      </c>
      <c r="AW77" s="24" t="str">
        <f t="shared" si="121"/>
        <v xml:space="preserve"> </v>
      </c>
      <c r="AX77" s="24" t="str">
        <f t="shared" si="122"/>
        <v xml:space="preserve"> </v>
      </c>
      <c r="AY77" s="89"/>
      <c r="AZ77" s="9">
        <f t="shared" ref="AZ77:AZ92" si="131">1+AZ76</f>
        <v>85</v>
      </c>
      <c r="BA77" s="11">
        <f t="shared" si="123"/>
        <v>8377</v>
      </c>
      <c r="BB77" s="11">
        <f>SUM(BA77:BA$96)</f>
        <v>54206</v>
      </c>
      <c r="BC77" s="10">
        <f t="shared" si="124"/>
        <v>6.4710000000000001</v>
      </c>
      <c r="BD77" s="10">
        <f t="shared" si="84"/>
        <v>6.0119999999999996</v>
      </c>
      <c r="BE77" s="89"/>
      <c r="BF77" s="9">
        <f t="shared" ref="BF77:BF92" si="132">1+BF76</f>
        <v>68</v>
      </c>
      <c r="BG77" s="10" t="str">
        <f t="shared" si="85"/>
        <v/>
      </c>
      <c r="BH77" s="10" t="str">
        <f t="shared" si="86"/>
        <v/>
      </c>
      <c r="BI77" s="89"/>
      <c r="BJ77" s="9">
        <f t="shared" ref="BJ77:BJ92" si="133">1+BJ76</f>
        <v>85</v>
      </c>
      <c r="BK77" s="11" t="str">
        <f t="shared" si="87"/>
        <v xml:space="preserve"> </v>
      </c>
      <c r="BL77" s="11" t="str">
        <f>IF(BJ77&lt;RAF,SUM(BK77:INDEX(Daiy,RAF-BeginnAlter))," ")</f>
        <v xml:space="preserve"> </v>
      </c>
      <c r="BM77" s="11" t="str">
        <f>IF(BJ77&lt;RAF,SUM(BL77:INDEX(Naiy,RAF-BeginnAlter))," ")</f>
        <v xml:space="preserve"> </v>
      </c>
      <c r="BN77" s="10" t="str">
        <f t="shared" si="88"/>
        <v xml:space="preserve"> </v>
      </c>
      <c r="BO77" s="10" t="str">
        <f t="shared" si="89"/>
        <v xml:space="preserve"> </v>
      </c>
      <c r="BP77" s="89"/>
      <c r="BQ77" s="9">
        <f t="shared" ref="BQ77:BQ92" si="134">1+BQ76</f>
        <v>85</v>
      </c>
      <c r="BR77" s="11" t="str">
        <f t="shared" si="90"/>
        <v xml:space="preserve"> </v>
      </c>
      <c r="BS77" s="11" t="str">
        <f>IF(BQ77&lt;RAF,SUM(BR77:INDEX(Daiys,RAF-BeginnAlter))," ")</f>
        <v xml:space="preserve"> </v>
      </c>
      <c r="BT77" s="11" t="str">
        <f>IF(BQ77&lt;RAF,SUM(BS77:INDEX(Naiys,RAF-BeginnAlter))," ")</f>
        <v xml:space="preserve"> </v>
      </c>
      <c r="BU77" s="10" t="str">
        <f t="shared" si="91"/>
        <v xml:space="preserve"> </v>
      </c>
      <c r="BV77" s="10" t="str">
        <f t="shared" si="92"/>
        <v xml:space="preserve"> </v>
      </c>
      <c r="BW77" s="89"/>
      <c r="BX77" s="9">
        <f t="shared" ref="BX77:BX92" si="135">1+BX76</f>
        <v>85</v>
      </c>
      <c r="BY77" s="10" t="str">
        <f t="shared" si="93"/>
        <v/>
      </c>
      <c r="BZ77" s="11" t="str">
        <f t="shared" si="94"/>
        <v/>
      </c>
      <c r="CA77" s="11" t="str">
        <f>IF(S78&lt;=RAK,IF($BX77&lt;RAF,SUM(BZ77:INDEX(Dazy,RAF-BeginnAlter)),""),"")</f>
        <v/>
      </c>
      <c r="CB77" s="10" t="str">
        <f t="shared" si="95"/>
        <v/>
      </c>
      <c r="CC77" s="11">
        <f t="shared" si="96"/>
        <v>0</v>
      </c>
      <c r="CD77" s="10">
        <f t="shared" si="97"/>
        <v>0</v>
      </c>
      <c r="CE77" s="10" t="str">
        <f t="shared" si="98"/>
        <v/>
      </c>
      <c r="CF77" s="89"/>
      <c r="CG77" s="9">
        <f t="shared" ref="CG77:CG92" si="136">1+CG76</f>
        <v>85</v>
      </c>
      <c r="CH77" s="11" t="str">
        <f>IF(CG77&lt;RAF,ROUND(v^($CG77+FaktorAlter)*$H77*($B77*0.5*($P77+$P78)*(VLOOKUP(TRUNC(0.5*($Q77+$Q78),0),Männer!$AZ$9:$BD$95,5)+(0.5*($Q77+$Q78)-TRUNC(0.5*($Q77+$Q78),0))*(VLOOKUP(TRUNC(0.5*($Q77+$Q78)+1,0),Männer!$AZ$9:$BD$95,5)-VLOOKUP(TRUNC(0.5*($Q77+$Q78),0),Männer!$AZ$9:$BD$95,5)))+$C77*0.5*($CN77+$CN78)),RundDx),"")</f>
        <v/>
      </c>
      <c r="CI77" s="11" t="str">
        <f>IF(CG77&lt;RAF,ROUND(SUM(CH77:INDEX(Dawy,RAF-BeginnAlter))+INDEX(Day,RAF-BeginnAlter+1)*INDEX(äwy,1),RundDx),"")</f>
        <v/>
      </c>
      <c r="CJ77" s="11" t="str">
        <f>IF(CG77&lt;RAF,ROUND(SUM(CI77:INDEX(Nawy,RAF-BeginnAlter))+INDEX(Day,RAF-BeginnAlter+1)*INDEX(äwy,1),RundDx),"")</f>
        <v/>
      </c>
      <c r="CK77" s="10" t="str">
        <f t="shared" si="99"/>
        <v/>
      </c>
      <c r="CL77" s="11" t="str">
        <f>IF(CG77&lt;RAF,ROUND(v^($CG77+FaktorAlter)*$L77*$D77*0.5*($P77+$P78)*(VLOOKUP(TRUNC(0.5*($Q77+$Q78),0),Männer!$AZ$9:$BD$95,5)+(0.5*($Q77+$Q78)-TRUNC(0.5*($Q77+$Q78),0))*(VLOOKUP(TRUNC(0.5*($Q77+$Q78)+1,0),Männer!$AZ$9:$BD$95,5)-VLOOKUP(TRUNC(0.5*($Q77+$Q78),0),Männer!$AZ$9:$BD$95,5))),RundDx),"")</f>
        <v/>
      </c>
      <c r="CM77" s="11" t="str">
        <f>IF(CG77&lt;RAF,SUM(CL77:INDEX(Diwy,RAF-BeginnAlter))+INDEX(Diy,RAF-BeginnAlter+1)*INDEX(äwy,1),"")</f>
        <v/>
      </c>
      <c r="CN77" s="10" t="str">
        <f t="shared" si="100"/>
        <v/>
      </c>
      <c r="CO77" s="89"/>
      <c r="CP77" s="9">
        <f t="shared" si="59"/>
        <v>132</v>
      </c>
      <c r="CQ77" s="11"/>
      <c r="CR77" s="11"/>
      <c r="CS77" s="10"/>
      <c r="CT77" s="89"/>
      <c r="CU77" s="35">
        <f t="shared" ref="CU77:CU92" si="137">1+CU76</f>
        <v>85</v>
      </c>
      <c r="CV77" s="25" t="str">
        <f>IF($CU77&gt;=RAF,"",IF($CU77-CV$103&lt;BeginnAlter,"",ROUND(v^($CU77+FaktorAlter)*$L77*$D77*0.5*(VLOOKUP($CU77-CV$103,Männer!$G$9:$J$102,4)+VLOOKUP($CU77-CV$103+1,Männer!$G$9:$J$102,4))*0.5*(VLOOKUP($CU77-CV$103,Männer!$AZ$9:$BD$102,5)+VLOOKUP($CU77-CV$103+1,Männer!$AZ$9:$BD$102,5)),RundDx)))</f>
        <v/>
      </c>
      <c r="CW77" s="25" t="str">
        <f>IF($CU77&gt;=RAF,"",IF($CU77-CW$103&lt;BeginnAlter,"",ROUND(v^($CU77+FaktorAlter)*$L77*$D77*0.5*(VLOOKUP($CU77-CW$103,Männer!$G$9:$J$102,4)+VLOOKUP($CU77-CW$103+1,Männer!$G$9:$J$102,4))*0.5*(VLOOKUP($CU77-CW$103,Männer!$AZ$9:$BD$102,5)+VLOOKUP($CU77-CW$103+1,Männer!$AZ$9:$BD$102,5)),RundDx)))</f>
        <v/>
      </c>
      <c r="CX77" s="25" t="str">
        <f>IF($CU77&gt;=RAF,"",IF($CU77-CX$103&lt;BeginnAlter,"",ROUND(v^($CU77+FaktorAlter)*$L77*$D77*0.5*(VLOOKUP($CU77-CX$103,Männer!$G$9:$J$102,4)+VLOOKUP($CU77-CX$103+1,Männer!$G$9:$J$102,4))*0.5*(VLOOKUP($CU77-CX$103,Männer!$AZ$9:$BD$102,5)+VLOOKUP($CU77-CX$103+1,Männer!$AZ$9:$BD$102,5)),RundDx)))</f>
        <v/>
      </c>
      <c r="CY77" s="25" t="str">
        <f>IF($CU77&gt;=RAF,"",IF($CU77-CY$103&lt;BeginnAlter,"",ROUND(v^($CU77+FaktorAlter)*$L77*$D77*0.5*(VLOOKUP($CU77-CY$103,Männer!$G$9:$J$102,4)+VLOOKUP($CU77-CY$103+1,Männer!$G$9:$J$102,4))*0.5*(VLOOKUP($CU77-CY$103,Männer!$AZ$9:$BD$102,5)+VLOOKUP($CU77-CY$103+1,Männer!$AZ$9:$BD$102,5)),RundDx)))</f>
        <v/>
      </c>
      <c r="CZ77" s="25" t="str">
        <f>IF($CU77&gt;=RAF,"",IF($CU77-CZ$103&lt;BeginnAlter,"",ROUND(v^($CU77+FaktorAlter)*$L77*$D77*0.5*(VLOOKUP($CU77-CZ$103,Männer!$G$9:$J$102,4)+VLOOKUP($CU77-CZ$103+1,Männer!$G$9:$J$102,4))*0.5*(VLOOKUP($CU77-CZ$103,Männer!$AZ$9:$BD$102,5)+VLOOKUP($CU77-CZ$103+1,Männer!$AZ$9:$BD$102,5)),RundDx)))</f>
        <v/>
      </c>
      <c r="DA77" s="25" t="str">
        <f>IF($CU77&gt;=RAF,"",IF($CU77-DA$103&lt;BeginnAlter,"",ROUND(v^($CU77+FaktorAlter)*$L77*$D77*0.5*(VLOOKUP($CU77-DA$103,Männer!$G$9:$J$102,4)+VLOOKUP($CU77-DA$103+1,Männer!$G$9:$J$102,4))*0.5*(VLOOKUP($CU77-DA$103,Männer!$AZ$9:$BD$102,5)+VLOOKUP($CU77-DA$103+1,Männer!$AZ$9:$BD$102,5)),RundDx)))</f>
        <v/>
      </c>
      <c r="DB77" s="25" t="str">
        <f>IF($CU77&gt;=RAF,"",IF($CU77-DB$103&lt;BeginnAlter,"",ROUND(v^($CU77+FaktorAlter)*$L77*$D77*0.5*(VLOOKUP($CU77-DB$103,Männer!$G$9:$J$102,4)+VLOOKUP($CU77-DB$103+1,Männer!$G$9:$J$102,4))*0.5*(VLOOKUP($CU77-DB$103,Männer!$AZ$9:$BD$102,5)+VLOOKUP($CU77-DB$103+1,Männer!$AZ$9:$BD$102,5)),RundDx)))</f>
        <v/>
      </c>
      <c r="DC77" s="25" t="str">
        <f>IF($CU77&gt;=RAF,"",IF($CU77-DC$103&lt;BeginnAlter,"",ROUND(v^($CU77+FaktorAlter)*$L77*$D77*0.5*(VLOOKUP($CU77-DC$103,Männer!$G$9:$J$102,4)+VLOOKUP($CU77-DC$103+1,Männer!$G$9:$J$102,4))*0.5*(VLOOKUP($CU77-DC$103,Männer!$AZ$9:$BD$102,5)+VLOOKUP($CU77-DC$103+1,Männer!$AZ$9:$BD$102,5)),RundDx)))</f>
        <v/>
      </c>
      <c r="DD77" s="25" t="str">
        <f>IF($CU77&gt;=RAF,"",IF($CU77-DD$103&lt;BeginnAlter,"",ROUND(v^($CU77+FaktorAlter)*$L77*$D77*0.5*(VLOOKUP($CU77-DD$103,Männer!$G$9:$J$102,4)+VLOOKUP($CU77-DD$103+1,Männer!$G$9:$J$102,4))*0.5*(VLOOKUP($CU77-DD$103,Männer!$AZ$9:$BD$102,5)+VLOOKUP($CU77-DD$103+1,Männer!$AZ$9:$BD$102,5)),RundDx)))</f>
        <v/>
      </c>
      <c r="DE77" s="25" t="str">
        <f>IF($CU77&gt;=RAF,"",IF($CU77-DE$103&lt;BeginnAlter,"",ROUND(v^($CU77+FaktorAlter)*$L77*$D77*0.5*(VLOOKUP($CU77-DE$103,Männer!$G$9:$J$102,4)+VLOOKUP($CU77-DE$103+1,Männer!$G$9:$J$102,4))*0.5*(VLOOKUP($CU77-DE$103,Männer!$AZ$9:$BD$102,5)+VLOOKUP($CU77-DE$103+1,Männer!$AZ$9:$BD$102,5)),RundDx)))</f>
        <v/>
      </c>
      <c r="DF77" s="25" t="str">
        <f>IF($CU77&gt;=RAF,"",IF($CU77-DF$103&lt;BeginnAlter,"",ROUND(v^($CU77+FaktorAlter)*$L77*$D77*0.5*(VLOOKUP($CU77-DF$103,Männer!$G$9:$J$102,4)+VLOOKUP($CU77-DF$103+1,Männer!$G$9:$J$102,4))*0.5*(VLOOKUP($CU77-DF$103,Männer!$AZ$9:$BD$102,5)+VLOOKUP($CU77-DF$103+1,Männer!$AZ$9:$BD$102,5)),RundDx)))</f>
        <v/>
      </c>
      <c r="DG77" s="25" t="str">
        <f>IF($CU77&gt;=RAF,"",IF($CU77-DG$103&lt;BeginnAlter,"",ROUND(v^($CU77+FaktorAlter)*$L77*$D77*0.5*(VLOOKUP($CU77-DG$103,Männer!$G$9:$J$102,4)+VLOOKUP($CU77-DG$103+1,Männer!$G$9:$J$102,4))*0.5*(VLOOKUP($CU77-DG$103,Männer!$AZ$9:$BD$102,5)+VLOOKUP($CU77-DG$103+1,Männer!$AZ$9:$BD$102,5)),RundDx)))</f>
        <v/>
      </c>
      <c r="DH77" s="25" t="str">
        <f>IF($CU77&gt;=RAF,"",IF($CU77-DH$103&lt;BeginnAlter,"",ROUND(v^($CU77+FaktorAlter)*$L77*$D77*0.5*(VLOOKUP($CU77-DH$103,Männer!$G$9:$J$102,4)+VLOOKUP($CU77-DH$103+1,Männer!$G$9:$J$102,4))*0.5*(VLOOKUP($CU77-DH$103,Männer!$AZ$9:$BD$102,5)+VLOOKUP($CU77-DH$103+1,Männer!$AZ$9:$BD$102,5)),RundDx)))</f>
        <v/>
      </c>
      <c r="DI77" s="25" t="str">
        <f>IF($CU77&gt;=RAF,"",IF($CU77-DI$103&lt;BeginnAlter,"",ROUND(v^($CU77+FaktorAlter)*$L77*$D77*0.5*(VLOOKUP($CU77-DI$103,Männer!$G$9:$J$102,4)+VLOOKUP($CU77-DI$103+1,Männer!$G$9:$J$102,4))*0.5*(VLOOKUP($CU77-DI$103,Männer!$AZ$9:$BD$102,5)+VLOOKUP($CU77-DI$103+1,Männer!$AZ$9:$BD$102,5)),RundDx)))</f>
        <v/>
      </c>
      <c r="DJ77" s="25" t="str">
        <f>IF($CU77&gt;=RAF,"",IF($CU77-DJ$103&lt;BeginnAlter,"",ROUND(v^($CU77+FaktorAlter)*$L77*$D77*0.5*(VLOOKUP($CU77-DJ$103,Männer!$G$9:$J$102,4)+VLOOKUP($CU77-DJ$103+1,Männer!$G$9:$J$102,4))*0.5*(VLOOKUP($CU77-DJ$103,Männer!$AZ$9:$BD$102,5)+VLOOKUP($CU77-DJ$103+1,Männer!$AZ$9:$BD$102,5)),RundDx)))</f>
        <v/>
      </c>
      <c r="DK77" s="25" t="str">
        <f>IF($CU77&gt;=RAF,"",IF($CU77-DK$103&lt;BeginnAlter,"",ROUND(v^($CU77+FaktorAlter)*$L77*$D77*0.5*(VLOOKUP($CU77-DK$103,Männer!$G$9:$J$102,4)+VLOOKUP($CU77-DK$103+1,Männer!$G$9:$J$102,4))*0.5*(VLOOKUP($CU77-DK$103,Männer!$AZ$9:$BD$102,5)+VLOOKUP($CU77-DK$103+1,Männer!$AZ$9:$BD$102,5)),RundDx)))</f>
        <v/>
      </c>
      <c r="DL77" s="25" t="str">
        <f>IF($CU77&gt;=RAF,"",IF($CU77-DL$103&lt;BeginnAlter,"",ROUND(v^($CU77+FaktorAlter)*$L77*$D77*0.5*(VLOOKUP($CU77-DL$103,Männer!$G$9:$J$102,4)+VLOOKUP($CU77-DL$103+1,Männer!$G$9:$J$102,4))*0.5*(VLOOKUP($CU77-DL$103,Männer!$AZ$9:$BD$102,5)+VLOOKUP($CU77-DL$103+1,Männer!$AZ$9:$BD$102,5)),RundDx)))</f>
        <v/>
      </c>
      <c r="DM77" s="25" t="str">
        <f>IF($CU77&gt;=RAF,"",IF($CU77-DM$103&lt;BeginnAlter,"",ROUND(v^($CU77+FaktorAlter)*$L77*$D77*0.5*(VLOOKUP($CU77-DM$103,Männer!$G$9:$J$102,4)+VLOOKUP($CU77-DM$103+1,Männer!$G$9:$J$102,4))*0.5*(VLOOKUP($CU77-DM$103,Männer!$AZ$9:$BD$102,5)+VLOOKUP($CU77-DM$103+1,Männer!$AZ$9:$BD$102,5)),RundDx)))</f>
        <v/>
      </c>
      <c r="DN77" s="25" t="str">
        <f>IF($CU77&gt;=RAF,"",IF($CU77-DN$103&lt;BeginnAlter,"",ROUND(v^($CU77+FaktorAlter)*$L77*$D77*0.5*(VLOOKUP($CU77-DN$103,Männer!$G$9:$J$102,4)+VLOOKUP($CU77-DN$103+1,Männer!$G$9:$J$102,4))*0.5*(VLOOKUP($CU77-DN$103,Männer!$AZ$9:$BD$102,5)+VLOOKUP($CU77-DN$103+1,Männer!$AZ$9:$BD$102,5)),RundDx)))</f>
        <v/>
      </c>
      <c r="DO77" s="25" t="str">
        <f>IF($CU77&gt;=RAF,"",IF($CU77-DO$103&lt;BeginnAlter,"",ROUND(v^($CU77+FaktorAlter)*$L77*$D77*0.5*(VLOOKUP($CU77-DO$103,Männer!$G$9:$J$102,4)+VLOOKUP($CU77-DO$103+1,Männer!$G$9:$J$102,4))*0.5*(VLOOKUP($CU77-DO$103,Männer!$AZ$9:$BD$102,5)+VLOOKUP($CU77-DO$103+1,Männer!$AZ$9:$BD$102,5)),RundDx)))</f>
        <v/>
      </c>
      <c r="DP77" s="25" t="str">
        <f>IF($CU77&gt;=RAF,"",IF($CU77-DP$103&lt;BeginnAlter,"",ROUND(v^($CU77+FaktorAlter)*$L77*$D77*0.5*(VLOOKUP($CU77-DP$103,Männer!$G$9:$J$102,4)+VLOOKUP($CU77-DP$103+1,Männer!$G$9:$J$102,4))*0.5*(VLOOKUP($CU77-DP$103,Männer!$AZ$9:$BD$102,5)+VLOOKUP($CU77-DP$103+1,Männer!$AZ$9:$BD$102,5)),RundDx)))</f>
        <v/>
      </c>
      <c r="DQ77" s="25" t="str">
        <f>IF($CU77&gt;=RAF,"",IF($CU77-DQ$103&lt;BeginnAlter,"",ROUND(v^($CU77+FaktorAlter)*$L77*$D77*0.5*(VLOOKUP($CU77-DQ$103,Männer!$G$9:$J$102,4)+VLOOKUP($CU77-DQ$103+1,Männer!$G$9:$J$102,4))*0.5*(VLOOKUP($CU77-DQ$103,Männer!$AZ$9:$BD$102,5)+VLOOKUP($CU77-DQ$103+1,Männer!$AZ$9:$BD$102,5)),RundDx)))</f>
        <v/>
      </c>
      <c r="DR77" s="25" t="str">
        <f>IF($CU77&gt;=RAF,"",IF($CU77-DR$103&lt;BeginnAlter,"",ROUND(v^($CU77+FaktorAlter)*$L77*$D77*0.5*(VLOOKUP($CU77-DR$103,Männer!$G$9:$J$102,4)+VLOOKUP($CU77-DR$103+1,Männer!$G$9:$J$102,4))*0.5*(VLOOKUP($CU77-DR$103,Männer!$AZ$9:$BD$102,5)+VLOOKUP($CU77-DR$103+1,Männer!$AZ$9:$BD$102,5)),RundDx)))</f>
        <v/>
      </c>
      <c r="DS77" s="25" t="str">
        <f>IF($CU77&gt;=RAF,"",IF($CU77-DS$103&lt;BeginnAlter,"",ROUND(v^($CU77+FaktorAlter)*$L77*$D77*0.5*(VLOOKUP($CU77-DS$103,Männer!$G$9:$J$102,4)+VLOOKUP($CU77-DS$103+1,Männer!$G$9:$J$102,4))*0.5*(VLOOKUP($CU77-DS$103,Männer!$AZ$9:$BD$102,5)+VLOOKUP($CU77-DS$103+1,Männer!$AZ$9:$BD$102,5)),RundDx)))</f>
        <v/>
      </c>
      <c r="DT77" s="25" t="str">
        <f>IF($CU77&gt;=RAF,"",IF($CU77-DT$103&lt;BeginnAlter,"",ROUND(v^($CU77+FaktorAlter)*$L77*$D77*0.5*(VLOOKUP($CU77-DT$103,Männer!$G$9:$J$102,4)+VLOOKUP($CU77-DT$103+1,Männer!$G$9:$J$102,4))*0.5*(VLOOKUP($CU77-DT$103,Männer!$AZ$9:$BD$102,5)+VLOOKUP($CU77-DT$103+1,Männer!$AZ$9:$BD$102,5)),RundDx)))</f>
        <v/>
      </c>
      <c r="DU77" s="25" t="str">
        <f>IF($CU77&gt;=RAF,"",IF($CU77-DU$103&lt;BeginnAlter,"",ROUND(v^($CU77+FaktorAlter)*$L77*$D77*0.5*(VLOOKUP($CU77-DU$103,Männer!$G$9:$J$102,4)+VLOOKUP($CU77-DU$103+1,Männer!$G$9:$J$102,4))*0.5*(VLOOKUP($CU77-DU$103,Männer!$AZ$9:$BD$102,5)+VLOOKUP($CU77-DU$103+1,Männer!$AZ$9:$BD$102,5)),RundDx)))</f>
        <v/>
      </c>
      <c r="DV77" s="25" t="str">
        <f>IF($CU77&gt;=RAF,"",IF($CU77-DV$103&lt;BeginnAlter,"",ROUND(v^($CU77+FaktorAlter)*$L77*$D77*0.5*(VLOOKUP($CU77-DV$103,Männer!$G$9:$J$102,4)+VLOOKUP($CU77-DV$103+1,Männer!$G$9:$J$102,4))*0.5*(VLOOKUP($CU77-DV$103,Männer!$AZ$9:$BD$102,5)+VLOOKUP($CU77-DV$103+1,Männer!$AZ$9:$BD$102,5)),RundDx)))</f>
        <v/>
      </c>
      <c r="DW77" s="25" t="str">
        <f>IF($CU77&gt;=RAF,"",IF($CU77-DW$103&lt;BeginnAlter,"",ROUND(v^($CU77+FaktorAlter)*$L77*$D77*0.5*(VLOOKUP($CU77-DW$103,Männer!$G$9:$J$102,4)+VLOOKUP($CU77-DW$103+1,Männer!$G$9:$J$102,4))*0.5*(VLOOKUP($CU77-DW$103,Männer!$AZ$9:$BD$102,5)+VLOOKUP($CU77-DW$103+1,Männer!$AZ$9:$BD$102,5)),RundDx)))</f>
        <v/>
      </c>
      <c r="DX77" s="25" t="str">
        <f>IF($CU77&gt;=RAF,"",IF($CU77-DX$103&lt;BeginnAlter,"",ROUND(v^($CU77+FaktorAlter)*$L77*$D77*0.5*(VLOOKUP($CU77-DX$103,Männer!$G$9:$J$102,4)+VLOOKUP($CU77-DX$103+1,Männer!$G$9:$J$102,4))*0.5*(VLOOKUP($CU77-DX$103,Männer!$AZ$9:$BD$102,5)+VLOOKUP($CU77-DX$103+1,Männer!$AZ$9:$BD$102,5)),RundDx)))</f>
        <v/>
      </c>
      <c r="DY77" s="25" t="str">
        <f>IF($CU77&gt;=RAF,"",IF($CU77-DY$103&lt;BeginnAlter,"",ROUND(v^($CU77+FaktorAlter)*$L77*$D77*0.5*(VLOOKUP($CU77-DY$103,Männer!$G$9:$J$102,4)+VLOOKUP($CU77-DY$103+1,Männer!$G$9:$J$102,4))*0.5*(VLOOKUP($CU77-DY$103,Männer!$AZ$9:$BD$102,5)+VLOOKUP($CU77-DY$103+1,Männer!$AZ$9:$BD$102,5)),RundDx)))</f>
        <v/>
      </c>
      <c r="DZ77" s="25" t="str">
        <f>IF($CU77&gt;=RAF,"",IF($CU77-DZ$103&lt;BeginnAlter,"",ROUND(v^($CU77+FaktorAlter)*$L77*$D77*0.5*(VLOOKUP($CU77-DZ$103,Männer!$G$9:$J$102,4)+VLOOKUP($CU77-DZ$103+1,Männer!$G$9:$J$102,4))*0.5*(VLOOKUP($CU77-DZ$103,Männer!$AZ$9:$BD$102,5)+VLOOKUP($CU77-DZ$103+1,Männer!$AZ$9:$BD$102,5)),RundDx)))</f>
        <v/>
      </c>
      <c r="EA77" s="43" t="str">
        <f>IF($CU77&gt;=RAF,"",IF($CU77-EA$103&lt;BeginnAlter,"",ROUND((SUM(CV$56:CV77)+SUM(FN$9:FN$56))/VLOOKUP($CU77,$AH$9:$AI$102,2)/VLOOKUP($CU77-EA$103,Männer!$G$9:$J$102,4),Rundäx)))</f>
        <v/>
      </c>
      <c r="EB77" s="43" t="str">
        <f>IF($CU77&gt;=RAF,"",IF($CU77-EB$103&lt;BeginnAlter,"",ROUND((SUM(CW$56:CW77)+SUM(FO$9:FO$56))/VLOOKUP($CU77,$AH$9:$AI$102,2)/VLOOKUP($CU77-EB$103,Männer!$G$9:$J$102,4),Rundäx)))</f>
        <v/>
      </c>
      <c r="EC77" s="43" t="str">
        <f>IF($CU77&gt;=RAF,"",IF($CU77-EC$103&lt;BeginnAlter,"",ROUND((SUM(CX$56:CX77)+SUM(FP$9:FP$56))/VLOOKUP($CU77,$AH$9:$AI$102,2)/VLOOKUP($CU77-EC$103,Männer!$G$9:$J$102,4),Rundäx)))</f>
        <v/>
      </c>
      <c r="ED77" s="43" t="str">
        <f>IF($CU77&gt;=RAF,"",IF($CU77-ED$103&lt;BeginnAlter,"",ROUND((SUM(CY$56:CY77)+SUM(FQ$9:FQ$56))/VLOOKUP($CU77,$AH$9:$AI$102,2)/VLOOKUP($CU77-ED$103,Männer!$G$9:$J$102,4),Rundäx)))</f>
        <v/>
      </c>
      <c r="EE77" s="43" t="str">
        <f>IF($CU77&gt;=RAF,"",IF($CU77-EE$103&lt;BeginnAlter,"",ROUND((SUM(CZ$56:CZ77)+SUM(FR$9:FR$56))/VLOOKUP($CU77,$AH$9:$AI$102,2)/VLOOKUP($CU77-EE$103,Männer!$G$9:$J$102,4),Rundäx)))</f>
        <v/>
      </c>
      <c r="EF77" s="43" t="str">
        <f>IF($CU77&gt;=RAF,"",IF($CU77-EF$103&lt;BeginnAlter,"",ROUND((SUM(DA$56:DA77)+SUM(FS$9:FS$56))/VLOOKUP($CU77,$AH$9:$AI$102,2)/VLOOKUP($CU77-EF$103,Männer!$G$9:$J$102,4),Rundäx)))</f>
        <v/>
      </c>
      <c r="EG77" s="43" t="str">
        <f>IF($CU77&gt;=RAF,"",IF($CU77-EG$103&lt;BeginnAlter,"",ROUND((SUM(DB$56:DB77)+SUM(FT$9:FT$56))/VLOOKUP($CU77,$AH$9:$AI$102,2)/VLOOKUP($CU77-EG$103,Männer!$G$9:$J$102,4),Rundäx)))</f>
        <v/>
      </c>
      <c r="EH77" s="43" t="str">
        <f>IF($CU77&gt;=RAF,"",IF($CU77-EH$103&lt;BeginnAlter,"",ROUND((SUM(DC$56:DC77)+SUM(FU$9:FU$56))/VLOOKUP($CU77,$AH$9:$AI$102,2)/VLOOKUP($CU77-EH$103,Männer!$G$9:$J$102,4),Rundäx)))</f>
        <v/>
      </c>
      <c r="EI77" s="89"/>
      <c r="EJ77" s="35">
        <f t="shared" ref="EJ77:EJ92" si="138">1+EJ76</f>
        <v>85</v>
      </c>
      <c r="EK77" s="43" t="str">
        <f>IF($CU77&gt;=RAF,"",IF($CU77-EK$103&lt;BeginnAlter,"",ROUND((SUM(DD$56:DD77)+SUM(FV$9:FV$56))/VLOOKUP($CU77,$AH$9:$AI$102,2)/VLOOKUP($CU77-EK$103,Männer!$G$9:$J$102,4),Rundäx)))</f>
        <v/>
      </c>
      <c r="EL77" s="43" t="str">
        <f>IF($CU77&gt;=RAF,"",IF($CU77-EL$103&lt;BeginnAlter,"",ROUND((SUM(DE$56:DE77)+SUM(FW$9:FW$56))/VLOOKUP($CU77,$AH$9:$AI$102,2)/VLOOKUP($CU77-EL$103,Männer!$G$9:$J$102,4),Rundäx)))</f>
        <v/>
      </c>
      <c r="EM77" s="43" t="str">
        <f>IF($CU77&gt;=RAF,"",IF($CU77-EM$103&lt;BeginnAlter,"",ROUND((SUM(DF$56:DF77)+SUM(FX$9:FX$56))/VLOOKUP($CU77,$AH$9:$AI$102,2)/VLOOKUP($CU77-EM$103,Männer!$G$9:$J$102,4),Rundäx)))</f>
        <v/>
      </c>
      <c r="EN77" s="43" t="str">
        <f>IF($CU77&gt;=RAF,"",IF($CU77-EN$103&lt;BeginnAlter,"",ROUND((SUM(DG$56:DG77)+SUM(FY$9:FY$56))/VLOOKUP($CU77,$AH$9:$AI$102,2)/VLOOKUP($CU77-EN$103,Männer!$G$9:$J$102,4),Rundäx)))</f>
        <v/>
      </c>
      <c r="EO77" s="43" t="str">
        <f>IF($CU77&gt;=RAF,"",IF($CU77-EO$103&lt;BeginnAlter,"",ROUND((SUM(DH$56:DH77)+SUM(FZ$9:FZ$56))/VLOOKUP($CU77,$AH$9:$AI$102,2)/VLOOKUP($CU77-EO$103,Männer!$G$9:$J$102,4),Rundäx)))</f>
        <v/>
      </c>
      <c r="EP77" s="43" t="str">
        <f>IF($CU77&gt;=RAF,"",IF($CU77-EP$103&lt;BeginnAlter,"",ROUND((SUM(DI$56:DI77)+SUM(GA$9:GA$56))/VLOOKUP($CU77,$AH$9:$AI$102,2)/VLOOKUP($CU77-EP$103,Männer!$G$9:$J$102,4),Rundäx)))</f>
        <v/>
      </c>
      <c r="EQ77" s="43" t="str">
        <f>IF($CU77&gt;=RAF,"",IF($CU77-EQ$103&lt;BeginnAlter,"",ROUND((SUM(DJ$56:DJ77)+SUM(GB$9:GB$56))/VLOOKUP($CU77,$AH$9:$AI$102,2)/VLOOKUP($CU77-EQ$103,Männer!$G$9:$J$102,4),Rundäx)))</f>
        <v/>
      </c>
      <c r="ER77" s="43" t="str">
        <f>IF($CU77&gt;=RAF,"",IF($CU77-ER$103&lt;BeginnAlter,"",ROUND((SUM(DK$56:DK77)+SUM(GC$9:GC$56))/VLOOKUP($CU77,$AH$9:$AI$102,2)/VLOOKUP($CU77-ER$103,Männer!$G$9:$J$102,4),Rundäx)))</f>
        <v/>
      </c>
      <c r="ES77" s="89"/>
      <c r="ET77" s="35">
        <f t="shared" ref="ET77:ET92" si="139">1+ET76</f>
        <v>85</v>
      </c>
      <c r="EU77" s="43" t="str">
        <f>IF($CU77&gt;=RAF,"",IF($CU77-EU$103&lt;BeginnAlter,"",ROUND((SUM(DL$56:DL77)+SUM(GD$9:GD$56))/VLOOKUP($CU77,$AH$9:$AI$102,2)/VLOOKUP($CU77-EU$103,Männer!$G$9:$J$102,4),Rundäx)))</f>
        <v/>
      </c>
      <c r="EV77" s="43" t="str">
        <f>IF($CU77&gt;=RAF,"",IF($CU77-EV$103&lt;BeginnAlter,"",ROUND((SUM(DM$56:DM77)+SUM(GE$9:GE$56))/VLOOKUP($CU77,$AH$9:$AI$102,2)/VLOOKUP($CU77-EV$103,Männer!$G$9:$J$102,4),Rundäx)))</f>
        <v/>
      </c>
      <c r="EW77" s="43" t="str">
        <f>IF($CU77&gt;=RAF,"",IF($CU77-EW$103&lt;BeginnAlter,"",ROUND((SUM(DN$56:DN77)+SUM(GF$9:GF$56))/VLOOKUP($CU77,$AH$9:$AI$102,2)/VLOOKUP($CU77-EW$103,Männer!$G$9:$J$102,4),Rundäx)))</f>
        <v/>
      </c>
      <c r="EX77" s="43" t="str">
        <f>IF($CU77&gt;=RAF,"",IF($CU77-EX$103&lt;BeginnAlter,"",ROUND((SUM(DO$56:DO77)+SUM(GG$9:GG$56))/VLOOKUP($CU77,$AH$9:$AI$102,2)/VLOOKUP($CU77-EX$103,Männer!$G$9:$J$102,4),Rundäx)))</f>
        <v/>
      </c>
      <c r="EY77" s="43" t="str">
        <f>IF($CU77&gt;=RAF,"",IF($CU77-EY$103&lt;BeginnAlter,"",ROUND((SUM(DP$56:DP77)+SUM(GH$9:GH$56))/VLOOKUP($CU77,$AH$9:$AI$102,2)/VLOOKUP($CU77-EY$103,Männer!$G$9:$J$102,4),Rundäx)))</f>
        <v/>
      </c>
      <c r="EZ77" s="43" t="str">
        <f>IF($CU77&gt;=RAF,"",IF($CU77-EZ$103&lt;BeginnAlter,"",ROUND((SUM(DQ$56:DQ77)+SUM(GI$9:GI$56))/VLOOKUP($CU77,$AH$9:$AI$102,2)/VLOOKUP($CU77-EZ$103,Männer!$G$9:$J$102,4),Rundäx)))</f>
        <v/>
      </c>
      <c r="FA77" s="43" t="str">
        <f>IF($CU77&gt;=RAF,"",IF($CU77-FA$103&lt;BeginnAlter,"",ROUND((SUM(DR$56:DR77)+SUM(GJ$9:GJ$56))/VLOOKUP($CU77,$AH$9:$AI$102,2)/VLOOKUP($CU77-FA$103,Männer!$G$9:$J$102,4),Rundäx)))</f>
        <v/>
      </c>
      <c r="FB77" s="43" t="str">
        <f>IF($CU77&gt;=RAF,"",IF($CU77-FB$103&lt;BeginnAlter,"",ROUND((SUM(DS$56:DS77)+SUM(GK$9:GK$56))/VLOOKUP($CU77,$AH$9:$AI$102,2)/VLOOKUP($CU77-FB$103,Männer!$G$9:$J$102,4),Rundäx)))</f>
        <v/>
      </c>
      <c r="FC77" s="89"/>
      <c r="FD77" s="35">
        <f t="shared" ref="FD77:FD92" si="140">1+FD76</f>
        <v>85</v>
      </c>
      <c r="FE77" s="43" t="str">
        <f>IF($CU77&gt;=RAF,"",IF($CU77-FE$103&lt;BeginnAlter,"",ROUND((SUM(DT$56:DT77)+SUM(GL$9:GL$56))/VLOOKUP($CU77,$AH$9:$AI$102,2)/VLOOKUP($CU77-FE$103,Männer!$G$9:$J$102,4),Rundäx)))</f>
        <v/>
      </c>
      <c r="FF77" s="43" t="str">
        <f>IF($CU77&gt;=RAF,"",IF($CU77-FF$103&lt;BeginnAlter,"",ROUND((SUM(DU$56:DU77)+SUM(GM$9:GM$56))/VLOOKUP($CU77,$AH$9:$AI$102,2)/VLOOKUP($CU77-FF$103,Männer!$G$9:$J$102,4),Rundäx)))</f>
        <v/>
      </c>
      <c r="FG77" s="43" t="str">
        <f>IF($CU77&gt;=RAF,"",IF($CU77-FG$103&lt;BeginnAlter,"",ROUND((SUM(DV$56:DV77)+SUM(GN$9:GN$56))/VLOOKUP($CU77,$AH$9:$AI$102,2)/VLOOKUP($CU77-FG$103,Männer!$G$9:$J$102,4),Rundäx)))</f>
        <v/>
      </c>
      <c r="FH77" s="43" t="str">
        <f>IF($CU77&gt;=RAF,"",IF($CU77-FH$103&lt;BeginnAlter,"",ROUND((SUM(DW$56:DW77)+SUM(GO$9:GO$56))/VLOOKUP($CU77,$AH$9:$AI$102,2)/VLOOKUP($CU77-FH$103,Männer!$G$9:$J$102,4),Rundäx)))</f>
        <v/>
      </c>
      <c r="FI77" s="43" t="str">
        <f>IF($CU77&gt;=RAF,"",IF($CU77-FI$103&lt;BeginnAlter,"",ROUND((SUM(DX$56:DX77)+SUM(GP$9:GP$56))/VLOOKUP($CU77,$AH$9:$AI$102,2)/VLOOKUP($CU77-FI$103,Männer!$G$9:$J$102,4),Rundäx)))</f>
        <v/>
      </c>
      <c r="FJ77" s="43" t="str">
        <f>IF($CU77&gt;=RAF,"",IF($CU77-FJ$103&lt;BeginnAlter,"",ROUND((SUM(DY$56:DY77)+SUM(GQ$9:GQ$56))/VLOOKUP($CU77,$AH$9:$AI$102,2)/VLOOKUP($CU77-FJ$103,Männer!$G$9:$J$102,4),Rundäx)))</f>
        <v/>
      </c>
      <c r="FK77" s="43" t="str">
        <f>IF($CU77&gt;=RAF,"",IF($CU77-FK$103&lt;BeginnAlter,"",ROUND((SUM(DZ$56:DZ77)+SUM(GR$9:GR$56))/VLOOKUP($CU77,$AH$9:$AI$102,2)/VLOOKUP($CU77-FK$103,Männer!$G$9:$J$102,4),Rundäx)))</f>
        <v/>
      </c>
      <c r="FL77" s="89"/>
      <c r="FM77" s="35">
        <f t="shared" ref="FM77:FM92" si="141">1+FM76</f>
        <v>132</v>
      </c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4"/>
      <c r="GT77" s="24"/>
      <c r="GU77" s="24" t="str">
        <f>IF(FM77&gt;=RAF," ",#REF!/$AI77/Frauen!$J65)</f>
        <v xml:space="preserve"> </v>
      </c>
      <c r="GV77" s="24" t="str">
        <f>IF(FM77&gt;=RAF," ",#REF!/$AI77/Frauen!$J68)</f>
        <v xml:space="preserve"> </v>
      </c>
      <c r="GW77" s="24" t="str">
        <f>IF(FM77&gt;=RAF," ",#REF!/$AI77/Frauen!$J71)</f>
        <v xml:space="preserve"> </v>
      </c>
      <c r="GX77" s="24" t="str">
        <f>IF(FM77&gt;=RAF," ",#REF!/$AI77/Frauen!$J74)</f>
        <v xml:space="preserve"> </v>
      </c>
      <c r="GY77" s="24" t="str">
        <f>IF(FM77&gt;=RAF," ",#REF!/$AI77/Frauen!$J77)</f>
        <v xml:space="preserve"> </v>
      </c>
      <c r="GZ77" s="24" t="str">
        <f>IF(FM77&gt;=RAF," ",#REF!/$AI77/Frauen!$J80)</f>
        <v xml:space="preserve"> </v>
      </c>
      <c r="HA77" s="89"/>
      <c r="HB77" s="35">
        <f t="shared" ref="HB77:HB92" si="142">1+HB76</f>
        <v>132</v>
      </c>
      <c r="HC77" s="24"/>
      <c r="HD77" s="24"/>
      <c r="HE77" s="24"/>
      <c r="HF77" s="24"/>
      <c r="HG77" s="24"/>
      <c r="HH77" s="24"/>
      <c r="HI77" s="24"/>
      <c r="HJ77" s="24"/>
      <c r="HK77" s="89"/>
      <c r="HL77" s="35">
        <f t="shared" ref="HL77:HL92" si="143">1+HL76</f>
        <v>132</v>
      </c>
      <c r="HM77" s="24"/>
      <c r="HN77" s="24"/>
      <c r="HO77" s="24"/>
      <c r="HP77" s="24"/>
      <c r="HQ77" s="24"/>
      <c r="HR77" s="24"/>
      <c r="HS77" s="24"/>
      <c r="HT77" s="24"/>
      <c r="HU77" s="89"/>
      <c r="HV77" s="35">
        <f t="shared" ref="HV77:HV92" si="144">1+HV76</f>
        <v>132</v>
      </c>
      <c r="HW77" s="24"/>
      <c r="HX77" s="24"/>
      <c r="HY77" s="24"/>
      <c r="HZ77" s="24"/>
      <c r="IA77" s="24"/>
      <c r="IB77" s="24"/>
      <c r="IC77" s="24"/>
      <c r="ID77" s="89"/>
      <c r="IE77" s="9">
        <f t="shared" ref="IE77:IE92" si="145">1+IE76</f>
        <v>85</v>
      </c>
      <c r="IF77" s="11" t="str">
        <f t="shared" si="101"/>
        <v/>
      </c>
      <c r="IG77" s="11" t="str">
        <f>IF($IE77&lt;RAF,IF(S78&lt;=RAK,ROUND(SUM(IF77:INDEX(Daky,RAF-BeginnAlter))+INDEX(Day,RAF-BeginnAlter+1)*INDEX(äky,1),RundDx),0),"")</f>
        <v/>
      </c>
      <c r="IH77" s="11" t="str">
        <f>IF($IE77&lt;RAF,IF(S78&lt;=RAK,ROUND(SUM(IG77:INDEX(Naky,RAF-BeginnAlter))+INDEX(Day,RAF-BeginnAlter+1)*INDEX(äky,1),RundDx),0),"")</f>
        <v/>
      </c>
      <c r="II77" s="10" t="str">
        <f t="shared" si="102"/>
        <v/>
      </c>
      <c r="IJ77" s="11" t="str">
        <f t="shared" si="103"/>
        <v/>
      </c>
      <c r="IK77" s="11" t="str">
        <f>IF($IE77&lt;RAF,IF(S78&lt;=RAK,SUM(IJ77:INDEX(Diky,RAF-BeginnAlter))+INDEX(Diy,RAF-BeginnAlter+1)*INDEX(äky,1),0),"")</f>
        <v/>
      </c>
      <c r="IL77" s="10" t="str">
        <f t="shared" si="104"/>
        <v/>
      </c>
      <c r="IM77" s="89"/>
      <c r="IN77" s="9">
        <f t="shared" si="105"/>
        <v>132</v>
      </c>
      <c r="IO77" s="11"/>
      <c r="IP77" s="11"/>
      <c r="IQ77" s="10"/>
      <c r="IR77" s="86"/>
    </row>
    <row r="78" spans="1:252" ht="15.75" customHeight="1" x14ac:dyDescent="0.25">
      <c r="A78" s="9">
        <f t="shared" si="125"/>
        <v>86</v>
      </c>
      <c r="B78" s="93"/>
      <c r="C78" s="93"/>
      <c r="D78" s="93"/>
      <c r="E78" s="93">
        <v>9.4790724702288151E-2</v>
      </c>
      <c r="F78" s="89"/>
      <c r="G78" s="9">
        <f t="shared" si="126"/>
        <v>86</v>
      </c>
      <c r="H78" s="11" t="str">
        <f t="shared" si="106"/>
        <v/>
      </c>
      <c r="I78" s="25" t="str">
        <f t="shared" si="107"/>
        <v/>
      </c>
      <c r="J78" s="25">
        <f t="shared" si="108"/>
        <v>47217</v>
      </c>
      <c r="K78" s="30">
        <f>IF(J78&gt;0,ROUND(SUM(J78:J$102)/J78-0.5,Rundex),"")</f>
        <v>5.78</v>
      </c>
      <c r="L78" s="25">
        <f t="shared" si="83"/>
        <v>47217</v>
      </c>
      <c r="M78" s="30">
        <f>IF(L78&gt;0,ROUND(SUM(L78:L$102)/L78-0.5,Rundex),"")</f>
        <v>5.78</v>
      </c>
      <c r="N78" s="89"/>
      <c r="O78" s="9">
        <f t="shared" si="127"/>
        <v>86</v>
      </c>
      <c r="P78" s="94">
        <v>5.8053992068153159E-3</v>
      </c>
      <c r="Q78" s="95">
        <v>86.331269916485439</v>
      </c>
      <c r="R78" s="94"/>
      <c r="S78" s="95"/>
      <c r="T78" s="28">
        <v>8.5166239255418275E-2</v>
      </c>
      <c r="U78" s="11">
        <f t="shared" si="109"/>
        <v>51383</v>
      </c>
      <c r="V78" s="30">
        <f>IF(U78&gt;0,ROUND(SUM(U78:U$102)/U78-0.5,Rundex),"")</f>
        <v>6.08</v>
      </c>
      <c r="W78" s="89"/>
      <c r="X78" s="9">
        <f t="shared" si="128"/>
        <v>86</v>
      </c>
      <c r="Y78" s="11" t="str">
        <f t="shared" si="110"/>
        <v xml:space="preserve"> </v>
      </c>
      <c r="Z78" s="11" t="str">
        <f>IF($X78&lt;RAF,SUM(Y78:INDEX(Day,RAF-BeginnAlter))," ")</f>
        <v xml:space="preserve"> </v>
      </c>
      <c r="AA78" s="11" t="str">
        <f t="shared" si="81"/>
        <v xml:space="preserve"> </v>
      </c>
      <c r="AB78" s="11" t="str">
        <f>IF($X78&lt;RAF,SUM(AA78:INDEX(Cay,RAF-BeginnAlter))," ")</f>
        <v xml:space="preserve"> </v>
      </c>
      <c r="AC78" s="11" t="str">
        <f t="shared" si="82"/>
        <v xml:space="preserve"> </v>
      </c>
      <c r="AD78" s="11" t="str">
        <f>IF($X78&lt;RAF,SUM(AC78:INDEX(Caiy,RAF-BeginnAlter))," ")</f>
        <v xml:space="preserve"> </v>
      </c>
      <c r="AE78" s="10" t="str">
        <f t="shared" si="111"/>
        <v xml:space="preserve"> </v>
      </c>
      <c r="AF78" s="10" t="str">
        <f t="shared" si="112"/>
        <v xml:space="preserve"> </v>
      </c>
      <c r="AG78" s="89"/>
      <c r="AH78" s="9">
        <f t="shared" si="129"/>
        <v>86</v>
      </c>
      <c r="AI78" s="11" t="str">
        <f t="shared" si="113"/>
        <v xml:space="preserve"> </v>
      </c>
      <c r="AJ78" s="11" t="str">
        <f>IF($AH78&gt;RAF," ",IF($AH78&lt;RAF,SUM(AI78:INDEX(Diy,RAF-BeginnAlter))+INDEX(Ny,RAF-BeginnAlter+1),INDEX(Ny,RAF-BeginnAlter+1)))</f>
        <v xml:space="preserve"> </v>
      </c>
      <c r="AK78" s="11" t="str">
        <f>IF($AH78&lt;RAF,SUM(AI78:INDEX(Diy,RAF-BeginnAlter))," ")</f>
        <v xml:space="preserve"> </v>
      </c>
      <c r="AL78" s="10" t="str">
        <f t="shared" si="114"/>
        <v xml:space="preserve"> </v>
      </c>
      <c r="AM78" s="10" t="str">
        <f t="shared" si="115"/>
        <v xml:space="preserve"> </v>
      </c>
      <c r="AN78" s="10" t="str">
        <f t="shared" si="116"/>
        <v xml:space="preserve"> </v>
      </c>
      <c r="AO78" s="10" t="str">
        <f t="shared" si="117"/>
        <v xml:space="preserve"> </v>
      </c>
      <c r="AP78" s="89"/>
      <c r="AQ78" s="9">
        <f t="shared" si="130"/>
        <v>86</v>
      </c>
      <c r="AR78" s="11">
        <f t="shared" si="118"/>
        <v>6967</v>
      </c>
      <c r="AS78" s="11">
        <f>SUM(AR78:AR$96)</f>
        <v>40274</v>
      </c>
      <c r="AT78" s="25" t="str">
        <f>IF($AQ78&lt;RAF,SUM(AR78:INDEX(Dy,RAF-BeginnAlter))," ")</f>
        <v xml:space="preserve"> </v>
      </c>
      <c r="AU78" s="24">
        <f t="shared" si="119"/>
        <v>5.7809999999999997</v>
      </c>
      <c r="AV78" s="24">
        <f t="shared" si="120"/>
        <v>5.3220000000000001</v>
      </c>
      <c r="AW78" s="24" t="str">
        <f t="shared" si="121"/>
        <v xml:space="preserve"> </v>
      </c>
      <c r="AX78" s="24" t="str">
        <f t="shared" si="122"/>
        <v xml:space="preserve"> </v>
      </c>
      <c r="AY78" s="89"/>
      <c r="AZ78" s="9">
        <f t="shared" si="131"/>
        <v>86</v>
      </c>
      <c r="BA78" s="11">
        <f t="shared" si="123"/>
        <v>7582</v>
      </c>
      <c r="BB78" s="11">
        <f>SUM(BA78:BA$96)</f>
        <v>45829</v>
      </c>
      <c r="BC78" s="10">
        <f t="shared" si="124"/>
        <v>6.0439999999999996</v>
      </c>
      <c r="BD78" s="10">
        <f t="shared" si="84"/>
        <v>5.5860000000000003</v>
      </c>
      <c r="BE78" s="89"/>
      <c r="BF78" s="9">
        <f t="shared" si="132"/>
        <v>69</v>
      </c>
      <c r="BG78" s="10" t="str">
        <f t="shared" si="85"/>
        <v/>
      </c>
      <c r="BH78" s="10" t="str">
        <f t="shared" si="86"/>
        <v/>
      </c>
      <c r="BI78" s="89"/>
      <c r="BJ78" s="9">
        <f t="shared" si="133"/>
        <v>86</v>
      </c>
      <c r="BK78" s="11" t="str">
        <f t="shared" si="87"/>
        <v xml:space="preserve"> </v>
      </c>
      <c r="BL78" s="11" t="str">
        <f>IF(BJ78&lt;RAF,SUM(BK78:INDEX(Daiy,RAF-BeginnAlter))," ")</f>
        <v xml:space="preserve"> </v>
      </c>
      <c r="BM78" s="11" t="str">
        <f>IF(BJ78&lt;RAF,SUM(BL78:INDEX(Naiy,RAF-BeginnAlter))," ")</f>
        <v xml:space="preserve"> </v>
      </c>
      <c r="BN78" s="10" t="str">
        <f t="shared" si="88"/>
        <v xml:space="preserve"> </v>
      </c>
      <c r="BO78" s="10" t="str">
        <f t="shared" si="89"/>
        <v xml:space="preserve"> </v>
      </c>
      <c r="BP78" s="89"/>
      <c r="BQ78" s="9">
        <f t="shared" si="134"/>
        <v>86</v>
      </c>
      <c r="BR78" s="11" t="str">
        <f t="shared" si="90"/>
        <v xml:space="preserve"> </v>
      </c>
      <c r="BS78" s="11" t="str">
        <f>IF(BQ78&lt;RAF,SUM(BR78:INDEX(Daiys,RAF-BeginnAlter))," ")</f>
        <v xml:space="preserve"> </v>
      </c>
      <c r="BT78" s="11" t="str">
        <f>IF(BQ78&lt;RAF,SUM(BS78:INDEX(Naiys,RAF-BeginnAlter))," ")</f>
        <v xml:space="preserve"> </v>
      </c>
      <c r="BU78" s="10" t="str">
        <f t="shared" si="91"/>
        <v xml:space="preserve"> </v>
      </c>
      <c r="BV78" s="10" t="str">
        <f t="shared" si="92"/>
        <v xml:space="preserve"> </v>
      </c>
      <c r="BW78" s="89"/>
      <c r="BX78" s="9">
        <f t="shared" si="135"/>
        <v>86</v>
      </c>
      <c r="BY78" s="10" t="str">
        <f t="shared" si="93"/>
        <v/>
      </c>
      <c r="BZ78" s="11" t="str">
        <f t="shared" si="94"/>
        <v/>
      </c>
      <c r="CA78" s="11" t="str">
        <f>IF(S79&lt;=RAK,IF($BX78&lt;RAF,SUM(BZ78:INDEX(Dazy,RAF-BeginnAlter)),""),"")</f>
        <v/>
      </c>
      <c r="CB78" s="10" t="str">
        <f t="shared" si="95"/>
        <v/>
      </c>
      <c r="CC78" s="11">
        <f t="shared" si="96"/>
        <v>0</v>
      </c>
      <c r="CD78" s="10">
        <f t="shared" si="97"/>
        <v>0</v>
      </c>
      <c r="CE78" s="10" t="str">
        <f t="shared" si="98"/>
        <v/>
      </c>
      <c r="CF78" s="89"/>
      <c r="CG78" s="9">
        <f t="shared" si="136"/>
        <v>86</v>
      </c>
      <c r="CH78" s="11" t="str">
        <f>IF(CG78&lt;RAF,ROUND(v^($CG78+FaktorAlter)*$H78*($B78*0.5*($P78+$P79)*(VLOOKUP(TRUNC(0.5*($Q78+$Q79),0),Männer!$AZ$9:$BD$95,5)+(0.5*($Q78+$Q79)-TRUNC(0.5*($Q78+$Q79),0))*(VLOOKUP(TRUNC(0.5*($Q78+$Q79)+1,0),Männer!$AZ$9:$BD$95,5)-VLOOKUP(TRUNC(0.5*($Q78+$Q79),0),Männer!$AZ$9:$BD$95,5)))+$C78*0.5*($CN78+$CN79)),RundDx),"")</f>
        <v/>
      </c>
      <c r="CI78" s="11" t="str">
        <f>IF(CG78&lt;RAF,ROUND(SUM(CH78:INDEX(Dawy,RAF-BeginnAlter))+INDEX(Day,RAF-BeginnAlter+1)*INDEX(äwy,1),RundDx),"")</f>
        <v/>
      </c>
      <c r="CJ78" s="11" t="str">
        <f>IF(CG78&lt;RAF,ROUND(SUM(CI78:INDEX(Nawy,RAF-BeginnAlter))+INDEX(Day,RAF-BeginnAlter+1)*INDEX(äwy,1),RundDx),"")</f>
        <v/>
      </c>
      <c r="CK78" s="10" t="str">
        <f t="shared" si="99"/>
        <v/>
      </c>
      <c r="CL78" s="11" t="str">
        <f>IF(CG78&lt;RAF,ROUND(v^($CG78+FaktorAlter)*$L78*$D78*0.5*($P78+$P79)*(VLOOKUP(TRUNC(0.5*($Q78+$Q79),0),Männer!$AZ$9:$BD$95,5)+(0.5*($Q78+$Q79)-TRUNC(0.5*($Q78+$Q79),0))*(VLOOKUP(TRUNC(0.5*($Q78+$Q79)+1,0),Männer!$AZ$9:$BD$95,5)-VLOOKUP(TRUNC(0.5*($Q78+$Q79),0),Männer!$AZ$9:$BD$95,5))),RundDx),"")</f>
        <v/>
      </c>
      <c r="CM78" s="11" t="str">
        <f>IF(CG78&lt;RAF,SUM(CL78:INDEX(Diwy,RAF-BeginnAlter))+INDEX(Diy,RAF-BeginnAlter+1)*INDEX(äwy,1),"")</f>
        <v/>
      </c>
      <c r="CN78" s="10" t="str">
        <f t="shared" si="100"/>
        <v/>
      </c>
      <c r="CO78" s="89"/>
      <c r="CP78" s="9">
        <f t="shared" si="59"/>
        <v>133</v>
      </c>
      <c r="CQ78" s="11"/>
      <c r="CR78" s="11"/>
      <c r="CS78" s="10"/>
      <c r="CT78" s="89"/>
      <c r="CU78" s="35">
        <f t="shared" si="137"/>
        <v>86</v>
      </c>
      <c r="CV78" s="25" t="str">
        <f>IF($CU78&gt;=RAF,"",IF($CU78-CV$103&lt;BeginnAlter,"",ROUND(v^($CU78+FaktorAlter)*$L78*$D78*0.5*(VLOOKUP($CU78-CV$103,Männer!$G$9:$J$102,4)+VLOOKUP($CU78-CV$103+1,Männer!$G$9:$J$102,4))*0.5*(VLOOKUP($CU78-CV$103,Männer!$AZ$9:$BD$102,5)+VLOOKUP($CU78-CV$103+1,Männer!$AZ$9:$BD$102,5)),RundDx)))</f>
        <v/>
      </c>
      <c r="CW78" s="25" t="str">
        <f>IF($CU78&gt;=RAF,"",IF($CU78-CW$103&lt;BeginnAlter,"",ROUND(v^($CU78+FaktorAlter)*$L78*$D78*0.5*(VLOOKUP($CU78-CW$103,Männer!$G$9:$J$102,4)+VLOOKUP($CU78-CW$103+1,Männer!$G$9:$J$102,4))*0.5*(VLOOKUP($CU78-CW$103,Männer!$AZ$9:$BD$102,5)+VLOOKUP($CU78-CW$103+1,Männer!$AZ$9:$BD$102,5)),RundDx)))</f>
        <v/>
      </c>
      <c r="CX78" s="25" t="str">
        <f>IF($CU78&gt;=RAF,"",IF($CU78-CX$103&lt;BeginnAlter,"",ROUND(v^($CU78+FaktorAlter)*$L78*$D78*0.5*(VLOOKUP($CU78-CX$103,Männer!$G$9:$J$102,4)+VLOOKUP($CU78-CX$103+1,Männer!$G$9:$J$102,4))*0.5*(VLOOKUP($CU78-CX$103,Männer!$AZ$9:$BD$102,5)+VLOOKUP($CU78-CX$103+1,Männer!$AZ$9:$BD$102,5)),RundDx)))</f>
        <v/>
      </c>
      <c r="CY78" s="25" t="str">
        <f>IF($CU78&gt;=RAF,"",IF($CU78-CY$103&lt;BeginnAlter,"",ROUND(v^($CU78+FaktorAlter)*$L78*$D78*0.5*(VLOOKUP($CU78-CY$103,Männer!$G$9:$J$102,4)+VLOOKUP($CU78-CY$103+1,Männer!$G$9:$J$102,4))*0.5*(VLOOKUP($CU78-CY$103,Männer!$AZ$9:$BD$102,5)+VLOOKUP($CU78-CY$103+1,Männer!$AZ$9:$BD$102,5)),RundDx)))</f>
        <v/>
      </c>
      <c r="CZ78" s="25" t="str">
        <f>IF($CU78&gt;=RAF,"",IF($CU78-CZ$103&lt;BeginnAlter,"",ROUND(v^($CU78+FaktorAlter)*$L78*$D78*0.5*(VLOOKUP($CU78-CZ$103,Männer!$G$9:$J$102,4)+VLOOKUP($CU78-CZ$103+1,Männer!$G$9:$J$102,4))*0.5*(VLOOKUP($CU78-CZ$103,Männer!$AZ$9:$BD$102,5)+VLOOKUP($CU78-CZ$103+1,Männer!$AZ$9:$BD$102,5)),RundDx)))</f>
        <v/>
      </c>
      <c r="DA78" s="25" t="str">
        <f>IF($CU78&gt;=RAF,"",IF($CU78-DA$103&lt;BeginnAlter,"",ROUND(v^($CU78+FaktorAlter)*$L78*$D78*0.5*(VLOOKUP($CU78-DA$103,Männer!$G$9:$J$102,4)+VLOOKUP($CU78-DA$103+1,Männer!$G$9:$J$102,4))*0.5*(VLOOKUP($CU78-DA$103,Männer!$AZ$9:$BD$102,5)+VLOOKUP($CU78-DA$103+1,Männer!$AZ$9:$BD$102,5)),RundDx)))</f>
        <v/>
      </c>
      <c r="DB78" s="25" t="str">
        <f>IF($CU78&gt;=RAF,"",IF($CU78-DB$103&lt;BeginnAlter,"",ROUND(v^($CU78+FaktorAlter)*$L78*$D78*0.5*(VLOOKUP($CU78-DB$103,Männer!$G$9:$J$102,4)+VLOOKUP($CU78-DB$103+1,Männer!$G$9:$J$102,4))*0.5*(VLOOKUP($CU78-DB$103,Männer!$AZ$9:$BD$102,5)+VLOOKUP($CU78-DB$103+1,Männer!$AZ$9:$BD$102,5)),RundDx)))</f>
        <v/>
      </c>
      <c r="DC78" s="25" t="str">
        <f>IF($CU78&gt;=RAF,"",IF($CU78-DC$103&lt;BeginnAlter,"",ROUND(v^($CU78+FaktorAlter)*$L78*$D78*0.5*(VLOOKUP($CU78-DC$103,Männer!$G$9:$J$102,4)+VLOOKUP($CU78-DC$103+1,Männer!$G$9:$J$102,4))*0.5*(VLOOKUP($CU78-DC$103,Männer!$AZ$9:$BD$102,5)+VLOOKUP($CU78-DC$103+1,Männer!$AZ$9:$BD$102,5)),RundDx)))</f>
        <v/>
      </c>
      <c r="DD78" s="25" t="str">
        <f>IF($CU78&gt;=RAF,"",IF($CU78-DD$103&lt;BeginnAlter,"",ROUND(v^($CU78+FaktorAlter)*$L78*$D78*0.5*(VLOOKUP($CU78-DD$103,Männer!$G$9:$J$102,4)+VLOOKUP($CU78-DD$103+1,Männer!$G$9:$J$102,4))*0.5*(VLOOKUP($CU78-DD$103,Männer!$AZ$9:$BD$102,5)+VLOOKUP($CU78-DD$103+1,Männer!$AZ$9:$BD$102,5)),RundDx)))</f>
        <v/>
      </c>
      <c r="DE78" s="25" t="str">
        <f>IF($CU78&gt;=RAF,"",IF($CU78-DE$103&lt;BeginnAlter,"",ROUND(v^($CU78+FaktorAlter)*$L78*$D78*0.5*(VLOOKUP($CU78-DE$103,Männer!$G$9:$J$102,4)+VLOOKUP($CU78-DE$103+1,Männer!$G$9:$J$102,4))*0.5*(VLOOKUP($CU78-DE$103,Männer!$AZ$9:$BD$102,5)+VLOOKUP($CU78-DE$103+1,Männer!$AZ$9:$BD$102,5)),RundDx)))</f>
        <v/>
      </c>
      <c r="DF78" s="25" t="str">
        <f>IF($CU78&gt;=RAF,"",IF($CU78-DF$103&lt;BeginnAlter,"",ROUND(v^($CU78+FaktorAlter)*$L78*$D78*0.5*(VLOOKUP($CU78-DF$103,Männer!$G$9:$J$102,4)+VLOOKUP($CU78-DF$103+1,Männer!$G$9:$J$102,4))*0.5*(VLOOKUP($CU78-DF$103,Männer!$AZ$9:$BD$102,5)+VLOOKUP($CU78-DF$103+1,Männer!$AZ$9:$BD$102,5)),RundDx)))</f>
        <v/>
      </c>
      <c r="DG78" s="25" t="str">
        <f>IF($CU78&gt;=RAF,"",IF($CU78-DG$103&lt;BeginnAlter,"",ROUND(v^($CU78+FaktorAlter)*$L78*$D78*0.5*(VLOOKUP($CU78-DG$103,Männer!$G$9:$J$102,4)+VLOOKUP($CU78-DG$103+1,Männer!$G$9:$J$102,4))*0.5*(VLOOKUP($CU78-DG$103,Männer!$AZ$9:$BD$102,5)+VLOOKUP($CU78-DG$103+1,Männer!$AZ$9:$BD$102,5)),RundDx)))</f>
        <v/>
      </c>
      <c r="DH78" s="25" t="str">
        <f>IF($CU78&gt;=RAF,"",IF($CU78-DH$103&lt;BeginnAlter,"",ROUND(v^($CU78+FaktorAlter)*$L78*$D78*0.5*(VLOOKUP($CU78-DH$103,Männer!$G$9:$J$102,4)+VLOOKUP($CU78-DH$103+1,Männer!$G$9:$J$102,4))*0.5*(VLOOKUP($CU78-DH$103,Männer!$AZ$9:$BD$102,5)+VLOOKUP($CU78-DH$103+1,Männer!$AZ$9:$BD$102,5)),RundDx)))</f>
        <v/>
      </c>
      <c r="DI78" s="25" t="str">
        <f>IF($CU78&gt;=RAF,"",IF($CU78-DI$103&lt;BeginnAlter,"",ROUND(v^($CU78+FaktorAlter)*$L78*$D78*0.5*(VLOOKUP($CU78-DI$103,Männer!$G$9:$J$102,4)+VLOOKUP($CU78-DI$103+1,Männer!$G$9:$J$102,4))*0.5*(VLOOKUP($CU78-DI$103,Männer!$AZ$9:$BD$102,5)+VLOOKUP($CU78-DI$103+1,Männer!$AZ$9:$BD$102,5)),RundDx)))</f>
        <v/>
      </c>
      <c r="DJ78" s="25" t="str">
        <f>IF($CU78&gt;=RAF,"",IF($CU78-DJ$103&lt;BeginnAlter,"",ROUND(v^($CU78+FaktorAlter)*$L78*$D78*0.5*(VLOOKUP($CU78-DJ$103,Männer!$G$9:$J$102,4)+VLOOKUP($CU78-DJ$103+1,Männer!$G$9:$J$102,4))*0.5*(VLOOKUP($CU78-DJ$103,Männer!$AZ$9:$BD$102,5)+VLOOKUP($CU78-DJ$103+1,Männer!$AZ$9:$BD$102,5)),RundDx)))</f>
        <v/>
      </c>
      <c r="DK78" s="25" t="str">
        <f>IF($CU78&gt;=RAF,"",IF($CU78-DK$103&lt;BeginnAlter,"",ROUND(v^($CU78+FaktorAlter)*$L78*$D78*0.5*(VLOOKUP($CU78-DK$103,Männer!$G$9:$J$102,4)+VLOOKUP($CU78-DK$103+1,Männer!$G$9:$J$102,4))*0.5*(VLOOKUP($CU78-DK$103,Männer!$AZ$9:$BD$102,5)+VLOOKUP($CU78-DK$103+1,Männer!$AZ$9:$BD$102,5)),RundDx)))</f>
        <v/>
      </c>
      <c r="DL78" s="25" t="str">
        <f>IF($CU78&gt;=RAF,"",IF($CU78-DL$103&lt;BeginnAlter,"",ROUND(v^($CU78+FaktorAlter)*$L78*$D78*0.5*(VLOOKUP($CU78-DL$103,Männer!$G$9:$J$102,4)+VLOOKUP($CU78-DL$103+1,Männer!$G$9:$J$102,4))*0.5*(VLOOKUP($CU78-DL$103,Männer!$AZ$9:$BD$102,5)+VLOOKUP($CU78-DL$103+1,Männer!$AZ$9:$BD$102,5)),RundDx)))</f>
        <v/>
      </c>
      <c r="DM78" s="25" t="str">
        <f>IF($CU78&gt;=RAF,"",IF($CU78-DM$103&lt;BeginnAlter,"",ROUND(v^($CU78+FaktorAlter)*$L78*$D78*0.5*(VLOOKUP($CU78-DM$103,Männer!$G$9:$J$102,4)+VLOOKUP($CU78-DM$103+1,Männer!$G$9:$J$102,4))*0.5*(VLOOKUP($CU78-DM$103,Männer!$AZ$9:$BD$102,5)+VLOOKUP($CU78-DM$103+1,Männer!$AZ$9:$BD$102,5)),RundDx)))</f>
        <v/>
      </c>
      <c r="DN78" s="25" t="str">
        <f>IF($CU78&gt;=RAF,"",IF($CU78-DN$103&lt;BeginnAlter,"",ROUND(v^($CU78+FaktorAlter)*$L78*$D78*0.5*(VLOOKUP($CU78-DN$103,Männer!$G$9:$J$102,4)+VLOOKUP($CU78-DN$103+1,Männer!$G$9:$J$102,4))*0.5*(VLOOKUP($CU78-DN$103,Männer!$AZ$9:$BD$102,5)+VLOOKUP($CU78-DN$103+1,Männer!$AZ$9:$BD$102,5)),RundDx)))</f>
        <v/>
      </c>
      <c r="DO78" s="25" t="str">
        <f>IF($CU78&gt;=RAF,"",IF($CU78-DO$103&lt;BeginnAlter,"",ROUND(v^($CU78+FaktorAlter)*$L78*$D78*0.5*(VLOOKUP($CU78-DO$103,Männer!$G$9:$J$102,4)+VLOOKUP($CU78-DO$103+1,Männer!$G$9:$J$102,4))*0.5*(VLOOKUP($CU78-DO$103,Männer!$AZ$9:$BD$102,5)+VLOOKUP($CU78-DO$103+1,Männer!$AZ$9:$BD$102,5)),RundDx)))</f>
        <v/>
      </c>
      <c r="DP78" s="25" t="str">
        <f>IF($CU78&gt;=RAF,"",IF($CU78-DP$103&lt;BeginnAlter,"",ROUND(v^($CU78+FaktorAlter)*$L78*$D78*0.5*(VLOOKUP($CU78-DP$103,Männer!$G$9:$J$102,4)+VLOOKUP($CU78-DP$103+1,Männer!$G$9:$J$102,4))*0.5*(VLOOKUP($CU78-DP$103,Männer!$AZ$9:$BD$102,5)+VLOOKUP($CU78-DP$103+1,Männer!$AZ$9:$BD$102,5)),RundDx)))</f>
        <v/>
      </c>
      <c r="DQ78" s="25" t="str">
        <f>IF($CU78&gt;=RAF,"",IF($CU78-DQ$103&lt;BeginnAlter,"",ROUND(v^($CU78+FaktorAlter)*$L78*$D78*0.5*(VLOOKUP($CU78-DQ$103,Männer!$G$9:$J$102,4)+VLOOKUP($CU78-DQ$103+1,Männer!$G$9:$J$102,4))*0.5*(VLOOKUP($CU78-DQ$103,Männer!$AZ$9:$BD$102,5)+VLOOKUP($CU78-DQ$103+1,Männer!$AZ$9:$BD$102,5)),RundDx)))</f>
        <v/>
      </c>
      <c r="DR78" s="25" t="str">
        <f>IF($CU78&gt;=RAF,"",IF($CU78-DR$103&lt;BeginnAlter,"",ROUND(v^($CU78+FaktorAlter)*$L78*$D78*0.5*(VLOOKUP($CU78-DR$103,Männer!$G$9:$J$102,4)+VLOOKUP($CU78-DR$103+1,Männer!$G$9:$J$102,4))*0.5*(VLOOKUP($CU78-DR$103,Männer!$AZ$9:$BD$102,5)+VLOOKUP($CU78-DR$103+1,Männer!$AZ$9:$BD$102,5)),RundDx)))</f>
        <v/>
      </c>
      <c r="DS78" s="25" t="str">
        <f>IF($CU78&gt;=RAF,"",IF($CU78-DS$103&lt;BeginnAlter,"",ROUND(v^($CU78+FaktorAlter)*$L78*$D78*0.5*(VLOOKUP($CU78-DS$103,Männer!$G$9:$J$102,4)+VLOOKUP($CU78-DS$103+1,Männer!$G$9:$J$102,4))*0.5*(VLOOKUP($CU78-DS$103,Männer!$AZ$9:$BD$102,5)+VLOOKUP($CU78-DS$103+1,Männer!$AZ$9:$BD$102,5)),RundDx)))</f>
        <v/>
      </c>
      <c r="DT78" s="25" t="str">
        <f>IF($CU78&gt;=RAF,"",IF($CU78-DT$103&lt;BeginnAlter,"",ROUND(v^($CU78+FaktorAlter)*$L78*$D78*0.5*(VLOOKUP($CU78-DT$103,Männer!$G$9:$J$102,4)+VLOOKUP($CU78-DT$103+1,Männer!$G$9:$J$102,4))*0.5*(VLOOKUP($CU78-DT$103,Männer!$AZ$9:$BD$102,5)+VLOOKUP($CU78-DT$103+1,Männer!$AZ$9:$BD$102,5)),RundDx)))</f>
        <v/>
      </c>
      <c r="DU78" s="25" t="str">
        <f>IF($CU78&gt;=RAF,"",IF($CU78-DU$103&lt;BeginnAlter,"",ROUND(v^($CU78+FaktorAlter)*$L78*$D78*0.5*(VLOOKUP($CU78-DU$103,Männer!$G$9:$J$102,4)+VLOOKUP($CU78-DU$103+1,Männer!$G$9:$J$102,4))*0.5*(VLOOKUP($CU78-DU$103,Männer!$AZ$9:$BD$102,5)+VLOOKUP($CU78-DU$103+1,Männer!$AZ$9:$BD$102,5)),RundDx)))</f>
        <v/>
      </c>
      <c r="DV78" s="25" t="str">
        <f>IF($CU78&gt;=RAF,"",IF($CU78-DV$103&lt;BeginnAlter,"",ROUND(v^($CU78+FaktorAlter)*$L78*$D78*0.5*(VLOOKUP($CU78-DV$103,Männer!$G$9:$J$102,4)+VLOOKUP($CU78-DV$103+1,Männer!$G$9:$J$102,4))*0.5*(VLOOKUP($CU78-DV$103,Männer!$AZ$9:$BD$102,5)+VLOOKUP($CU78-DV$103+1,Männer!$AZ$9:$BD$102,5)),RundDx)))</f>
        <v/>
      </c>
      <c r="DW78" s="25" t="str">
        <f>IF($CU78&gt;=RAF,"",IF($CU78-DW$103&lt;BeginnAlter,"",ROUND(v^($CU78+FaktorAlter)*$L78*$D78*0.5*(VLOOKUP($CU78-DW$103,Männer!$G$9:$J$102,4)+VLOOKUP($CU78-DW$103+1,Männer!$G$9:$J$102,4))*0.5*(VLOOKUP($CU78-DW$103,Männer!$AZ$9:$BD$102,5)+VLOOKUP($CU78-DW$103+1,Männer!$AZ$9:$BD$102,5)),RundDx)))</f>
        <v/>
      </c>
      <c r="DX78" s="25" t="str">
        <f>IF($CU78&gt;=RAF,"",IF($CU78-DX$103&lt;BeginnAlter,"",ROUND(v^($CU78+FaktorAlter)*$L78*$D78*0.5*(VLOOKUP($CU78-DX$103,Männer!$G$9:$J$102,4)+VLOOKUP($CU78-DX$103+1,Männer!$G$9:$J$102,4))*0.5*(VLOOKUP($CU78-DX$103,Männer!$AZ$9:$BD$102,5)+VLOOKUP($CU78-DX$103+1,Männer!$AZ$9:$BD$102,5)),RundDx)))</f>
        <v/>
      </c>
      <c r="DY78" s="25" t="str">
        <f>IF($CU78&gt;=RAF,"",IF($CU78-DY$103&lt;BeginnAlter,"",ROUND(v^($CU78+FaktorAlter)*$L78*$D78*0.5*(VLOOKUP($CU78-DY$103,Männer!$G$9:$J$102,4)+VLOOKUP($CU78-DY$103+1,Männer!$G$9:$J$102,4))*0.5*(VLOOKUP($CU78-DY$103,Männer!$AZ$9:$BD$102,5)+VLOOKUP($CU78-DY$103+1,Männer!$AZ$9:$BD$102,5)),RundDx)))</f>
        <v/>
      </c>
      <c r="DZ78" s="25" t="str">
        <f>IF($CU78&gt;=RAF,"",IF($CU78-DZ$103&lt;BeginnAlter,"",ROUND(v^($CU78+FaktorAlter)*$L78*$D78*0.5*(VLOOKUP($CU78-DZ$103,Männer!$G$9:$J$102,4)+VLOOKUP($CU78-DZ$103+1,Männer!$G$9:$J$102,4))*0.5*(VLOOKUP($CU78-DZ$103,Männer!$AZ$9:$BD$102,5)+VLOOKUP($CU78-DZ$103+1,Männer!$AZ$9:$BD$102,5)),RundDx)))</f>
        <v/>
      </c>
      <c r="EA78" s="43" t="str">
        <f>IF($CU78&gt;=RAF,"",IF($CU78-EA$103&lt;BeginnAlter,"",ROUND((SUM(CV$56:CV78)+SUM(FN$9:FN$56))/VLOOKUP($CU78,$AH$9:$AI$102,2)/VLOOKUP($CU78-EA$103,Männer!$G$9:$J$102,4),Rundäx)))</f>
        <v/>
      </c>
      <c r="EB78" s="43" t="str">
        <f>IF($CU78&gt;=RAF,"",IF($CU78-EB$103&lt;BeginnAlter,"",ROUND((SUM(CW$56:CW78)+SUM(FO$9:FO$56))/VLOOKUP($CU78,$AH$9:$AI$102,2)/VLOOKUP($CU78-EB$103,Männer!$G$9:$J$102,4),Rundäx)))</f>
        <v/>
      </c>
      <c r="EC78" s="43" t="str">
        <f>IF($CU78&gt;=RAF,"",IF($CU78-EC$103&lt;BeginnAlter,"",ROUND((SUM(CX$56:CX78)+SUM(FP$9:FP$56))/VLOOKUP($CU78,$AH$9:$AI$102,2)/VLOOKUP($CU78-EC$103,Männer!$G$9:$J$102,4),Rundäx)))</f>
        <v/>
      </c>
      <c r="ED78" s="43" t="str">
        <f>IF($CU78&gt;=RAF,"",IF($CU78-ED$103&lt;BeginnAlter,"",ROUND((SUM(CY$56:CY78)+SUM(FQ$9:FQ$56))/VLOOKUP($CU78,$AH$9:$AI$102,2)/VLOOKUP($CU78-ED$103,Männer!$G$9:$J$102,4),Rundäx)))</f>
        <v/>
      </c>
      <c r="EE78" s="43" t="str">
        <f>IF($CU78&gt;=RAF,"",IF($CU78-EE$103&lt;BeginnAlter,"",ROUND((SUM(CZ$56:CZ78)+SUM(FR$9:FR$56))/VLOOKUP($CU78,$AH$9:$AI$102,2)/VLOOKUP($CU78-EE$103,Männer!$G$9:$J$102,4),Rundäx)))</f>
        <v/>
      </c>
      <c r="EF78" s="43" t="str">
        <f>IF($CU78&gt;=RAF,"",IF($CU78-EF$103&lt;BeginnAlter,"",ROUND((SUM(DA$56:DA78)+SUM(FS$9:FS$56))/VLOOKUP($CU78,$AH$9:$AI$102,2)/VLOOKUP($CU78-EF$103,Männer!$G$9:$J$102,4),Rundäx)))</f>
        <v/>
      </c>
      <c r="EG78" s="43" t="str">
        <f>IF($CU78&gt;=RAF,"",IF($CU78-EG$103&lt;BeginnAlter,"",ROUND((SUM(DB$56:DB78)+SUM(FT$9:FT$56))/VLOOKUP($CU78,$AH$9:$AI$102,2)/VLOOKUP($CU78-EG$103,Männer!$G$9:$J$102,4),Rundäx)))</f>
        <v/>
      </c>
      <c r="EH78" s="43" t="str">
        <f>IF($CU78&gt;=RAF,"",IF($CU78-EH$103&lt;BeginnAlter,"",ROUND((SUM(DC$56:DC78)+SUM(FU$9:FU$56))/VLOOKUP($CU78,$AH$9:$AI$102,2)/VLOOKUP($CU78-EH$103,Männer!$G$9:$J$102,4),Rundäx)))</f>
        <v/>
      </c>
      <c r="EI78" s="89"/>
      <c r="EJ78" s="35">
        <f t="shared" si="138"/>
        <v>86</v>
      </c>
      <c r="EK78" s="43" t="str">
        <f>IF($CU78&gt;=RAF,"",IF($CU78-EK$103&lt;BeginnAlter,"",ROUND((SUM(DD$56:DD78)+SUM(FV$9:FV$56))/VLOOKUP($CU78,$AH$9:$AI$102,2)/VLOOKUP($CU78-EK$103,Männer!$G$9:$J$102,4),Rundäx)))</f>
        <v/>
      </c>
      <c r="EL78" s="43" t="str">
        <f>IF($CU78&gt;=RAF,"",IF($CU78-EL$103&lt;BeginnAlter,"",ROUND((SUM(DE$56:DE78)+SUM(FW$9:FW$56))/VLOOKUP($CU78,$AH$9:$AI$102,2)/VLOOKUP($CU78-EL$103,Männer!$G$9:$J$102,4),Rundäx)))</f>
        <v/>
      </c>
      <c r="EM78" s="43" t="str">
        <f>IF($CU78&gt;=RAF,"",IF($CU78-EM$103&lt;BeginnAlter,"",ROUND((SUM(DF$56:DF78)+SUM(FX$9:FX$56))/VLOOKUP($CU78,$AH$9:$AI$102,2)/VLOOKUP($CU78-EM$103,Männer!$G$9:$J$102,4),Rundäx)))</f>
        <v/>
      </c>
      <c r="EN78" s="43" t="str">
        <f>IF($CU78&gt;=RAF,"",IF($CU78-EN$103&lt;BeginnAlter,"",ROUND((SUM(DG$56:DG78)+SUM(FY$9:FY$56))/VLOOKUP($CU78,$AH$9:$AI$102,2)/VLOOKUP($CU78-EN$103,Männer!$G$9:$J$102,4),Rundäx)))</f>
        <v/>
      </c>
      <c r="EO78" s="43" t="str">
        <f>IF($CU78&gt;=RAF,"",IF($CU78-EO$103&lt;BeginnAlter,"",ROUND((SUM(DH$56:DH78)+SUM(FZ$9:FZ$56))/VLOOKUP($CU78,$AH$9:$AI$102,2)/VLOOKUP($CU78-EO$103,Männer!$G$9:$J$102,4),Rundäx)))</f>
        <v/>
      </c>
      <c r="EP78" s="43" t="str">
        <f>IF($CU78&gt;=RAF,"",IF($CU78-EP$103&lt;BeginnAlter,"",ROUND((SUM(DI$56:DI78)+SUM(GA$9:GA$56))/VLOOKUP($CU78,$AH$9:$AI$102,2)/VLOOKUP($CU78-EP$103,Männer!$G$9:$J$102,4),Rundäx)))</f>
        <v/>
      </c>
      <c r="EQ78" s="43" t="str">
        <f>IF($CU78&gt;=RAF,"",IF($CU78-EQ$103&lt;BeginnAlter,"",ROUND((SUM(DJ$56:DJ78)+SUM(GB$9:GB$56))/VLOOKUP($CU78,$AH$9:$AI$102,2)/VLOOKUP($CU78-EQ$103,Männer!$G$9:$J$102,4),Rundäx)))</f>
        <v/>
      </c>
      <c r="ER78" s="43" t="str">
        <f>IF($CU78&gt;=RAF,"",IF($CU78-ER$103&lt;BeginnAlter,"",ROUND((SUM(DK$56:DK78)+SUM(GC$9:GC$56))/VLOOKUP($CU78,$AH$9:$AI$102,2)/VLOOKUP($CU78-ER$103,Männer!$G$9:$J$102,4),Rundäx)))</f>
        <v/>
      </c>
      <c r="ES78" s="89"/>
      <c r="ET78" s="35">
        <f t="shared" si="139"/>
        <v>86</v>
      </c>
      <c r="EU78" s="43" t="str">
        <f>IF($CU78&gt;=RAF,"",IF($CU78-EU$103&lt;BeginnAlter,"",ROUND((SUM(DL$56:DL78)+SUM(GD$9:GD$56))/VLOOKUP($CU78,$AH$9:$AI$102,2)/VLOOKUP($CU78-EU$103,Männer!$G$9:$J$102,4),Rundäx)))</f>
        <v/>
      </c>
      <c r="EV78" s="43" t="str">
        <f>IF($CU78&gt;=RAF,"",IF($CU78-EV$103&lt;BeginnAlter,"",ROUND((SUM(DM$56:DM78)+SUM(GE$9:GE$56))/VLOOKUP($CU78,$AH$9:$AI$102,2)/VLOOKUP($CU78-EV$103,Männer!$G$9:$J$102,4),Rundäx)))</f>
        <v/>
      </c>
      <c r="EW78" s="43" t="str">
        <f>IF($CU78&gt;=RAF,"",IF($CU78-EW$103&lt;BeginnAlter,"",ROUND((SUM(DN$56:DN78)+SUM(GF$9:GF$56))/VLOOKUP($CU78,$AH$9:$AI$102,2)/VLOOKUP($CU78-EW$103,Männer!$G$9:$J$102,4),Rundäx)))</f>
        <v/>
      </c>
      <c r="EX78" s="43" t="str">
        <f>IF($CU78&gt;=RAF,"",IF($CU78-EX$103&lt;BeginnAlter,"",ROUND((SUM(DO$56:DO78)+SUM(GG$9:GG$56))/VLOOKUP($CU78,$AH$9:$AI$102,2)/VLOOKUP($CU78-EX$103,Männer!$G$9:$J$102,4),Rundäx)))</f>
        <v/>
      </c>
      <c r="EY78" s="43" t="str">
        <f>IF($CU78&gt;=RAF,"",IF($CU78-EY$103&lt;BeginnAlter,"",ROUND((SUM(DP$56:DP78)+SUM(GH$9:GH$56))/VLOOKUP($CU78,$AH$9:$AI$102,2)/VLOOKUP($CU78-EY$103,Männer!$G$9:$J$102,4),Rundäx)))</f>
        <v/>
      </c>
      <c r="EZ78" s="43" t="str">
        <f>IF($CU78&gt;=RAF,"",IF($CU78-EZ$103&lt;BeginnAlter,"",ROUND((SUM(DQ$56:DQ78)+SUM(GI$9:GI$56))/VLOOKUP($CU78,$AH$9:$AI$102,2)/VLOOKUP($CU78-EZ$103,Männer!$G$9:$J$102,4),Rundäx)))</f>
        <v/>
      </c>
      <c r="FA78" s="43" t="str">
        <f>IF($CU78&gt;=RAF,"",IF($CU78-FA$103&lt;BeginnAlter,"",ROUND((SUM(DR$56:DR78)+SUM(GJ$9:GJ$56))/VLOOKUP($CU78,$AH$9:$AI$102,2)/VLOOKUP($CU78-FA$103,Männer!$G$9:$J$102,4),Rundäx)))</f>
        <v/>
      </c>
      <c r="FB78" s="43" t="str">
        <f>IF($CU78&gt;=RAF,"",IF($CU78-FB$103&lt;BeginnAlter,"",ROUND((SUM(DS$56:DS78)+SUM(GK$9:GK$56))/VLOOKUP($CU78,$AH$9:$AI$102,2)/VLOOKUP($CU78-FB$103,Männer!$G$9:$J$102,4),Rundäx)))</f>
        <v/>
      </c>
      <c r="FC78" s="89"/>
      <c r="FD78" s="35">
        <f t="shared" si="140"/>
        <v>86</v>
      </c>
      <c r="FE78" s="43" t="str">
        <f>IF($CU78&gt;=RAF,"",IF($CU78-FE$103&lt;BeginnAlter,"",ROUND((SUM(DT$56:DT78)+SUM(GL$9:GL$56))/VLOOKUP($CU78,$AH$9:$AI$102,2)/VLOOKUP($CU78-FE$103,Männer!$G$9:$J$102,4),Rundäx)))</f>
        <v/>
      </c>
      <c r="FF78" s="43" t="str">
        <f>IF($CU78&gt;=RAF,"",IF($CU78-FF$103&lt;BeginnAlter,"",ROUND((SUM(DU$56:DU78)+SUM(GM$9:GM$56))/VLOOKUP($CU78,$AH$9:$AI$102,2)/VLOOKUP($CU78-FF$103,Männer!$G$9:$J$102,4),Rundäx)))</f>
        <v/>
      </c>
      <c r="FG78" s="43" t="str">
        <f>IF($CU78&gt;=RAF,"",IF($CU78-FG$103&lt;BeginnAlter,"",ROUND((SUM(DV$56:DV78)+SUM(GN$9:GN$56))/VLOOKUP($CU78,$AH$9:$AI$102,2)/VLOOKUP($CU78-FG$103,Männer!$G$9:$J$102,4),Rundäx)))</f>
        <v/>
      </c>
      <c r="FH78" s="43" t="str">
        <f>IF($CU78&gt;=RAF,"",IF($CU78-FH$103&lt;BeginnAlter,"",ROUND((SUM(DW$56:DW78)+SUM(GO$9:GO$56))/VLOOKUP($CU78,$AH$9:$AI$102,2)/VLOOKUP($CU78-FH$103,Männer!$G$9:$J$102,4),Rundäx)))</f>
        <v/>
      </c>
      <c r="FI78" s="43" t="str">
        <f>IF($CU78&gt;=RAF,"",IF($CU78-FI$103&lt;BeginnAlter,"",ROUND((SUM(DX$56:DX78)+SUM(GP$9:GP$56))/VLOOKUP($CU78,$AH$9:$AI$102,2)/VLOOKUP($CU78-FI$103,Männer!$G$9:$J$102,4),Rundäx)))</f>
        <v/>
      </c>
      <c r="FJ78" s="43" t="str">
        <f>IF($CU78&gt;=RAF,"",IF($CU78-FJ$103&lt;BeginnAlter,"",ROUND((SUM(DY$56:DY78)+SUM(GQ$9:GQ$56))/VLOOKUP($CU78,$AH$9:$AI$102,2)/VLOOKUP($CU78-FJ$103,Männer!$G$9:$J$102,4),Rundäx)))</f>
        <v/>
      </c>
      <c r="FK78" s="43" t="str">
        <f>IF($CU78&gt;=RAF,"",IF($CU78-FK$103&lt;BeginnAlter,"",ROUND((SUM(DZ$56:DZ78)+SUM(GR$9:GR$56))/VLOOKUP($CU78,$AH$9:$AI$102,2)/VLOOKUP($CU78-FK$103,Männer!$G$9:$J$102,4),Rundäx)))</f>
        <v/>
      </c>
      <c r="FL78" s="89"/>
      <c r="FM78" s="35">
        <f t="shared" si="141"/>
        <v>133</v>
      </c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4"/>
      <c r="GT78" s="24"/>
      <c r="GU78" s="24" t="str">
        <f>IF(FM78&gt;=RAF," ",#REF!/$AI78/Frauen!$J66)</f>
        <v xml:space="preserve"> </v>
      </c>
      <c r="GV78" s="24" t="str">
        <f>IF(FM78&gt;=RAF," ",#REF!/$AI78/Frauen!$J69)</f>
        <v xml:space="preserve"> </v>
      </c>
      <c r="GW78" s="24" t="str">
        <f>IF(FM78&gt;=RAF," ",#REF!/$AI78/Frauen!$J72)</f>
        <v xml:space="preserve"> </v>
      </c>
      <c r="GX78" s="24" t="str">
        <f>IF(FM78&gt;=RAF," ",#REF!/$AI78/Frauen!$J75)</f>
        <v xml:space="preserve"> </v>
      </c>
      <c r="GY78" s="24" t="str">
        <f>IF(FM78&gt;=RAF," ",#REF!/$AI78/Frauen!$J78)</f>
        <v xml:space="preserve"> </v>
      </c>
      <c r="GZ78" s="24" t="str">
        <f>IF(FM78&gt;=RAF," ",#REF!/$AI78/Frauen!$J81)</f>
        <v xml:space="preserve"> </v>
      </c>
      <c r="HA78" s="89"/>
      <c r="HB78" s="35">
        <f t="shared" si="142"/>
        <v>133</v>
      </c>
      <c r="HC78" s="24"/>
      <c r="HD78" s="24"/>
      <c r="HE78" s="24"/>
      <c r="HF78" s="24"/>
      <c r="HG78" s="24"/>
      <c r="HH78" s="24"/>
      <c r="HI78" s="24"/>
      <c r="HJ78" s="24"/>
      <c r="HK78" s="89"/>
      <c r="HL78" s="35">
        <f t="shared" si="143"/>
        <v>133</v>
      </c>
      <c r="HM78" s="24"/>
      <c r="HN78" s="24"/>
      <c r="HO78" s="24"/>
      <c r="HP78" s="24"/>
      <c r="HQ78" s="24"/>
      <c r="HR78" s="24"/>
      <c r="HS78" s="24"/>
      <c r="HT78" s="24"/>
      <c r="HU78" s="89"/>
      <c r="HV78" s="35">
        <f t="shared" si="144"/>
        <v>133</v>
      </c>
      <c r="HW78" s="24"/>
      <c r="HX78" s="24"/>
      <c r="HY78" s="24"/>
      <c r="HZ78" s="24"/>
      <c r="IA78" s="24"/>
      <c r="IB78" s="24"/>
      <c r="IC78" s="24"/>
      <c r="ID78" s="89"/>
      <c r="IE78" s="9">
        <f t="shared" si="145"/>
        <v>86</v>
      </c>
      <c r="IF78" s="11" t="str">
        <f t="shared" si="101"/>
        <v/>
      </c>
      <c r="IG78" s="11" t="str">
        <f>IF($IE78&lt;RAF,IF(S79&lt;=RAK,ROUND(SUM(IF78:INDEX(Daky,RAF-BeginnAlter))+INDEX(Day,RAF-BeginnAlter+1)*INDEX(äky,1),RundDx),0),"")</f>
        <v/>
      </c>
      <c r="IH78" s="11" t="str">
        <f>IF($IE78&lt;RAF,IF(S79&lt;=RAK,ROUND(SUM(IG78:INDEX(Naky,RAF-BeginnAlter))+INDEX(Day,RAF-BeginnAlter+1)*INDEX(äky,1),RundDx),0),"")</f>
        <v/>
      </c>
      <c r="II78" s="10" t="str">
        <f t="shared" si="102"/>
        <v/>
      </c>
      <c r="IJ78" s="11" t="str">
        <f t="shared" si="103"/>
        <v/>
      </c>
      <c r="IK78" s="11" t="str">
        <f>IF($IE78&lt;RAF,IF(S79&lt;=RAK,SUM(IJ78:INDEX(Diky,RAF-BeginnAlter))+INDEX(Diy,RAF-BeginnAlter+1)*INDEX(äky,1),0),"")</f>
        <v/>
      </c>
      <c r="IL78" s="10" t="str">
        <f t="shared" si="104"/>
        <v/>
      </c>
      <c r="IM78" s="89"/>
      <c r="IN78" s="9">
        <f t="shared" si="105"/>
        <v>133</v>
      </c>
      <c r="IO78" s="11"/>
      <c r="IP78" s="11"/>
      <c r="IQ78" s="10"/>
      <c r="IR78" s="86"/>
    </row>
    <row r="79" spans="1:252" ht="15.75" customHeight="1" x14ac:dyDescent="0.25">
      <c r="A79" s="9">
        <f t="shared" si="125"/>
        <v>87</v>
      </c>
      <c r="B79" s="93"/>
      <c r="C79" s="93"/>
      <c r="D79" s="93"/>
      <c r="E79" s="93">
        <v>0.1080311282411248</v>
      </c>
      <c r="F79" s="89"/>
      <c r="G79" s="9">
        <f t="shared" si="126"/>
        <v>87</v>
      </c>
      <c r="H79" s="11" t="str">
        <f t="shared" si="106"/>
        <v/>
      </c>
      <c r="I79" s="25" t="str">
        <f t="shared" si="107"/>
        <v/>
      </c>
      <c r="J79" s="25">
        <f t="shared" si="108"/>
        <v>42741</v>
      </c>
      <c r="K79" s="30">
        <f>IF(J79&gt;0,ROUND(SUM(J79:J$102)/J79-0.5,Rundex),"")</f>
        <v>5.33</v>
      </c>
      <c r="L79" s="25">
        <f t="shared" si="83"/>
        <v>42741</v>
      </c>
      <c r="M79" s="30">
        <f>IF(L79&gt;0,ROUND(SUM(L79:L$102)/L79-0.5,Rundex),"")</f>
        <v>5.33</v>
      </c>
      <c r="N79" s="89"/>
      <c r="O79" s="9">
        <f t="shared" si="127"/>
        <v>87</v>
      </c>
      <c r="P79" s="94">
        <v>5.5653992068153161E-3</v>
      </c>
      <c r="Q79" s="95">
        <v>87.268800997225298</v>
      </c>
      <c r="R79" s="94"/>
      <c r="S79" s="95"/>
      <c r="T79" s="28">
        <v>9.694247635632719E-2</v>
      </c>
      <c r="U79" s="11">
        <f t="shared" si="109"/>
        <v>47007</v>
      </c>
      <c r="V79" s="30">
        <f>IF(U79&gt;0,ROUND(SUM(U79:U$102)/U79-0.5,Rundex),"")</f>
        <v>5.6</v>
      </c>
      <c r="W79" s="89"/>
      <c r="X79" s="9">
        <f t="shared" si="128"/>
        <v>87</v>
      </c>
      <c r="Y79" s="11" t="str">
        <f t="shared" si="110"/>
        <v xml:space="preserve"> </v>
      </c>
      <c r="Z79" s="11" t="str">
        <f>IF($X79&lt;RAF,SUM(Y79:INDEX(Day,RAF-BeginnAlter))," ")</f>
        <v xml:space="preserve"> </v>
      </c>
      <c r="AA79" s="11" t="str">
        <f t="shared" si="81"/>
        <v xml:space="preserve"> </v>
      </c>
      <c r="AB79" s="11" t="str">
        <f>IF($X79&lt;RAF,SUM(AA79:INDEX(Cay,RAF-BeginnAlter))," ")</f>
        <v xml:space="preserve"> </v>
      </c>
      <c r="AC79" s="11" t="str">
        <f t="shared" si="82"/>
        <v xml:space="preserve"> </v>
      </c>
      <c r="AD79" s="11" t="str">
        <f>IF($X79&lt;RAF,SUM(AC79:INDEX(Caiy,RAF-BeginnAlter))," ")</f>
        <v xml:space="preserve"> </v>
      </c>
      <c r="AE79" s="10" t="str">
        <f t="shared" si="111"/>
        <v xml:space="preserve"> </v>
      </c>
      <c r="AF79" s="10" t="str">
        <f t="shared" si="112"/>
        <v xml:space="preserve"> </v>
      </c>
      <c r="AG79" s="89"/>
      <c r="AH79" s="9">
        <f t="shared" si="129"/>
        <v>87</v>
      </c>
      <c r="AI79" s="11" t="str">
        <f t="shared" si="113"/>
        <v xml:space="preserve"> </v>
      </c>
      <c r="AJ79" s="11" t="str">
        <f>IF($AH79&gt;RAF," ",IF($AH79&lt;RAF,SUM(AI79:INDEX(Diy,RAF-BeginnAlter))+INDEX(Ny,RAF-BeginnAlter+1),INDEX(Ny,RAF-BeginnAlter+1)))</f>
        <v xml:space="preserve"> </v>
      </c>
      <c r="AK79" s="11" t="str">
        <f>IF($AH79&lt;RAF,SUM(AI79:INDEX(Diy,RAF-BeginnAlter))," ")</f>
        <v xml:space="preserve"> </v>
      </c>
      <c r="AL79" s="10" t="str">
        <f t="shared" si="114"/>
        <v xml:space="preserve"> </v>
      </c>
      <c r="AM79" s="10" t="str">
        <f t="shared" si="115"/>
        <v xml:space="preserve"> </v>
      </c>
      <c r="AN79" s="10" t="str">
        <f t="shared" si="116"/>
        <v xml:space="preserve"> </v>
      </c>
      <c r="AO79" s="10" t="str">
        <f t="shared" si="117"/>
        <v xml:space="preserve"> </v>
      </c>
      <c r="AP79" s="89"/>
      <c r="AQ79" s="9">
        <f t="shared" si="130"/>
        <v>87</v>
      </c>
      <c r="AR79" s="11">
        <f t="shared" si="118"/>
        <v>6168</v>
      </c>
      <c r="AS79" s="11">
        <f>SUM(AR79:AR$96)</f>
        <v>33307</v>
      </c>
      <c r="AT79" s="25" t="str">
        <f>IF($AQ79&lt;RAF,SUM(AR79:INDEX(Dy,RAF-BeginnAlter))," ")</f>
        <v xml:space="preserve"> </v>
      </c>
      <c r="AU79" s="24">
        <f t="shared" si="119"/>
        <v>5.4</v>
      </c>
      <c r="AV79" s="24">
        <f t="shared" si="120"/>
        <v>4.9420000000000002</v>
      </c>
      <c r="AW79" s="24" t="str">
        <f t="shared" si="121"/>
        <v xml:space="preserve"> </v>
      </c>
      <c r="AX79" s="24" t="str">
        <f t="shared" si="122"/>
        <v xml:space="preserve"> </v>
      </c>
      <c r="AY79" s="89"/>
      <c r="AZ79" s="9">
        <f t="shared" si="131"/>
        <v>87</v>
      </c>
      <c r="BA79" s="11">
        <f t="shared" si="123"/>
        <v>6784</v>
      </c>
      <c r="BB79" s="11">
        <f>SUM(BA79:BA$96)</f>
        <v>38247</v>
      </c>
      <c r="BC79" s="10">
        <f t="shared" si="124"/>
        <v>5.6379999999999999</v>
      </c>
      <c r="BD79" s="10">
        <f t="shared" si="84"/>
        <v>5.1790000000000003</v>
      </c>
      <c r="BE79" s="89"/>
      <c r="BF79" s="9">
        <f t="shared" si="132"/>
        <v>70</v>
      </c>
      <c r="BG79" s="10" t="str">
        <f t="shared" si="85"/>
        <v/>
      </c>
      <c r="BH79" s="10" t="str">
        <f t="shared" si="86"/>
        <v/>
      </c>
      <c r="BI79" s="89"/>
      <c r="BJ79" s="9">
        <f t="shared" si="133"/>
        <v>87</v>
      </c>
      <c r="BK79" s="11" t="str">
        <f t="shared" si="87"/>
        <v xml:space="preserve"> </v>
      </c>
      <c r="BL79" s="11" t="str">
        <f>IF(BJ79&lt;RAF,SUM(BK79:INDEX(Daiy,RAF-BeginnAlter))," ")</f>
        <v xml:space="preserve"> </v>
      </c>
      <c r="BM79" s="11" t="str">
        <f>IF(BJ79&lt;RAF,SUM(BL79:INDEX(Naiy,RAF-BeginnAlter))," ")</f>
        <v xml:space="preserve"> </v>
      </c>
      <c r="BN79" s="10" t="str">
        <f t="shared" si="88"/>
        <v xml:space="preserve"> </v>
      </c>
      <c r="BO79" s="10" t="str">
        <f t="shared" si="89"/>
        <v xml:space="preserve"> </v>
      </c>
      <c r="BP79" s="89"/>
      <c r="BQ79" s="9">
        <f t="shared" si="134"/>
        <v>87</v>
      </c>
      <c r="BR79" s="11" t="str">
        <f t="shared" si="90"/>
        <v xml:space="preserve"> </v>
      </c>
      <c r="BS79" s="11" t="str">
        <f>IF(BQ79&lt;RAF,SUM(BR79:INDEX(Daiys,RAF-BeginnAlter))," ")</f>
        <v xml:space="preserve"> </v>
      </c>
      <c r="BT79" s="11" t="str">
        <f>IF(BQ79&lt;RAF,SUM(BS79:INDEX(Naiys,RAF-BeginnAlter))," ")</f>
        <v xml:space="preserve"> </v>
      </c>
      <c r="BU79" s="10" t="str">
        <f t="shared" si="91"/>
        <v xml:space="preserve"> </v>
      </c>
      <c r="BV79" s="10" t="str">
        <f t="shared" si="92"/>
        <v xml:space="preserve"> </v>
      </c>
      <c r="BW79" s="89"/>
      <c r="BX79" s="9">
        <f t="shared" si="135"/>
        <v>87</v>
      </c>
      <c r="BY79" s="10" t="str">
        <f t="shared" si="93"/>
        <v/>
      </c>
      <c r="BZ79" s="11" t="str">
        <f t="shared" si="94"/>
        <v/>
      </c>
      <c r="CA79" s="11" t="str">
        <f>IF(S80&lt;=RAK,IF($BX79&lt;RAF,SUM(BZ79:INDEX(Dazy,RAF-BeginnAlter)),""),"")</f>
        <v/>
      </c>
      <c r="CB79" s="10" t="str">
        <f t="shared" si="95"/>
        <v/>
      </c>
      <c r="CC79" s="11">
        <f t="shared" si="96"/>
        <v>0</v>
      </c>
      <c r="CD79" s="10">
        <f t="shared" si="97"/>
        <v>0</v>
      </c>
      <c r="CE79" s="10" t="str">
        <f t="shared" si="98"/>
        <v/>
      </c>
      <c r="CF79" s="89"/>
      <c r="CG79" s="9">
        <f t="shared" si="136"/>
        <v>87</v>
      </c>
      <c r="CH79" s="11" t="str">
        <f>IF(CG79&lt;RAF,ROUND(v^($CG79+FaktorAlter)*$H79*($B79*0.5*($P79+$P80)*(VLOOKUP(TRUNC(0.5*($Q79+$Q80),0),Männer!$AZ$9:$BD$95,5)+(0.5*($Q79+$Q80)-TRUNC(0.5*($Q79+$Q80),0))*(VLOOKUP(TRUNC(0.5*($Q79+$Q80)+1,0),Männer!$AZ$9:$BD$95,5)-VLOOKUP(TRUNC(0.5*($Q79+$Q80),0),Männer!$AZ$9:$BD$95,5)))+$C79*0.5*($CN79+$CN80)),RundDx),"")</f>
        <v/>
      </c>
      <c r="CI79" s="11" t="str">
        <f>IF(CG79&lt;RAF,ROUND(SUM(CH79:INDEX(Dawy,RAF-BeginnAlter))+INDEX(Day,RAF-BeginnAlter+1)*INDEX(äwy,1),RundDx),"")</f>
        <v/>
      </c>
      <c r="CJ79" s="11" t="str">
        <f>IF(CG79&lt;RAF,ROUND(SUM(CI79:INDEX(Nawy,RAF-BeginnAlter))+INDEX(Day,RAF-BeginnAlter+1)*INDEX(äwy,1),RundDx),"")</f>
        <v/>
      </c>
      <c r="CK79" s="10" t="str">
        <f t="shared" si="99"/>
        <v/>
      </c>
      <c r="CL79" s="11" t="str">
        <f>IF(CG79&lt;RAF,ROUND(v^($CG79+FaktorAlter)*$L79*$D79*0.5*($P79+$P80)*(VLOOKUP(TRUNC(0.5*($Q79+$Q80),0),Männer!$AZ$9:$BD$95,5)+(0.5*($Q79+$Q80)-TRUNC(0.5*($Q79+$Q80),0))*(VLOOKUP(TRUNC(0.5*($Q79+$Q80)+1,0),Männer!$AZ$9:$BD$95,5)-VLOOKUP(TRUNC(0.5*($Q79+$Q80),0),Männer!$AZ$9:$BD$95,5))),RundDx),"")</f>
        <v/>
      </c>
      <c r="CM79" s="11" t="str">
        <f>IF(CG79&lt;RAF,SUM(CL79:INDEX(Diwy,RAF-BeginnAlter))+INDEX(Diy,RAF-BeginnAlter+1)*INDEX(äwy,1),"")</f>
        <v/>
      </c>
      <c r="CN79" s="10" t="str">
        <f t="shared" si="100"/>
        <v/>
      </c>
      <c r="CO79" s="89"/>
      <c r="CP79" s="9">
        <f t="shared" ref="CP79:CP102" si="146">1+CP78</f>
        <v>134</v>
      </c>
      <c r="CQ79" s="11"/>
      <c r="CR79" s="11"/>
      <c r="CS79" s="10"/>
      <c r="CT79" s="89"/>
      <c r="CU79" s="35">
        <f t="shared" si="137"/>
        <v>87</v>
      </c>
      <c r="CV79" s="25" t="str">
        <f>IF($CU79&gt;=RAF,"",IF($CU79-CV$103&lt;BeginnAlter,"",ROUND(v^($CU79+FaktorAlter)*$L79*$D79*0.5*(VLOOKUP($CU79-CV$103,Männer!$G$9:$J$102,4)+VLOOKUP($CU79-CV$103+1,Männer!$G$9:$J$102,4))*0.5*(VLOOKUP($CU79-CV$103,Männer!$AZ$9:$BD$102,5)+VLOOKUP($CU79-CV$103+1,Männer!$AZ$9:$BD$102,5)),RundDx)))</f>
        <v/>
      </c>
      <c r="CW79" s="25" t="str">
        <f>IF($CU79&gt;=RAF,"",IF($CU79-CW$103&lt;BeginnAlter,"",ROUND(v^($CU79+FaktorAlter)*$L79*$D79*0.5*(VLOOKUP($CU79-CW$103,Männer!$G$9:$J$102,4)+VLOOKUP($CU79-CW$103+1,Männer!$G$9:$J$102,4))*0.5*(VLOOKUP($CU79-CW$103,Männer!$AZ$9:$BD$102,5)+VLOOKUP($CU79-CW$103+1,Männer!$AZ$9:$BD$102,5)),RundDx)))</f>
        <v/>
      </c>
      <c r="CX79" s="25" t="str">
        <f>IF($CU79&gt;=RAF,"",IF($CU79-CX$103&lt;BeginnAlter,"",ROUND(v^($CU79+FaktorAlter)*$L79*$D79*0.5*(VLOOKUP($CU79-CX$103,Männer!$G$9:$J$102,4)+VLOOKUP($CU79-CX$103+1,Männer!$G$9:$J$102,4))*0.5*(VLOOKUP($CU79-CX$103,Männer!$AZ$9:$BD$102,5)+VLOOKUP($CU79-CX$103+1,Männer!$AZ$9:$BD$102,5)),RundDx)))</f>
        <v/>
      </c>
      <c r="CY79" s="25" t="str">
        <f>IF($CU79&gt;=RAF,"",IF($CU79-CY$103&lt;BeginnAlter,"",ROUND(v^($CU79+FaktorAlter)*$L79*$D79*0.5*(VLOOKUP($CU79-CY$103,Männer!$G$9:$J$102,4)+VLOOKUP($CU79-CY$103+1,Männer!$G$9:$J$102,4))*0.5*(VLOOKUP($CU79-CY$103,Männer!$AZ$9:$BD$102,5)+VLOOKUP($CU79-CY$103+1,Männer!$AZ$9:$BD$102,5)),RundDx)))</f>
        <v/>
      </c>
      <c r="CZ79" s="25" t="str">
        <f>IF($CU79&gt;=RAF,"",IF($CU79-CZ$103&lt;BeginnAlter,"",ROUND(v^($CU79+FaktorAlter)*$L79*$D79*0.5*(VLOOKUP($CU79-CZ$103,Männer!$G$9:$J$102,4)+VLOOKUP($CU79-CZ$103+1,Männer!$G$9:$J$102,4))*0.5*(VLOOKUP($CU79-CZ$103,Männer!$AZ$9:$BD$102,5)+VLOOKUP($CU79-CZ$103+1,Männer!$AZ$9:$BD$102,5)),RundDx)))</f>
        <v/>
      </c>
      <c r="DA79" s="25" t="str">
        <f>IF($CU79&gt;=RAF,"",IF($CU79-DA$103&lt;BeginnAlter,"",ROUND(v^($CU79+FaktorAlter)*$L79*$D79*0.5*(VLOOKUP($CU79-DA$103,Männer!$G$9:$J$102,4)+VLOOKUP($CU79-DA$103+1,Männer!$G$9:$J$102,4))*0.5*(VLOOKUP($CU79-DA$103,Männer!$AZ$9:$BD$102,5)+VLOOKUP($CU79-DA$103+1,Männer!$AZ$9:$BD$102,5)),RundDx)))</f>
        <v/>
      </c>
      <c r="DB79" s="25" t="str">
        <f>IF($CU79&gt;=RAF,"",IF($CU79-DB$103&lt;BeginnAlter,"",ROUND(v^($CU79+FaktorAlter)*$L79*$D79*0.5*(VLOOKUP($CU79-DB$103,Männer!$G$9:$J$102,4)+VLOOKUP($CU79-DB$103+1,Männer!$G$9:$J$102,4))*0.5*(VLOOKUP($CU79-DB$103,Männer!$AZ$9:$BD$102,5)+VLOOKUP($CU79-DB$103+1,Männer!$AZ$9:$BD$102,5)),RundDx)))</f>
        <v/>
      </c>
      <c r="DC79" s="25" t="str">
        <f>IF($CU79&gt;=RAF,"",IF($CU79-DC$103&lt;BeginnAlter,"",ROUND(v^($CU79+FaktorAlter)*$L79*$D79*0.5*(VLOOKUP($CU79-DC$103,Männer!$G$9:$J$102,4)+VLOOKUP($CU79-DC$103+1,Männer!$G$9:$J$102,4))*0.5*(VLOOKUP($CU79-DC$103,Männer!$AZ$9:$BD$102,5)+VLOOKUP($CU79-DC$103+1,Männer!$AZ$9:$BD$102,5)),RundDx)))</f>
        <v/>
      </c>
      <c r="DD79" s="25" t="str">
        <f>IF($CU79&gt;=RAF,"",IF($CU79-DD$103&lt;BeginnAlter,"",ROUND(v^($CU79+FaktorAlter)*$L79*$D79*0.5*(VLOOKUP($CU79-DD$103,Männer!$G$9:$J$102,4)+VLOOKUP($CU79-DD$103+1,Männer!$G$9:$J$102,4))*0.5*(VLOOKUP($CU79-DD$103,Männer!$AZ$9:$BD$102,5)+VLOOKUP($CU79-DD$103+1,Männer!$AZ$9:$BD$102,5)),RundDx)))</f>
        <v/>
      </c>
      <c r="DE79" s="25" t="str">
        <f>IF($CU79&gt;=RAF,"",IF($CU79-DE$103&lt;BeginnAlter,"",ROUND(v^($CU79+FaktorAlter)*$L79*$D79*0.5*(VLOOKUP($CU79-DE$103,Männer!$G$9:$J$102,4)+VLOOKUP($CU79-DE$103+1,Männer!$G$9:$J$102,4))*0.5*(VLOOKUP($CU79-DE$103,Männer!$AZ$9:$BD$102,5)+VLOOKUP($CU79-DE$103+1,Männer!$AZ$9:$BD$102,5)),RundDx)))</f>
        <v/>
      </c>
      <c r="DF79" s="25" t="str">
        <f>IF($CU79&gt;=RAF,"",IF($CU79-DF$103&lt;BeginnAlter,"",ROUND(v^($CU79+FaktorAlter)*$L79*$D79*0.5*(VLOOKUP($CU79-DF$103,Männer!$G$9:$J$102,4)+VLOOKUP($CU79-DF$103+1,Männer!$G$9:$J$102,4))*0.5*(VLOOKUP($CU79-DF$103,Männer!$AZ$9:$BD$102,5)+VLOOKUP($CU79-DF$103+1,Männer!$AZ$9:$BD$102,5)),RundDx)))</f>
        <v/>
      </c>
      <c r="DG79" s="25" t="str">
        <f>IF($CU79&gt;=RAF,"",IF($CU79-DG$103&lt;BeginnAlter,"",ROUND(v^($CU79+FaktorAlter)*$L79*$D79*0.5*(VLOOKUP($CU79-DG$103,Männer!$G$9:$J$102,4)+VLOOKUP($CU79-DG$103+1,Männer!$G$9:$J$102,4))*0.5*(VLOOKUP($CU79-DG$103,Männer!$AZ$9:$BD$102,5)+VLOOKUP($CU79-DG$103+1,Männer!$AZ$9:$BD$102,5)),RundDx)))</f>
        <v/>
      </c>
      <c r="DH79" s="25" t="str">
        <f>IF($CU79&gt;=RAF,"",IF($CU79-DH$103&lt;BeginnAlter,"",ROUND(v^($CU79+FaktorAlter)*$L79*$D79*0.5*(VLOOKUP($CU79-DH$103,Männer!$G$9:$J$102,4)+VLOOKUP($CU79-DH$103+1,Männer!$G$9:$J$102,4))*0.5*(VLOOKUP($CU79-DH$103,Männer!$AZ$9:$BD$102,5)+VLOOKUP($CU79-DH$103+1,Männer!$AZ$9:$BD$102,5)),RundDx)))</f>
        <v/>
      </c>
      <c r="DI79" s="25" t="str">
        <f>IF($CU79&gt;=RAF,"",IF($CU79-DI$103&lt;BeginnAlter,"",ROUND(v^($CU79+FaktorAlter)*$L79*$D79*0.5*(VLOOKUP($CU79-DI$103,Männer!$G$9:$J$102,4)+VLOOKUP($CU79-DI$103+1,Männer!$G$9:$J$102,4))*0.5*(VLOOKUP($CU79-DI$103,Männer!$AZ$9:$BD$102,5)+VLOOKUP($CU79-DI$103+1,Männer!$AZ$9:$BD$102,5)),RundDx)))</f>
        <v/>
      </c>
      <c r="DJ79" s="25" t="str">
        <f>IF($CU79&gt;=RAF,"",IF($CU79-DJ$103&lt;BeginnAlter,"",ROUND(v^($CU79+FaktorAlter)*$L79*$D79*0.5*(VLOOKUP($CU79-DJ$103,Männer!$G$9:$J$102,4)+VLOOKUP($CU79-DJ$103+1,Männer!$G$9:$J$102,4))*0.5*(VLOOKUP($CU79-DJ$103,Männer!$AZ$9:$BD$102,5)+VLOOKUP($CU79-DJ$103+1,Männer!$AZ$9:$BD$102,5)),RundDx)))</f>
        <v/>
      </c>
      <c r="DK79" s="25" t="str">
        <f>IF($CU79&gt;=RAF,"",IF($CU79-DK$103&lt;BeginnAlter,"",ROUND(v^($CU79+FaktorAlter)*$L79*$D79*0.5*(VLOOKUP($CU79-DK$103,Männer!$G$9:$J$102,4)+VLOOKUP($CU79-DK$103+1,Männer!$G$9:$J$102,4))*0.5*(VLOOKUP($CU79-DK$103,Männer!$AZ$9:$BD$102,5)+VLOOKUP($CU79-DK$103+1,Männer!$AZ$9:$BD$102,5)),RundDx)))</f>
        <v/>
      </c>
      <c r="DL79" s="25" t="str">
        <f>IF($CU79&gt;=RAF,"",IF($CU79-DL$103&lt;BeginnAlter,"",ROUND(v^($CU79+FaktorAlter)*$L79*$D79*0.5*(VLOOKUP($CU79-DL$103,Männer!$G$9:$J$102,4)+VLOOKUP($CU79-DL$103+1,Männer!$G$9:$J$102,4))*0.5*(VLOOKUP($CU79-DL$103,Männer!$AZ$9:$BD$102,5)+VLOOKUP($CU79-DL$103+1,Männer!$AZ$9:$BD$102,5)),RundDx)))</f>
        <v/>
      </c>
      <c r="DM79" s="25" t="str">
        <f>IF($CU79&gt;=RAF,"",IF($CU79-DM$103&lt;BeginnAlter,"",ROUND(v^($CU79+FaktorAlter)*$L79*$D79*0.5*(VLOOKUP($CU79-DM$103,Männer!$G$9:$J$102,4)+VLOOKUP($CU79-DM$103+1,Männer!$G$9:$J$102,4))*0.5*(VLOOKUP($CU79-DM$103,Männer!$AZ$9:$BD$102,5)+VLOOKUP($CU79-DM$103+1,Männer!$AZ$9:$BD$102,5)),RundDx)))</f>
        <v/>
      </c>
      <c r="DN79" s="25" t="str">
        <f>IF($CU79&gt;=RAF,"",IF($CU79-DN$103&lt;BeginnAlter,"",ROUND(v^($CU79+FaktorAlter)*$L79*$D79*0.5*(VLOOKUP($CU79-DN$103,Männer!$G$9:$J$102,4)+VLOOKUP($CU79-DN$103+1,Männer!$G$9:$J$102,4))*0.5*(VLOOKUP($CU79-DN$103,Männer!$AZ$9:$BD$102,5)+VLOOKUP($CU79-DN$103+1,Männer!$AZ$9:$BD$102,5)),RundDx)))</f>
        <v/>
      </c>
      <c r="DO79" s="25" t="str">
        <f>IF($CU79&gt;=RAF,"",IF($CU79-DO$103&lt;BeginnAlter,"",ROUND(v^($CU79+FaktorAlter)*$L79*$D79*0.5*(VLOOKUP($CU79-DO$103,Männer!$G$9:$J$102,4)+VLOOKUP($CU79-DO$103+1,Männer!$G$9:$J$102,4))*0.5*(VLOOKUP($CU79-DO$103,Männer!$AZ$9:$BD$102,5)+VLOOKUP($CU79-DO$103+1,Männer!$AZ$9:$BD$102,5)),RundDx)))</f>
        <v/>
      </c>
      <c r="DP79" s="25" t="str">
        <f>IF($CU79&gt;=RAF,"",IF($CU79-DP$103&lt;BeginnAlter,"",ROUND(v^($CU79+FaktorAlter)*$L79*$D79*0.5*(VLOOKUP($CU79-DP$103,Männer!$G$9:$J$102,4)+VLOOKUP($CU79-DP$103+1,Männer!$G$9:$J$102,4))*0.5*(VLOOKUP($CU79-DP$103,Männer!$AZ$9:$BD$102,5)+VLOOKUP($CU79-DP$103+1,Männer!$AZ$9:$BD$102,5)),RundDx)))</f>
        <v/>
      </c>
      <c r="DQ79" s="25" t="str">
        <f>IF($CU79&gt;=RAF,"",IF($CU79-DQ$103&lt;BeginnAlter,"",ROUND(v^($CU79+FaktorAlter)*$L79*$D79*0.5*(VLOOKUP($CU79-DQ$103,Männer!$G$9:$J$102,4)+VLOOKUP($CU79-DQ$103+1,Männer!$G$9:$J$102,4))*0.5*(VLOOKUP($CU79-DQ$103,Männer!$AZ$9:$BD$102,5)+VLOOKUP($CU79-DQ$103+1,Männer!$AZ$9:$BD$102,5)),RundDx)))</f>
        <v/>
      </c>
      <c r="DR79" s="25" t="str">
        <f>IF($CU79&gt;=RAF,"",IF($CU79-DR$103&lt;BeginnAlter,"",ROUND(v^($CU79+FaktorAlter)*$L79*$D79*0.5*(VLOOKUP($CU79-DR$103,Männer!$G$9:$J$102,4)+VLOOKUP($CU79-DR$103+1,Männer!$G$9:$J$102,4))*0.5*(VLOOKUP($CU79-DR$103,Männer!$AZ$9:$BD$102,5)+VLOOKUP($CU79-DR$103+1,Männer!$AZ$9:$BD$102,5)),RundDx)))</f>
        <v/>
      </c>
      <c r="DS79" s="25" t="str">
        <f>IF($CU79&gt;=RAF,"",IF($CU79-DS$103&lt;BeginnAlter,"",ROUND(v^($CU79+FaktorAlter)*$L79*$D79*0.5*(VLOOKUP($CU79-DS$103,Männer!$G$9:$J$102,4)+VLOOKUP($CU79-DS$103+1,Männer!$G$9:$J$102,4))*0.5*(VLOOKUP($CU79-DS$103,Männer!$AZ$9:$BD$102,5)+VLOOKUP($CU79-DS$103+1,Männer!$AZ$9:$BD$102,5)),RundDx)))</f>
        <v/>
      </c>
      <c r="DT79" s="25" t="str">
        <f>IF($CU79&gt;=RAF,"",IF($CU79-DT$103&lt;BeginnAlter,"",ROUND(v^($CU79+FaktorAlter)*$L79*$D79*0.5*(VLOOKUP($CU79-DT$103,Männer!$G$9:$J$102,4)+VLOOKUP($CU79-DT$103+1,Männer!$G$9:$J$102,4))*0.5*(VLOOKUP($CU79-DT$103,Männer!$AZ$9:$BD$102,5)+VLOOKUP($CU79-DT$103+1,Männer!$AZ$9:$BD$102,5)),RundDx)))</f>
        <v/>
      </c>
      <c r="DU79" s="25" t="str">
        <f>IF($CU79&gt;=RAF,"",IF($CU79-DU$103&lt;BeginnAlter,"",ROUND(v^($CU79+FaktorAlter)*$L79*$D79*0.5*(VLOOKUP($CU79-DU$103,Männer!$G$9:$J$102,4)+VLOOKUP($CU79-DU$103+1,Männer!$G$9:$J$102,4))*0.5*(VLOOKUP($CU79-DU$103,Männer!$AZ$9:$BD$102,5)+VLOOKUP($CU79-DU$103+1,Männer!$AZ$9:$BD$102,5)),RundDx)))</f>
        <v/>
      </c>
      <c r="DV79" s="25" t="str">
        <f>IF($CU79&gt;=RAF,"",IF($CU79-DV$103&lt;BeginnAlter,"",ROUND(v^($CU79+FaktorAlter)*$L79*$D79*0.5*(VLOOKUP($CU79-DV$103,Männer!$G$9:$J$102,4)+VLOOKUP($CU79-DV$103+1,Männer!$G$9:$J$102,4))*0.5*(VLOOKUP($CU79-DV$103,Männer!$AZ$9:$BD$102,5)+VLOOKUP($CU79-DV$103+1,Männer!$AZ$9:$BD$102,5)),RundDx)))</f>
        <v/>
      </c>
      <c r="DW79" s="25" t="str">
        <f>IF($CU79&gt;=RAF,"",IF($CU79-DW$103&lt;BeginnAlter,"",ROUND(v^($CU79+FaktorAlter)*$L79*$D79*0.5*(VLOOKUP($CU79-DW$103,Männer!$G$9:$J$102,4)+VLOOKUP($CU79-DW$103+1,Männer!$G$9:$J$102,4))*0.5*(VLOOKUP($CU79-DW$103,Männer!$AZ$9:$BD$102,5)+VLOOKUP($CU79-DW$103+1,Männer!$AZ$9:$BD$102,5)),RundDx)))</f>
        <v/>
      </c>
      <c r="DX79" s="25" t="str">
        <f>IF($CU79&gt;=RAF,"",IF($CU79-DX$103&lt;BeginnAlter,"",ROUND(v^($CU79+FaktorAlter)*$L79*$D79*0.5*(VLOOKUP($CU79-DX$103,Männer!$G$9:$J$102,4)+VLOOKUP($CU79-DX$103+1,Männer!$G$9:$J$102,4))*0.5*(VLOOKUP($CU79-DX$103,Männer!$AZ$9:$BD$102,5)+VLOOKUP($CU79-DX$103+1,Männer!$AZ$9:$BD$102,5)),RundDx)))</f>
        <v/>
      </c>
      <c r="DY79" s="25" t="str">
        <f>IF($CU79&gt;=RAF,"",IF($CU79-DY$103&lt;BeginnAlter,"",ROUND(v^($CU79+FaktorAlter)*$L79*$D79*0.5*(VLOOKUP($CU79-DY$103,Männer!$G$9:$J$102,4)+VLOOKUP($CU79-DY$103+1,Männer!$G$9:$J$102,4))*0.5*(VLOOKUP($CU79-DY$103,Männer!$AZ$9:$BD$102,5)+VLOOKUP($CU79-DY$103+1,Männer!$AZ$9:$BD$102,5)),RundDx)))</f>
        <v/>
      </c>
      <c r="DZ79" s="25" t="str">
        <f>IF($CU79&gt;=RAF,"",IF($CU79-DZ$103&lt;BeginnAlter,"",ROUND(v^($CU79+FaktorAlter)*$L79*$D79*0.5*(VLOOKUP($CU79-DZ$103,Männer!$G$9:$J$102,4)+VLOOKUP($CU79-DZ$103+1,Männer!$G$9:$J$102,4))*0.5*(VLOOKUP($CU79-DZ$103,Männer!$AZ$9:$BD$102,5)+VLOOKUP($CU79-DZ$103+1,Männer!$AZ$9:$BD$102,5)),RundDx)))</f>
        <v/>
      </c>
      <c r="EA79" s="43" t="str">
        <f>IF($CU79&gt;=RAF,"",IF($CU79-EA$103&lt;BeginnAlter,"",ROUND((SUM(CV$56:CV79)+SUM(FN$9:FN$56))/VLOOKUP($CU79,$AH$9:$AI$102,2)/VLOOKUP($CU79-EA$103,Männer!$G$9:$J$102,4),Rundäx)))</f>
        <v/>
      </c>
      <c r="EB79" s="43" t="str">
        <f>IF($CU79&gt;=RAF,"",IF($CU79-EB$103&lt;BeginnAlter,"",ROUND((SUM(CW$56:CW79)+SUM(FO$9:FO$56))/VLOOKUP($CU79,$AH$9:$AI$102,2)/VLOOKUP($CU79-EB$103,Männer!$G$9:$J$102,4),Rundäx)))</f>
        <v/>
      </c>
      <c r="EC79" s="43" t="str">
        <f>IF($CU79&gt;=RAF,"",IF($CU79-EC$103&lt;BeginnAlter,"",ROUND((SUM(CX$56:CX79)+SUM(FP$9:FP$56))/VLOOKUP($CU79,$AH$9:$AI$102,2)/VLOOKUP($CU79-EC$103,Männer!$G$9:$J$102,4),Rundäx)))</f>
        <v/>
      </c>
      <c r="ED79" s="43" t="str">
        <f>IF($CU79&gt;=RAF,"",IF($CU79-ED$103&lt;BeginnAlter,"",ROUND((SUM(CY$56:CY79)+SUM(FQ$9:FQ$56))/VLOOKUP($CU79,$AH$9:$AI$102,2)/VLOOKUP($CU79-ED$103,Männer!$G$9:$J$102,4),Rundäx)))</f>
        <v/>
      </c>
      <c r="EE79" s="43" t="str">
        <f>IF($CU79&gt;=RAF,"",IF($CU79-EE$103&lt;BeginnAlter,"",ROUND((SUM(CZ$56:CZ79)+SUM(FR$9:FR$56))/VLOOKUP($CU79,$AH$9:$AI$102,2)/VLOOKUP($CU79-EE$103,Männer!$G$9:$J$102,4),Rundäx)))</f>
        <v/>
      </c>
      <c r="EF79" s="43" t="str">
        <f>IF($CU79&gt;=RAF,"",IF($CU79-EF$103&lt;BeginnAlter,"",ROUND((SUM(DA$56:DA79)+SUM(FS$9:FS$56))/VLOOKUP($CU79,$AH$9:$AI$102,2)/VLOOKUP($CU79-EF$103,Männer!$G$9:$J$102,4),Rundäx)))</f>
        <v/>
      </c>
      <c r="EG79" s="43" t="str">
        <f>IF($CU79&gt;=RAF,"",IF($CU79-EG$103&lt;BeginnAlter,"",ROUND((SUM(DB$56:DB79)+SUM(FT$9:FT$56))/VLOOKUP($CU79,$AH$9:$AI$102,2)/VLOOKUP($CU79-EG$103,Männer!$G$9:$J$102,4),Rundäx)))</f>
        <v/>
      </c>
      <c r="EH79" s="43" t="str">
        <f>IF($CU79&gt;=RAF,"",IF($CU79-EH$103&lt;BeginnAlter,"",ROUND((SUM(DC$56:DC79)+SUM(FU$9:FU$56))/VLOOKUP($CU79,$AH$9:$AI$102,2)/VLOOKUP($CU79-EH$103,Männer!$G$9:$J$102,4),Rundäx)))</f>
        <v/>
      </c>
      <c r="EI79" s="89"/>
      <c r="EJ79" s="35">
        <f t="shared" si="138"/>
        <v>87</v>
      </c>
      <c r="EK79" s="43" t="str">
        <f>IF($CU79&gt;=RAF,"",IF($CU79-EK$103&lt;BeginnAlter,"",ROUND((SUM(DD$56:DD79)+SUM(FV$9:FV$56))/VLOOKUP($CU79,$AH$9:$AI$102,2)/VLOOKUP($CU79-EK$103,Männer!$G$9:$J$102,4),Rundäx)))</f>
        <v/>
      </c>
      <c r="EL79" s="43" t="str">
        <f>IF($CU79&gt;=RAF,"",IF($CU79-EL$103&lt;BeginnAlter,"",ROUND((SUM(DE$56:DE79)+SUM(FW$9:FW$56))/VLOOKUP($CU79,$AH$9:$AI$102,2)/VLOOKUP($CU79-EL$103,Männer!$G$9:$J$102,4),Rundäx)))</f>
        <v/>
      </c>
      <c r="EM79" s="43" t="str">
        <f>IF($CU79&gt;=RAF,"",IF($CU79-EM$103&lt;BeginnAlter,"",ROUND((SUM(DF$56:DF79)+SUM(FX$9:FX$56))/VLOOKUP($CU79,$AH$9:$AI$102,2)/VLOOKUP($CU79-EM$103,Männer!$G$9:$J$102,4),Rundäx)))</f>
        <v/>
      </c>
      <c r="EN79" s="43" t="str">
        <f>IF($CU79&gt;=RAF,"",IF($CU79-EN$103&lt;BeginnAlter,"",ROUND((SUM(DG$56:DG79)+SUM(FY$9:FY$56))/VLOOKUP($CU79,$AH$9:$AI$102,2)/VLOOKUP($CU79-EN$103,Männer!$G$9:$J$102,4),Rundäx)))</f>
        <v/>
      </c>
      <c r="EO79" s="43" t="str">
        <f>IF($CU79&gt;=RAF,"",IF($CU79-EO$103&lt;BeginnAlter,"",ROUND((SUM(DH$56:DH79)+SUM(FZ$9:FZ$56))/VLOOKUP($CU79,$AH$9:$AI$102,2)/VLOOKUP($CU79-EO$103,Männer!$G$9:$J$102,4),Rundäx)))</f>
        <v/>
      </c>
      <c r="EP79" s="43" t="str">
        <f>IF($CU79&gt;=RAF,"",IF($CU79-EP$103&lt;BeginnAlter,"",ROUND((SUM(DI$56:DI79)+SUM(GA$9:GA$56))/VLOOKUP($CU79,$AH$9:$AI$102,2)/VLOOKUP($CU79-EP$103,Männer!$G$9:$J$102,4),Rundäx)))</f>
        <v/>
      </c>
      <c r="EQ79" s="43" t="str">
        <f>IF($CU79&gt;=RAF,"",IF($CU79-EQ$103&lt;BeginnAlter,"",ROUND((SUM(DJ$56:DJ79)+SUM(GB$9:GB$56))/VLOOKUP($CU79,$AH$9:$AI$102,2)/VLOOKUP($CU79-EQ$103,Männer!$G$9:$J$102,4),Rundäx)))</f>
        <v/>
      </c>
      <c r="ER79" s="43" t="str">
        <f>IF($CU79&gt;=RAF,"",IF($CU79-ER$103&lt;BeginnAlter,"",ROUND((SUM(DK$56:DK79)+SUM(GC$9:GC$56))/VLOOKUP($CU79,$AH$9:$AI$102,2)/VLOOKUP($CU79-ER$103,Männer!$G$9:$J$102,4),Rundäx)))</f>
        <v/>
      </c>
      <c r="ES79" s="89"/>
      <c r="ET79" s="35">
        <f t="shared" si="139"/>
        <v>87</v>
      </c>
      <c r="EU79" s="43" t="str">
        <f>IF($CU79&gt;=RAF,"",IF($CU79-EU$103&lt;BeginnAlter,"",ROUND((SUM(DL$56:DL79)+SUM(GD$9:GD$56))/VLOOKUP($CU79,$AH$9:$AI$102,2)/VLOOKUP($CU79-EU$103,Männer!$G$9:$J$102,4),Rundäx)))</f>
        <v/>
      </c>
      <c r="EV79" s="43" t="str">
        <f>IF($CU79&gt;=RAF,"",IF($CU79-EV$103&lt;BeginnAlter,"",ROUND((SUM(DM$56:DM79)+SUM(GE$9:GE$56))/VLOOKUP($CU79,$AH$9:$AI$102,2)/VLOOKUP($CU79-EV$103,Männer!$G$9:$J$102,4),Rundäx)))</f>
        <v/>
      </c>
      <c r="EW79" s="43" t="str">
        <f>IF($CU79&gt;=RAF,"",IF($CU79-EW$103&lt;BeginnAlter,"",ROUND((SUM(DN$56:DN79)+SUM(GF$9:GF$56))/VLOOKUP($CU79,$AH$9:$AI$102,2)/VLOOKUP($CU79-EW$103,Männer!$G$9:$J$102,4),Rundäx)))</f>
        <v/>
      </c>
      <c r="EX79" s="43" t="str">
        <f>IF($CU79&gt;=RAF,"",IF($CU79-EX$103&lt;BeginnAlter,"",ROUND((SUM(DO$56:DO79)+SUM(GG$9:GG$56))/VLOOKUP($CU79,$AH$9:$AI$102,2)/VLOOKUP($CU79-EX$103,Männer!$G$9:$J$102,4),Rundäx)))</f>
        <v/>
      </c>
      <c r="EY79" s="43" t="str">
        <f>IF($CU79&gt;=RAF,"",IF($CU79-EY$103&lt;BeginnAlter,"",ROUND((SUM(DP$56:DP79)+SUM(GH$9:GH$56))/VLOOKUP($CU79,$AH$9:$AI$102,2)/VLOOKUP($CU79-EY$103,Männer!$G$9:$J$102,4),Rundäx)))</f>
        <v/>
      </c>
      <c r="EZ79" s="43" t="str">
        <f>IF($CU79&gt;=RAF,"",IF($CU79-EZ$103&lt;BeginnAlter,"",ROUND((SUM(DQ$56:DQ79)+SUM(GI$9:GI$56))/VLOOKUP($CU79,$AH$9:$AI$102,2)/VLOOKUP($CU79-EZ$103,Männer!$G$9:$J$102,4),Rundäx)))</f>
        <v/>
      </c>
      <c r="FA79" s="43" t="str">
        <f>IF($CU79&gt;=RAF,"",IF($CU79-FA$103&lt;BeginnAlter,"",ROUND((SUM(DR$56:DR79)+SUM(GJ$9:GJ$56))/VLOOKUP($CU79,$AH$9:$AI$102,2)/VLOOKUP($CU79-FA$103,Männer!$G$9:$J$102,4),Rundäx)))</f>
        <v/>
      </c>
      <c r="FB79" s="43" t="str">
        <f>IF($CU79&gt;=RAF,"",IF($CU79-FB$103&lt;BeginnAlter,"",ROUND((SUM(DS$56:DS79)+SUM(GK$9:GK$56))/VLOOKUP($CU79,$AH$9:$AI$102,2)/VLOOKUP($CU79-FB$103,Männer!$G$9:$J$102,4),Rundäx)))</f>
        <v/>
      </c>
      <c r="FC79" s="89"/>
      <c r="FD79" s="35">
        <f t="shared" si="140"/>
        <v>87</v>
      </c>
      <c r="FE79" s="43" t="str">
        <f>IF($CU79&gt;=RAF,"",IF($CU79-FE$103&lt;BeginnAlter,"",ROUND((SUM(DT$56:DT79)+SUM(GL$9:GL$56))/VLOOKUP($CU79,$AH$9:$AI$102,2)/VLOOKUP($CU79-FE$103,Männer!$G$9:$J$102,4),Rundäx)))</f>
        <v/>
      </c>
      <c r="FF79" s="43" t="str">
        <f>IF($CU79&gt;=RAF,"",IF($CU79-FF$103&lt;BeginnAlter,"",ROUND((SUM(DU$56:DU79)+SUM(GM$9:GM$56))/VLOOKUP($CU79,$AH$9:$AI$102,2)/VLOOKUP($CU79-FF$103,Männer!$G$9:$J$102,4),Rundäx)))</f>
        <v/>
      </c>
      <c r="FG79" s="43" t="str">
        <f>IF($CU79&gt;=RAF,"",IF($CU79-FG$103&lt;BeginnAlter,"",ROUND((SUM(DV$56:DV79)+SUM(GN$9:GN$56))/VLOOKUP($CU79,$AH$9:$AI$102,2)/VLOOKUP($CU79-FG$103,Männer!$G$9:$J$102,4),Rundäx)))</f>
        <v/>
      </c>
      <c r="FH79" s="43" t="str">
        <f>IF($CU79&gt;=RAF,"",IF($CU79-FH$103&lt;BeginnAlter,"",ROUND((SUM(DW$56:DW79)+SUM(GO$9:GO$56))/VLOOKUP($CU79,$AH$9:$AI$102,2)/VLOOKUP($CU79-FH$103,Männer!$G$9:$J$102,4),Rundäx)))</f>
        <v/>
      </c>
      <c r="FI79" s="43" t="str">
        <f>IF($CU79&gt;=RAF,"",IF($CU79-FI$103&lt;BeginnAlter,"",ROUND((SUM(DX$56:DX79)+SUM(GP$9:GP$56))/VLOOKUP($CU79,$AH$9:$AI$102,2)/VLOOKUP($CU79-FI$103,Männer!$G$9:$J$102,4),Rundäx)))</f>
        <v/>
      </c>
      <c r="FJ79" s="43" t="str">
        <f>IF($CU79&gt;=RAF,"",IF($CU79-FJ$103&lt;BeginnAlter,"",ROUND((SUM(DY$56:DY79)+SUM(GQ$9:GQ$56))/VLOOKUP($CU79,$AH$9:$AI$102,2)/VLOOKUP($CU79-FJ$103,Männer!$G$9:$J$102,4),Rundäx)))</f>
        <v/>
      </c>
      <c r="FK79" s="43" t="str">
        <f>IF($CU79&gt;=RAF,"",IF($CU79-FK$103&lt;BeginnAlter,"",ROUND((SUM(DZ$56:DZ79)+SUM(GR$9:GR$56))/VLOOKUP($CU79,$AH$9:$AI$102,2)/VLOOKUP($CU79-FK$103,Männer!$G$9:$J$102,4),Rundäx)))</f>
        <v/>
      </c>
      <c r="FL79" s="89"/>
      <c r="FM79" s="35">
        <f t="shared" si="141"/>
        <v>134</v>
      </c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4"/>
      <c r="GT79" s="24"/>
      <c r="GU79" s="24" t="str">
        <f>IF(FM79&gt;=RAF," ",#REF!/$AI79/Frauen!$J67)</f>
        <v xml:space="preserve"> </v>
      </c>
      <c r="GV79" s="24" t="str">
        <f>IF(FM79&gt;=RAF," ",#REF!/$AI79/Frauen!$J70)</f>
        <v xml:space="preserve"> </v>
      </c>
      <c r="GW79" s="24" t="str">
        <f>IF(FM79&gt;=RAF," ",#REF!/$AI79/Frauen!$J73)</f>
        <v xml:space="preserve"> </v>
      </c>
      <c r="GX79" s="24" t="str">
        <f>IF(FM79&gt;=RAF," ",#REF!/$AI79/Frauen!$J76)</f>
        <v xml:space="preserve"> </v>
      </c>
      <c r="GY79" s="24" t="str">
        <f>IF(FM79&gt;=RAF," ",#REF!/$AI79/Frauen!$J79)</f>
        <v xml:space="preserve"> </v>
      </c>
      <c r="GZ79" s="24" t="str">
        <f>IF(FM79&gt;=RAF," ",#REF!/$AI79/Frauen!$J82)</f>
        <v xml:space="preserve"> </v>
      </c>
      <c r="HA79" s="89"/>
      <c r="HB79" s="35">
        <f t="shared" si="142"/>
        <v>134</v>
      </c>
      <c r="HC79" s="24"/>
      <c r="HD79" s="24"/>
      <c r="HE79" s="24"/>
      <c r="HF79" s="24"/>
      <c r="HG79" s="24"/>
      <c r="HH79" s="24"/>
      <c r="HI79" s="24"/>
      <c r="HJ79" s="24"/>
      <c r="HK79" s="89"/>
      <c r="HL79" s="35">
        <f t="shared" si="143"/>
        <v>134</v>
      </c>
      <c r="HM79" s="24"/>
      <c r="HN79" s="24"/>
      <c r="HO79" s="24"/>
      <c r="HP79" s="24"/>
      <c r="HQ79" s="24"/>
      <c r="HR79" s="24"/>
      <c r="HS79" s="24"/>
      <c r="HT79" s="24"/>
      <c r="HU79" s="89"/>
      <c r="HV79" s="35">
        <f t="shared" si="144"/>
        <v>134</v>
      </c>
      <c r="HW79" s="24"/>
      <c r="HX79" s="24"/>
      <c r="HY79" s="24"/>
      <c r="HZ79" s="24"/>
      <c r="IA79" s="24"/>
      <c r="IB79" s="24"/>
      <c r="IC79" s="24"/>
      <c r="ID79" s="89"/>
      <c r="IE79" s="9">
        <f t="shared" si="145"/>
        <v>87</v>
      </c>
      <c r="IF79" s="11" t="str">
        <f t="shared" si="101"/>
        <v/>
      </c>
      <c r="IG79" s="11" t="str">
        <f>IF($IE79&lt;RAF,IF(S80&lt;=RAK,ROUND(SUM(IF79:INDEX(Daky,RAF-BeginnAlter))+INDEX(Day,RAF-BeginnAlter+1)*INDEX(äky,1),RundDx),0),"")</f>
        <v/>
      </c>
      <c r="IH79" s="11" t="str">
        <f>IF($IE79&lt;RAF,IF(S80&lt;=RAK,ROUND(SUM(IG79:INDEX(Naky,RAF-BeginnAlter))+INDEX(Day,RAF-BeginnAlter+1)*INDEX(äky,1),RundDx),0),"")</f>
        <v/>
      </c>
      <c r="II79" s="10" t="str">
        <f t="shared" si="102"/>
        <v/>
      </c>
      <c r="IJ79" s="11" t="str">
        <f t="shared" si="103"/>
        <v/>
      </c>
      <c r="IK79" s="11" t="str">
        <f>IF($IE79&lt;RAF,IF(S80&lt;=RAK,SUM(IJ79:INDEX(Diky,RAF-BeginnAlter))+INDEX(Diy,RAF-BeginnAlter+1)*INDEX(äky,1),0),"")</f>
        <v/>
      </c>
      <c r="IL79" s="10" t="str">
        <f t="shared" si="104"/>
        <v/>
      </c>
      <c r="IM79" s="89"/>
      <c r="IN79" s="9">
        <f t="shared" si="105"/>
        <v>134</v>
      </c>
      <c r="IO79" s="11"/>
      <c r="IP79" s="11"/>
      <c r="IQ79" s="10"/>
      <c r="IR79" s="86"/>
    </row>
    <row r="80" spans="1:252" ht="15.75" customHeight="1" x14ac:dyDescent="0.25">
      <c r="A80" s="9">
        <f t="shared" si="125"/>
        <v>88</v>
      </c>
      <c r="B80" s="93"/>
      <c r="C80" s="93"/>
      <c r="D80" s="93"/>
      <c r="E80" s="93">
        <v>0.12216524952525408</v>
      </c>
      <c r="F80" s="89"/>
      <c r="G80" s="9">
        <f t="shared" si="126"/>
        <v>88</v>
      </c>
      <c r="H80" s="11" t="str">
        <f t="shared" si="106"/>
        <v/>
      </c>
      <c r="I80" s="25" t="str">
        <f t="shared" si="107"/>
        <v/>
      </c>
      <c r="J80" s="25">
        <f t="shared" si="108"/>
        <v>38124</v>
      </c>
      <c r="K80" s="30">
        <f>IF(J80&gt;0,ROUND(SUM(J80:J$102)/J80-0.5,Rundex),"")</f>
        <v>4.92</v>
      </c>
      <c r="L80" s="25">
        <f t="shared" si="83"/>
        <v>38124</v>
      </c>
      <c r="M80" s="30">
        <f>IF(L80&gt;0,ROUND(SUM(L80:L$102)/L80-0.5,Rundex),"")</f>
        <v>4.92</v>
      </c>
      <c r="N80" s="89"/>
      <c r="O80" s="9">
        <f t="shared" si="127"/>
        <v>88</v>
      </c>
      <c r="P80" s="94">
        <v>5.3253992068153164E-3</v>
      </c>
      <c r="Q80" s="95">
        <v>88.206332077965186</v>
      </c>
      <c r="R80" s="94"/>
      <c r="S80" s="95"/>
      <c r="T80" s="28">
        <v>0.10986989988655887</v>
      </c>
      <c r="U80" s="11">
        <f t="shared" si="109"/>
        <v>42450</v>
      </c>
      <c r="V80" s="30">
        <f>IF(U80&gt;0,ROUND(SUM(U80:U$102)/U80-0.5,Rundex),"")</f>
        <v>5.15</v>
      </c>
      <c r="W80" s="89"/>
      <c r="X80" s="9">
        <f t="shared" si="128"/>
        <v>88</v>
      </c>
      <c r="Y80" s="11" t="str">
        <f t="shared" si="110"/>
        <v xml:space="preserve"> </v>
      </c>
      <c r="Z80" s="11" t="str">
        <f>IF($X80&lt;RAF,SUM(Y80:INDEX(Day,RAF-BeginnAlter))," ")</f>
        <v xml:space="preserve"> </v>
      </c>
      <c r="AA80" s="11" t="str">
        <f t="shared" si="81"/>
        <v xml:space="preserve"> </v>
      </c>
      <c r="AB80" s="11" t="str">
        <f>IF($X80&lt;RAF,SUM(AA80:INDEX(Cay,RAF-BeginnAlter))," ")</f>
        <v xml:space="preserve"> </v>
      </c>
      <c r="AC80" s="11" t="str">
        <f t="shared" si="82"/>
        <v xml:space="preserve"> </v>
      </c>
      <c r="AD80" s="11" t="str">
        <f>IF($X80&lt;RAF,SUM(AC80:INDEX(Caiy,RAF-BeginnAlter))," ")</f>
        <v xml:space="preserve"> </v>
      </c>
      <c r="AE80" s="10" t="str">
        <f t="shared" si="111"/>
        <v xml:space="preserve"> </v>
      </c>
      <c r="AF80" s="10" t="str">
        <f t="shared" si="112"/>
        <v xml:space="preserve"> </v>
      </c>
      <c r="AG80" s="89"/>
      <c r="AH80" s="9">
        <f t="shared" si="129"/>
        <v>88</v>
      </c>
      <c r="AI80" s="11" t="str">
        <f t="shared" si="113"/>
        <v xml:space="preserve"> </v>
      </c>
      <c r="AJ80" s="11" t="str">
        <f>IF($AH80&gt;RAF," ",IF($AH80&lt;RAF,SUM(AI80:INDEX(Diy,RAF-BeginnAlter))+INDEX(Ny,RAF-BeginnAlter+1),INDEX(Ny,RAF-BeginnAlter+1)))</f>
        <v xml:space="preserve"> </v>
      </c>
      <c r="AK80" s="11" t="str">
        <f>IF($AH80&lt;RAF,SUM(AI80:INDEX(Diy,RAF-BeginnAlter))," ")</f>
        <v xml:space="preserve"> </v>
      </c>
      <c r="AL80" s="10" t="str">
        <f t="shared" si="114"/>
        <v xml:space="preserve"> </v>
      </c>
      <c r="AM80" s="10" t="str">
        <f t="shared" si="115"/>
        <v xml:space="preserve"> </v>
      </c>
      <c r="AN80" s="10" t="str">
        <f t="shared" si="116"/>
        <v xml:space="preserve"> </v>
      </c>
      <c r="AO80" s="10" t="str">
        <f t="shared" si="117"/>
        <v xml:space="preserve"> </v>
      </c>
      <c r="AP80" s="89"/>
      <c r="AQ80" s="9">
        <f t="shared" si="130"/>
        <v>88</v>
      </c>
      <c r="AR80" s="11">
        <f t="shared" si="118"/>
        <v>5381</v>
      </c>
      <c r="AS80" s="11">
        <f>SUM(AR80:AR$96)</f>
        <v>27139</v>
      </c>
      <c r="AT80" s="25" t="str">
        <f>IF($AQ80&lt;RAF,SUM(AR80:INDEX(Dy,RAF-BeginnAlter))," ")</f>
        <v xml:space="preserve"> </v>
      </c>
      <c r="AU80" s="24">
        <f t="shared" si="119"/>
        <v>5.0430000000000001</v>
      </c>
      <c r="AV80" s="24">
        <f t="shared" si="120"/>
        <v>4.585</v>
      </c>
      <c r="AW80" s="24" t="str">
        <f t="shared" si="121"/>
        <v xml:space="preserve"> </v>
      </c>
      <c r="AX80" s="24" t="str">
        <f t="shared" si="122"/>
        <v xml:space="preserve"> </v>
      </c>
      <c r="AY80" s="89"/>
      <c r="AZ80" s="9">
        <f t="shared" si="131"/>
        <v>88</v>
      </c>
      <c r="BA80" s="11">
        <f t="shared" si="123"/>
        <v>5991</v>
      </c>
      <c r="BB80" s="11">
        <f>SUM(BA80:BA$96)</f>
        <v>31463</v>
      </c>
      <c r="BC80" s="10">
        <f t="shared" si="124"/>
        <v>5.2519999999999998</v>
      </c>
      <c r="BD80" s="10">
        <f t="shared" si="84"/>
        <v>4.7930000000000001</v>
      </c>
      <c r="BE80" s="89"/>
      <c r="BF80" s="9">
        <f t="shared" si="132"/>
        <v>71</v>
      </c>
      <c r="BG80" s="10" t="str">
        <f t="shared" si="85"/>
        <v/>
      </c>
      <c r="BH80" s="10" t="str">
        <f t="shared" si="86"/>
        <v/>
      </c>
      <c r="BI80" s="89"/>
      <c r="BJ80" s="9">
        <f t="shared" si="133"/>
        <v>88</v>
      </c>
      <c r="BK80" s="11" t="str">
        <f t="shared" si="87"/>
        <v xml:space="preserve"> </v>
      </c>
      <c r="BL80" s="11" t="str">
        <f>IF(BJ80&lt;RAF,SUM(BK80:INDEX(Daiy,RAF-BeginnAlter))," ")</f>
        <v xml:space="preserve"> </v>
      </c>
      <c r="BM80" s="11" t="str">
        <f>IF(BJ80&lt;RAF,SUM(BL80:INDEX(Naiy,RAF-BeginnAlter))," ")</f>
        <v xml:space="preserve"> </v>
      </c>
      <c r="BN80" s="10" t="str">
        <f t="shared" si="88"/>
        <v xml:space="preserve"> </v>
      </c>
      <c r="BO80" s="10" t="str">
        <f t="shared" si="89"/>
        <v xml:space="preserve"> </v>
      </c>
      <c r="BP80" s="89"/>
      <c r="BQ80" s="9">
        <f t="shared" si="134"/>
        <v>88</v>
      </c>
      <c r="BR80" s="11" t="str">
        <f t="shared" si="90"/>
        <v xml:space="preserve"> </v>
      </c>
      <c r="BS80" s="11" t="str">
        <f>IF(BQ80&lt;RAF,SUM(BR80:INDEX(Daiys,RAF-BeginnAlter))," ")</f>
        <v xml:space="preserve"> </v>
      </c>
      <c r="BT80" s="11" t="str">
        <f>IF(BQ80&lt;RAF,SUM(BS80:INDEX(Naiys,RAF-BeginnAlter))," ")</f>
        <v xml:space="preserve"> </v>
      </c>
      <c r="BU80" s="10" t="str">
        <f t="shared" si="91"/>
        <v xml:space="preserve"> </v>
      </c>
      <c r="BV80" s="10" t="str">
        <f t="shared" si="92"/>
        <v xml:space="preserve"> </v>
      </c>
      <c r="BW80" s="89"/>
      <c r="BX80" s="9">
        <f t="shared" si="135"/>
        <v>88</v>
      </c>
      <c r="BY80" s="10" t="str">
        <f t="shared" si="93"/>
        <v/>
      </c>
      <c r="BZ80" s="11" t="str">
        <f t="shared" si="94"/>
        <v/>
      </c>
      <c r="CA80" s="11" t="str">
        <f>IF(S81&lt;=RAK,IF($BX80&lt;RAF,SUM(BZ80:INDEX(Dazy,RAF-BeginnAlter)),""),"")</f>
        <v/>
      </c>
      <c r="CB80" s="10" t="str">
        <f t="shared" si="95"/>
        <v/>
      </c>
      <c r="CC80" s="11">
        <f t="shared" si="96"/>
        <v>0</v>
      </c>
      <c r="CD80" s="10">
        <f t="shared" si="97"/>
        <v>0</v>
      </c>
      <c r="CE80" s="10" t="str">
        <f t="shared" si="98"/>
        <v/>
      </c>
      <c r="CF80" s="89"/>
      <c r="CG80" s="9">
        <f t="shared" si="136"/>
        <v>88</v>
      </c>
      <c r="CH80" s="11" t="str">
        <f>IF(CG80&lt;RAF,ROUND(v^($CG80+FaktorAlter)*$H80*($B80*0.5*($P80+$P81)*(VLOOKUP(TRUNC(0.5*($Q80+$Q81),0),Männer!$AZ$9:$BD$95,5)+(0.5*($Q80+$Q81)-TRUNC(0.5*($Q80+$Q81),0))*(VLOOKUP(TRUNC(0.5*($Q80+$Q81)+1,0),Männer!$AZ$9:$BD$95,5)-VLOOKUP(TRUNC(0.5*($Q80+$Q81),0),Männer!$AZ$9:$BD$95,5)))+$C80*0.5*($CN80+$CN81)),RundDx),"")</f>
        <v/>
      </c>
      <c r="CI80" s="11" t="str">
        <f>IF(CG80&lt;RAF,ROUND(SUM(CH80:INDEX(Dawy,RAF-BeginnAlter))+INDEX(Day,RAF-BeginnAlter+1)*INDEX(äwy,1),RundDx),"")</f>
        <v/>
      </c>
      <c r="CJ80" s="11" t="str">
        <f>IF(CG80&lt;RAF,ROUND(SUM(CI80:INDEX(Nawy,RAF-BeginnAlter))+INDEX(Day,RAF-BeginnAlter+1)*INDEX(äwy,1),RundDx),"")</f>
        <v/>
      </c>
      <c r="CK80" s="10" t="str">
        <f t="shared" si="99"/>
        <v/>
      </c>
      <c r="CL80" s="11" t="str">
        <f>IF(CG80&lt;RAF,ROUND(v^($CG80+FaktorAlter)*$L80*$D80*0.5*($P80+$P81)*(VLOOKUP(TRUNC(0.5*($Q80+$Q81),0),Männer!$AZ$9:$BD$95,5)+(0.5*($Q80+$Q81)-TRUNC(0.5*($Q80+$Q81),0))*(VLOOKUP(TRUNC(0.5*($Q80+$Q81)+1,0),Männer!$AZ$9:$BD$95,5)-VLOOKUP(TRUNC(0.5*($Q80+$Q81),0),Männer!$AZ$9:$BD$95,5))),RundDx),"")</f>
        <v/>
      </c>
      <c r="CM80" s="11" t="str">
        <f>IF(CG80&lt;RAF,SUM(CL80:INDEX(Diwy,RAF-BeginnAlter))+INDEX(Diy,RAF-BeginnAlter+1)*INDEX(äwy,1),"")</f>
        <v/>
      </c>
      <c r="CN80" s="10" t="str">
        <f t="shared" si="100"/>
        <v/>
      </c>
      <c r="CO80" s="89"/>
      <c r="CP80" s="9">
        <f t="shared" si="146"/>
        <v>135</v>
      </c>
      <c r="CQ80" s="11"/>
      <c r="CR80" s="11"/>
      <c r="CS80" s="10"/>
      <c r="CT80" s="89"/>
      <c r="CU80" s="35">
        <f t="shared" si="137"/>
        <v>88</v>
      </c>
      <c r="CV80" s="25" t="str">
        <f>IF($CU80&gt;=RAF,"",IF($CU80-CV$103&lt;BeginnAlter,"",ROUND(v^($CU80+FaktorAlter)*$L80*$D80*0.5*(VLOOKUP($CU80-CV$103,Männer!$G$9:$J$102,4)+VLOOKUP($CU80-CV$103+1,Männer!$G$9:$J$102,4))*0.5*(VLOOKUP($CU80-CV$103,Männer!$AZ$9:$BD$102,5)+VLOOKUP($CU80-CV$103+1,Männer!$AZ$9:$BD$102,5)),RundDx)))</f>
        <v/>
      </c>
      <c r="CW80" s="25" t="str">
        <f>IF($CU80&gt;=RAF,"",IF($CU80-CW$103&lt;BeginnAlter,"",ROUND(v^($CU80+FaktorAlter)*$L80*$D80*0.5*(VLOOKUP($CU80-CW$103,Männer!$G$9:$J$102,4)+VLOOKUP($CU80-CW$103+1,Männer!$G$9:$J$102,4))*0.5*(VLOOKUP($CU80-CW$103,Männer!$AZ$9:$BD$102,5)+VLOOKUP($CU80-CW$103+1,Männer!$AZ$9:$BD$102,5)),RundDx)))</f>
        <v/>
      </c>
      <c r="CX80" s="25" t="str">
        <f>IF($CU80&gt;=RAF,"",IF($CU80-CX$103&lt;BeginnAlter,"",ROUND(v^($CU80+FaktorAlter)*$L80*$D80*0.5*(VLOOKUP($CU80-CX$103,Männer!$G$9:$J$102,4)+VLOOKUP($CU80-CX$103+1,Männer!$G$9:$J$102,4))*0.5*(VLOOKUP($CU80-CX$103,Männer!$AZ$9:$BD$102,5)+VLOOKUP($CU80-CX$103+1,Männer!$AZ$9:$BD$102,5)),RundDx)))</f>
        <v/>
      </c>
      <c r="CY80" s="25" t="str">
        <f>IF($CU80&gt;=RAF,"",IF($CU80-CY$103&lt;BeginnAlter,"",ROUND(v^($CU80+FaktorAlter)*$L80*$D80*0.5*(VLOOKUP($CU80-CY$103,Männer!$G$9:$J$102,4)+VLOOKUP($CU80-CY$103+1,Männer!$G$9:$J$102,4))*0.5*(VLOOKUP($CU80-CY$103,Männer!$AZ$9:$BD$102,5)+VLOOKUP($CU80-CY$103+1,Männer!$AZ$9:$BD$102,5)),RundDx)))</f>
        <v/>
      </c>
      <c r="CZ80" s="25" t="str">
        <f>IF($CU80&gt;=RAF,"",IF($CU80-CZ$103&lt;BeginnAlter,"",ROUND(v^($CU80+FaktorAlter)*$L80*$D80*0.5*(VLOOKUP($CU80-CZ$103,Männer!$G$9:$J$102,4)+VLOOKUP($CU80-CZ$103+1,Männer!$G$9:$J$102,4))*0.5*(VLOOKUP($CU80-CZ$103,Männer!$AZ$9:$BD$102,5)+VLOOKUP($CU80-CZ$103+1,Männer!$AZ$9:$BD$102,5)),RundDx)))</f>
        <v/>
      </c>
      <c r="DA80" s="25" t="str">
        <f>IF($CU80&gt;=RAF,"",IF($CU80-DA$103&lt;BeginnAlter,"",ROUND(v^($CU80+FaktorAlter)*$L80*$D80*0.5*(VLOOKUP($CU80-DA$103,Männer!$G$9:$J$102,4)+VLOOKUP($CU80-DA$103+1,Männer!$G$9:$J$102,4))*0.5*(VLOOKUP($CU80-DA$103,Männer!$AZ$9:$BD$102,5)+VLOOKUP($CU80-DA$103+1,Männer!$AZ$9:$BD$102,5)),RundDx)))</f>
        <v/>
      </c>
      <c r="DB80" s="25" t="str">
        <f>IF($CU80&gt;=RAF,"",IF($CU80-DB$103&lt;BeginnAlter,"",ROUND(v^($CU80+FaktorAlter)*$L80*$D80*0.5*(VLOOKUP($CU80-DB$103,Männer!$G$9:$J$102,4)+VLOOKUP($CU80-DB$103+1,Männer!$G$9:$J$102,4))*0.5*(VLOOKUP($CU80-DB$103,Männer!$AZ$9:$BD$102,5)+VLOOKUP($CU80-DB$103+1,Männer!$AZ$9:$BD$102,5)),RundDx)))</f>
        <v/>
      </c>
      <c r="DC80" s="25" t="str">
        <f>IF($CU80&gt;=RAF,"",IF($CU80-DC$103&lt;BeginnAlter,"",ROUND(v^($CU80+FaktorAlter)*$L80*$D80*0.5*(VLOOKUP($CU80-DC$103,Männer!$G$9:$J$102,4)+VLOOKUP($CU80-DC$103+1,Männer!$G$9:$J$102,4))*0.5*(VLOOKUP($CU80-DC$103,Männer!$AZ$9:$BD$102,5)+VLOOKUP($CU80-DC$103+1,Männer!$AZ$9:$BD$102,5)),RundDx)))</f>
        <v/>
      </c>
      <c r="DD80" s="25" t="str">
        <f>IF($CU80&gt;=RAF,"",IF($CU80-DD$103&lt;BeginnAlter,"",ROUND(v^($CU80+FaktorAlter)*$L80*$D80*0.5*(VLOOKUP($CU80-DD$103,Männer!$G$9:$J$102,4)+VLOOKUP($CU80-DD$103+1,Männer!$G$9:$J$102,4))*0.5*(VLOOKUP($CU80-DD$103,Männer!$AZ$9:$BD$102,5)+VLOOKUP($CU80-DD$103+1,Männer!$AZ$9:$BD$102,5)),RundDx)))</f>
        <v/>
      </c>
      <c r="DE80" s="25" t="str">
        <f>IF($CU80&gt;=RAF,"",IF($CU80-DE$103&lt;BeginnAlter,"",ROUND(v^($CU80+FaktorAlter)*$L80*$D80*0.5*(VLOOKUP($CU80-DE$103,Männer!$G$9:$J$102,4)+VLOOKUP($CU80-DE$103+1,Männer!$G$9:$J$102,4))*0.5*(VLOOKUP($CU80-DE$103,Männer!$AZ$9:$BD$102,5)+VLOOKUP($CU80-DE$103+1,Männer!$AZ$9:$BD$102,5)),RundDx)))</f>
        <v/>
      </c>
      <c r="DF80" s="25" t="str">
        <f>IF($CU80&gt;=RAF,"",IF($CU80-DF$103&lt;BeginnAlter,"",ROUND(v^($CU80+FaktorAlter)*$L80*$D80*0.5*(VLOOKUP($CU80-DF$103,Männer!$G$9:$J$102,4)+VLOOKUP($CU80-DF$103+1,Männer!$G$9:$J$102,4))*0.5*(VLOOKUP($CU80-DF$103,Männer!$AZ$9:$BD$102,5)+VLOOKUP($CU80-DF$103+1,Männer!$AZ$9:$BD$102,5)),RundDx)))</f>
        <v/>
      </c>
      <c r="DG80" s="25" t="str">
        <f>IF($CU80&gt;=RAF,"",IF($CU80-DG$103&lt;BeginnAlter,"",ROUND(v^($CU80+FaktorAlter)*$L80*$D80*0.5*(VLOOKUP($CU80-DG$103,Männer!$G$9:$J$102,4)+VLOOKUP($CU80-DG$103+1,Männer!$G$9:$J$102,4))*0.5*(VLOOKUP($CU80-DG$103,Männer!$AZ$9:$BD$102,5)+VLOOKUP($CU80-DG$103+1,Männer!$AZ$9:$BD$102,5)),RundDx)))</f>
        <v/>
      </c>
      <c r="DH80" s="25" t="str">
        <f>IF($CU80&gt;=RAF,"",IF($CU80-DH$103&lt;BeginnAlter,"",ROUND(v^($CU80+FaktorAlter)*$L80*$D80*0.5*(VLOOKUP($CU80-DH$103,Männer!$G$9:$J$102,4)+VLOOKUP($CU80-DH$103+1,Männer!$G$9:$J$102,4))*0.5*(VLOOKUP($CU80-DH$103,Männer!$AZ$9:$BD$102,5)+VLOOKUP($CU80-DH$103+1,Männer!$AZ$9:$BD$102,5)),RundDx)))</f>
        <v/>
      </c>
      <c r="DI80" s="25" t="str">
        <f>IF($CU80&gt;=RAF,"",IF($CU80-DI$103&lt;BeginnAlter,"",ROUND(v^($CU80+FaktorAlter)*$L80*$D80*0.5*(VLOOKUP($CU80-DI$103,Männer!$G$9:$J$102,4)+VLOOKUP($CU80-DI$103+1,Männer!$G$9:$J$102,4))*0.5*(VLOOKUP($CU80-DI$103,Männer!$AZ$9:$BD$102,5)+VLOOKUP($CU80-DI$103+1,Männer!$AZ$9:$BD$102,5)),RundDx)))</f>
        <v/>
      </c>
      <c r="DJ80" s="25" t="str">
        <f>IF($CU80&gt;=RAF,"",IF($CU80-DJ$103&lt;BeginnAlter,"",ROUND(v^($CU80+FaktorAlter)*$L80*$D80*0.5*(VLOOKUP($CU80-DJ$103,Männer!$G$9:$J$102,4)+VLOOKUP($CU80-DJ$103+1,Männer!$G$9:$J$102,4))*0.5*(VLOOKUP($CU80-DJ$103,Männer!$AZ$9:$BD$102,5)+VLOOKUP($CU80-DJ$103+1,Männer!$AZ$9:$BD$102,5)),RundDx)))</f>
        <v/>
      </c>
      <c r="DK80" s="25" t="str">
        <f>IF($CU80&gt;=RAF,"",IF($CU80-DK$103&lt;BeginnAlter,"",ROUND(v^($CU80+FaktorAlter)*$L80*$D80*0.5*(VLOOKUP($CU80-DK$103,Männer!$G$9:$J$102,4)+VLOOKUP($CU80-DK$103+1,Männer!$G$9:$J$102,4))*0.5*(VLOOKUP($CU80-DK$103,Männer!$AZ$9:$BD$102,5)+VLOOKUP($CU80-DK$103+1,Männer!$AZ$9:$BD$102,5)),RundDx)))</f>
        <v/>
      </c>
      <c r="DL80" s="25" t="str">
        <f>IF($CU80&gt;=RAF,"",IF($CU80-DL$103&lt;BeginnAlter,"",ROUND(v^($CU80+FaktorAlter)*$L80*$D80*0.5*(VLOOKUP($CU80-DL$103,Männer!$G$9:$J$102,4)+VLOOKUP($CU80-DL$103+1,Männer!$G$9:$J$102,4))*0.5*(VLOOKUP($CU80-DL$103,Männer!$AZ$9:$BD$102,5)+VLOOKUP($CU80-DL$103+1,Männer!$AZ$9:$BD$102,5)),RundDx)))</f>
        <v/>
      </c>
      <c r="DM80" s="25" t="str">
        <f>IF($CU80&gt;=RAF,"",IF($CU80-DM$103&lt;BeginnAlter,"",ROUND(v^($CU80+FaktorAlter)*$L80*$D80*0.5*(VLOOKUP($CU80-DM$103,Männer!$G$9:$J$102,4)+VLOOKUP($CU80-DM$103+1,Männer!$G$9:$J$102,4))*0.5*(VLOOKUP($CU80-DM$103,Männer!$AZ$9:$BD$102,5)+VLOOKUP($CU80-DM$103+1,Männer!$AZ$9:$BD$102,5)),RundDx)))</f>
        <v/>
      </c>
      <c r="DN80" s="25" t="str">
        <f>IF($CU80&gt;=RAF,"",IF($CU80-DN$103&lt;BeginnAlter,"",ROUND(v^($CU80+FaktorAlter)*$L80*$D80*0.5*(VLOOKUP($CU80-DN$103,Männer!$G$9:$J$102,4)+VLOOKUP($CU80-DN$103+1,Männer!$G$9:$J$102,4))*0.5*(VLOOKUP($CU80-DN$103,Männer!$AZ$9:$BD$102,5)+VLOOKUP($CU80-DN$103+1,Männer!$AZ$9:$BD$102,5)),RundDx)))</f>
        <v/>
      </c>
      <c r="DO80" s="25" t="str">
        <f>IF($CU80&gt;=RAF,"",IF($CU80-DO$103&lt;BeginnAlter,"",ROUND(v^($CU80+FaktorAlter)*$L80*$D80*0.5*(VLOOKUP($CU80-DO$103,Männer!$G$9:$J$102,4)+VLOOKUP($CU80-DO$103+1,Männer!$G$9:$J$102,4))*0.5*(VLOOKUP($CU80-DO$103,Männer!$AZ$9:$BD$102,5)+VLOOKUP($CU80-DO$103+1,Männer!$AZ$9:$BD$102,5)),RundDx)))</f>
        <v/>
      </c>
      <c r="DP80" s="25" t="str">
        <f>IF($CU80&gt;=RAF,"",IF($CU80-DP$103&lt;BeginnAlter,"",ROUND(v^($CU80+FaktorAlter)*$L80*$D80*0.5*(VLOOKUP($CU80-DP$103,Männer!$G$9:$J$102,4)+VLOOKUP($CU80-DP$103+1,Männer!$G$9:$J$102,4))*0.5*(VLOOKUP($CU80-DP$103,Männer!$AZ$9:$BD$102,5)+VLOOKUP($CU80-DP$103+1,Männer!$AZ$9:$BD$102,5)),RundDx)))</f>
        <v/>
      </c>
      <c r="DQ80" s="25" t="str">
        <f>IF($CU80&gt;=RAF,"",IF($CU80-DQ$103&lt;BeginnAlter,"",ROUND(v^($CU80+FaktorAlter)*$L80*$D80*0.5*(VLOOKUP($CU80-DQ$103,Männer!$G$9:$J$102,4)+VLOOKUP($CU80-DQ$103+1,Männer!$G$9:$J$102,4))*0.5*(VLOOKUP($CU80-DQ$103,Männer!$AZ$9:$BD$102,5)+VLOOKUP($CU80-DQ$103+1,Männer!$AZ$9:$BD$102,5)),RundDx)))</f>
        <v/>
      </c>
      <c r="DR80" s="25" t="str">
        <f>IF($CU80&gt;=RAF,"",IF($CU80-DR$103&lt;BeginnAlter,"",ROUND(v^($CU80+FaktorAlter)*$L80*$D80*0.5*(VLOOKUP($CU80-DR$103,Männer!$G$9:$J$102,4)+VLOOKUP($CU80-DR$103+1,Männer!$G$9:$J$102,4))*0.5*(VLOOKUP($CU80-DR$103,Männer!$AZ$9:$BD$102,5)+VLOOKUP($CU80-DR$103+1,Männer!$AZ$9:$BD$102,5)),RundDx)))</f>
        <v/>
      </c>
      <c r="DS80" s="25" t="str">
        <f>IF($CU80&gt;=RAF,"",IF($CU80-DS$103&lt;BeginnAlter,"",ROUND(v^($CU80+FaktorAlter)*$L80*$D80*0.5*(VLOOKUP($CU80-DS$103,Männer!$G$9:$J$102,4)+VLOOKUP($CU80-DS$103+1,Männer!$G$9:$J$102,4))*0.5*(VLOOKUP($CU80-DS$103,Männer!$AZ$9:$BD$102,5)+VLOOKUP($CU80-DS$103+1,Männer!$AZ$9:$BD$102,5)),RundDx)))</f>
        <v/>
      </c>
      <c r="DT80" s="25" t="str">
        <f>IF($CU80&gt;=RAF,"",IF($CU80-DT$103&lt;BeginnAlter,"",ROUND(v^($CU80+FaktorAlter)*$L80*$D80*0.5*(VLOOKUP($CU80-DT$103,Männer!$G$9:$J$102,4)+VLOOKUP($CU80-DT$103+1,Männer!$G$9:$J$102,4))*0.5*(VLOOKUP($CU80-DT$103,Männer!$AZ$9:$BD$102,5)+VLOOKUP($CU80-DT$103+1,Männer!$AZ$9:$BD$102,5)),RundDx)))</f>
        <v/>
      </c>
      <c r="DU80" s="25" t="str">
        <f>IF($CU80&gt;=RAF,"",IF($CU80-DU$103&lt;BeginnAlter,"",ROUND(v^($CU80+FaktorAlter)*$L80*$D80*0.5*(VLOOKUP($CU80-DU$103,Männer!$G$9:$J$102,4)+VLOOKUP($CU80-DU$103+1,Männer!$G$9:$J$102,4))*0.5*(VLOOKUP($CU80-DU$103,Männer!$AZ$9:$BD$102,5)+VLOOKUP($CU80-DU$103+1,Männer!$AZ$9:$BD$102,5)),RundDx)))</f>
        <v/>
      </c>
      <c r="DV80" s="25" t="str">
        <f>IF($CU80&gt;=RAF,"",IF($CU80-DV$103&lt;BeginnAlter,"",ROUND(v^($CU80+FaktorAlter)*$L80*$D80*0.5*(VLOOKUP($CU80-DV$103,Männer!$G$9:$J$102,4)+VLOOKUP($CU80-DV$103+1,Männer!$G$9:$J$102,4))*0.5*(VLOOKUP($CU80-DV$103,Männer!$AZ$9:$BD$102,5)+VLOOKUP($CU80-DV$103+1,Männer!$AZ$9:$BD$102,5)),RundDx)))</f>
        <v/>
      </c>
      <c r="DW80" s="25" t="str">
        <f>IF($CU80&gt;=RAF,"",IF($CU80-DW$103&lt;BeginnAlter,"",ROUND(v^($CU80+FaktorAlter)*$L80*$D80*0.5*(VLOOKUP($CU80-DW$103,Männer!$G$9:$J$102,4)+VLOOKUP($CU80-DW$103+1,Männer!$G$9:$J$102,4))*0.5*(VLOOKUP($CU80-DW$103,Männer!$AZ$9:$BD$102,5)+VLOOKUP($CU80-DW$103+1,Männer!$AZ$9:$BD$102,5)),RundDx)))</f>
        <v/>
      </c>
      <c r="DX80" s="25" t="str">
        <f>IF($CU80&gt;=RAF,"",IF($CU80-DX$103&lt;BeginnAlter,"",ROUND(v^($CU80+FaktorAlter)*$L80*$D80*0.5*(VLOOKUP($CU80-DX$103,Männer!$G$9:$J$102,4)+VLOOKUP($CU80-DX$103+1,Männer!$G$9:$J$102,4))*0.5*(VLOOKUP($CU80-DX$103,Männer!$AZ$9:$BD$102,5)+VLOOKUP($CU80-DX$103+1,Männer!$AZ$9:$BD$102,5)),RundDx)))</f>
        <v/>
      </c>
      <c r="DY80" s="25" t="str">
        <f>IF($CU80&gt;=RAF,"",IF($CU80-DY$103&lt;BeginnAlter,"",ROUND(v^($CU80+FaktorAlter)*$L80*$D80*0.5*(VLOOKUP($CU80-DY$103,Männer!$G$9:$J$102,4)+VLOOKUP($CU80-DY$103+1,Männer!$G$9:$J$102,4))*0.5*(VLOOKUP($CU80-DY$103,Männer!$AZ$9:$BD$102,5)+VLOOKUP($CU80-DY$103+1,Männer!$AZ$9:$BD$102,5)),RundDx)))</f>
        <v/>
      </c>
      <c r="DZ80" s="25" t="str">
        <f>IF($CU80&gt;=RAF,"",IF($CU80-DZ$103&lt;BeginnAlter,"",ROUND(v^($CU80+FaktorAlter)*$L80*$D80*0.5*(VLOOKUP($CU80-DZ$103,Männer!$G$9:$J$102,4)+VLOOKUP($CU80-DZ$103+1,Männer!$G$9:$J$102,4))*0.5*(VLOOKUP($CU80-DZ$103,Männer!$AZ$9:$BD$102,5)+VLOOKUP($CU80-DZ$103+1,Männer!$AZ$9:$BD$102,5)),RundDx)))</f>
        <v/>
      </c>
      <c r="EA80" s="43" t="str">
        <f>IF($CU80&gt;=RAF,"",IF($CU80-EA$103&lt;BeginnAlter,"",ROUND((SUM(CV$56:CV80)+SUM(FN$9:FN$56))/VLOOKUP($CU80,$AH$9:$AI$102,2)/VLOOKUP($CU80-EA$103,Männer!$G$9:$J$102,4),Rundäx)))</f>
        <v/>
      </c>
      <c r="EB80" s="43" t="str">
        <f>IF($CU80&gt;=RAF,"",IF($CU80-EB$103&lt;BeginnAlter,"",ROUND((SUM(CW$56:CW80)+SUM(FO$9:FO$56))/VLOOKUP($CU80,$AH$9:$AI$102,2)/VLOOKUP($CU80-EB$103,Männer!$G$9:$J$102,4),Rundäx)))</f>
        <v/>
      </c>
      <c r="EC80" s="43" t="str">
        <f>IF($CU80&gt;=RAF,"",IF($CU80-EC$103&lt;BeginnAlter,"",ROUND((SUM(CX$56:CX80)+SUM(FP$9:FP$56))/VLOOKUP($CU80,$AH$9:$AI$102,2)/VLOOKUP($CU80-EC$103,Männer!$G$9:$J$102,4),Rundäx)))</f>
        <v/>
      </c>
      <c r="ED80" s="43" t="str">
        <f>IF($CU80&gt;=RAF,"",IF($CU80-ED$103&lt;BeginnAlter,"",ROUND((SUM(CY$56:CY80)+SUM(FQ$9:FQ$56))/VLOOKUP($CU80,$AH$9:$AI$102,2)/VLOOKUP($CU80-ED$103,Männer!$G$9:$J$102,4),Rundäx)))</f>
        <v/>
      </c>
      <c r="EE80" s="43" t="str">
        <f>IF($CU80&gt;=RAF,"",IF($CU80-EE$103&lt;BeginnAlter,"",ROUND((SUM(CZ$56:CZ80)+SUM(FR$9:FR$56))/VLOOKUP($CU80,$AH$9:$AI$102,2)/VLOOKUP($CU80-EE$103,Männer!$G$9:$J$102,4),Rundäx)))</f>
        <v/>
      </c>
      <c r="EF80" s="43" t="str">
        <f>IF($CU80&gt;=RAF,"",IF($CU80-EF$103&lt;BeginnAlter,"",ROUND((SUM(DA$56:DA80)+SUM(FS$9:FS$56))/VLOOKUP($CU80,$AH$9:$AI$102,2)/VLOOKUP($CU80-EF$103,Männer!$G$9:$J$102,4),Rundäx)))</f>
        <v/>
      </c>
      <c r="EG80" s="43" t="str">
        <f>IF($CU80&gt;=RAF,"",IF($CU80-EG$103&lt;BeginnAlter,"",ROUND((SUM(DB$56:DB80)+SUM(FT$9:FT$56))/VLOOKUP($CU80,$AH$9:$AI$102,2)/VLOOKUP($CU80-EG$103,Männer!$G$9:$J$102,4),Rundäx)))</f>
        <v/>
      </c>
      <c r="EH80" s="43" t="str">
        <f>IF($CU80&gt;=RAF,"",IF($CU80-EH$103&lt;BeginnAlter,"",ROUND((SUM(DC$56:DC80)+SUM(FU$9:FU$56))/VLOOKUP($CU80,$AH$9:$AI$102,2)/VLOOKUP($CU80-EH$103,Männer!$G$9:$J$102,4),Rundäx)))</f>
        <v/>
      </c>
      <c r="EI80" s="89"/>
      <c r="EJ80" s="35">
        <f t="shared" si="138"/>
        <v>88</v>
      </c>
      <c r="EK80" s="43" t="str">
        <f>IF($CU80&gt;=RAF,"",IF($CU80-EK$103&lt;BeginnAlter,"",ROUND((SUM(DD$56:DD80)+SUM(FV$9:FV$56))/VLOOKUP($CU80,$AH$9:$AI$102,2)/VLOOKUP($CU80-EK$103,Männer!$G$9:$J$102,4),Rundäx)))</f>
        <v/>
      </c>
      <c r="EL80" s="43" t="str">
        <f>IF($CU80&gt;=RAF,"",IF($CU80-EL$103&lt;BeginnAlter,"",ROUND((SUM(DE$56:DE80)+SUM(FW$9:FW$56))/VLOOKUP($CU80,$AH$9:$AI$102,2)/VLOOKUP($CU80-EL$103,Männer!$G$9:$J$102,4),Rundäx)))</f>
        <v/>
      </c>
      <c r="EM80" s="43" t="str">
        <f>IF($CU80&gt;=RAF,"",IF($CU80-EM$103&lt;BeginnAlter,"",ROUND((SUM(DF$56:DF80)+SUM(FX$9:FX$56))/VLOOKUP($CU80,$AH$9:$AI$102,2)/VLOOKUP($CU80-EM$103,Männer!$G$9:$J$102,4),Rundäx)))</f>
        <v/>
      </c>
      <c r="EN80" s="43" t="str">
        <f>IF($CU80&gt;=RAF,"",IF($CU80-EN$103&lt;BeginnAlter,"",ROUND((SUM(DG$56:DG80)+SUM(FY$9:FY$56))/VLOOKUP($CU80,$AH$9:$AI$102,2)/VLOOKUP($CU80-EN$103,Männer!$G$9:$J$102,4),Rundäx)))</f>
        <v/>
      </c>
      <c r="EO80" s="43" t="str">
        <f>IF($CU80&gt;=RAF,"",IF($CU80-EO$103&lt;BeginnAlter,"",ROUND((SUM(DH$56:DH80)+SUM(FZ$9:FZ$56))/VLOOKUP($CU80,$AH$9:$AI$102,2)/VLOOKUP($CU80-EO$103,Männer!$G$9:$J$102,4),Rundäx)))</f>
        <v/>
      </c>
      <c r="EP80" s="43" t="str">
        <f>IF($CU80&gt;=RAF,"",IF($CU80-EP$103&lt;BeginnAlter,"",ROUND((SUM(DI$56:DI80)+SUM(GA$9:GA$56))/VLOOKUP($CU80,$AH$9:$AI$102,2)/VLOOKUP($CU80-EP$103,Männer!$G$9:$J$102,4),Rundäx)))</f>
        <v/>
      </c>
      <c r="EQ80" s="43" t="str">
        <f>IF($CU80&gt;=RAF,"",IF($CU80-EQ$103&lt;BeginnAlter,"",ROUND((SUM(DJ$56:DJ80)+SUM(GB$9:GB$56))/VLOOKUP($CU80,$AH$9:$AI$102,2)/VLOOKUP($CU80-EQ$103,Männer!$G$9:$J$102,4),Rundäx)))</f>
        <v/>
      </c>
      <c r="ER80" s="43" t="str">
        <f>IF($CU80&gt;=RAF,"",IF($CU80-ER$103&lt;BeginnAlter,"",ROUND((SUM(DK$56:DK80)+SUM(GC$9:GC$56))/VLOOKUP($CU80,$AH$9:$AI$102,2)/VLOOKUP($CU80-ER$103,Männer!$G$9:$J$102,4),Rundäx)))</f>
        <v/>
      </c>
      <c r="ES80" s="89"/>
      <c r="ET80" s="35">
        <f t="shared" si="139"/>
        <v>88</v>
      </c>
      <c r="EU80" s="43" t="str">
        <f>IF($CU80&gt;=RAF,"",IF($CU80-EU$103&lt;BeginnAlter,"",ROUND((SUM(DL$56:DL80)+SUM(GD$9:GD$56))/VLOOKUP($CU80,$AH$9:$AI$102,2)/VLOOKUP($CU80-EU$103,Männer!$G$9:$J$102,4),Rundäx)))</f>
        <v/>
      </c>
      <c r="EV80" s="43" t="str">
        <f>IF($CU80&gt;=RAF,"",IF($CU80-EV$103&lt;BeginnAlter,"",ROUND((SUM(DM$56:DM80)+SUM(GE$9:GE$56))/VLOOKUP($CU80,$AH$9:$AI$102,2)/VLOOKUP($CU80-EV$103,Männer!$G$9:$J$102,4),Rundäx)))</f>
        <v/>
      </c>
      <c r="EW80" s="43" t="str">
        <f>IF($CU80&gt;=RAF,"",IF($CU80-EW$103&lt;BeginnAlter,"",ROUND((SUM(DN$56:DN80)+SUM(GF$9:GF$56))/VLOOKUP($CU80,$AH$9:$AI$102,2)/VLOOKUP($CU80-EW$103,Männer!$G$9:$J$102,4),Rundäx)))</f>
        <v/>
      </c>
      <c r="EX80" s="43" t="str">
        <f>IF($CU80&gt;=RAF,"",IF($CU80-EX$103&lt;BeginnAlter,"",ROUND((SUM(DO$56:DO80)+SUM(GG$9:GG$56))/VLOOKUP($CU80,$AH$9:$AI$102,2)/VLOOKUP($CU80-EX$103,Männer!$G$9:$J$102,4),Rundäx)))</f>
        <v/>
      </c>
      <c r="EY80" s="43" t="str">
        <f>IF($CU80&gt;=RAF,"",IF($CU80-EY$103&lt;BeginnAlter,"",ROUND((SUM(DP$56:DP80)+SUM(GH$9:GH$56))/VLOOKUP($CU80,$AH$9:$AI$102,2)/VLOOKUP($CU80-EY$103,Männer!$G$9:$J$102,4),Rundäx)))</f>
        <v/>
      </c>
      <c r="EZ80" s="43" t="str">
        <f>IF($CU80&gt;=RAF,"",IF($CU80-EZ$103&lt;BeginnAlter,"",ROUND((SUM(DQ$56:DQ80)+SUM(GI$9:GI$56))/VLOOKUP($CU80,$AH$9:$AI$102,2)/VLOOKUP($CU80-EZ$103,Männer!$G$9:$J$102,4),Rundäx)))</f>
        <v/>
      </c>
      <c r="FA80" s="43" t="str">
        <f>IF($CU80&gt;=RAF,"",IF($CU80-FA$103&lt;BeginnAlter,"",ROUND((SUM(DR$56:DR80)+SUM(GJ$9:GJ$56))/VLOOKUP($CU80,$AH$9:$AI$102,2)/VLOOKUP($CU80-FA$103,Männer!$G$9:$J$102,4),Rundäx)))</f>
        <v/>
      </c>
      <c r="FB80" s="43" t="str">
        <f>IF($CU80&gt;=RAF,"",IF($CU80-FB$103&lt;BeginnAlter,"",ROUND((SUM(DS$56:DS80)+SUM(GK$9:GK$56))/VLOOKUP($CU80,$AH$9:$AI$102,2)/VLOOKUP($CU80-FB$103,Männer!$G$9:$J$102,4),Rundäx)))</f>
        <v/>
      </c>
      <c r="FC80" s="89"/>
      <c r="FD80" s="35">
        <f t="shared" si="140"/>
        <v>88</v>
      </c>
      <c r="FE80" s="43" t="str">
        <f>IF($CU80&gt;=RAF,"",IF($CU80-FE$103&lt;BeginnAlter,"",ROUND((SUM(DT$56:DT80)+SUM(GL$9:GL$56))/VLOOKUP($CU80,$AH$9:$AI$102,2)/VLOOKUP($CU80-FE$103,Männer!$G$9:$J$102,4),Rundäx)))</f>
        <v/>
      </c>
      <c r="FF80" s="43" t="str">
        <f>IF($CU80&gt;=RAF,"",IF($CU80-FF$103&lt;BeginnAlter,"",ROUND((SUM(DU$56:DU80)+SUM(GM$9:GM$56))/VLOOKUP($CU80,$AH$9:$AI$102,2)/VLOOKUP($CU80-FF$103,Männer!$G$9:$J$102,4),Rundäx)))</f>
        <v/>
      </c>
      <c r="FG80" s="43" t="str">
        <f>IF($CU80&gt;=RAF,"",IF($CU80-FG$103&lt;BeginnAlter,"",ROUND((SUM(DV$56:DV80)+SUM(GN$9:GN$56))/VLOOKUP($CU80,$AH$9:$AI$102,2)/VLOOKUP($CU80-FG$103,Männer!$G$9:$J$102,4),Rundäx)))</f>
        <v/>
      </c>
      <c r="FH80" s="43" t="str">
        <f>IF($CU80&gt;=RAF,"",IF($CU80-FH$103&lt;BeginnAlter,"",ROUND((SUM(DW$56:DW80)+SUM(GO$9:GO$56))/VLOOKUP($CU80,$AH$9:$AI$102,2)/VLOOKUP($CU80-FH$103,Männer!$G$9:$J$102,4),Rundäx)))</f>
        <v/>
      </c>
      <c r="FI80" s="43" t="str">
        <f>IF($CU80&gt;=RAF,"",IF($CU80-FI$103&lt;BeginnAlter,"",ROUND((SUM(DX$56:DX80)+SUM(GP$9:GP$56))/VLOOKUP($CU80,$AH$9:$AI$102,2)/VLOOKUP($CU80-FI$103,Männer!$G$9:$J$102,4),Rundäx)))</f>
        <v/>
      </c>
      <c r="FJ80" s="43" t="str">
        <f>IF($CU80&gt;=RAF,"",IF($CU80-FJ$103&lt;BeginnAlter,"",ROUND((SUM(DY$56:DY80)+SUM(GQ$9:GQ$56))/VLOOKUP($CU80,$AH$9:$AI$102,2)/VLOOKUP($CU80-FJ$103,Männer!$G$9:$J$102,4),Rundäx)))</f>
        <v/>
      </c>
      <c r="FK80" s="43" t="str">
        <f>IF($CU80&gt;=RAF,"",IF($CU80-FK$103&lt;BeginnAlter,"",ROUND((SUM(DZ$56:DZ80)+SUM(GR$9:GR$56))/VLOOKUP($CU80,$AH$9:$AI$102,2)/VLOOKUP($CU80-FK$103,Männer!$G$9:$J$102,4),Rundäx)))</f>
        <v/>
      </c>
      <c r="FL80" s="89"/>
      <c r="FM80" s="35">
        <f t="shared" si="141"/>
        <v>135</v>
      </c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4"/>
      <c r="GT80" s="24"/>
      <c r="GU80" s="24" t="str">
        <f>IF(FM80&gt;=RAF," ",#REF!/$AI80/Frauen!$J68)</f>
        <v xml:space="preserve"> </v>
      </c>
      <c r="GV80" s="24" t="str">
        <f>IF(FM80&gt;=RAF," ",#REF!/$AI80/Frauen!$J71)</f>
        <v xml:space="preserve"> </v>
      </c>
      <c r="GW80" s="24" t="str">
        <f>IF(FM80&gt;=RAF," ",#REF!/$AI80/Frauen!$J74)</f>
        <v xml:space="preserve"> </v>
      </c>
      <c r="GX80" s="24" t="str">
        <f>IF(FM80&gt;=RAF," ",#REF!/$AI80/Frauen!$J77)</f>
        <v xml:space="preserve"> </v>
      </c>
      <c r="GY80" s="24" t="str">
        <f>IF(FM80&gt;=RAF," ",#REF!/$AI80/Frauen!$J80)</f>
        <v xml:space="preserve"> </v>
      </c>
      <c r="GZ80" s="24" t="str">
        <f>IF(FM80&gt;=RAF," ",#REF!/$AI80/Frauen!$J83)</f>
        <v xml:space="preserve"> </v>
      </c>
      <c r="HA80" s="89"/>
      <c r="HB80" s="35">
        <f t="shared" si="142"/>
        <v>135</v>
      </c>
      <c r="HC80" s="24"/>
      <c r="HD80" s="24"/>
      <c r="HE80" s="24"/>
      <c r="HF80" s="24"/>
      <c r="HG80" s="24"/>
      <c r="HH80" s="24"/>
      <c r="HI80" s="24"/>
      <c r="HJ80" s="24"/>
      <c r="HK80" s="89"/>
      <c r="HL80" s="35">
        <f t="shared" si="143"/>
        <v>135</v>
      </c>
      <c r="HM80" s="24"/>
      <c r="HN80" s="24"/>
      <c r="HO80" s="24"/>
      <c r="HP80" s="24"/>
      <c r="HQ80" s="24"/>
      <c r="HR80" s="24"/>
      <c r="HS80" s="24"/>
      <c r="HT80" s="24"/>
      <c r="HU80" s="89"/>
      <c r="HV80" s="35">
        <f t="shared" si="144"/>
        <v>135</v>
      </c>
      <c r="HW80" s="24"/>
      <c r="HX80" s="24"/>
      <c r="HY80" s="24"/>
      <c r="HZ80" s="24"/>
      <c r="IA80" s="24"/>
      <c r="IB80" s="24"/>
      <c r="IC80" s="24"/>
      <c r="ID80" s="89"/>
      <c r="IE80" s="9">
        <f t="shared" si="145"/>
        <v>88</v>
      </c>
      <c r="IF80" s="11" t="str">
        <f t="shared" si="101"/>
        <v/>
      </c>
      <c r="IG80" s="11" t="str">
        <f>IF($IE80&lt;RAF,IF(S81&lt;=RAK,ROUND(SUM(IF80:INDEX(Daky,RAF-BeginnAlter))+INDEX(Day,RAF-BeginnAlter+1)*INDEX(äky,1),RundDx),0),"")</f>
        <v/>
      </c>
      <c r="IH80" s="11" t="str">
        <f>IF($IE80&lt;RAF,IF(S81&lt;=RAK,ROUND(SUM(IG80:INDEX(Naky,RAF-BeginnAlter))+INDEX(Day,RAF-BeginnAlter+1)*INDEX(äky,1),RundDx),0),"")</f>
        <v/>
      </c>
      <c r="II80" s="10" t="str">
        <f t="shared" si="102"/>
        <v/>
      </c>
      <c r="IJ80" s="11" t="str">
        <f t="shared" si="103"/>
        <v/>
      </c>
      <c r="IK80" s="11" t="str">
        <f>IF($IE80&lt;RAF,IF(S81&lt;=RAK,SUM(IJ80:INDEX(Diky,RAF-BeginnAlter))+INDEX(Diy,RAF-BeginnAlter+1)*INDEX(äky,1),0),"")</f>
        <v/>
      </c>
      <c r="IL80" s="10" t="str">
        <f t="shared" si="104"/>
        <v/>
      </c>
      <c r="IM80" s="89"/>
      <c r="IN80" s="9">
        <f t="shared" si="105"/>
        <v>135</v>
      </c>
      <c r="IO80" s="11"/>
      <c r="IP80" s="11"/>
      <c r="IQ80" s="10"/>
      <c r="IR80" s="86"/>
    </row>
    <row r="81" spans="1:252" ht="15.75" customHeight="1" x14ac:dyDescent="0.25">
      <c r="A81" s="9">
        <f t="shared" si="125"/>
        <v>89</v>
      </c>
      <c r="B81" s="93"/>
      <c r="C81" s="93"/>
      <c r="D81" s="93"/>
      <c r="E81" s="93">
        <v>0.13717820725715896</v>
      </c>
      <c r="F81" s="89"/>
      <c r="G81" s="9">
        <f t="shared" si="126"/>
        <v>89</v>
      </c>
      <c r="H81" s="11" t="str">
        <f t="shared" si="106"/>
        <v/>
      </c>
      <c r="I81" s="25" t="str">
        <f t="shared" si="107"/>
        <v/>
      </c>
      <c r="J81" s="25">
        <f t="shared" si="108"/>
        <v>33467</v>
      </c>
      <c r="K81" s="30">
        <f>IF(J81&gt;0,ROUND(SUM(J81:J$102)/J81-0.5,Rundex),"")</f>
        <v>4.53</v>
      </c>
      <c r="L81" s="25">
        <f t="shared" si="83"/>
        <v>33467</v>
      </c>
      <c r="M81" s="30">
        <f>IF(L81&gt;0,ROUND(SUM(L81:L$102)/L81-0.5,Rundex),"")</f>
        <v>4.53</v>
      </c>
      <c r="N81" s="89"/>
      <c r="O81" s="9">
        <f t="shared" si="127"/>
        <v>89</v>
      </c>
      <c r="P81" s="94">
        <v>5.0853992068153166E-3</v>
      </c>
      <c r="Q81" s="95">
        <v>89.143863158705045</v>
      </c>
      <c r="R81" s="94"/>
      <c r="S81" s="95"/>
      <c r="T81" s="28">
        <v>0.12396611006163832</v>
      </c>
      <c r="U81" s="11">
        <f t="shared" si="109"/>
        <v>37786</v>
      </c>
      <c r="V81" s="30">
        <f>IF(U81&gt;0,ROUND(SUM(U81:U$102)/U81-0.5,Rundex),"")</f>
        <v>4.7300000000000004</v>
      </c>
      <c r="W81" s="89"/>
      <c r="X81" s="9">
        <f t="shared" si="128"/>
        <v>89</v>
      </c>
      <c r="Y81" s="11" t="str">
        <f t="shared" si="110"/>
        <v xml:space="preserve"> </v>
      </c>
      <c r="Z81" s="11" t="str">
        <f>IF($X81&lt;RAF,SUM(Y81:INDEX(Day,RAF-BeginnAlter))," ")</f>
        <v xml:space="preserve"> </v>
      </c>
      <c r="AA81" s="11" t="str">
        <f t="shared" si="81"/>
        <v xml:space="preserve"> </v>
      </c>
      <c r="AB81" s="11" t="str">
        <f>IF($X81&lt;RAF,SUM(AA81:INDEX(Cay,RAF-BeginnAlter))," ")</f>
        <v xml:space="preserve"> </v>
      </c>
      <c r="AC81" s="11" t="str">
        <f t="shared" si="82"/>
        <v xml:space="preserve"> </v>
      </c>
      <c r="AD81" s="11" t="str">
        <f>IF($X81&lt;RAF,SUM(AC81:INDEX(Caiy,RAF-BeginnAlter))," ")</f>
        <v xml:space="preserve"> </v>
      </c>
      <c r="AE81" s="10" t="str">
        <f t="shared" si="111"/>
        <v xml:space="preserve"> </v>
      </c>
      <c r="AF81" s="10" t="str">
        <f t="shared" si="112"/>
        <v xml:space="preserve"> </v>
      </c>
      <c r="AG81" s="89"/>
      <c r="AH81" s="9">
        <f t="shared" si="129"/>
        <v>89</v>
      </c>
      <c r="AI81" s="11" t="str">
        <f t="shared" si="113"/>
        <v xml:space="preserve"> </v>
      </c>
      <c r="AJ81" s="11" t="str">
        <f>IF($AH81&gt;RAF," ",IF($AH81&lt;RAF,SUM(AI81:INDEX(Diy,RAF-BeginnAlter))+INDEX(Ny,RAF-BeginnAlter+1),INDEX(Ny,RAF-BeginnAlter+1)))</f>
        <v xml:space="preserve"> </v>
      </c>
      <c r="AK81" s="11" t="str">
        <f>IF($AH81&lt;RAF,SUM(AI81:INDEX(Diy,RAF-BeginnAlter))," ")</f>
        <v xml:space="preserve"> </v>
      </c>
      <c r="AL81" s="10" t="str">
        <f t="shared" si="114"/>
        <v xml:space="preserve"> </v>
      </c>
      <c r="AM81" s="10" t="str">
        <f t="shared" si="115"/>
        <v xml:space="preserve"> </v>
      </c>
      <c r="AN81" s="10" t="str">
        <f t="shared" si="116"/>
        <v xml:space="preserve"> </v>
      </c>
      <c r="AO81" s="10" t="str">
        <f t="shared" si="117"/>
        <v xml:space="preserve"> </v>
      </c>
      <c r="AP81" s="89"/>
      <c r="AQ81" s="9">
        <f t="shared" si="130"/>
        <v>89</v>
      </c>
      <c r="AR81" s="11">
        <f t="shared" si="118"/>
        <v>4619</v>
      </c>
      <c r="AS81" s="11">
        <f>SUM(AR81:AR$96)</f>
        <v>21758</v>
      </c>
      <c r="AT81" s="25" t="str">
        <f>IF($AQ81&lt;RAF,SUM(AR81:INDEX(Dy,RAF-BeginnAlter))," ")</f>
        <v xml:space="preserve"> </v>
      </c>
      <c r="AU81" s="24">
        <f t="shared" si="119"/>
        <v>4.7110000000000003</v>
      </c>
      <c r="AV81" s="24">
        <f t="shared" si="120"/>
        <v>4.2519999999999998</v>
      </c>
      <c r="AW81" s="24" t="str">
        <f t="shared" si="121"/>
        <v xml:space="preserve"> </v>
      </c>
      <c r="AX81" s="24" t="str">
        <f t="shared" si="122"/>
        <v xml:space="preserve"> </v>
      </c>
      <c r="AY81" s="89"/>
      <c r="AZ81" s="9">
        <f t="shared" si="131"/>
        <v>89</v>
      </c>
      <c r="BA81" s="11">
        <f t="shared" si="123"/>
        <v>5215</v>
      </c>
      <c r="BB81" s="11">
        <f>SUM(BA81:BA$96)</f>
        <v>25472</v>
      </c>
      <c r="BC81" s="10">
        <f t="shared" si="124"/>
        <v>4.8840000000000003</v>
      </c>
      <c r="BD81" s="10">
        <f t="shared" si="84"/>
        <v>4.4260000000000002</v>
      </c>
      <c r="BE81" s="89"/>
      <c r="BF81" s="9">
        <f t="shared" si="132"/>
        <v>72</v>
      </c>
      <c r="BG81" s="10" t="str">
        <f t="shared" si="85"/>
        <v/>
      </c>
      <c r="BH81" s="10" t="str">
        <f t="shared" si="86"/>
        <v/>
      </c>
      <c r="BI81" s="89"/>
      <c r="BJ81" s="9">
        <f t="shared" si="133"/>
        <v>89</v>
      </c>
      <c r="BK81" s="11" t="str">
        <f t="shared" si="87"/>
        <v xml:space="preserve"> </v>
      </c>
      <c r="BL81" s="11" t="str">
        <f>IF(BJ81&lt;RAF,SUM(BK81:INDEX(Daiy,RAF-BeginnAlter))," ")</f>
        <v xml:space="preserve"> </v>
      </c>
      <c r="BM81" s="11" t="str">
        <f>IF(BJ81&lt;RAF,SUM(BL81:INDEX(Naiy,RAF-BeginnAlter))," ")</f>
        <v xml:space="preserve"> </v>
      </c>
      <c r="BN81" s="10" t="str">
        <f t="shared" si="88"/>
        <v xml:space="preserve"> </v>
      </c>
      <c r="BO81" s="10" t="str">
        <f t="shared" si="89"/>
        <v xml:space="preserve"> </v>
      </c>
      <c r="BP81" s="89"/>
      <c r="BQ81" s="9">
        <f t="shared" si="134"/>
        <v>89</v>
      </c>
      <c r="BR81" s="11" t="str">
        <f t="shared" si="90"/>
        <v xml:space="preserve"> </v>
      </c>
      <c r="BS81" s="11" t="str">
        <f>IF(BQ81&lt;RAF,SUM(BR81:INDEX(Daiys,RAF-BeginnAlter))," ")</f>
        <v xml:space="preserve"> </v>
      </c>
      <c r="BT81" s="11" t="str">
        <f>IF(BQ81&lt;RAF,SUM(BS81:INDEX(Naiys,RAF-BeginnAlter))," ")</f>
        <v xml:space="preserve"> </v>
      </c>
      <c r="BU81" s="10" t="str">
        <f t="shared" si="91"/>
        <v xml:space="preserve"> </v>
      </c>
      <c r="BV81" s="10" t="str">
        <f t="shared" si="92"/>
        <v xml:space="preserve"> </v>
      </c>
      <c r="BW81" s="89"/>
      <c r="BX81" s="9">
        <f t="shared" si="135"/>
        <v>89</v>
      </c>
      <c r="BY81" s="10" t="str">
        <f t="shared" si="93"/>
        <v/>
      </c>
      <c r="BZ81" s="11" t="str">
        <f t="shared" si="94"/>
        <v/>
      </c>
      <c r="CA81" s="11" t="str">
        <f>IF(S82&lt;=RAK,IF($BX81&lt;RAF,SUM(BZ81:INDEX(Dazy,RAF-BeginnAlter)),""),"")</f>
        <v/>
      </c>
      <c r="CB81" s="10" t="str">
        <f t="shared" si="95"/>
        <v/>
      </c>
      <c r="CC81" s="11">
        <f t="shared" si="96"/>
        <v>0</v>
      </c>
      <c r="CD81" s="10">
        <f t="shared" si="97"/>
        <v>0</v>
      </c>
      <c r="CE81" s="10" t="str">
        <f t="shared" si="98"/>
        <v/>
      </c>
      <c r="CF81" s="89"/>
      <c r="CG81" s="9">
        <f t="shared" si="136"/>
        <v>89</v>
      </c>
      <c r="CH81" s="11" t="str">
        <f>IF(CG81&lt;RAF,ROUND(v^($CG81+FaktorAlter)*$H81*($B81*0.5*($P81+$P82)*(VLOOKUP(TRUNC(0.5*($Q81+$Q82),0),Männer!$AZ$9:$BD$95,5)+(0.5*($Q81+$Q82)-TRUNC(0.5*($Q81+$Q82),0))*(VLOOKUP(TRUNC(0.5*($Q81+$Q82)+1,0),Männer!$AZ$9:$BD$95,5)-VLOOKUP(TRUNC(0.5*($Q81+$Q82),0),Männer!$AZ$9:$BD$95,5)))+$C81*0.5*($CN81+$CN82)),RundDx),"")</f>
        <v/>
      </c>
      <c r="CI81" s="11" t="str">
        <f>IF(CG81&lt;RAF,ROUND(SUM(CH81:INDEX(Dawy,RAF-BeginnAlter))+INDEX(Day,RAF-BeginnAlter+1)*INDEX(äwy,1),RundDx),"")</f>
        <v/>
      </c>
      <c r="CJ81" s="11" t="str">
        <f>IF(CG81&lt;RAF,ROUND(SUM(CI81:INDEX(Nawy,RAF-BeginnAlter))+INDEX(Day,RAF-BeginnAlter+1)*INDEX(äwy,1),RundDx),"")</f>
        <v/>
      </c>
      <c r="CK81" s="10" t="str">
        <f t="shared" si="99"/>
        <v/>
      </c>
      <c r="CL81" s="11" t="str">
        <f>IF(CG81&lt;RAF,ROUND(v^($CG81+FaktorAlter)*$L81*$D81*0.5*($P81+$P82)*(VLOOKUP(TRUNC(0.5*($Q81+$Q82),0),Männer!$AZ$9:$BD$95,5)+(0.5*($Q81+$Q82)-TRUNC(0.5*($Q81+$Q82),0))*(VLOOKUP(TRUNC(0.5*($Q81+$Q82)+1,0),Männer!$AZ$9:$BD$95,5)-VLOOKUP(TRUNC(0.5*($Q81+$Q82),0),Männer!$AZ$9:$BD$95,5))),RundDx),"")</f>
        <v/>
      </c>
      <c r="CM81" s="11" t="str">
        <f>IF(CG81&lt;RAF,SUM(CL81:INDEX(Diwy,RAF-BeginnAlter))+INDEX(Diy,RAF-BeginnAlter+1)*INDEX(äwy,1),"")</f>
        <v/>
      </c>
      <c r="CN81" s="10" t="str">
        <f t="shared" si="100"/>
        <v/>
      </c>
      <c r="CO81" s="89"/>
      <c r="CP81" s="9">
        <f t="shared" si="146"/>
        <v>136</v>
      </c>
      <c r="CQ81" s="11"/>
      <c r="CR81" s="11"/>
      <c r="CS81" s="10"/>
      <c r="CT81" s="89"/>
      <c r="CU81" s="35">
        <f t="shared" si="137"/>
        <v>89</v>
      </c>
      <c r="CV81" s="25" t="str">
        <f>IF($CU81&gt;=RAF,"",IF($CU81-CV$103&lt;BeginnAlter,"",ROUND(v^($CU81+FaktorAlter)*$L81*$D81*0.5*(VLOOKUP($CU81-CV$103,Männer!$G$9:$J$102,4)+VLOOKUP($CU81-CV$103+1,Männer!$G$9:$J$102,4))*0.5*(VLOOKUP($CU81-CV$103,Männer!$AZ$9:$BD$102,5)+VLOOKUP($CU81-CV$103+1,Männer!$AZ$9:$BD$102,5)),RundDx)))</f>
        <v/>
      </c>
      <c r="CW81" s="25" t="str">
        <f>IF($CU81&gt;=RAF,"",IF($CU81-CW$103&lt;BeginnAlter,"",ROUND(v^($CU81+FaktorAlter)*$L81*$D81*0.5*(VLOOKUP($CU81-CW$103,Männer!$G$9:$J$102,4)+VLOOKUP($CU81-CW$103+1,Männer!$G$9:$J$102,4))*0.5*(VLOOKUP($CU81-CW$103,Männer!$AZ$9:$BD$102,5)+VLOOKUP($CU81-CW$103+1,Männer!$AZ$9:$BD$102,5)),RundDx)))</f>
        <v/>
      </c>
      <c r="CX81" s="25" t="str">
        <f>IF($CU81&gt;=RAF,"",IF($CU81-CX$103&lt;BeginnAlter,"",ROUND(v^($CU81+FaktorAlter)*$L81*$D81*0.5*(VLOOKUP($CU81-CX$103,Männer!$G$9:$J$102,4)+VLOOKUP($CU81-CX$103+1,Männer!$G$9:$J$102,4))*0.5*(VLOOKUP($CU81-CX$103,Männer!$AZ$9:$BD$102,5)+VLOOKUP($CU81-CX$103+1,Männer!$AZ$9:$BD$102,5)),RundDx)))</f>
        <v/>
      </c>
      <c r="CY81" s="25" t="str">
        <f>IF($CU81&gt;=RAF,"",IF($CU81-CY$103&lt;BeginnAlter,"",ROUND(v^($CU81+FaktorAlter)*$L81*$D81*0.5*(VLOOKUP($CU81-CY$103,Männer!$G$9:$J$102,4)+VLOOKUP($CU81-CY$103+1,Männer!$G$9:$J$102,4))*0.5*(VLOOKUP($CU81-CY$103,Männer!$AZ$9:$BD$102,5)+VLOOKUP($CU81-CY$103+1,Männer!$AZ$9:$BD$102,5)),RundDx)))</f>
        <v/>
      </c>
      <c r="CZ81" s="25" t="str">
        <f>IF($CU81&gt;=RAF,"",IF($CU81-CZ$103&lt;BeginnAlter,"",ROUND(v^($CU81+FaktorAlter)*$L81*$D81*0.5*(VLOOKUP($CU81-CZ$103,Männer!$G$9:$J$102,4)+VLOOKUP($CU81-CZ$103+1,Männer!$G$9:$J$102,4))*0.5*(VLOOKUP($CU81-CZ$103,Männer!$AZ$9:$BD$102,5)+VLOOKUP($CU81-CZ$103+1,Männer!$AZ$9:$BD$102,5)),RundDx)))</f>
        <v/>
      </c>
      <c r="DA81" s="25" t="str">
        <f>IF($CU81&gt;=RAF,"",IF($CU81-DA$103&lt;BeginnAlter,"",ROUND(v^($CU81+FaktorAlter)*$L81*$D81*0.5*(VLOOKUP($CU81-DA$103,Männer!$G$9:$J$102,4)+VLOOKUP($CU81-DA$103+1,Männer!$G$9:$J$102,4))*0.5*(VLOOKUP($CU81-DA$103,Männer!$AZ$9:$BD$102,5)+VLOOKUP($CU81-DA$103+1,Männer!$AZ$9:$BD$102,5)),RundDx)))</f>
        <v/>
      </c>
      <c r="DB81" s="25" t="str">
        <f>IF($CU81&gt;=RAF,"",IF($CU81-DB$103&lt;BeginnAlter,"",ROUND(v^($CU81+FaktorAlter)*$L81*$D81*0.5*(VLOOKUP($CU81-DB$103,Männer!$G$9:$J$102,4)+VLOOKUP($CU81-DB$103+1,Männer!$G$9:$J$102,4))*0.5*(VLOOKUP($CU81-DB$103,Männer!$AZ$9:$BD$102,5)+VLOOKUP($CU81-DB$103+1,Männer!$AZ$9:$BD$102,5)),RundDx)))</f>
        <v/>
      </c>
      <c r="DC81" s="25" t="str">
        <f>IF($CU81&gt;=RAF,"",IF($CU81-DC$103&lt;BeginnAlter,"",ROUND(v^($CU81+FaktorAlter)*$L81*$D81*0.5*(VLOOKUP($CU81-DC$103,Männer!$G$9:$J$102,4)+VLOOKUP($CU81-DC$103+1,Männer!$G$9:$J$102,4))*0.5*(VLOOKUP($CU81-DC$103,Männer!$AZ$9:$BD$102,5)+VLOOKUP($CU81-DC$103+1,Männer!$AZ$9:$BD$102,5)),RundDx)))</f>
        <v/>
      </c>
      <c r="DD81" s="25" t="str">
        <f>IF($CU81&gt;=RAF,"",IF($CU81-DD$103&lt;BeginnAlter,"",ROUND(v^($CU81+FaktorAlter)*$L81*$D81*0.5*(VLOOKUP($CU81-DD$103,Männer!$G$9:$J$102,4)+VLOOKUP($CU81-DD$103+1,Männer!$G$9:$J$102,4))*0.5*(VLOOKUP($CU81-DD$103,Männer!$AZ$9:$BD$102,5)+VLOOKUP($CU81-DD$103+1,Männer!$AZ$9:$BD$102,5)),RundDx)))</f>
        <v/>
      </c>
      <c r="DE81" s="25" t="str">
        <f>IF($CU81&gt;=RAF,"",IF($CU81-DE$103&lt;BeginnAlter,"",ROUND(v^($CU81+FaktorAlter)*$L81*$D81*0.5*(VLOOKUP($CU81-DE$103,Männer!$G$9:$J$102,4)+VLOOKUP($CU81-DE$103+1,Männer!$G$9:$J$102,4))*0.5*(VLOOKUP($CU81-DE$103,Männer!$AZ$9:$BD$102,5)+VLOOKUP($CU81-DE$103+1,Männer!$AZ$9:$BD$102,5)),RundDx)))</f>
        <v/>
      </c>
      <c r="DF81" s="25" t="str">
        <f>IF($CU81&gt;=RAF,"",IF($CU81-DF$103&lt;BeginnAlter,"",ROUND(v^($CU81+FaktorAlter)*$L81*$D81*0.5*(VLOOKUP($CU81-DF$103,Männer!$G$9:$J$102,4)+VLOOKUP($CU81-DF$103+1,Männer!$G$9:$J$102,4))*0.5*(VLOOKUP($CU81-DF$103,Männer!$AZ$9:$BD$102,5)+VLOOKUP($CU81-DF$103+1,Männer!$AZ$9:$BD$102,5)),RundDx)))</f>
        <v/>
      </c>
      <c r="DG81" s="25" t="str">
        <f>IF($CU81&gt;=RAF,"",IF($CU81-DG$103&lt;BeginnAlter,"",ROUND(v^($CU81+FaktorAlter)*$L81*$D81*0.5*(VLOOKUP($CU81-DG$103,Männer!$G$9:$J$102,4)+VLOOKUP($CU81-DG$103+1,Männer!$G$9:$J$102,4))*0.5*(VLOOKUP($CU81-DG$103,Männer!$AZ$9:$BD$102,5)+VLOOKUP($CU81-DG$103+1,Männer!$AZ$9:$BD$102,5)),RundDx)))</f>
        <v/>
      </c>
      <c r="DH81" s="25" t="str">
        <f>IF($CU81&gt;=RAF,"",IF($CU81-DH$103&lt;BeginnAlter,"",ROUND(v^($CU81+FaktorAlter)*$L81*$D81*0.5*(VLOOKUP($CU81-DH$103,Männer!$G$9:$J$102,4)+VLOOKUP($CU81-DH$103+1,Männer!$G$9:$J$102,4))*0.5*(VLOOKUP($CU81-DH$103,Männer!$AZ$9:$BD$102,5)+VLOOKUP($CU81-DH$103+1,Männer!$AZ$9:$BD$102,5)),RundDx)))</f>
        <v/>
      </c>
      <c r="DI81" s="25" t="str">
        <f>IF($CU81&gt;=RAF,"",IF($CU81-DI$103&lt;BeginnAlter,"",ROUND(v^($CU81+FaktorAlter)*$L81*$D81*0.5*(VLOOKUP($CU81-DI$103,Männer!$G$9:$J$102,4)+VLOOKUP($CU81-DI$103+1,Männer!$G$9:$J$102,4))*0.5*(VLOOKUP($CU81-DI$103,Männer!$AZ$9:$BD$102,5)+VLOOKUP($CU81-DI$103+1,Männer!$AZ$9:$BD$102,5)),RundDx)))</f>
        <v/>
      </c>
      <c r="DJ81" s="25" t="str">
        <f>IF($CU81&gt;=RAF,"",IF($CU81-DJ$103&lt;BeginnAlter,"",ROUND(v^($CU81+FaktorAlter)*$L81*$D81*0.5*(VLOOKUP($CU81-DJ$103,Männer!$G$9:$J$102,4)+VLOOKUP($CU81-DJ$103+1,Männer!$G$9:$J$102,4))*0.5*(VLOOKUP($CU81-DJ$103,Männer!$AZ$9:$BD$102,5)+VLOOKUP($CU81-DJ$103+1,Männer!$AZ$9:$BD$102,5)),RundDx)))</f>
        <v/>
      </c>
      <c r="DK81" s="25" t="str">
        <f>IF($CU81&gt;=RAF,"",IF($CU81-DK$103&lt;BeginnAlter,"",ROUND(v^($CU81+FaktorAlter)*$L81*$D81*0.5*(VLOOKUP($CU81-DK$103,Männer!$G$9:$J$102,4)+VLOOKUP($CU81-DK$103+1,Männer!$G$9:$J$102,4))*0.5*(VLOOKUP($CU81-DK$103,Männer!$AZ$9:$BD$102,5)+VLOOKUP($CU81-DK$103+1,Männer!$AZ$9:$BD$102,5)),RundDx)))</f>
        <v/>
      </c>
      <c r="DL81" s="25" t="str">
        <f>IF($CU81&gt;=RAF,"",IF($CU81-DL$103&lt;BeginnAlter,"",ROUND(v^($CU81+FaktorAlter)*$L81*$D81*0.5*(VLOOKUP($CU81-DL$103,Männer!$G$9:$J$102,4)+VLOOKUP($CU81-DL$103+1,Männer!$G$9:$J$102,4))*0.5*(VLOOKUP($CU81-DL$103,Männer!$AZ$9:$BD$102,5)+VLOOKUP($CU81-DL$103+1,Männer!$AZ$9:$BD$102,5)),RundDx)))</f>
        <v/>
      </c>
      <c r="DM81" s="25" t="str">
        <f>IF($CU81&gt;=RAF,"",IF($CU81-DM$103&lt;BeginnAlter,"",ROUND(v^($CU81+FaktorAlter)*$L81*$D81*0.5*(VLOOKUP($CU81-DM$103,Männer!$G$9:$J$102,4)+VLOOKUP($CU81-DM$103+1,Männer!$G$9:$J$102,4))*0.5*(VLOOKUP($CU81-DM$103,Männer!$AZ$9:$BD$102,5)+VLOOKUP($CU81-DM$103+1,Männer!$AZ$9:$BD$102,5)),RundDx)))</f>
        <v/>
      </c>
      <c r="DN81" s="25" t="str">
        <f>IF($CU81&gt;=RAF,"",IF($CU81-DN$103&lt;BeginnAlter,"",ROUND(v^($CU81+FaktorAlter)*$L81*$D81*0.5*(VLOOKUP($CU81-DN$103,Männer!$G$9:$J$102,4)+VLOOKUP($CU81-DN$103+1,Männer!$G$9:$J$102,4))*0.5*(VLOOKUP($CU81-DN$103,Männer!$AZ$9:$BD$102,5)+VLOOKUP($CU81-DN$103+1,Männer!$AZ$9:$BD$102,5)),RundDx)))</f>
        <v/>
      </c>
      <c r="DO81" s="25" t="str">
        <f>IF($CU81&gt;=RAF,"",IF($CU81-DO$103&lt;BeginnAlter,"",ROUND(v^($CU81+FaktorAlter)*$L81*$D81*0.5*(VLOOKUP($CU81-DO$103,Männer!$G$9:$J$102,4)+VLOOKUP($CU81-DO$103+1,Männer!$G$9:$J$102,4))*0.5*(VLOOKUP($CU81-DO$103,Männer!$AZ$9:$BD$102,5)+VLOOKUP($CU81-DO$103+1,Männer!$AZ$9:$BD$102,5)),RundDx)))</f>
        <v/>
      </c>
      <c r="DP81" s="25" t="str">
        <f>IF($CU81&gt;=RAF,"",IF($CU81-DP$103&lt;BeginnAlter,"",ROUND(v^($CU81+FaktorAlter)*$L81*$D81*0.5*(VLOOKUP($CU81-DP$103,Männer!$G$9:$J$102,4)+VLOOKUP($CU81-DP$103+1,Männer!$G$9:$J$102,4))*0.5*(VLOOKUP($CU81-DP$103,Männer!$AZ$9:$BD$102,5)+VLOOKUP($CU81-DP$103+1,Männer!$AZ$9:$BD$102,5)),RundDx)))</f>
        <v/>
      </c>
      <c r="DQ81" s="25" t="str">
        <f>IF($CU81&gt;=RAF,"",IF($CU81-DQ$103&lt;BeginnAlter,"",ROUND(v^($CU81+FaktorAlter)*$L81*$D81*0.5*(VLOOKUP($CU81-DQ$103,Männer!$G$9:$J$102,4)+VLOOKUP($CU81-DQ$103+1,Männer!$G$9:$J$102,4))*0.5*(VLOOKUP($CU81-DQ$103,Männer!$AZ$9:$BD$102,5)+VLOOKUP($CU81-DQ$103+1,Männer!$AZ$9:$BD$102,5)),RundDx)))</f>
        <v/>
      </c>
      <c r="DR81" s="25" t="str">
        <f>IF($CU81&gt;=RAF,"",IF($CU81-DR$103&lt;BeginnAlter,"",ROUND(v^($CU81+FaktorAlter)*$L81*$D81*0.5*(VLOOKUP($CU81-DR$103,Männer!$G$9:$J$102,4)+VLOOKUP($CU81-DR$103+1,Männer!$G$9:$J$102,4))*0.5*(VLOOKUP($CU81-DR$103,Männer!$AZ$9:$BD$102,5)+VLOOKUP($CU81-DR$103+1,Männer!$AZ$9:$BD$102,5)),RundDx)))</f>
        <v/>
      </c>
      <c r="DS81" s="25" t="str">
        <f>IF($CU81&gt;=RAF,"",IF($CU81-DS$103&lt;BeginnAlter,"",ROUND(v^($CU81+FaktorAlter)*$L81*$D81*0.5*(VLOOKUP($CU81-DS$103,Männer!$G$9:$J$102,4)+VLOOKUP($CU81-DS$103+1,Männer!$G$9:$J$102,4))*0.5*(VLOOKUP($CU81-DS$103,Männer!$AZ$9:$BD$102,5)+VLOOKUP($CU81-DS$103+1,Männer!$AZ$9:$BD$102,5)),RundDx)))</f>
        <v/>
      </c>
      <c r="DT81" s="25" t="str">
        <f>IF($CU81&gt;=RAF,"",IF($CU81-DT$103&lt;BeginnAlter,"",ROUND(v^($CU81+FaktorAlter)*$L81*$D81*0.5*(VLOOKUP($CU81-DT$103,Männer!$G$9:$J$102,4)+VLOOKUP($CU81-DT$103+1,Männer!$G$9:$J$102,4))*0.5*(VLOOKUP($CU81-DT$103,Männer!$AZ$9:$BD$102,5)+VLOOKUP($CU81-DT$103+1,Männer!$AZ$9:$BD$102,5)),RundDx)))</f>
        <v/>
      </c>
      <c r="DU81" s="25" t="str">
        <f>IF($CU81&gt;=RAF,"",IF($CU81-DU$103&lt;BeginnAlter,"",ROUND(v^($CU81+FaktorAlter)*$L81*$D81*0.5*(VLOOKUP($CU81-DU$103,Männer!$G$9:$J$102,4)+VLOOKUP($CU81-DU$103+1,Männer!$G$9:$J$102,4))*0.5*(VLOOKUP($CU81-DU$103,Männer!$AZ$9:$BD$102,5)+VLOOKUP($CU81-DU$103+1,Männer!$AZ$9:$BD$102,5)),RundDx)))</f>
        <v/>
      </c>
      <c r="DV81" s="25" t="str">
        <f>IF($CU81&gt;=RAF,"",IF($CU81-DV$103&lt;BeginnAlter,"",ROUND(v^($CU81+FaktorAlter)*$L81*$D81*0.5*(VLOOKUP($CU81-DV$103,Männer!$G$9:$J$102,4)+VLOOKUP($CU81-DV$103+1,Männer!$G$9:$J$102,4))*0.5*(VLOOKUP($CU81-DV$103,Männer!$AZ$9:$BD$102,5)+VLOOKUP($CU81-DV$103+1,Männer!$AZ$9:$BD$102,5)),RundDx)))</f>
        <v/>
      </c>
      <c r="DW81" s="25" t="str">
        <f>IF($CU81&gt;=RAF,"",IF($CU81-DW$103&lt;BeginnAlter,"",ROUND(v^($CU81+FaktorAlter)*$L81*$D81*0.5*(VLOOKUP($CU81-DW$103,Männer!$G$9:$J$102,4)+VLOOKUP($CU81-DW$103+1,Männer!$G$9:$J$102,4))*0.5*(VLOOKUP($CU81-DW$103,Männer!$AZ$9:$BD$102,5)+VLOOKUP($CU81-DW$103+1,Männer!$AZ$9:$BD$102,5)),RundDx)))</f>
        <v/>
      </c>
      <c r="DX81" s="25" t="str">
        <f>IF($CU81&gt;=RAF,"",IF($CU81-DX$103&lt;BeginnAlter,"",ROUND(v^($CU81+FaktorAlter)*$L81*$D81*0.5*(VLOOKUP($CU81-DX$103,Männer!$G$9:$J$102,4)+VLOOKUP($CU81-DX$103+1,Männer!$G$9:$J$102,4))*0.5*(VLOOKUP($CU81-DX$103,Männer!$AZ$9:$BD$102,5)+VLOOKUP($CU81-DX$103+1,Männer!$AZ$9:$BD$102,5)),RundDx)))</f>
        <v/>
      </c>
      <c r="DY81" s="25" t="str">
        <f>IF($CU81&gt;=RAF,"",IF($CU81-DY$103&lt;BeginnAlter,"",ROUND(v^($CU81+FaktorAlter)*$L81*$D81*0.5*(VLOOKUP($CU81-DY$103,Männer!$G$9:$J$102,4)+VLOOKUP($CU81-DY$103+1,Männer!$G$9:$J$102,4))*0.5*(VLOOKUP($CU81-DY$103,Männer!$AZ$9:$BD$102,5)+VLOOKUP($CU81-DY$103+1,Männer!$AZ$9:$BD$102,5)),RundDx)))</f>
        <v/>
      </c>
      <c r="DZ81" s="25" t="str">
        <f>IF($CU81&gt;=RAF,"",IF($CU81-DZ$103&lt;BeginnAlter,"",ROUND(v^($CU81+FaktorAlter)*$L81*$D81*0.5*(VLOOKUP($CU81-DZ$103,Männer!$G$9:$J$102,4)+VLOOKUP($CU81-DZ$103+1,Männer!$G$9:$J$102,4))*0.5*(VLOOKUP($CU81-DZ$103,Männer!$AZ$9:$BD$102,5)+VLOOKUP($CU81-DZ$103+1,Männer!$AZ$9:$BD$102,5)),RundDx)))</f>
        <v/>
      </c>
      <c r="EA81" s="43" t="str">
        <f>IF($CU81&gt;=RAF,"",IF($CU81-EA$103&lt;BeginnAlter,"",ROUND((SUM(CV$56:CV81)+SUM(FN$9:FN$56))/VLOOKUP($CU81,$AH$9:$AI$102,2)/VLOOKUP($CU81-EA$103,Männer!$G$9:$J$102,4),Rundäx)))</f>
        <v/>
      </c>
      <c r="EB81" s="43" t="str">
        <f>IF($CU81&gt;=RAF,"",IF($CU81-EB$103&lt;BeginnAlter,"",ROUND((SUM(CW$56:CW81)+SUM(FO$9:FO$56))/VLOOKUP($CU81,$AH$9:$AI$102,2)/VLOOKUP($CU81-EB$103,Männer!$G$9:$J$102,4),Rundäx)))</f>
        <v/>
      </c>
      <c r="EC81" s="43" t="str">
        <f>IF($CU81&gt;=RAF,"",IF($CU81-EC$103&lt;BeginnAlter,"",ROUND((SUM(CX$56:CX81)+SUM(FP$9:FP$56))/VLOOKUP($CU81,$AH$9:$AI$102,2)/VLOOKUP($CU81-EC$103,Männer!$G$9:$J$102,4),Rundäx)))</f>
        <v/>
      </c>
      <c r="ED81" s="43" t="str">
        <f>IF($CU81&gt;=RAF,"",IF($CU81-ED$103&lt;BeginnAlter,"",ROUND((SUM(CY$56:CY81)+SUM(FQ$9:FQ$56))/VLOOKUP($CU81,$AH$9:$AI$102,2)/VLOOKUP($CU81-ED$103,Männer!$G$9:$J$102,4),Rundäx)))</f>
        <v/>
      </c>
      <c r="EE81" s="43" t="str">
        <f>IF($CU81&gt;=RAF,"",IF($CU81-EE$103&lt;BeginnAlter,"",ROUND((SUM(CZ$56:CZ81)+SUM(FR$9:FR$56))/VLOOKUP($CU81,$AH$9:$AI$102,2)/VLOOKUP($CU81-EE$103,Männer!$G$9:$J$102,4),Rundäx)))</f>
        <v/>
      </c>
      <c r="EF81" s="43" t="str">
        <f>IF($CU81&gt;=RAF,"",IF($CU81-EF$103&lt;BeginnAlter,"",ROUND((SUM(DA$56:DA81)+SUM(FS$9:FS$56))/VLOOKUP($CU81,$AH$9:$AI$102,2)/VLOOKUP($CU81-EF$103,Männer!$G$9:$J$102,4),Rundäx)))</f>
        <v/>
      </c>
      <c r="EG81" s="43" t="str">
        <f>IF($CU81&gt;=RAF,"",IF($CU81-EG$103&lt;BeginnAlter,"",ROUND((SUM(DB$56:DB81)+SUM(FT$9:FT$56))/VLOOKUP($CU81,$AH$9:$AI$102,2)/VLOOKUP($CU81-EG$103,Männer!$G$9:$J$102,4),Rundäx)))</f>
        <v/>
      </c>
      <c r="EH81" s="43" t="str">
        <f>IF($CU81&gt;=RAF,"",IF($CU81-EH$103&lt;BeginnAlter,"",ROUND((SUM(DC$56:DC81)+SUM(FU$9:FU$56))/VLOOKUP($CU81,$AH$9:$AI$102,2)/VLOOKUP($CU81-EH$103,Männer!$G$9:$J$102,4),Rundäx)))</f>
        <v/>
      </c>
      <c r="EI81" s="89"/>
      <c r="EJ81" s="35">
        <f t="shared" si="138"/>
        <v>89</v>
      </c>
      <c r="EK81" s="43" t="str">
        <f>IF($CU81&gt;=RAF,"",IF($CU81-EK$103&lt;BeginnAlter,"",ROUND((SUM(DD$56:DD81)+SUM(FV$9:FV$56))/VLOOKUP($CU81,$AH$9:$AI$102,2)/VLOOKUP($CU81-EK$103,Männer!$G$9:$J$102,4),Rundäx)))</f>
        <v/>
      </c>
      <c r="EL81" s="43" t="str">
        <f>IF($CU81&gt;=RAF,"",IF($CU81-EL$103&lt;BeginnAlter,"",ROUND((SUM(DE$56:DE81)+SUM(FW$9:FW$56))/VLOOKUP($CU81,$AH$9:$AI$102,2)/VLOOKUP($CU81-EL$103,Männer!$G$9:$J$102,4),Rundäx)))</f>
        <v/>
      </c>
      <c r="EM81" s="43" t="str">
        <f>IF($CU81&gt;=RAF,"",IF($CU81-EM$103&lt;BeginnAlter,"",ROUND((SUM(DF$56:DF81)+SUM(FX$9:FX$56))/VLOOKUP($CU81,$AH$9:$AI$102,2)/VLOOKUP($CU81-EM$103,Männer!$G$9:$J$102,4),Rundäx)))</f>
        <v/>
      </c>
      <c r="EN81" s="43" t="str">
        <f>IF($CU81&gt;=RAF,"",IF($CU81-EN$103&lt;BeginnAlter,"",ROUND((SUM(DG$56:DG81)+SUM(FY$9:FY$56))/VLOOKUP($CU81,$AH$9:$AI$102,2)/VLOOKUP($CU81-EN$103,Männer!$G$9:$J$102,4),Rundäx)))</f>
        <v/>
      </c>
      <c r="EO81" s="43" t="str">
        <f>IF($CU81&gt;=RAF,"",IF($CU81-EO$103&lt;BeginnAlter,"",ROUND((SUM(DH$56:DH81)+SUM(FZ$9:FZ$56))/VLOOKUP($CU81,$AH$9:$AI$102,2)/VLOOKUP($CU81-EO$103,Männer!$G$9:$J$102,4),Rundäx)))</f>
        <v/>
      </c>
      <c r="EP81" s="43" t="str">
        <f>IF($CU81&gt;=RAF,"",IF($CU81-EP$103&lt;BeginnAlter,"",ROUND((SUM(DI$56:DI81)+SUM(GA$9:GA$56))/VLOOKUP($CU81,$AH$9:$AI$102,2)/VLOOKUP($CU81-EP$103,Männer!$G$9:$J$102,4),Rundäx)))</f>
        <v/>
      </c>
      <c r="EQ81" s="43" t="str">
        <f>IF($CU81&gt;=RAF,"",IF($CU81-EQ$103&lt;BeginnAlter,"",ROUND((SUM(DJ$56:DJ81)+SUM(GB$9:GB$56))/VLOOKUP($CU81,$AH$9:$AI$102,2)/VLOOKUP($CU81-EQ$103,Männer!$G$9:$J$102,4),Rundäx)))</f>
        <v/>
      </c>
      <c r="ER81" s="43" t="str">
        <f>IF($CU81&gt;=RAF,"",IF($CU81-ER$103&lt;BeginnAlter,"",ROUND((SUM(DK$56:DK81)+SUM(GC$9:GC$56))/VLOOKUP($CU81,$AH$9:$AI$102,2)/VLOOKUP($CU81-ER$103,Männer!$G$9:$J$102,4),Rundäx)))</f>
        <v/>
      </c>
      <c r="ES81" s="89"/>
      <c r="ET81" s="35">
        <f t="shared" si="139"/>
        <v>89</v>
      </c>
      <c r="EU81" s="43" t="str">
        <f>IF($CU81&gt;=RAF,"",IF($CU81-EU$103&lt;BeginnAlter,"",ROUND((SUM(DL$56:DL81)+SUM(GD$9:GD$56))/VLOOKUP($CU81,$AH$9:$AI$102,2)/VLOOKUP($CU81-EU$103,Männer!$G$9:$J$102,4),Rundäx)))</f>
        <v/>
      </c>
      <c r="EV81" s="43" t="str">
        <f>IF($CU81&gt;=RAF,"",IF($CU81-EV$103&lt;BeginnAlter,"",ROUND((SUM(DM$56:DM81)+SUM(GE$9:GE$56))/VLOOKUP($CU81,$AH$9:$AI$102,2)/VLOOKUP($CU81-EV$103,Männer!$G$9:$J$102,4),Rundäx)))</f>
        <v/>
      </c>
      <c r="EW81" s="43" t="str">
        <f>IF($CU81&gt;=RAF,"",IF($CU81-EW$103&lt;BeginnAlter,"",ROUND((SUM(DN$56:DN81)+SUM(GF$9:GF$56))/VLOOKUP($CU81,$AH$9:$AI$102,2)/VLOOKUP($CU81-EW$103,Männer!$G$9:$J$102,4),Rundäx)))</f>
        <v/>
      </c>
      <c r="EX81" s="43" t="str">
        <f>IF($CU81&gt;=RAF,"",IF($CU81-EX$103&lt;BeginnAlter,"",ROUND((SUM(DO$56:DO81)+SUM(GG$9:GG$56))/VLOOKUP($CU81,$AH$9:$AI$102,2)/VLOOKUP($CU81-EX$103,Männer!$G$9:$J$102,4),Rundäx)))</f>
        <v/>
      </c>
      <c r="EY81" s="43" t="str">
        <f>IF($CU81&gt;=RAF,"",IF($CU81-EY$103&lt;BeginnAlter,"",ROUND((SUM(DP$56:DP81)+SUM(GH$9:GH$56))/VLOOKUP($CU81,$AH$9:$AI$102,2)/VLOOKUP($CU81-EY$103,Männer!$G$9:$J$102,4),Rundäx)))</f>
        <v/>
      </c>
      <c r="EZ81" s="43" t="str">
        <f>IF($CU81&gt;=RAF,"",IF($CU81-EZ$103&lt;BeginnAlter,"",ROUND((SUM(DQ$56:DQ81)+SUM(GI$9:GI$56))/VLOOKUP($CU81,$AH$9:$AI$102,2)/VLOOKUP($CU81-EZ$103,Männer!$G$9:$J$102,4),Rundäx)))</f>
        <v/>
      </c>
      <c r="FA81" s="43" t="str">
        <f>IF($CU81&gt;=RAF,"",IF($CU81-FA$103&lt;BeginnAlter,"",ROUND((SUM(DR$56:DR81)+SUM(GJ$9:GJ$56))/VLOOKUP($CU81,$AH$9:$AI$102,2)/VLOOKUP($CU81-FA$103,Männer!$G$9:$J$102,4),Rundäx)))</f>
        <v/>
      </c>
      <c r="FB81" s="43" t="str">
        <f>IF($CU81&gt;=RAF,"",IF($CU81-FB$103&lt;BeginnAlter,"",ROUND((SUM(DS$56:DS81)+SUM(GK$9:GK$56))/VLOOKUP($CU81,$AH$9:$AI$102,2)/VLOOKUP($CU81-FB$103,Männer!$G$9:$J$102,4),Rundäx)))</f>
        <v/>
      </c>
      <c r="FC81" s="89"/>
      <c r="FD81" s="35">
        <f t="shared" si="140"/>
        <v>89</v>
      </c>
      <c r="FE81" s="43" t="str">
        <f>IF($CU81&gt;=RAF,"",IF($CU81-FE$103&lt;BeginnAlter,"",ROUND((SUM(DT$56:DT81)+SUM(GL$9:GL$56))/VLOOKUP($CU81,$AH$9:$AI$102,2)/VLOOKUP($CU81-FE$103,Männer!$G$9:$J$102,4),Rundäx)))</f>
        <v/>
      </c>
      <c r="FF81" s="43" t="str">
        <f>IF($CU81&gt;=RAF,"",IF($CU81-FF$103&lt;BeginnAlter,"",ROUND((SUM(DU$56:DU81)+SUM(GM$9:GM$56))/VLOOKUP($CU81,$AH$9:$AI$102,2)/VLOOKUP($CU81-FF$103,Männer!$G$9:$J$102,4),Rundäx)))</f>
        <v/>
      </c>
      <c r="FG81" s="43" t="str">
        <f>IF($CU81&gt;=RAF,"",IF($CU81-FG$103&lt;BeginnAlter,"",ROUND((SUM(DV$56:DV81)+SUM(GN$9:GN$56))/VLOOKUP($CU81,$AH$9:$AI$102,2)/VLOOKUP($CU81-FG$103,Männer!$G$9:$J$102,4),Rundäx)))</f>
        <v/>
      </c>
      <c r="FH81" s="43" t="str">
        <f>IF($CU81&gt;=RAF,"",IF($CU81-FH$103&lt;BeginnAlter,"",ROUND((SUM(DW$56:DW81)+SUM(GO$9:GO$56))/VLOOKUP($CU81,$AH$9:$AI$102,2)/VLOOKUP($CU81-FH$103,Männer!$G$9:$J$102,4),Rundäx)))</f>
        <v/>
      </c>
      <c r="FI81" s="43" t="str">
        <f>IF($CU81&gt;=RAF,"",IF($CU81-FI$103&lt;BeginnAlter,"",ROUND((SUM(DX$56:DX81)+SUM(GP$9:GP$56))/VLOOKUP($CU81,$AH$9:$AI$102,2)/VLOOKUP($CU81-FI$103,Männer!$G$9:$J$102,4),Rundäx)))</f>
        <v/>
      </c>
      <c r="FJ81" s="43" t="str">
        <f>IF($CU81&gt;=RAF,"",IF($CU81-FJ$103&lt;BeginnAlter,"",ROUND((SUM(DY$56:DY81)+SUM(GQ$9:GQ$56))/VLOOKUP($CU81,$AH$9:$AI$102,2)/VLOOKUP($CU81-FJ$103,Männer!$G$9:$J$102,4),Rundäx)))</f>
        <v/>
      </c>
      <c r="FK81" s="43" t="str">
        <f>IF($CU81&gt;=RAF,"",IF($CU81-FK$103&lt;BeginnAlter,"",ROUND((SUM(DZ$56:DZ81)+SUM(GR$9:GR$56))/VLOOKUP($CU81,$AH$9:$AI$102,2)/VLOOKUP($CU81-FK$103,Männer!$G$9:$J$102,4),Rundäx)))</f>
        <v/>
      </c>
      <c r="FL81" s="89"/>
      <c r="FM81" s="35">
        <f t="shared" si="141"/>
        <v>136</v>
      </c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4"/>
      <c r="GT81" s="24"/>
      <c r="GU81" s="24" t="str">
        <f>IF(FM81&gt;=RAF," ",#REF!/$AI81/Frauen!$J69)</f>
        <v xml:space="preserve"> </v>
      </c>
      <c r="GV81" s="24" t="str">
        <f>IF(FM81&gt;=RAF," ",#REF!/$AI81/Frauen!$J72)</f>
        <v xml:space="preserve"> </v>
      </c>
      <c r="GW81" s="24" t="str">
        <f>IF(FM81&gt;=RAF," ",#REF!/$AI81/Frauen!$J75)</f>
        <v xml:space="preserve"> </v>
      </c>
      <c r="GX81" s="24" t="str">
        <f>IF(FM81&gt;=RAF," ",#REF!/$AI81/Frauen!$J78)</f>
        <v xml:space="preserve"> </v>
      </c>
      <c r="GY81" s="24" t="str">
        <f>IF(FM81&gt;=RAF," ",#REF!/$AI81/Frauen!$J81)</f>
        <v xml:space="preserve"> </v>
      </c>
      <c r="GZ81" s="24" t="str">
        <f>IF(FM81&gt;=RAF," ",#REF!/$AI81/Frauen!$J84)</f>
        <v xml:space="preserve"> </v>
      </c>
      <c r="HA81" s="89"/>
      <c r="HB81" s="35">
        <f t="shared" si="142"/>
        <v>136</v>
      </c>
      <c r="HC81" s="24"/>
      <c r="HD81" s="24"/>
      <c r="HE81" s="24"/>
      <c r="HF81" s="24"/>
      <c r="HG81" s="24"/>
      <c r="HH81" s="24"/>
      <c r="HI81" s="24"/>
      <c r="HJ81" s="24"/>
      <c r="HK81" s="89"/>
      <c r="HL81" s="35">
        <f t="shared" si="143"/>
        <v>136</v>
      </c>
      <c r="HM81" s="24"/>
      <c r="HN81" s="24"/>
      <c r="HO81" s="24"/>
      <c r="HP81" s="24"/>
      <c r="HQ81" s="24"/>
      <c r="HR81" s="24"/>
      <c r="HS81" s="24"/>
      <c r="HT81" s="24"/>
      <c r="HU81" s="89"/>
      <c r="HV81" s="35">
        <f t="shared" si="144"/>
        <v>136</v>
      </c>
      <c r="HW81" s="24"/>
      <c r="HX81" s="24"/>
      <c r="HY81" s="24"/>
      <c r="HZ81" s="24"/>
      <c r="IA81" s="24"/>
      <c r="IB81" s="24"/>
      <c r="IC81" s="24"/>
      <c r="ID81" s="89"/>
      <c r="IE81" s="9">
        <f t="shared" si="145"/>
        <v>89</v>
      </c>
      <c r="IF81" s="11" t="str">
        <f t="shared" si="101"/>
        <v/>
      </c>
      <c r="IG81" s="11" t="str">
        <f>IF($IE81&lt;RAF,IF(S82&lt;=RAK,ROUND(SUM(IF81:INDEX(Daky,RAF-BeginnAlter))+INDEX(Day,RAF-BeginnAlter+1)*INDEX(äky,1),RundDx),0),"")</f>
        <v/>
      </c>
      <c r="IH81" s="11" t="str">
        <f>IF($IE81&lt;RAF,IF(S82&lt;=RAK,ROUND(SUM(IG81:INDEX(Naky,RAF-BeginnAlter))+INDEX(Day,RAF-BeginnAlter+1)*INDEX(äky,1),RundDx),0),"")</f>
        <v/>
      </c>
      <c r="II81" s="10" t="str">
        <f t="shared" si="102"/>
        <v/>
      </c>
      <c r="IJ81" s="11" t="str">
        <f t="shared" si="103"/>
        <v/>
      </c>
      <c r="IK81" s="11" t="str">
        <f>IF($IE81&lt;RAF,IF(S82&lt;=RAK,SUM(IJ81:INDEX(Diky,RAF-BeginnAlter))+INDEX(Diy,RAF-BeginnAlter+1)*INDEX(äky,1),0),"")</f>
        <v/>
      </c>
      <c r="IL81" s="10" t="str">
        <f t="shared" si="104"/>
        <v/>
      </c>
      <c r="IM81" s="89"/>
      <c r="IN81" s="9">
        <f t="shared" si="105"/>
        <v>136</v>
      </c>
      <c r="IO81" s="11"/>
      <c r="IP81" s="11"/>
      <c r="IQ81" s="10"/>
      <c r="IR81" s="86"/>
    </row>
    <row r="82" spans="1:252" ht="15.75" customHeight="1" x14ac:dyDescent="0.25">
      <c r="A82" s="9">
        <f t="shared" si="125"/>
        <v>90</v>
      </c>
      <c r="B82" s="93"/>
      <c r="C82" s="93"/>
      <c r="D82" s="93"/>
      <c r="E82" s="93">
        <v>0.15310646875872974</v>
      </c>
      <c r="F82" s="89"/>
      <c r="G82" s="9">
        <f t="shared" si="126"/>
        <v>90</v>
      </c>
      <c r="H82" s="11" t="str">
        <f t="shared" si="106"/>
        <v/>
      </c>
      <c r="I82" s="25" t="str">
        <f t="shared" si="107"/>
        <v/>
      </c>
      <c r="J82" s="25">
        <f t="shared" si="108"/>
        <v>28876</v>
      </c>
      <c r="K82" s="30">
        <f>IF(J82&gt;0,ROUND(SUM(J82:J$102)/J82-0.5,Rundex),"")</f>
        <v>4.17</v>
      </c>
      <c r="L82" s="25">
        <f t="shared" si="83"/>
        <v>28876</v>
      </c>
      <c r="M82" s="30">
        <f>IF(L82&gt;0,ROUND(SUM(L82:L$102)/L82-0.5,Rundex),"")</f>
        <v>4.17</v>
      </c>
      <c r="N82" s="89"/>
      <c r="O82" s="9">
        <f t="shared" si="127"/>
        <v>90</v>
      </c>
      <c r="P82" s="94">
        <v>4.8453992068153168E-3</v>
      </c>
      <c r="Q82" s="95">
        <v>90.081394239444933</v>
      </c>
      <c r="R82" s="94"/>
      <c r="S82" s="95"/>
      <c r="T82" s="28">
        <v>0.13923565009397537</v>
      </c>
      <c r="U82" s="11">
        <f t="shared" si="109"/>
        <v>33102</v>
      </c>
      <c r="V82" s="30">
        <f>IF(U82&gt;0,ROUND(SUM(U82:U$102)/U82-0.5,Rundex),"")</f>
        <v>4.32</v>
      </c>
      <c r="W82" s="89"/>
      <c r="X82" s="9">
        <f t="shared" si="128"/>
        <v>90</v>
      </c>
      <c r="Y82" s="11" t="str">
        <f t="shared" si="110"/>
        <v xml:space="preserve"> </v>
      </c>
      <c r="Z82" s="11" t="str">
        <f>IF($X82&lt;RAF,SUM(Y82:INDEX(Day,RAF-BeginnAlter))," ")</f>
        <v xml:space="preserve"> </v>
      </c>
      <c r="AA82" s="11" t="str">
        <f t="shared" si="81"/>
        <v xml:space="preserve"> </v>
      </c>
      <c r="AB82" s="11" t="str">
        <f>IF($X82&lt;RAF,SUM(AA82:INDEX(Cay,RAF-BeginnAlter))," ")</f>
        <v xml:space="preserve"> </v>
      </c>
      <c r="AC82" s="11" t="str">
        <f t="shared" si="82"/>
        <v xml:space="preserve"> </v>
      </c>
      <c r="AD82" s="11" t="str">
        <f>IF($X82&lt;RAF,SUM(AC82:INDEX(Caiy,RAF-BeginnAlter))," ")</f>
        <v xml:space="preserve"> </v>
      </c>
      <c r="AE82" s="10" t="str">
        <f t="shared" si="111"/>
        <v xml:space="preserve"> </v>
      </c>
      <c r="AF82" s="10" t="str">
        <f t="shared" si="112"/>
        <v xml:space="preserve"> </v>
      </c>
      <c r="AG82" s="89"/>
      <c r="AH82" s="9">
        <f t="shared" si="129"/>
        <v>90</v>
      </c>
      <c r="AI82" s="11" t="str">
        <f t="shared" si="113"/>
        <v xml:space="preserve"> </v>
      </c>
      <c r="AJ82" s="11" t="str">
        <f>IF($AH82&gt;RAF," ",IF($AH82&lt;RAF,SUM(AI82:INDEX(Diy,RAF-BeginnAlter))+INDEX(Ny,RAF-BeginnAlter+1),INDEX(Ny,RAF-BeginnAlter+1)))</f>
        <v xml:space="preserve"> </v>
      </c>
      <c r="AK82" s="11" t="str">
        <f>IF($AH82&lt;RAF,SUM(AI82:INDEX(Diy,RAF-BeginnAlter))," ")</f>
        <v xml:space="preserve"> </v>
      </c>
      <c r="AL82" s="10" t="str">
        <f t="shared" si="114"/>
        <v xml:space="preserve"> </v>
      </c>
      <c r="AM82" s="10" t="str">
        <f t="shared" si="115"/>
        <v xml:space="preserve"> </v>
      </c>
      <c r="AN82" s="10" t="str">
        <f t="shared" si="116"/>
        <v xml:space="preserve"> </v>
      </c>
      <c r="AO82" s="10" t="str">
        <f t="shared" si="117"/>
        <v xml:space="preserve"> </v>
      </c>
      <c r="AP82" s="89"/>
      <c r="AQ82" s="9">
        <f t="shared" si="130"/>
        <v>90</v>
      </c>
      <c r="AR82" s="11">
        <f t="shared" si="118"/>
        <v>3898</v>
      </c>
      <c r="AS82" s="11">
        <f>SUM(AR82:AR$96)</f>
        <v>17139</v>
      </c>
      <c r="AT82" s="25" t="str">
        <f>IF($AQ82&lt;RAF,SUM(AR82:INDEX(Dy,RAF-BeginnAlter))," ")</f>
        <v xml:space="preserve"> </v>
      </c>
      <c r="AU82" s="24">
        <f t="shared" si="119"/>
        <v>4.3970000000000002</v>
      </c>
      <c r="AV82" s="24">
        <f t="shared" si="120"/>
        <v>3.9390000000000001</v>
      </c>
      <c r="AW82" s="24" t="str">
        <f t="shared" si="121"/>
        <v xml:space="preserve"> </v>
      </c>
      <c r="AX82" s="24" t="str">
        <f t="shared" si="122"/>
        <v xml:space="preserve"> </v>
      </c>
      <c r="AY82" s="89"/>
      <c r="AZ82" s="9">
        <f t="shared" si="131"/>
        <v>90</v>
      </c>
      <c r="BA82" s="11">
        <f t="shared" si="123"/>
        <v>4468</v>
      </c>
      <c r="BB82" s="11">
        <f>SUM(BA82:BA$96)</f>
        <v>20257</v>
      </c>
      <c r="BC82" s="10">
        <f t="shared" si="124"/>
        <v>4.5339999999999998</v>
      </c>
      <c r="BD82" s="10">
        <f t="shared" si="84"/>
        <v>4.0750000000000002</v>
      </c>
      <c r="BE82" s="89"/>
      <c r="BF82" s="9">
        <f t="shared" si="132"/>
        <v>73</v>
      </c>
      <c r="BG82" s="10" t="str">
        <f t="shared" si="85"/>
        <v/>
      </c>
      <c r="BH82" s="10" t="str">
        <f t="shared" si="86"/>
        <v/>
      </c>
      <c r="BI82" s="89"/>
      <c r="BJ82" s="9">
        <f t="shared" si="133"/>
        <v>90</v>
      </c>
      <c r="BK82" s="11" t="str">
        <f t="shared" si="87"/>
        <v xml:space="preserve"> </v>
      </c>
      <c r="BL82" s="11" t="str">
        <f>IF(BJ82&lt;RAF,SUM(BK82:INDEX(Daiy,RAF-BeginnAlter))," ")</f>
        <v xml:space="preserve"> </v>
      </c>
      <c r="BM82" s="11" t="str">
        <f>IF(BJ82&lt;RAF,SUM(BL82:INDEX(Naiy,RAF-BeginnAlter))," ")</f>
        <v xml:space="preserve"> </v>
      </c>
      <c r="BN82" s="10" t="str">
        <f t="shared" si="88"/>
        <v xml:space="preserve"> </v>
      </c>
      <c r="BO82" s="10" t="str">
        <f t="shared" si="89"/>
        <v xml:space="preserve"> </v>
      </c>
      <c r="BP82" s="89"/>
      <c r="BQ82" s="9">
        <f t="shared" si="134"/>
        <v>90</v>
      </c>
      <c r="BR82" s="11" t="str">
        <f t="shared" si="90"/>
        <v xml:space="preserve"> </v>
      </c>
      <c r="BS82" s="11" t="str">
        <f>IF(BQ82&lt;RAF,SUM(BR82:INDEX(Daiys,RAF-BeginnAlter))," ")</f>
        <v xml:space="preserve"> </v>
      </c>
      <c r="BT82" s="11" t="str">
        <f>IF(BQ82&lt;RAF,SUM(BS82:INDEX(Naiys,RAF-BeginnAlter))," ")</f>
        <v xml:space="preserve"> </v>
      </c>
      <c r="BU82" s="10" t="str">
        <f t="shared" si="91"/>
        <v xml:space="preserve"> </v>
      </c>
      <c r="BV82" s="10" t="str">
        <f t="shared" si="92"/>
        <v xml:space="preserve"> </v>
      </c>
      <c r="BW82" s="89"/>
      <c r="BX82" s="9">
        <f t="shared" si="135"/>
        <v>90</v>
      </c>
      <c r="BY82" s="10" t="str">
        <f t="shared" si="93"/>
        <v/>
      </c>
      <c r="BZ82" s="11" t="str">
        <f t="shared" si="94"/>
        <v/>
      </c>
      <c r="CA82" s="11" t="str">
        <f>IF(S83&lt;=RAK,IF($BX82&lt;RAF,SUM(BZ82:INDEX(Dazy,RAF-BeginnAlter)),""),"")</f>
        <v/>
      </c>
      <c r="CB82" s="10" t="str">
        <f t="shared" si="95"/>
        <v/>
      </c>
      <c r="CC82" s="11">
        <f t="shared" si="96"/>
        <v>0</v>
      </c>
      <c r="CD82" s="10">
        <f t="shared" si="97"/>
        <v>0</v>
      </c>
      <c r="CE82" s="10" t="str">
        <f t="shared" si="98"/>
        <v/>
      </c>
      <c r="CF82" s="89"/>
      <c r="CG82" s="9">
        <f t="shared" si="136"/>
        <v>90</v>
      </c>
      <c r="CH82" s="11" t="str">
        <f>IF(CG82&lt;RAF,ROUND(v^($CG82+FaktorAlter)*$H82*($B82*0.5*($P82+$P83)*(VLOOKUP(TRUNC(0.5*($Q82+$Q83),0),Männer!$AZ$9:$BD$95,5)+(0.5*($Q82+$Q83)-TRUNC(0.5*($Q82+$Q83),0))*(VLOOKUP(TRUNC(0.5*($Q82+$Q83)+1,0),Männer!$AZ$9:$BD$95,5)-VLOOKUP(TRUNC(0.5*($Q82+$Q83),0),Männer!$AZ$9:$BD$95,5)))+$C82*0.5*($CN82+$CN83)),RundDx),"")</f>
        <v/>
      </c>
      <c r="CI82" s="11" t="str">
        <f>IF(CG82&lt;RAF,ROUND(SUM(CH82:INDEX(Dawy,RAF-BeginnAlter))+INDEX(Day,RAF-BeginnAlter+1)*INDEX(äwy,1),RundDx),"")</f>
        <v/>
      </c>
      <c r="CJ82" s="11" t="str">
        <f>IF(CG82&lt;RAF,ROUND(SUM(CI82:INDEX(Nawy,RAF-BeginnAlter))+INDEX(Day,RAF-BeginnAlter+1)*INDEX(äwy,1),RundDx),"")</f>
        <v/>
      </c>
      <c r="CK82" s="10" t="str">
        <f t="shared" si="99"/>
        <v/>
      </c>
      <c r="CL82" s="11" t="str">
        <f>IF(CG82&lt;RAF,ROUND(v^($CG82+FaktorAlter)*$L82*$D82*0.5*($P82+$P83)*(VLOOKUP(TRUNC(0.5*($Q82+$Q83),0),Männer!$AZ$9:$BD$95,5)+(0.5*($Q82+$Q83)-TRUNC(0.5*($Q82+$Q83),0))*(VLOOKUP(TRUNC(0.5*($Q82+$Q83)+1,0),Männer!$AZ$9:$BD$95,5)-VLOOKUP(TRUNC(0.5*($Q82+$Q83),0),Männer!$AZ$9:$BD$95,5))),RundDx),"")</f>
        <v/>
      </c>
      <c r="CM82" s="11" t="str">
        <f>IF(CG82&lt;RAF,SUM(CL82:INDEX(Diwy,RAF-BeginnAlter))+INDEX(Diy,RAF-BeginnAlter+1)*INDEX(äwy,1),"")</f>
        <v/>
      </c>
      <c r="CN82" s="10" t="str">
        <f t="shared" si="100"/>
        <v/>
      </c>
      <c r="CO82" s="89"/>
      <c r="CP82" s="9">
        <f t="shared" si="146"/>
        <v>137</v>
      </c>
      <c r="CQ82" s="11"/>
      <c r="CR82" s="11"/>
      <c r="CS82" s="10"/>
      <c r="CT82" s="89"/>
      <c r="CU82" s="35">
        <f t="shared" si="137"/>
        <v>90</v>
      </c>
      <c r="CV82" s="25" t="str">
        <f>IF($CU82&gt;=RAF,"",IF($CU82-CV$103&lt;BeginnAlter,"",ROUND(v^($CU82+FaktorAlter)*$L82*$D82*0.5*(VLOOKUP($CU82-CV$103,Männer!$G$9:$J$102,4)+VLOOKUP($CU82-CV$103+1,Männer!$G$9:$J$102,4))*0.5*(VLOOKUP($CU82-CV$103,Männer!$AZ$9:$BD$102,5)+VLOOKUP($CU82-CV$103+1,Männer!$AZ$9:$BD$102,5)),RundDx)))</f>
        <v/>
      </c>
      <c r="CW82" s="25" t="str">
        <f>IF($CU82&gt;=RAF,"",IF($CU82-CW$103&lt;BeginnAlter,"",ROUND(v^($CU82+FaktorAlter)*$L82*$D82*0.5*(VLOOKUP($CU82-CW$103,Männer!$G$9:$J$102,4)+VLOOKUP($CU82-CW$103+1,Männer!$G$9:$J$102,4))*0.5*(VLOOKUP($CU82-CW$103,Männer!$AZ$9:$BD$102,5)+VLOOKUP($CU82-CW$103+1,Männer!$AZ$9:$BD$102,5)),RundDx)))</f>
        <v/>
      </c>
      <c r="CX82" s="25" t="str">
        <f>IF($CU82&gt;=RAF,"",IF($CU82-CX$103&lt;BeginnAlter,"",ROUND(v^($CU82+FaktorAlter)*$L82*$D82*0.5*(VLOOKUP($CU82-CX$103,Männer!$G$9:$J$102,4)+VLOOKUP($CU82-CX$103+1,Männer!$G$9:$J$102,4))*0.5*(VLOOKUP($CU82-CX$103,Männer!$AZ$9:$BD$102,5)+VLOOKUP($CU82-CX$103+1,Männer!$AZ$9:$BD$102,5)),RundDx)))</f>
        <v/>
      </c>
      <c r="CY82" s="25" t="str">
        <f>IF($CU82&gt;=RAF,"",IF($CU82-CY$103&lt;BeginnAlter,"",ROUND(v^($CU82+FaktorAlter)*$L82*$D82*0.5*(VLOOKUP($CU82-CY$103,Männer!$G$9:$J$102,4)+VLOOKUP($CU82-CY$103+1,Männer!$G$9:$J$102,4))*0.5*(VLOOKUP($CU82-CY$103,Männer!$AZ$9:$BD$102,5)+VLOOKUP($CU82-CY$103+1,Männer!$AZ$9:$BD$102,5)),RundDx)))</f>
        <v/>
      </c>
      <c r="CZ82" s="25" t="str">
        <f>IF($CU82&gt;=RAF,"",IF($CU82-CZ$103&lt;BeginnAlter,"",ROUND(v^($CU82+FaktorAlter)*$L82*$D82*0.5*(VLOOKUP($CU82-CZ$103,Männer!$G$9:$J$102,4)+VLOOKUP($CU82-CZ$103+1,Männer!$G$9:$J$102,4))*0.5*(VLOOKUP($CU82-CZ$103,Männer!$AZ$9:$BD$102,5)+VLOOKUP($CU82-CZ$103+1,Männer!$AZ$9:$BD$102,5)),RundDx)))</f>
        <v/>
      </c>
      <c r="DA82" s="25" t="str">
        <f>IF($CU82&gt;=RAF,"",IF($CU82-DA$103&lt;BeginnAlter,"",ROUND(v^($CU82+FaktorAlter)*$L82*$D82*0.5*(VLOOKUP($CU82-DA$103,Männer!$G$9:$J$102,4)+VLOOKUP($CU82-DA$103+1,Männer!$G$9:$J$102,4))*0.5*(VLOOKUP($CU82-DA$103,Männer!$AZ$9:$BD$102,5)+VLOOKUP($CU82-DA$103+1,Männer!$AZ$9:$BD$102,5)),RundDx)))</f>
        <v/>
      </c>
      <c r="DB82" s="25" t="str">
        <f>IF($CU82&gt;=RAF,"",IF($CU82-DB$103&lt;BeginnAlter,"",ROUND(v^($CU82+FaktorAlter)*$L82*$D82*0.5*(VLOOKUP($CU82-DB$103,Männer!$G$9:$J$102,4)+VLOOKUP($CU82-DB$103+1,Männer!$G$9:$J$102,4))*0.5*(VLOOKUP($CU82-DB$103,Männer!$AZ$9:$BD$102,5)+VLOOKUP($CU82-DB$103+1,Männer!$AZ$9:$BD$102,5)),RundDx)))</f>
        <v/>
      </c>
      <c r="DC82" s="25" t="str">
        <f>IF($CU82&gt;=RAF,"",IF($CU82-DC$103&lt;BeginnAlter,"",ROUND(v^($CU82+FaktorAlter)*$L82*$D82*0.5*(VLOOKUP($CU82-DC$103,Männer!$G$9:$J$102,4)+VLOOKUP($CU82-DC$103+1,Männer!$G$9:$J$102,4))*0.5*(VLOOKUP($CU82-DC$103,Männer!$AZ$9:$BD$102,5)+VLOOKUP($CU82-DC$103+1,Männer!$AZ$9:$BD$102,5)),RundDx)))</f>
        <v/>
      </c>
      <c r="DD82" s="25" t="str">
        <f>IF($CU82&gt;=RAF,"",IF($CU82-DD$103&lt;BeginnAlter,"",ROUND(v^($CU82+FaktorAlter)*$L82*$D82*0.5*(VLOOKUP($CU82-DD$103,Männer!$G$9:$J$102,4)+VLOOKUP($CU82-DD$103+1,Männer!$G$9:$J$102,4))*0.5*(VLOOKUP($CU82-DD$103,Männer!$AZ$9:$BD$102,5)+VLOOKUP($CU82-DD$103+1,Männer!$AZ$9:$BD$102,5)),RundDx)))</f>
        <v/>
      </c>
      <c r="DE82" s="25" t="str">
        <f>IF($CU82&gt;=RAF,"",IF($CU82-DE$103&lt;BeginnAlter,"",ROUND(v^($CU82+FaktorAlter)*$L82*$D82*0.5*(VLOOKUP($CU82-DE$103,Männer!$G$9:$J$102,4)+VLOOKUP($CU82-DE$103+1,Männer!$G$9:$J$102,4))*0.5*(VLOOKUP($CU82-DE$103,Männer!$AZ$9:$BD$102,5)+VLOOKUP($CU82-DE$103+1,Männer!$AZ$9:$BD$102,5)),RundDx)))</f>
        <v/>
      </c>
      <c r="DF82" s="25" t="str">
        <f>IF($CU82&gt;=RAF,"",IF($CU82-DF$103&lt;BeginnAlter,"",ROUND(v^($CU82+FaktorAlter)*$L82*$D82*0.5*(VLOOKUP($CU82-DF$103,Männer!$G$9:$J$102,4)+VLOOKUP($CU82-DF$103+1,Männer!$G$9:$J$102,4))*0.5*(VLOOKUP($CU82-DF$103,Männer!$AZ$9:$BD$102,5)+VLOOKUP($CU82-DF$103+1,Männer!$AZ$9:$BD$102,5)),RundDx)))</f>
        <v/>
      </c>
      <c r="DG82" s="25" t="str">
        <f>IF($CU82&gt;=RAF,"",IF($CU82-DG$103&lt;BeginnAlter,"",ROUND(v^($CU82+FaktorAlter)*$L82*$D82*0.5*(VLOOKUP($CU82-DG$103,Männer!$G$9:$J$102,4)+VLOOKUP($CU82-DG$103+1,Männer!$G$9:$J$102,4))*0.5*(VLOOKUP($CU82-DG$103,Männer!$AZ$9:$BD$102,5)+VLOOKUP($CU82-DG$103+1,Männer!$AZ$9:$BD$102,5)),RundDx)))</f>
        <v/>
      </c>
      <c r="DH82" s="25" t="str">
        <f>IF($CU82&gt;=RAF,"",IF($CU82-DH$103&lt;BeginnAlter,"",ROUND(v^($CU82+FaktorAlter)*$L82*$D82*0.5*(VLOOKUP($CU82-DH$103,Männer!$G$9:$J$102,4)+VLOOKUP($CU82-DH$103+1,Männer!$G$9:$J$102,4))*0.5*(VLOOKUP($CU82-DH$103,Männer!$AZ$9:$BD$102,5)+VLOOKUP($CU82-DH$103+1,Männer!$AZ$9:$BD$102,5)),RundDx)))</f>
        <v/>
      </c>
      <c r="DI82" s="25" t="str">
        <f>IF($CU82&gt;=RAF,"",IF($CU82-DI$103&lt;BeginnAlter,"",ROUND(v^($CU82+FaktorAlter)*$L82*$D82*0.5*(VLOOKUP($CU82-DI$103,Männer!$G$9:$J$102,4)+VLOOKUP($CU82-DI$103+1,Männer!$G$9:$J$102,4))*0.5*(VLOOKUP($CU82-DI$103,Männer!$AZ$9:$BD$102,5)+VLOOKUP($CU82-DI$103+1,Männer!$AZ$9:$BD$102,5)),RundDx)))</f>
        <v/>
      </c>
      <c r="DJ82" s="25" t="str">
        <f>IF($CU82&gt;=RAF,"",IF($CU82-DJ$103&lt;BeginnAlter,"",ROUND(v^($CU82+FaktorAlter)*$L82*$D82*0.5*(VLOOKUP($CU82-DJ$103,Männer!$G$9:$J$102,4)+VLOOKUP($CU82-DJ$103+1,Männer!$G$9:$J$102,4))*0.5*(VLOOKUP($CU82-DJ$103,Männer!$AZ$9:$BD$102,5)+VLOOKUP($CU82-DJ$103+1,Männer!$AZ$9:$BD$102,5)),RundDx)))</f>
        <v/>
      </c>
      <c r="DK82" s="25" t="str">
        <f>IF($CU82&gt;=RAF,"",IF($CU82-DK$103&lt;BeginnAlter,"",ROUND(v^($CU82+FaktorAlter)*$L82*$D82*0.5*(VLOOKUP($CU82-DK$103,Männer!$G$9:$J$102,4)+VLOOKUP($CU82-DK$103+1,Männer!$G$9:$J$102,4))*0.5*(VLOOKUP($CU82-DK$103,Männer!$AZ$9:$BD$102,5)+VLOOKUP($CU82-DK$103+1,Männer!$AZ$9:$BD$102,5)),RundDx)))</f>
        <v/>
      </c>
      <c r="DL82" s="25" t="str">
        <f>IF($CU82&gt;=RAF,"",IF($CU82-DL$103&lt;BeginnAlter,"",ROUND(v^($CU82+FaktorAlter)*$L82*$D82*0.5*(VLOOKUP($CU82-DL$103,Männer!$G$9:$J$102,4)+VLOOKUP($CU82-DL$103+1,Männer!$G$9:$J$102,4))*0.5*(VLOOKUP($CU82-DL$103,Männer!$AZ$9:$BD$102,5)+VLOOKUP($CU82-DL$103+1,Männer!$AZ$9:$BD$102,5)),RundDx)))</f>
        <v/>
      </c>
      <c r="DM82" s="25" t="str">
        <f>IF($CU82&gt;=RAF,"",IF($CU82-DM$103&lt;BeginnAlter,"",ROUND(v^($CU82+FaktorAlter)*$L82*$D82*0.5*(VLOOKUP($CU82-DM$103,Männer!$G$9:$J$102,4)+VLOOKUP($CU82-DM$103+1,Männer!$G$9:$J$102,4))*0.5*(VLOOKUP($CU82-DM$103,Männer!$AZ$9:$BD$102,5)+VLOOKUP($CU82-DM$103+1,Männer!$AZ$9:$BD$102,5)),RundDx)))</f>
        <v/>
      </c>
      <c r="DN82" s="25" t="str">
        <f>IF($CU82&gt;=RAF,"",IF($CU82-DN$103&lt;BeginnAlter,"",ROUND(v^($CU82+FaktorAlter)*$L82*$D82*0.5*(VLOOKUP($CU82-DN$103,Männer!$G$9:$J$102,4)+VLOOKUP($CU82-DN$103+1,Männer!$G$9:$J$102,4))*0.5*(VLOOKUP($CU82-DN$103,Männer!$AZ$9:$BD$102,5)+VLOOKUP($CU82-DN$103+1,Männer!$AZ$9:$BD$102,5)),RundDx)))</f>
        <v/>
      </c>
      <c r="DO82" s="25" t="str">
        <f>IF($CU82&gt;=RAF,"",IF($CU82-DO$103&lt;BeginnAlter,"",ROUND(v^($CU82+FaktorAlter)*$L82*$D82*0.5*(VLOOKUP($CU82-DO$103,Männer!$G$9:$J$102,4)+VLOOKUP($CU82-DO$103+1,Männer!$G$9:$J$102,4))*0.5*(VLOOKUP($CU82-DO$103,Männer!$AZ$9:$BD$102,5)+VLOOKUP($CU82-DO$103+1,Männer!$AZ$9:$BD$102,5)),RundDx)))</f>
        <v/>
      </c>
      <c r="DP82" s="25" t="str">
        <f>IF($CU82&gt;=RAF,"",IF($CU82-DP$103&lt;BeginnAlter,"",ROUND(v^($CU82+FaktorAlter)*$L82*$D82*0.5*(VLOOKUP($CU82-DP$103,Männer!$G$9:$J$102,4)+VLOOKUP($CU82-DP$103+1,Männer!$G$9:$J$102,4))*0.5*(VLOOKUP($CU82-DP$103,Männer!$AZ$9:$BD$102,5)+VLOOKUP($CU82-DP$103+1,Männer!$AZ$9:$BD$102,5)),RundDx)))</f>
        <v/>
      </c>
      <c r="DQ82" s="25" t="str">
        <f>IF($CU82&gt;=RAF,"",IF($CU82-DQ$103&lt;BeginnAlter,"",ROUND(v^($CU82+FaktorAlter)*$L82*$D82*0.5*(VLOOKUP($CU82-DQ$103,Männer!$G$9:$J$102,4)+VLOOKUP($CU82-DQ$103+1,Männer!$G$9:$J$102,4))*0.5*(VLOOKUP($CU82-DQ$103,Männer!$AZ$9:$BD$102,5)+VLOOKUP($CU82-DQ$103+1,Männer!$AZ$9:$BD$102,5)),RundDx)))</f>
        <v/>
      </c>
      <c r="DR82" s="25" t="str">
        <f>IF($CU82&gt;=RAF,"",IF($CU82-DR$103&lt;BeginnAlter,"",ROUND(v^($CU82+FaktorAlter)*$L82*$D82*0.5*(VLOOKUP($CU82-DR$103,Männer!$G$9:$J$102,4)+VLOOKUP($CU82-DR$103+1,Männer!$G$9:$J$102,4))*0.5*(VLOOKUP($CU82-DR$103,Männer!$AZ$9:$BD$102,5)+VLOOKUP($CU82-DR$103+1,Männer!$AZ$9:$BD$102,5)),RundDx)))</f>
        <v/>
      </c>
      <c r="DS82" s="25" t="str">
        <f>IF($CU82&gt;=RAF,"",IF($CU82-DS$103&lt;BeginnAlter,"",ROUND(v^($CU82+FaktorAlter)*$L82*$D82*0.5*(VLOOKUP($CU82-DS$103,Männer!$G$9:$J$102,4)+VLOOKUP($CU82-DS$103+1,Männer!$G$9:$J$102,4))*0.5*(VLOOKUP($CU82-DS$103,Männer!$AZ$9:$BD$102,5)+VLOOKUP($CU82-DS$103+1,Männer!$AZ$9:$BD$102,5)),RundDx)))</f>
        <v/>
      </c>
      <c r="DT82" s="25" t="str">
        <f>IF($CU82&gt;=RAF,"",IF($CU82-DT$103&lt;BeginnAlter,"",ROUND(v^($CU82+FaktorAlter)*$L82*$D82*0.5*(VLOOKUP($CU82-DT$103,Männer!$G$9:$J$102,4)+VLOOKUP($CU82-DT$103+1,Männer!$G$9:$J$102,4))*0.5*(VLOOKUP($CU82-DT$103,Männer!$AZ$9:$BD$102,5)+VLOOKUP($CU82-DT$103+1,Männer!$AZ$9:$BD$102,5)),RundDx)))</f>
        <v/>
      </c>
      <c r="DU82" s="25" t="str">
        <f>IF($CU82&gt;=RAF,"",IF($CU82-DU$103&lt;BeginnAlter,"",ROUND(v^($CU82+FaktorAlter)*$L82*$D82*0.5*(VLOOKUP($CU82-DU$103,Männer!$G$9:$J$102,4)+VLOOKUP($CU82-DU$103+1,Männer!$G$9:$J$102,4))*0.5*(VLOOKUP($CU82-DU$103,Männer!$AZ$9:$BD$102,5)+VLOOKUP($CU82-DU$103+1,Männer!$AZ$9:$BD$102,5)),RundDx)))</f>
        <v/>
      </c>
      <c r="DV82" s="25" t="str">
        <f>IF($CU82&gt;=RAF,"",IF($CU82-DV$103&lt;BeginnAlter,"",ROUND(v^($CU82+FaktorAlter)*$L82*$D82*0.5*(VLOOKUP($CU82-DV$103,Männer!$G$9:$J$102,4)+VLOOKUP($CU82-DV$103+1,Männer!$G$9:$J$102,4))*0.5*(VLOOKUP($CU82-DV$103,Männer!$AZ$9:$BD$102,5)+VLOOKUP($CU82-DV$103+1,Männer!$AZ$9:$BD$102,5)),RundDx)))</f>
        <v/>
      </c>
      <c r="DW82" s="25" t="str">
        <f>IF($CU82&gt;=RAF,"",IF($CU82-DW$103&lt;BeginnAlter,"",ROUND(v^($CU82+FaktorAlter)*$L82*$D82*0.5*(VLOOKUP($CU82-DW$103,Männer!$G$9:$J$102,4)+VLOOKUP($CU82-DW$103+1,Männer!$G$9:$J$102,4))*0.5*(VLOOKUP($CU82-DW$103,Männer!$AZ$9:$BD$102,5)+VLOOKUP($CU82-DW$103+1,Männer!$AZ$9:$BD$102,5)),RundDx)))</f>
        <v/>
      </c>
      <c r="DX82" s="25" t="str">
        <f>IF($CU82&gt;=RAF,"",IF($CU82-DX$103&lt;BeginnAlter,"",ROUND(v^($CU82+FaktorAlter)*$L82*$D82*0.5*(VLOOKUP($CU82-DX$103,Männer!$G$9:$J$102,4)+VLOOKUP($CU82-DX$103+1,Männer!$G$9:$J$102,4))*0.5*(VLOOKUP($CU82-DX$103,Männer!$AZ$9:$BD$102,5)+VLOOKUP($CU82-DX$103+1,Männer!$AZ$9:$BD$102,5)),RundDx)))</f>
        <v/>
      </c>
      <c r="DY82" s="25" t="str">
        <f>IF($CU82&gt;=RAF,"",IF($CU82-DY$103&lt;BeginnAlter,"",ROUND(v^($CU82+FaktorAlter)*$L82*$D82*0.5*(VLOOKUP($CU82-DY$103,Männer!$G$9:$J$102,4)+VLOOKUP($CU82-DY$103+1,Männer!$G$9:$J$102,4))*0.5*(VLOOKUP($CU82-DY$103,Männer!$AZ$9:$BD$102,5)+VLOOKUP($CU82-DY$103+1,Männer!$AZ$9:$BD$102,5)),RundDx)))</f>
        <v/>
      </c>
      <c r="DZ82" s="25" t="str">
        <f>IF($CU82&gt;=RAF,"",IF($CU82-DZ$103&lt;BeginnAlter,"",ROUND(v^($CU82+FaktorAlter)*$L82*$D82*0.5*(VLOOKUP($CU82-DZ$103,Männer!$G$9:$J$102,4)+VLOOKUP($CU82-DZ$103+1,Männer!$G$9:$J$102,4))*0.5*(VLOOKUP($CU82-DZ$103,Männer!$AZ$9:$BD$102,5)+VLOOKUP($CU82-DZ$103+1,Männer!$AZ$9:$BD$102,5)),RundDx)))</f>
        <v/>
      </c>
      <c r="EA82" s="43" t="str">
        <f>IF($CU82&gt;=RAF,"",IF($CU82-EA$103&lt;BeginnAlter,"",ROUND((SUM(CV$56:CV82)+SUM(FN$9:FN$56))/VLOOKUP($CU82,$AH$9:$AI$102,2)/VLOOKUP($CU82-EA$103,Männer!$G$9:$J$102,4),Rundäx)))</f>
        <v/>
      </c>
      <c r="EB82" s="43" t="str">
        <f>IF($CU82&gt;=RAF,"",IF($CU82-EB$103&lt;BeginnAlter,"",ROUND((SUM(CW$56:CW82)+SUM(FO$9:FO$56))/VLOOKUP($CU82,$AH$9:$AI$102,2)/VLOOKUP($CU82-EB$103,Männer!$G$9:$J$102,4),Rundäx)))</f>
        <v/>
      </c>
      <c r="EC82" s="43" t="str">
        <f>IF($CU82&gt;=RAF,"",IF($CU82-EC$103&lt;BeginnAlter,"",ROUND((SUM(CX$56:CX82)+SUM(FP$9:FP$56))/VLOOKUP($CU82,$AH$9:$AI$102,2)/VLOOKUP($CU82-EC$103,Männer!$G$9:$J$102,4),Rundäx)))</f>
        <v/>
      </c>
      <c r="ED82" s="43" t="str">
        <f>IF($CU82&gt;=RAF,"",IF($CU82-ED$103&lt;BeginnAlter,"",ROUND((SUM(CY$56:CY82)+SUM(FQ$9:FQ$56))/VLOOKUP($CU82,$AH$9:$AI$102,2)/VLOOKUP($CU82-ED$103,Männer!$G$9:$J$102,4),Rundäx)))</f>
        <v/>
      </c>
      <c r="EE82" s="43" t="str">
        <f>IF($CU82&gt;=RAF,"",IF($CU82-EE$103&lt;BeginnAlter,"",ROUND((SUM(CZ$56:CZ82)+SUM(FR$9:FR$56))/VLOOKUP($CU82,$AH$9:$AI$102,2)/VLOOKUP($CU82-EE$103,Männer!$G$9:$J$102,4),Rundäx)))</f>
        <v/>
      </c>
      <c r="EF82" s="43" t="str">
        <f>IF($CU82&gt;=RAF,"",IF($CU82-EF$103&lt;BeginnAlter,"",ROUND((SUM(DA$56:DA82)+SUM(FS$9:FS$56))/VLOOKUP($CU82,$AH$9:$AI$102,2)/VLOOKUP($CU82-EF$103,Männer!$G$9:$J$102,4),Rundäx)))</f>
        <v/>
      </c>
      <c r="EG82" s="43" t="str">
        <f>IF($CU82&gt;=RAF,"",IF($CU82-EG$103&lt;BeginnAlter,"",ROUND((SUM(DB$56:DB82)+SUM(FT$9:FT$56))/VLOOKUP($CU82,$AH$9:$AI$102,2)/VLOOKUP($CU82-EG$103,Männer!$G$9:$J$102,4),Rundäx)))</f>
        <v/>
      </c>
      <c r="EH82" s="43" t="str">
        <f>IF($CU82&gt;=RAF,"",IF($CU82-EH$103&lt;BeginnAlter,"",ROUND((SUM(DC$56:DC82)+SUM(FU$9:FU$56))/VLOOKUP($CU82,$AH$9:$AI$102,2)/VLOOKUP($CU82-EH$103,Männer!$G$9:$J$102,4),Rundäx)))</f>
        <v/>
      </c>
      <c r="EI82" s="89"/>
      <c r="EJ82" s="35">
        <f t="shared" si="138"/>
        <v>90</v>
      </c>
      <c r="EK82" s="43" t="str">
        <f>IF($CU82&gt;=RAF,"",IF($CU82-EK$103&lt;BeginnAlter,"",ROUND((SUM(DD$56:DD82)+SUM(FV$9:FV$56))/VLOOKUP($CU82,$AH$9:$AI$102,2)/VLOOKUP($CU82-EK$103,Männer!$G$9:$J$102,4),Rundäx)))</f>
        <v/>
      </c>
      <c r="EL82" s="43" t="str">
        <f>IF($CU82&gt;=RAF,"",IF($CU82-EL$103&lt;BeginnAlter,"",ROUND((SUM(DE$56:DE82)+SUM(FW$9:FW$56))/VLOOKUP($CU82,$AH$9:$AI$102,2)/VLOOKUP($CU82-EL$103,Männer!$G$9:$J$102,4),Rundäx)))</f>
        <v/>
      </c>
      <c r="EM82" s="43" t="str">
        <f>IF($CU82&gt;=RAF,"",IF($CU82-EM$103&lt;BeginnAlter,"",ROUND((SUM(DF$56:DF82)+SUM(FX$9:FX$56))/VLOOKUP($CU82,$AH$9:$AI$102,2)/VLOOKUP($CU82-EM$103,Männer!$G$9:$J$102,4),Rundäx)))</f>
        <v/>
      </c>
      <c r="EN82" s="43" t="str">
        <f>IF($CU82&gt;=RAF,"",IF($CU82-EN$103&lt;BeginnAlter,"",ROUND((SUM(DG$56:DG82)+SUM(FY$9:FY$56))/VLOOKUP($CU82,$AH$9:$AI$102,2)/VLOOKUP($CU82-EN$103,Männer!$G$9:$J$102,4),Rundäx)))</f>
        <v/>
      </c>
      <c r="EO82" s="43" t="str">
        <f>IF($CU82&gt;=RAF,"",IF($CU82-EO$103&lt;BeginnAlter,"",ROUND((SUM(DH$56:DH82)+SUM(FZ$9:FZ$56))/VLOOKUP($CU82,$AH$9:$AI$102,2)/VLOOKUP($CU82-EO$103,Männer!$G$9:$J$102,4),Rundäx)))</f>
        <v/>
      </c>
      <c r="EP82" s="43" t="str">
        <f>IF($CU82&gt;=RAF,"",IF($CU82-EP$103&lt;BeginnAlter,"",ROUND((SUM(DI$56:DI82)+SUM(GA$9:GA$56))/VLOOKUP($CU82,$AH$9:$AI$102,2)/VLOOKUP($CU82-EP$103,Männer!$G$9:$J$102,4),Rundäx)))</f>
        <v/>
      </c>
      <c r="EQ82" s="43" t="str">
        <f>IF($CU82&gt;=RAF,"",IF($CU82-EQ$103&lt;BeginnAlter,"",ROUND((SUM(DJ$56:DJ82)+SUM(GB$9:GB$56))/VLOOKUP($CU82,$AH$9:$AI$102,2)/VLOOKUP($CU82-EQ$103,Männer!$G$9:$J$102,4),Rundäx)))</f>
        <v/>
      </c>
      <c r="ER82" s="43" t="str">
        <f>IF($CU82&gt;=RAF,"",IF($CU82-ER$103&lt;BeginnAlter,"",ROUND((SUM(DK$56:DK82)+SUM(GC$9:GC$56))/VLOOKUP($CU82,$AH$9:$AI$102,2)/VLOOKUP($CU82-ER$103,Männer!$G$9:$J$102,4),Rundäx)))</f>
        <v/>
      </c>
      <c r="ES82" s="89"/>
      <c r="ET82" s="35">
        <f t="shared" si="139"/>
        <v>90</v>
      </c>
      <c r="EU82" s="43" t="str">
        <f>IF($CU82&gt;=RAF,"",IF($CU82-EU$103&lt;BeginnAlter,"",ROUND((SUM(DL$56:DL82)+SUM(GD$9:GD$56))/VLOOKUP($CU82,$AH$9:$AI$102,2)/VLOOKUP($CU82-EU$103,Männer!$G$9:$J$102,4),Rundäx)))</f>
        <v/>
      </c>
      <c r="EV82" s="43" t="str">
        <f>IF($CU82&gt;=RAF,"",IF($CU82-EV$103&lt;BeginnAlter,"",ROUND((SUM(DM$56:DM82)+SUM(GE$9:GE$56))/VLOOKUP($CU82,$AH$9:$AI$102,2)/VLOOKUP($CU82-EV$103,Männer!$G$9:$J$102,4),Rundäx)))</f>
        <v/>
      </c>
      <c r="EW82" s="43" t="str">
        <f>IF($CU82&gt;=RAF,"",IF($CU82-EW$103&lt;BeginnAlter,"",ROUND((SUM(DN$56:DN82)+SUM(GF$9:GF$56))/VLOOKUP($CU82,$AH$9:$AI$102,2)/VLOOKUP($CU82-EW$103,Männer!$G$9:$J$102,4),Rundäx)))</f>
        <v/>
      </c>
      <c r="EX82" s="43" t="str">
        <f>IF($CU82&gt;=RAF,"",IF($CU82-EX$103&lt;BeginnAlter,"",ROUND((SUM(DO$56:DO82)+SUM(GG$9:GG$56))/VLOOKUP($CU82,$AH$9:$AI$102,2)/VLOOKUP($CU82-EX$103,Männer!$G$9:$J$102,4),Rundäx)))</f>
        <v/>
      </c>
      <c r="EY82" s="43" t="str">
        <f>IF($CU82&gt;=RAF,"",IF($CU82-EY$103&lt;BeginnAlter,"",ROUND((SUM(DP$56:DP82)+SUM(GH$9:GH$56))/VLOOKUP($CU82,$AH$9:$AI$102,2)/VLOOKUP($CU82-EY$103,Männer!$G$9:$J$102,4),Rundäx)))</f>
        <v/>
      </c>
      <c r="EZ82" s="43" t="str">
        <f>IF($CU82&gt;=RAF,"",IF($CU82-EZ$103&lt;BeginnAlter,"",ROUND((SUM(DQ$56:DQ82)+SUM(GI$9:GI$56))/VLOOKUP($CU82,$AH$9:$AI$102,2)/VLOOKUP($CU82-EZ$103,Männer!$G$9:$J$102,4),Rundäx)))</f>
        <v/>
      </c>
      <c r="FA82" s="43" t="str">
        <f>IF($CU82&gt;=RAF,"",IF($CU82-FA$103&lt;BeginnAlter,"",ROUND((SUM(DR$56:DR82)+SUM(GJ$9:GJ$56))/VLOOKUP($CU82,$AH$9:$AI$102,2)/VLOOKUP($CU82-FA$103,Männer!$G$9:$J$102,4),Rundäx)))</f>
        <v/>
      </c>
      <c r="FB82" s="43" t="str">
        <f>IF($CU82&gt;=RAF,"",IF($CU82-FB$103&lt;BeginnAlter,"",ROUND((SUM(DS$56:DS82)+SUM(GK$9:GK$56))/VLOOKUP($CU82,$AH$9:$AI$102,2)/VLOOKUP($CU82-FB$103,Männer!$G$9:$J$102,4),Rundäx)))</f>
        <v/>
      </c>
      <c r="FC82" s="89"/>
      <c r="FD82" s="35">
        <f t="shared" si="140"/>
        <v>90</v>
      </c>
      <c r="FE82" s="43" t="str">
        <f>IF($CU82&gt;=RAF,"",IF($CU82-FE$103&lt;BeginnAlter,"",ROUND((SUM(DT$56:DT82)+SUM(GL$9:GL$56))/VLOOKUP($CU82,$AH$9:$AI$102,2)/VLOOKUP($CU82-FE$103,Männer!$G$9:$J$102,4),Rundäx)))</f>
        <v/>
      </c>
      <c r="FF82" s="43" t="str">
        <f>IF($CU82&gt;=RAF,"",IF($CU82-FF$103&lt;BeginnAlter,"",ROUND((SUM(DU$56:DU82)+SUM(GM$9:GM$56))/VLOOKUP($CU82,$AH$9:$AI$102,2)/VLOOKUP($CU82-FF$103,Männer!$G$9:$J$102,4),Rundäx)))</f>
        <v/>
      </c>
      <c r="FG82" s="43" t="str">
        <f>IF($CU82&gt;=RAF,"",IF($CU82-FG$103&lt;BeginnAlter,"",ROUND((SUM(DV$56:DV82)+SUM(GN$9:GN$56))/VLOOKUP($CU82,$AH$9:$AI$102,2)/VLOOKUP($CU82-FG$103,Männer!$G$9:$J$102,4),Rundäx)))</f>
        <v/>
      </c>
      <c r="FH82" s="43" t="str">
        <f>IF($CU82&gt;=RAF,"",IF($CU82-FH$103&lt;BeginnAlter,"",ROUND((SUM(DW$56:DW82)+SUM(GO$9:GO$56))/VLOOKUP($CU82,$AH$9:$AI$102,2)/VLOOKUP($CU82-FH$103,Männer!$G$9:$J$102,4),Rundäx)))</f>
        <v/>
      </c>
      <c r="FI82" s="43" t="str">
        <f>IF($CU82&gt;=RAF,"",IF($CU82-FI$103&lt;BeginnAlter,"",ROUND((SUM(DX$56:DX82)+SUM(GP$9:GP$56))/VLOOKUP($CU82,$AH$9:$AI$102,2)/VLOOKUP($CU82-FI$103,Männer!$G$9:$J$102,4),Rundäx)))</f>
        <v/>
      </c>
      <c r="FJ82" s="43" t="str">
        <f>IF($CU82&gt;=RAF,"",IF($CU82-FJ$103&lt;BeginnAlter,"",ROUND((SUM(DY$56:DY82)+SUM(GQ$9:GQ$56))/VLOOKUP($CU82,$AH$9:$AI$102,2)/VLOOKUP($CU82-FJ$103,Männer!$G$9:$J$102,4),Rundäx)))</f>
        <v/>
      </c>
      <c r="FK82" s="43" t="str">
        <f>IF($CU82&gt;=RAF,"",IF($CU82-FK$103&lt;BeginnAlter,"",ROUND((SUM(DZ$56:DZ82)+SUM(GR$9:GR$56))/VLOOKUP($CU82,$AH$9:$AI$102,2)/VLOOKUP($CU82-FK$103,Männer!$G$9:$J$102,4),Rundäx)))</f>
        <v/>
      </c>
      <c r="FL82" s="89"/>
      <c r="FM82" s="35">
        <f t="shared" si="141"/>
        <v>137</v>
      </c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4"/>
      <c r="GT82" s="24"/>
      <c r="GU82" s="24" t="str">
        <f>IF(FM82&gt;=RAF," ",#REF!/$AI82/Frauen!$J70)</f>
        <v xml:space="preserve"> </v>
      </c>
      <c r="GV82" s="24" t="str">
        <f>IF(FM82&gt;=RAF," ",#REF!/$AI82/Frauen!$J73)</f>
        <v xml:space="preserve"> </v>
      </c>
      <c r="GW82" s="24" t="str">
        <f>IF(FM82&gt;=RAF," ",#REF!/$AI82/Frauen!$J76)</f>
        <v xml:space="preserve"> </v>
      </c>
      <c r="GX82" s="24" t="str">
        <f>IF(FM82&gt;=RAF," ",#REF!/$AI82/Frauen!$J79)</f>
        <v xml:space="preserve"> </v>
      </c>
      <c r="GY82" s="24" t="str">
        <f>IF(FM82&gt;=RAF," ",#REF!/$AI82/Frauen!$J82)</f>
        <v xml:space="preserve"> </v>
      </c>
      <c r="GZ82" s="24" t="str">
        <f>IF(FM82&gt;=RAF," ",#REF!/$AI82/Frauen!$J85)</f>
        <v xml:space="preserve"> </v>
      </c>
      <c r="HA82" s="89"/>
      <c r="HB82" s="35">
        <f t="shared" si="142"/>
        <v>137</v>
      </c>
      <c r="HC82" s="24"/>
      <c r="HD82" s="24"/>
      <c r="HE82" s="24"/>
      <c r="HF82" s="24"/>
      <c r="HG82" s="24"/>
      <c r="HH82" s="24"/>
      <c r="HI82" s="24"/>
      <c r="HJ82" s="24"/>
      <c r="HK82" s="89"/>
      <c r="HL82" s="35">
        <f t="shared" si="143"/>
        <v>137</v>
      </c>
      <c r="HM82" s="24"/>
      <c r="HN82" s="24"/>
      <c r="HO82" s="24"/>
      <c r="HP82" s="24"/>
      <c r="HQ82" s="24"/>
      <c r="HR82" s="24"/>
      <c r="HS82" s="24"/>
      <c r="HT82" s="24"/>
      <c r="HU82" s="89"/>
      <c r="HV82" s="35">
        <f t="shared" si="144"/>
        <v>137</v>
      </c>
      <c r="HW82" s="24"/>
      <c r="HX82" s="24"/>
      <c r="HY82" s="24"/>
      <c r="HZ82" s="24"/>
      <c r="IA82" s="24"/>
      <c r="IB82" s="24"/>
      <c r="IC82" s="24"/>
      <c r="ID82" s="89"/>
      <c r="IE82" s="9">
        <f t="shared" si="145"/>
        <v>90</v>
      </c>
      <c r="IF82" s="11" t="str">
        <f t="shared" si="101"/>
        <v/>
      </c>
      <c r="IG82" s="11" t="str">
        <f>IF($IE82&lt;RAF,IF(S83&lt;=RAK,ROUND(SUM(IF82:INDEX(Daky,RAF-BeginnAlter))+INDEX(Day,RAF-BeginnAlter+1)*INDEX(äky,1),RundDx),0),"")</f>
        <v/>
      </c>
      <c r="IH82" s="11" t="str">
        <f>IF($IE82&lt;RAF,IF(S83&lt;=RAK,ROUND(SUM(IG82:INDEX(Naky,RAF-BeginnAlter))+INDEX(Day,RAF-BeginnAlter+1)*INDEX(äky,1),RundDx),0),"")</f>
        <v/>
      </c>
      <c r="II82" s="10" t="str">
        <f t="shared" si="102"/>
        <v/>
      </c>
      <c r="IJ82" s="11" t="str">
        <f t="shared" si="103"/>
        <v/>
      </c>
      <c r="IK82" s="11" t="str">
        <f>IF($IE82&lt;RAF,IF(S83&lt;=RAK,SUM(IJ82:INDEX(Diky,RAF-BeginnAlter))+INDEX(Diy,RAF-BeginnAlter+1)*INDEX(äky,1),0),"")</f>
        <v/>
      </c>
      <c r="IL82" s="10" t="str">
        <f t="shared" si="104"/>
        <v/>
      </c>
      <c r="IM82" s="89"/>
      <c r="IN82" s="9">
        <f t="shared" si="105"/>
        <v>137</v>
      </c>
      <c r="IO82" s="11"/>
      <c r="IP82" s="11"/>
      <c r="IQ82" s="10"/>
      <c r="IR82" s="86"/>
    </row>
    <row r="83" spans="1:252" ht="15.75" customHeight="1" x14ac:dyDescent="0.25">
      <c r="A83" s="9">
        <f t="shared" si="125"/>
        <v>91</v>
      </c>
      <c r="B83" s="93"/>
      <c r="C83" s="93"/>
      <c r="D83" s="93"/>
      <c r="E83" s="93">
        <v>0.17005816648303351</v>
      </c>
      <c r="F83" s="89"/>
      <c r="G83" s="9">
        <f t="shared" si="126"/>
        <v>91</v>
      </c>
      <c r="H83" s="11" t="str">
        <f t="shared" si="106"/>
        <v/>
      </c>
      <c r="I83" s="25" t="str">
        <f t="shared" si="107"/>
        <v/>
      </c>
      <c r="J83" s="25">
        <f t="shared" si="108"/>
        <v>24455</v>
      </c>
      <c r="K83" s="30">
        <f>IF(J83&gt;0,ROUND(SUM(J83:J$102)/J83-0.5,Rundex),"")</f>
        <v>3.84</v>
      </c>
      <c r="L83" s="25">
        <f t="shared" si="83"/>
        <v>24455</v>
      </c>
      <c r="M83" s="30">
        <f>IF(L83&gt;0,ROUND(SUM(L83:L$102)/L83-0.5,Rundex),"")</f>
        <v>3.84</v>
      </c>
      <c r="N83" s="89"/>
      <c r="O83" s="9">
        <f t="shared" si="127"/>
        <v>91</v>
      </c>
      <c r="P83" s="94">
        <v>4.6053992068153171E-3</v>
      </c>
      <c r="Q83" s="95">
        <v>91.018925320184792</v>
      </c>
      <c r="R83" s="94"/>
      <c r="S83" s="95"/>
      <c r="T83" s="28">
        <v>0.155668260687917</v>
      </c>
      <c r="U83" s="11">
        <f t="shared" si="109"/>
        <v>28493</v>
      </c>
      <c r="V83" s="30">
        <f>IF(U83&gt;0,ROUND(SUM(U83:U$102)/U83-0.5,Rundex),"")</f>
        <v>3.94</v>
      </c>
      <c r="W83" s="89"/>
      <c r="X83" s="9">
        <f t="shared" si="128"/>
        <v>91</v>
      </c>
      <c r="Y83" s="11" t="str">
        <f t="shared" si="110"/>
        <v xml:space="preserve"> </v>
      </c>
      <c r="Z83" s="11" t="str">
        <f>IF($X83&lt;RAF,SUM(Y83:INDEX(Day,RAF-BeginnAlter))," ")</f>
        <v xml:space="preserve"> </v>
      </c>
      <c r="AA83" s="11" t="str">
        <f t="shared" si="81"/>
        <v xml:space="preserve"> </v>
      </c>
      <c r="AB83" s="11" t="str">
        <f>IF($X83&lt;RAF,SUM(AA83:INDEX(Cay,RAF-BeginnAlter))," ")</f>
        <v xml:space="preserve"> </v>
      </c>
      <c r="AC83" s="11" t="str">
        <f t="shared" si="82"/>
        <v xml:space="preserve"> </v>
      </c>
      <c r="AD83" s="11" t="str">
        <f>IF($X83&lt;RAF,SUM(AC83:INDEX(Caiy,RAF-BeginnAlter))," ")</f>
        <v xml:space="preserve"> </v>
      </c>
      <c r="AE83" s="10" t="str">
        <f t="shared" si="111"/>
        <v xml:space="preserve"> </v>
      </c>
      <c r="AF83" s="10" t="str">
        <f t="shared" si="112"/>
        <v xml:space="preserve"> </v>
      </c>
      <c r="AG83" s="89"/>
      <c r="AH83" s="9">
        <f t="shared" si="129"/>
        <v>91</v>
      </c>
      <c r="AI83" s="11" t="str">
        <f t="shared" si="113"/>
        <v xml:space="preserve"> </v>
      </c>
      <c r="AJ83" s="11" t="str">
        <f>IF($AH83&gt;RAF," ",IF($AH83&lt;RAF,SUM(AI83:INDEX(Diy,RAF-BeginnAlter))+INDEX(Ny,RAF-BeginnAlter+1),INDEX(Ny,RAF-BeginnAlter+1)))</f>
        <v xml:space="preserve"> </v>
      </c>
      <c r="AK83" s="11" t="str">
        <f>IF($AH83&lt;RAF,SUM(AI83:INDEX(Diy,RAF-BeginnAlter))," ")</f>
        <v xml:space="preserve"> </v>
      </c>
      <c r="AL83" s="10" t="str">
        <f t="shared" si="114"/>
        <v xml:space="preserve"> </v>
      </c>
      <c r="AM83" s="10" t="str">
        <f t="shared" si="115"/>
        <v xml:space="preserve"> </v>
      </c>
      <c r="AN83" s="10" t="str">
        <f t="shared" si="116"/>
        <v xml:space="preserve"> </v>
      </c>
      <c r="AO83" s="10" t="str">
        <f t="shared" si="117"/>
        <v xml:space="preserve"> </v>
      </c>
      <c r="AP83" s="89"/>
      <c r="AQ83" s="9">
        <f t="shared" si="130"/>
        <v>91</v>
      </c>
      <c r="AR83" s="11">
        <f t="shared" si="118"/>
        <v>3229</v>
      </c>
      <c r="AS83" s="11">
        <f>SUM(AR83:AR$96)</f>
        <v>13241</v>
      </c>
      <c r="AT83" s="25" t="str">
        <f>IF($AQ83&lt;RAF,SUM(AR83:INDEX(Dy,RAF-BeginnAlter))," ")</f>
        <v xml:space="preserve"> </v>
      </c>
      <c r="AU83" s="24">
        <f t="shared" si="119"/>
        <v>4.101</v>
      </c>
      <c r="AV83" s="24">
        <f t="shared" si="120"/>
        <v>3.6419999999999999</v>
      </c>
      <c r="AW83" s="24" t="str">
        <f t="shared" si="121"/>
        <v xml:space="preserve"> </v>
      </c>
      <c r="AX83" s="24" t="str">
        <f t="shared" si="122"/>
        <v xml:space="preserve"> </v>
      </c>
      <c r="AY83" s="89"/>
      <c r="AZ83" s="9">
        <f t="shared" si="131"/>
        <v>91</v>
      </c>
      <c r="BA83" s="11">
        <f t="shared" si="123"/>
        <v>3762</v>
      </c>
      <c r="BB83" s="11">
        <f>SUM(BA83:BA$96)</f>
        <v>15789</v>
      </c>
      <c r="BC83" s="10">
        <f t="shared" si="124"/>
        <v>4.1970000000000001</v>
      </c>
      <c r="BD83" s="10">
        <f t="shared" si="84"/>
        <v>3.7389999999999999</v>
      </c>
      <c r="BE83" s="89"/>
      <c r="BF83" s="9">
        <f t="shared" si="132"/>
        <v>74</v>
      </c>
      <c r="BG83" s="10" t="str">
        <f t="shared" si="85"/>
        <v/>
      </c>
      <c r="BH83" s="10" t="str">
        <f t="shared" si="86"/>
        <v/>
      </c>
      <c r="BI83" s="89"/>
      <c r="BJ83" s="9">
        <f t="shared" si="133"/>
        <v>91</v>
      </c>
      <c r="BK83" s="11" t="str">
        <f t="shared" si="87"/>
        <v xml:space="preserve"> </v>
      </c>
      <c r="BL83" s="11" t="str">
        <f>IF(BJ83&lt;RAF,SUM(BK83:INDEX(Daiy,RAF-BeginnAlter))," ")</f>
        <v xml:space="preserve"> </v>
      </c>
      <c r="BM83" s="11" t="str">
        <f>IF(BJ83&lt;RAF,SUM(BL83:INDEX(Naiy,RAF-BeginnAlter))," ")</f>
        <v xml:space="preserve"> </v>
      </c>
      <c r="BN83" s="10" t="str">
        <f t="shared" si="88"/>
        <v xml:space="preserve"> </v>
      </c>
      <c r="BO83" s="10" t="str">
        <f t="shared" si="89"/>
        <v xml:space="preserve"> </v>
      </c>
      <c r="BP83" s="89"/>
      <c r="BQ83" s="9">
        <f t="shared" si="134"/>
        <v>91</v>
      </c>
      <c r="BR83" s="11" t="str">
        <f t="shared" si="90"/>
        <v xml:space="preserve"> </v>
      </c>
      <c r="BS83" s="11" t="str">
        <f>IF(BQ83&lt;RAF,SUM(BR83:INDEX(Daiys,RAF-BeginnAlter))," ")</f>
        <v xml:space="preserve"> </v>
      </c>
      <c r="BT83" s="11" t="str">
        <f>IF(BQ83&lt;RAF,SUM(BS83:INDEX(Naiys,RAF-BeginnAlter))," ")</f>
        <v xml:space="preserve"> </v>
      </c>
      <c r="BU83" s="10" t="str">
        <f t="shared" si="91"/>
        <v xml:space="preserve"> </v>
      </c>
      <c r="BV83" s="10" t="str">
        <f t="shared" si="92"/>
        <v xml:space="preserve"> </v>
      </c>
      <c r="BW83" s="89"/>
      <c r="BX83" s="9">
        <f t="shared" si="135"/>
        <v>91</v>
      </c>
      <c r="BY83" s="10" t="str">
        <f t="shared" si="93"/>
        <v/>
      </c>
      <c r="BZ83" s="11" t="str">
        <f t="shared" si="94"/>
        <v/>
      </c>
      <c r="CA83" s="11" t="str">
        <f>IF(S84&lt;=RAK,IF($BX83&lt;RAF,SUM(BZ83:INDEX(Dazy,RAF-BeginnAlter)),""),"")</f>
        <v/>
      </c>
      <c r="CB83" s="10" t="str">
        <f t="shared" si="95"/>
        <v/>
      </c>
      <c r="CC83" s="11">
        <f t="shared" si="96"/>
        <v>0</v>
      </c>
      <c r="CD83" s="10">
        <f t="shared" si="97"/>
        <v>0</v>
      </c>
      <c r="CE83" s="10" t="str">
        <f t="shared" si="98"/>
        <v/>
      </c>
      <c r="CF83" s="89"/>
      <c r="CG83" s="9">
        <f t="shared" si="136"/>
        <v>91</v>
      </c>
      <c r="CH83" s="11" t="str">
        <f>IF(CG83&lt;RAF,ROUND(v^($CG83+FaktorAlter)*$H83*($B83*0.5*($P83+$P84)*(VLOOKUP(TRUNC(0.5*($Q83+$Q84),0),Männer!$AZ$9:$BD$95,5)+(0.5*($Q83+$Q84)-TRUNC(0.5*($Q83+$Q84),0))*(VLOOKUP(TRUNC(0.5*($Q83+$Q84)+1,0),Männer!$AZ$9:$BD$95,5)-VLOOKUP(TRUNC(0.5*($Q83+$Q84),0),Männer!$AZ$9:$BD$95,5)))+$C83*0.5*($CN83+$CN84)),RundDx),"")</f>
        <v/>
      </c>
      <c r="CI83" s="11" t="str">
        <f>IF(CG83&lt;RAF,ROUND(SUM(CH83:INDEX(Dawy,RAF-BeginnAlter))+INDEX(Day,RAF-BeginnAlter+1)*INDEX(äwy,1),RundDx),"")</f>
        <v/>
      </c>
      <c r="CJ83" s="11" t="str">
        <f>IF(CG83&lt;RAF,ROUND(SUM(CI83:INDEX(Nawy,RAF-BeginnAlter))+INDEX(Day,RAF-BeginnAlter+1)*INDEX(äwy,1),RundDx),"")</f>
        <v/>
      </c>
      <c r="CK83" s="10" t="str">
        <f t="shared" si="99"/>
        <v/>
      </c>
      <c r="CL83" s="11" t="str">
        <f>IF(CG83&lt;RAF,ROUND(v^($CG83+FaktorAlter)*$L83*$D83*0.5*($P83+$P84)*(VLOOKUP(TRUNC(0.5*($Q83+$Q84),0),Männer!$AZ$9:$BD$95,5)+(0.5*($Q83+$Q84)-TRUNC(0.5*($Q83+$Q84),0))*(VLOOKUP(TRUNC(0.5*($Q83+$Q84)+1,0),Männer!$AZ$9:$BD$95,5)-VLOOKUP(TRUNC(0.5*($Q83+$Q84),0),Männer!$AZ$9:$BD$95,5))),RundDx),"")</f>
        <v/>
      </c>
      <c r="CM83" s="11" t="str">
        <f>IF(CG83&lt;RAF,SUM(CL83:INDEX(Diwy,RAF-BeginnAlter))+INDEX(Diy,RAF-BeginnAlter+1)*INDEX(äwy,1),"")</f>
        <v/>
      </c>
      <c r="CN83" s="10" t="str">
        <f t="shared" si="100"/>
        <v/>
      </c>
      <c r="CO83" s="89"/>
      <c r="CP83" s="9">
        <f t="shared" si="146"/>
        <v>138</v>
      </c>
      <c r="CQ83" s="11"/>
      <c r="CR83" s="11"/>
      <c r="CS83" s="10"/>
      <c r="CT83" s="89"/>
      <c r="CU83" s="35">
        <f t="shared" si="137"/>
        <v>91</v>
      </c>
      <c r="CV83" s="25" t="str">
        <f>IF($CU83&gt;=RAF,"",IF($CU83-CV$103&lt;BeginnAlter,"",ROUND(v^($CU83+FaktorAlter)*$L83*$D83*0.5*(VLOOKUP($CU83-CV$103,Männer!$G$9:$J$102,4)+VLOOKUP($CU83-CV$103+1,Männer!$G$9:$J$102,4))*0.5*(VLOOKUP($CU83-CV$103,Männer!$AZ$9:$BD$102,5)+VLOOKUP($CU83-CV$103+1,Männer!$AZ$9:$BD$102,5)),RundDx)))</f>
        <v/>
      </c>
      <c r="CW83" s="25" t="str">
        <f>IF($CU83&gt;=RAF,"",IF($CU83-CW$103&lt;BeginnAlter,"",ROUND(v^($CU83+FaktorAlter)*$L83*$D83*0.5*(VLOOKUP($CU83-CW$103,Männer!$G$9:$J$102,4)+VLOOKUP($CU83-CW$103+1,Männer!$G$9:$J$102,4))*0.5*(VLOOKUP($CU83-CW$103,Männer!$AZ$9:$BD$102,5)+VLOOKUP($CU83-CW$103+1,Männer!$AZ$9:$BD$102,5)),RundDx)))</f>
        <v/>
      </c>
      <c r="CX83" s="25" t="str">
        <f>IF($CU83&gt;=RAF,"",IF($CU83-CX$103&lt;BeginnAlter,"",ROUND(v^($CU83+FaktorAlter)*$L83*$D83*0.5*(VLOOKUP($CU83-CX$103,Männer!$G$9:$J$102,4)+VLOOKUP($CU83-CX$103+1,Männer!$G$9:$J$102,4))*0.5*(VLOOKUP($CU83-CX$103,Männer!$AZ$9:$BD$102,5)+VLOOKUP($CU83-CX$103+1,Männer!$AZ$9:$BD$102,5)),RundDx)))</f>
        <v/>
      </c>
      <c r="CY83" s="25" t="str">
        <f>IF($CU83&gt;=RAF,"",IF($CU83-CY$103&lt;BeginnAlter,"",ROUND(v^($CU83+FaktorAlter)*$L83*$D83*0.5*(VLOOKUP($CU83-CY$103,Männer!$G$9:$J$102,4)+VLOOKUP($CU83-CY$103+1,Männer!$G$9:$J$102,4))*0.5*(VLOOKUP($CU83-CY$103,Männer!$AZ$9:$BD$102,5)+VLOOKUP($CU83-CY$103+1,Männer!$AZ$9:$BD$102,5)),RundDx)))</f>
        <v/>
      </c>
      <c r="CZ83" s="25" t="str">
        <f>IF($CU83&gt;=RAF,"",IF($CU83-CZ$103&lt;BeginnAlter,"",ROUND(v^($CU83+FaktorAlter)*$L83*$D83*0.5*(VLOOKUP($CU83-CZ$103,Männer!$G$9:$J$102,4)+VLOOKUP($CU83-CZ$103+1,Männer!$G$9:$J$102,4))*0.5*(VLOOKUP($CU83-CZ$103,Männer!$AZ$9:$BD$102,5)+VLOOKUP($CU83-CZ$103+1,Männer!$AZ$9:$BD$102,5)),RundDx)))</f>
        <v/>
      </c>
      <c r="DA83" s="25" t="str">
        <f>IF($CU83&gt;=RAF,"",IF($CU83-DA$103&lt;BeginnAlter,"",ROUND(v^($CU83+FaktorAlter)*$L83*$D83*0.5*(VLOOKUP($CU83-DA$103,Männer!$G$9:$J$102,4)+VLOOKUP($CU83-DA$103+1,Männer!$G$9:$J$102,4))*0.5*(VLOOKUP($CU83-DA$103,Männer!$AZ$9:$BD$102,5)+VLOOKUP($CU83-DA$103+1,Männer!$AZ$9:$BD$102,5)),RundDx)))</f>
        <v/>
      </c>
      <c r="DB83" s="25" t="str">
        <f>IF($CU83&gt;=RAF,"",IF($CU83-DB$103&lt;BeginnAlter,"",ROUND(v^($CU83+FaktorAlter)*$L83*$D83*0.5*(VLOOKUP($CU83-DB$103,Männer!$G$9:$J$102,4)+VLOOKUP($CU83-DB$103+1,Männer!$G$9:$J$102,4))*0.5*(VLOOKUP($CU83-DB$103,Männer!$AZ$9:$BD$102,5)+VLOOKUP($CU83-DB$103+1,Männer!$AZ$9:$BD$102,5)),RundDx)))</f>
        <v/>
      </c>
      <c r="DC83" s="25" t="str">
        <f>IF($CU83&gt;=RAF,"",IF($CU83-DC$103&lt;BeginnAlter,"",ROUND(v^($CU83+FaktorAlter)*$L83*$D83*0.5*(VLOOKUP($CU83-DC$103,Männer!$G$9:$J$102,4)+VLOOKUP($CU83-DC$103+1,Männer!$G$9:$J$102,4))*0.5*(VLOOKUP($CU83-DC$103,Männer!$AZ$9:$BD$102,5)+VLOOKUP($CU83-DC$103+1,Männer!$AZ$9:$BD$102,5)),RundDx)))</f>
        <v/>
      </c>
      <c r="DD83" s="25" t="str">
        <f>IF($CU83&gt;=RAF,"",IF($CU83-DD$103&lt;BeginnAlter,"",ROUND(v^($CU83+FaktorAlter)*$L83*$D83*0.5*(VLOOKUP($CU83-DD$103,Männer!$G$9:$J$102,4)+VLOOKUP($CU83-DD$103+1,Männer!$G$9:$J$102,4))*0.5*(VLOOKUP($CU83-DD$103,Männer!$AZ$9:$BD$102,5)+VLOOKUP($CU83-DD$103+1,Männer!$AZ$9:$BD$102,5)),RundDx)))</f>
        <v/>
      </c>
      <c r="DE83" s="25" t="str">
        <f>IF($CU83&gt;=RAF,"",IF($CU83-DE$103&lt;BeginnAlter,"",ROUND(v^($CU83+FaktorAlter)*$L83*$D83*0.5*(VLOOKUP($CU83-DE$103,Männer!$G$9:$J$102,4)+VLOOKUP($CU83-DE$103+1,Männer!$G$9:$J$102,4))*0.5*(VLOOKUP($CU83-DE$103,Männer!$AZ$9:$BD$102,5)+VLOOKUP($CU83-DE$103+1,Männer!$AZ$9:$BD$102,5)),RundDx)))</f>
        <v/>
      </c>
      <c r="DF83" s="25" t="str">
        <f>IF($CU83&gt;=RAF,"",IF($CU83-DF$103&lt;BeginnAlter,"",ROUND(v^($CU83+FaktorAlter)*$L83*$D83*0.5*(VLOOKUP($CU83-DF$103,Männer!$G$9:$J$102,4)+VLOOKUP($CU83-DF$103+1,Männer!$G$9:$J$102,4))*0.5*(VLOOKUP($CU83-DF$103,Männer!$AZ$9:$BD$102,5)+VLOOKUP($CU83-DF$103+1,Männer!$AZ$9:$BD$102,5)),RundDx)))</f>
        <v/>
      </c>
      <c r="DG83" s="25" t="str">
        <f>IF($CU83&gt;=RAF,"",IF($CU83-DG$103&lt;BeginnAlter,"",ROUND(v^($CU83+FaktorAlter)*$L83*$D83*0.5*(VLOOKUP($CU83-DG$103,Männer!$G$9:$J$102,4)+VLOOKUP($CU83-DG$103+1,Männer!$G$9:$J$102,4))*0.5*(VLOOKUP($CU83-DG$103,Männer!$AZ$9:$BD$102,5)+VLOOKUP($CU83-DG$103+1,Männer!$AZ$9:$BD$102,5)),RundDx)))</f>
        <v/>
      </c>
      <c r="DH83" s="25" t="str">
        <f>IF($CU83&gt;=RAF,"",IF($CU83-DH$103&lt;BeginnAlter,"",ROUND(v^($CU83+FaktorAlter)*$L83*$D83*0.5*(VLOOKUP($CU83-DH$103,Männer!$G$9:$J$102,4)+VLOOKUP($CU83-DH$103+1,Männer!$G$9:$J$102,4))*0.5*(VLOOKUP($CU83-DH$103,Männer!$AZ$9:$BD$102,5)+VLOOKUP($CU83-DH$103+1,Männer!$AZ$9:$BD$102,5)),RundDx)))</f>
        <v/>
      </c>
      <c r="DI83" s="25" t="str">
        <f>IF($CU83&gt;=RAF,"",IF($CU83-DI$103&lt;BeginnAlter,"",ROUND(v^($CU83+FaktorAlter)*$L83*$D83*0.5*(VLOOKUP($CU83-DI$103,Männer!$G$9:$J$102,4)+VLOOKUP($CU83-DI$103+1,Männer!$G$9:$J$102,4))*0.5*(VLOOKUP($CU83-DI$103,Männer!$AZ$9:$BD$102,5)+VLOOKUP($CU83-DI$103+1,Männer!$AZ$9:$BD$102,5)),RundDx)))</f>
        <v/>
      </c>
      <c r="DJ83" s="25" t="str">
        <f>IF($CU83&gt;=RAF,"",IF($CU83-DJ$103&lt;BeginnAlter,"",ROUND(v^($CU83+FaktorAlter)*$L83*$D83*0.5*(VLOOKUP($CU83-DJ$103,Männer!$G$9:$J$102,4)+VLOOKUP($CU83-DJ$103+1,Männer!$G$9:$J$102,4))*0.5*(VLOOKUP($CU83-DJ$103,Männer!$AZ$9:$BD$102,5)+VLOOKUP($CU83-DJ$103+1,Männer!$AZ$9:$BD$102,5)),RundDx)))</f>
        <v/>
      </c>
      <c r="DK83" s="25" t="str">
        <f>IF($CU83&gt;=RAF,"",IF($CU83-DK$103&lt;BeginnAlter,"",ROUND(v^($CU83+FaktorAlter)*$L83*$D83*0.5*(VLOOKUP($CU83-DK$103,Männer!$G$9:$J$102,4)+VLOOKUP($CU83-DK$103+1,Männer!$G$9:$J$102,4))*0.5*(VLOOKUP($CU83-DK$103,Männer!$AZ$9:$BD$102,5)+VLOOKUP($CU83-DK$103+1,Männer!$AZ$9:$BD$102,5)),RundDx)))</f>
        <v/>
      </c>
      <c r="DL83" s="25" t="str">
        <f>IF($CU83&gt;=RAF,"",IF($CU83-DL$103&lt;BeginnAlter,"",ROUND(v^($CU83+FaktorAlter)*$L83*$D83*0.5*(VLOOKUP($CU83-DL$103,Männer!$G$9:$J$102,4)+VLOOKUP($CU83-DL$103+1,Männer!$G$9:$J$102,4))*0.5*(VLOOKUP($CU83-DL$103,Männer!$AZ$9:$BD$102,5)+VLOOKUP($CU83-DL$103+1,Männer!$AZ$9:$BD$102,5)),RundDx)))</f>
        <v/>
      </c>
      <c r="DM83" s="25" t="str">
        <f>IF($CU83&gt;=RAF,"",IF($CU83-DM$103&lt;BeginnAlter,"",ROUND(v^($CU83+FaktorAlter)*$L83*$D83*0.5*(VLOOKUP($CU83-DM$103,Männer!$G$9:$J$102,4)+VLOOKUP($CU83-DM$103+1,Männer!$G$9:$J$102,4))*0.5*(VLOOKUP($CU83-DM$103,Männer!$AZ$9:$BD$102,5)+VLOOKUP($CU83-DM$103+1,Männer!$AZ$9:$BD$102,5)),RundDx)))</f>
        <v/>
      </c>
      <c r="DN83" s="25" t="str">
        <f>IF($CU83&gt;=RAF,"",IF($CU83-DN$103&lt;BeginnAlter,"",ROUND(v^($CU83+FaktorAlter)*$L83*$D83*0.5*(VLOOKUP($CU83-DN$103,Männer!$G$9:$J$102,4)+VLOOKUP($CU83-DN$103+1,Männer!$G$9:$J$102,4))*0.5*(VLOOKUP($CU83-DN$103,Männer!$AZ$9:$BD$102,5)+VLOOKUP($CU83-DN$103+1,Männer!$AZ$9:$BD$102,5)),RundDx)))</f>
        <v/>
      </c>
      <c r="DO83" s="25" t="str">
        <f>IF($CU83&gt;=RAF,"",IF($CU83-DO$103&lt;BeginnAlter,"",ROUND(v^($CU83+FaktorAlter)*$L83*$D83*0.5*(VLOOKUP($CU83-DO$103,Männer!$G$9:$J$102,4)+VLOOKUP($CU83-DO$103+1,Männer!$G$9:$J$102,4))*0.5*(VLOOKUP($CU83-DO$103,Männer!$AZ$9:$BD$102,5)+VLOOKUP($CU83-DO$103+1,Männer!$AZ$9:$BD$102,5)),RundDx)))</f>
        <v/>
      </c>
      <c r="DP83" s="25" t="str">
        <f>IF($CU83&gt;=RAF,"",IF($CU83-DP$103&lt;BeginnAlter,"",ROUND(v^($CU83+FaktorAlter)*$L83*$D83*0.5*(VLOOKUP($CU83-DP$103,Männer!$G$9:$J$102,4)+VLOOKUP($CU83-DP$103+1,Männer!$G$9:$J$102,4))*0.5*(VLOOKUP($CU83-DP$103,Männer!$AZ$9:$BD$102,5)+VLOOKUP($CU83-DP$103+1,Männer!$AZ$9:$BD$102,5)),RundDx)))</f>
        <v/>
      </c>
      <c r="DQ83" s="25" t="str">
        <f>IF($CU83&gt;=RAF,"",IF($CU83-DQ$103&lt;BeginnAlter,"",ROUND(v^($CU83+FaktorAlter)*$L83*$D83*0.5*(VLOOKUP($CU83-DQ$103,Männer!$G$9:$J$102,4)+VLOOKUP($CU83-DQ$103+1,Männer!$G$9:$J$102,4))*0.5*(VLOOKUP($CU83-DQ$103,Männer!$AZ$9:$BD$102,5)+VLOOKUP($CU83-DQ$103+1,Männer!$AZ$9:$BD$102,5)),RundDx)))</f>
        <v/>
      </c>
      <c r="DR83" s="25" t="str">
        <f>IF($CU83&gt;=RAF,"",IF($CU83-DR$103&lt;BeginnAlter,"",ROUND(v^($CU83+FaktorAlter)*$L83*$D83*0.5*(VLOOKUP($CU83-DR$103,Männer!$G$9:$J$102,4)+VLOOKUP($CU83-DR$103+1,Männer!$G$9:$J$102,4))*0.5*(VLOOKUP($CU83-DR$103,Männer!$AZ$9:$BD$102,5)+VLOOKUP($CU83-DR$103+1,Männer!$AZ$9:$BD$102,5)),RundDx)))</f>
        <v/>
      </c>
      <c r="DS83" s="25" t="str">
        <f>IF($CU83&gt;=RAF,"",IF($CU83-DS$103&lt;BeginnAlter,"",ROUND(v^($CU83+FaktorAlter)*$L83*$D83*0.5*(VLOOKUP($CU83-DS$103,Männer!$G$9:$J$102,4)+VLOOKUP($CU83-DS$103+1,Männer!$G$9:$J$102,4))*0.5*(VLOOKUP($CU83-DS$103,Männer!$AZ$9:$BD$102,5)+VLOOKUP($CU83-DS$103+1,Männer!$AZ$9:$BD$102,5)),RundDx)))</f>
        <v/>
      </c>
      <c r="DT83" s="25" t="str">
        <f>IF($CU83&gt;=RAF,"",IF($CU83-DT$103&lt;BeginnAlter,"",ROUND(v^($CU83+FaktorAlter)*$L83*$D83*0.5*(VLOOKUP($CU83-DT$103,Männer!$G$9:$J$102,4)+VLOOKUP($CU83-DT$103+1,Männer!$G$9:$J$102,4))*0.5*(VLOOKUP($CU83-DT$103,Männer!$AZ$9:$BD$102,5)+VLOOKUP($CU83-DT$103+1,Männer!$AZ$9:$BD$102,5)),RundDx)))</f>
        <v/>
      </c>
      <c r="DU83" s="25" t="str">
        <f>IF($CU83&gt;=RAF,"",IF($CU83-DU$103&lt;BeginnAlter,"",ROUND(v^($CU83+FaktorAlter)*$L83*$D83*0.5*(VLOOKUP($CU83-DU$103,Männer!$G$9:$J$102,4)+VLOOKUP($CU83-DU$103+1,Männer!$G$9:$J$102,4))*0.5*(VLOOKUP($CU83-DU$103,Männer!$AZ$9:$BD$102,5)+VLOOKUP($CU83-DU$103+1,Männer!$AZ$9:$BD$102,5)),RundDx)))</f>
        <v/>
      </c>
      <c r="DV83" s="25" t="str">
        <f>IF($CU83&gt;=RAF,"",IF($CU83-DV$103&lt;BeginnAlter,"",ROUND(v^($CU83+FaktorAlter)*$L83*$D83*0.5*(VLOOKUP($CU83-DV$103,Männer!$G$9:$J$102,4)+VLOOKUP($CU83-DV$103+1,Männer!$G$9:$J$102,4))*0.5*(VLOOKUP($CU83-DV$103,Männer!$AZ$9:$BD$102,5)+VLOOKUP($CU83-DV$103+1,Männer!$AZ$9:$BD$102,5)),RundDx)))</f>
        <v/>
      </c>
      <c r="DW83" s="25" t="str">
        <f>IF($CU83&gt;=RAF,"",IF($CU83-DW$103&lt;BeginnAlter,"",ROUND(v^($CU83+FaktorAlter)*$L83*$D83*0.5*(VLOOKUP($CU83-DW$103,Männer!$G$9:$J$102,4)+VLOOKUP($CU83-DW$103+1,Männer!$G$9:$J$102,4))*0.5*(VLOOKUP($CU83-DW$103,Männer!$AZ$9:$BD$102,5)+VLOOKUP($CU83-DW$103+1,Männer!$AZ$9:$BD$102,5)),RundDx)))</f>
        <v/>
      </c>
      <c r="DX83" s="25" t="str">
        <f>IF($CU83&gt;=RAF,"",IF($CU83-DX$103&lt;BeginnAlter,"",ROUND(v^($CU83+FaktorAlter)*$L83*$D83*0.5*(VLOOKUP($CU83-DX$103,Männer!$G$9:$J$102,4)+VLOOKUP($CU83-DX$103+1,Männer!$G$9:$J$102,4))*0.5*(VLOOKUP($CU83-DX$103,Männer!$AZ$9:$BD$102,5)+VLOOKUP($CU83-DX$103+1,Männer!$AZ$9:$BD$102,5)),RundDx)))</f>
        <v/>
      </c>
      <c r="DY83" s="25" t="str">
        <f>IF($CU83&gt;=RAF,"",IF($CU83-DY$103&lt;BeginnAlter,"",ROUND(v^($CU83+FaktorAlter)*$L83*$D83*0.5*(VLOOKUP($CU83-DY$103,Männer!$G$9:$J$102,4)+VLOOKUP($CU83-DY$103+1,Männer!$G$9:$J$102,4))*0.5*(VLOOKUP($CU83-DY$103,Männer!$AZ$9:$BD$102,5)+VLOOKUP($CU83-DY$103+1,Männer!$AZ$9:$BD$102,5)),RundDx)))</f>
        <v/>
      </c>
      <c r="DZ83" s="25" t="str">
        <f>IF($CU83&gt;=RAF,"",IF($CU83-DZ$103&lt;BeginnAlter,"",ROUND(v^($CU83+FaktorAlter)*$L83*$D83*0.5*(VLOOKUP($CU83-DZ$103,Männer!$G$9:$J$102,4)+VLOOKUP($CU83-DZ$103+1,Männer!$G$9:$J$102,4))*0.5*(VLOOKUP($CU83-DZ$103,Männer!$AZ$9:$BD$102,5)+VLOOKUP($CU83-DZ$103+1,Männer!$AZ$9:$BD$102,5)),RundDx)))</f>
        <v/>
      </c>
      <c r="EA83" s="43" t="str">
        <f>IF($CU83&gt;=RAF,"",IF($CU83-EA$103&lt;BeginnAlter,"",ROUND((SUM(CV$56:CV83)+SUM(FN$9:FN$56))/VLOOKUP($CU83,$AH$9:$AI$102,2)/VLOOKUP($CU83-EA$103,Männer!$G$9:$J$102,4),Rundäx)))</f>
        <v/>
      </c>
      <c r="EB83" s="43" t="str">
        <f>IF($CU83&gt;=RAF,"",IF($CU83-EB$103&lt;BeginnAlter,"",ROUND((SUM(CW$56:CW83)+SUM(FO$9:FO$56))/VLOOKUP($CU83,$AH$9:$AI$102,2)/VLOOKUP($CU83-EB$103,Männer!$G$9:$J$102,4),Rundäx)))</f>
        <v/>
      </c>
      <c r="EC83" s="43" t="str">
        <f>IF($CU83&gt;=RAF,"",IF($CU83-EC$103&lt;BeginnAlter,"",ROUND((SUM(CX$56:CX83)+SUM(FP$9:FP$56))/VLOOKUP($CU83,$AH$9:$AI$102,2)/VLOOKUP($CU83-EC$103,Männer!$G$9:$J$102,4),Rundäx)))</f>
        <v/>
      </c>
      <c r="ED83" s="43" t="str">
        <f>IF($CU83&gt;=RAF,"",IF($CU83-ED$103&lt;BeginnAlter,"",ROUND((SUM(CY$56:CY83)+SUM(FQ$9:FQ$56))/VLOOKUP($CU83,$AH$9:$AI$102,2)/VLOOKUP($CU83-ED$103,Männer!$G$9:$J$102,4),Rundäx)))</f>
        <v/>
      </c>
      <c r="EE83" s="43" t="str">
        <f>IF($CU83&gt;=RAF,"",IF($CU83-EE$103&lt;BeginnAlter,"",ROUND((SUM(CZ$56:CZ83)+SUM(FR$9:FR$56))/VLOOKUP($CU83,$AH$9:$AI$102,2)/VLOOKUP($CU83-EE$103,Männer!$G$9:$J$102,4),Rundäx)))</f>
        <v/>
      </c>
      <c r="EF83" s="43" t="str">
        <f>IF($CU83&gt;=RAF,"",IF($CU83-EF$103&lt;BeginnAlter,"",ROUND((SUM(DA$56:DA83)+SUM(FS$9:FS$56))/VLOOKUP($CU83,$AH$9:$AI$102,2)/VLOOKUP($CU83-EF$103,Männer!$G$9:$J$102,4),Rundäx)))</f>
        <v/>
      </c>
      <c r="EG83" s="43" t="str">
        <f>IF($CU83&gt;=RAF,"",IF($CU83-EG$103&lt;BeginnAlter,"",ROUND((SUM(DB$56:DB83)+SUM(FT$9:FT$56))/VLOOKUP($CU83,$AH$9:$AI$102,2)/VLOOKUP($CU83-EG$103,Männer!$G$9:$J$102,4),Rundäx)))</f>
        <v/>
      </c>
      <c r="EH83" s="43" t="str">
        <f>IF($CU83&gt;=RAF,"",IF($CU83-EH$103&lt;BeginnAlter,"",ROUND((SUM(DC$56:DC83)+SUM(FU$9:FU$56))/VLOOKUP($CU83,$AH$9:$AI$102,2)/VLOOKUP($CU83-EH$103,Männer!$G$9:$J$102,4),Rundäx)))</f>
        <v/>
      </c>
      <c r="EI83" s="89"/>
      <c r="EJ83" s="35">
        <f t="shared" si="138"/>
        <v>91</v>
      </c>
      <c r="EK83" s="43" t="str">
        <f>IF($CU83&gt;=RAF,"",IF($CU83-EK$103&lt;BeginnAlter,"",ROUND((SUM(DD$56:DD83)+SUM(FV$9:FV$56))/VLOOKUP($CU83,$AH$9:$AI$102,2)/VLOOKUP($CU83-EK$103,Männer!$G$9:$J$102,4),Rundäx)))</f>
        <v/>
      </c>
      <c r="EL83" s="43" t="str">
        <f>IF($CU83&gt;=RAF,"",IF($CU83-EL$103&lt;BeginnAlter,"",ROUND((SUM(DE$56:DE83)+SUM(FW$9:FW$56))/VLOOKUP($CU83,$AH$9:$AI$102,2)/VLOOKUP($CU83-EL$103,Männer!$G$9:$J$102,4),Rundäx)))</f>
        <v/>
      </c>
      <c r="EM83" s="43" t="str">
        <f>IF($CU83&gt;=RAF,"",IF($CU83-EM$103&lt;BeginnAlter,"",ROUND((SUM(DF$56:DF83)+SUM(FX$9:FX$56))/VLOOKUP($CU83,$AH$9:$AI$102,2)/VLOOKUP($CU83-EM$103,Männer!$G$9:$J$102,4),Rundäx)))</f>
        <v/>
      </c>
      <c r="EN83" s="43" t="str">
        <f>IF($CU83&gt;=RAF,"",IF($CU83-EN$103&lt;BeginnAlter,"",ROUND((SUM(DG$56:DG83)+SUM(FY$9:FY$56))/VLOOKUP($CU83,$AH$9:$AI$102,2)/VLOOKUP($CU83-EN$103,Männer!$G$9:$J$102,4),Rundäx)))</f>
        <v/>
      </c>
      <c r="EO83" s="43" t="str">
        <f>IF($CU83&gt;=RAF,"",IF($CU83-EO$103&lt;BeginnAlter,"",ROUND((SUM(DH$56:DH83)+SUM(FZ$9:FZ$56))/VLOOKUP($CU83,$AH$9:$AI$102,2)/VLOOKUP($CU83-EO$103,Männer!$G$9:$J$102,4),Rundäx)))</f>
        <v/>
      </c>
      <c r="EP83" s="43" t="str">
        <f>IF($CU83&gt;=RAF,"",IF($CU83-EP$103&lt;BeginnAlter,"",ROUND((SUM(DI$56:DI83)+SUM(GA$9:GA$56))/VLOOKUP($CU83,$AH$9:$AI$102,2)/VLOOKUP($CU83-EP$103,Männer!$G$9:$J$102,4),Rundäx)))</f>
        <v/>
      </c>
      <c r="EQ83" s="43" t="str">
        <f>IF($CU83&gt;=RAF,"",IF($CU83-EQ$103&lt;BeginnAlter,"",ROUND((SUM(DJ$56:DJ83)+SUM(GB$9:GB$56))/VLOOKUP($CU83,$AH$9:$AI$102,2)/VLOOKUP($CU83-EQ$103,Männer!$G$9:$J$102,4),Rundäx)))</f>
        <v/>
      </c>
      <c r="ER83" s="43" t="str">
        <f>IF($CU83&gt;=RAF,"",IF($CU83-ER$103&lt;BeginnAlter,"",ROUND((SUM(DK$56:DK83)+SUM(GC$9:GC$56))/VLOOKUP($CU83,$AH$9:$AI$102,2)/VLOOKUP($CU83-ER$103,Männer!$G$9:$J$102,4),Rundäx)))</f>
        <v/>
      </c>
      <c r="ES83" s="89"/>
      <c r="ET83" s="35">
        <f t="shared" si="139"/>
        <v>91</v>
      </c>
      <c r="EU83" s="43" t="str">
        <f>IF($CU83&gt;=RAF,"",IF($CU83-EU$103&lt;BeginnAlter,"",ROUND((SUM(DL$56:DL83)+SUM(GD$9:GD$56))/VLOOKUP($CU83,$AH$9:$AI$102,2)/VLOOKUP($CU83-EU$103,Männer!$G$9:$J$102,4),Rundäx)))</f>
        <v/>
      </c>
      <c r="EV83" s="43" t="str">
        <f>IF($CU83&gt;=RAF,"",IF($CU83-EV$103&lt;BeginnAlter,"",ROUND((SUM(DM$56:DM83)+SUM(GE$9:GE$56))/VLOOKUP($CU83,$AH$9:$AI$102,2)/VLOOKUP($CU83-EV$103,Männer!$G$9:$J$102,4),Rundäx)))</f>
        <v/>
      </c>
      <c r="EW83" s="43" t="str">
        <f>IF($CU83&gt;=RAF,"",IF($CU83-EW$103&lt;BeginnAlter,"",ROUND((SUM(DN$56:DN83)+SUM(GF$9:GF$56))/VLOOKUP($CU83,$AH$9:$AI$102,2)/VLOOKUP($CU83-EW$103,Männer!$G$9:$J$102,4),Rundäx)))</f>
        <v/>
      </c>
      <c r="EX83" s="43" t="str">
        <f>IF($CU83&gt;=RAF,"",IF($CU83-EX$103&lt;BeginnAlter,"",ROUND((SUM(DO$56:DO83)+SUM(GG$9:GG$56))/VLOOKUP($CU83,$AH$9:$AI$102,2)/VLOOKUP($CU83-EX$103,Männer!$G$9:$J$102,4),Rundäx)))</f>
        <v/>
      </c>
      <c r="EY83" s="43" t="str">
        <f>IF($CU83&gt;=RAF,"",IF($CU83-EY$103&lt;BeginnAlter,"",ROUND((SUM(DP$56:DP83)+SUM(GH$9:GH$56))/VLOOKUP($CU83,$AH$9:$AI$102,2)/VLOOKUP($CU83-EY$103,Männer!$G$9:$J$102,4),Rundäx)))</f>
        <v/>
      </c>
      <c r="EZ83" s="43" t="str">
        <f>IF($CU83&gt;=RAF,"",IF($CU83-EZ$103&lt;BeginnAlter,"",ROUND((SUM(DQ$56:DQ83)+SUM(GI$9:GI$56))/VLOOKUP($CU83,$AH$9:$AI$102,2)/VLOOKUP($CU83-EZ$103,Männer!$G$9:$J$102,4),Rundäx)))</f>
        <v/>
      </c>
      <c r="FA83" s="43" t="str">
        <f>IF($CU83&gt;=RAF,"",IF($CU83-FA$103&lt;BeginnAlter,"",ROUND((SUM(DR$56:DR83)+SUM(GJ$9:GJ$56))/VLOOKUP($CU83,$AH$9:$AI$102,2)/VLOOKUP($CU83-FA$103,Männer!$G$9:$J$102,4),Rundäx)))</f>
        <v/>
      </c>
      <c r="FB83" s="43" t="str">
        <f>IF($CU83&gt;=RAF,"",IF($CU83-FB$103&lt;BeginnAlter,"",ROUND((SUM(DS$56:DS83)+SUM(GK$9:GK$56))/VLOOKUP($CU83,$AH$9:$AI$102,2)/VLOOKUP($CU83-FB$103,Männer!$G$9:$J$102,4),Rundäx)))</f>
        <v/>
      </c>
      <c r="FC83" s="89"/>
      <c r="FD83" s="35">
        <f t="shared" si="140"/>
        <v>91</v>
      </c>
      <c r="FE83" s="43" t="str">
        <f>IF($CU83&gt;=RAF,"",IF($CU83-FE$103&lt;BeginnAlter,"",ROUND((SUM(DT$56:DT83)+SUM(GL$9:GL$56))/VLOOKUP($CU83,$AH$9:$AI$102,2)/VLOOKUP($CU83-FE$103,Männer!$G$9:$J$102,4),Rundäx)))</f>
        <v/>
      </c>
      <c r="FF83" s="43" t="str">
        <f>IF($CU83&gt;=RAF,"",IF($CU83-FF$103&lt;BeginnAlter,"",ROUND((SUM(DU$56:DU83)+SUM(GM$9:GM$56))/VLOOKUP($CU83,$AH$9:$AI$102,2)/VLOOKUP($CU83-FF$103,Männer!$G$9:$J$102,4),Rundäx)))</f>
        <v/>
      </c>
      <c r="FG83" s="43" t="str">
        <f>IF($CU83&gt;=RAF,"",IF($CU83-FG$103&lt;BeginnAlter,"",ROUND((SUM(DV$56:DV83)+SUM(GN$9:GN$56))/VLOOKUP($CU83,$AH$9:$AI$102,2)/VLOOKUP($CU83-FG$103,Männer!$G$9:$J$102,4),Rundäx)))</f>
        <v/>
      </c>
      <c r="FH83" s="43" t="str">
        <f>IF($CU83&gt;=RAF,"",IF($CU83-FH$103&lt;BeginnAlter,"",ROUND((SUM(DW$56:DW83)+SUM(GO$9:GO$56))/VLOOKUP($CU83,$AH$9:$AI$102,2)/VLOOKUP($CU83-FH$103,Männer!$G$9:$J$102,4),Rundäx)))</f>
        <v/>
      </c>
      <c r="FI83" s="43" t="str">
        <f>IF($CU83&gt;=RAF,"",IF($CU83-FI$103&lt;BeginnAlter,"",ROUND((SUM(DX$56:DX83)+SUM(GP$9:GP$56))/VLOOKUP($CU83,$AH$9:$AI$102,2)/VLOOKUP($CU83-FI$103,Männer!$G$9:$J$102,4),Rundäx)))</f>
        <v/>
      </c>
      <c r="FJ83" s="43" t="str">
        <f>IF($CU83&gt;=RAF,"",IF($CU83-FJ$103&lt;BeginnAlter,"",ROUND((SUM(DY$56:DY83)+SUM(GQ$9:GQ$56))/VLOOKUP($CU83,$AH$9:$AI$102,2)/VLOOKUP($CU83-FJ$103,Männer!$G$9:$J$102,4),Rundäx)))</f>
        <v/>
      </c>
      <c r="FK83" s="43" t="str">
        <f>IF($CU83&gt;=RAF,"",IF($CU83-FK$103&lt;BeginnAlter,"",ROUND((SUM(DZ$56:DZ83)+SUM(GR$9:GR$56))/VLOOKUP($CU83,$AH$9:$AI$102,2)/VLOOKUP($CU83-FK$103,Männer!$G$9:$J$102,4),Rundäx)))</f>
        <v/>
      </c>
      <c r="FL83" s="89"/>
      <c r="FM83" s="35">
        <f t="shared" si="141"/>
        <v>138</v>
      </c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4"/>
      <c r="GT83" s="24"/>
      <c r="GU83" s="24" t="str">
        <f>IF(FM83&gt;=RAF," ",#REF!/$AI83/Frauen!$J71)</f>
        <v xml:space="preserve"> </v>
      </c>
      <c r="GV83" s="24" t="str">
        <f>IF(FM83&gt;=RAF," ",#REF!/$AI83/Frauen!$J74)</f>
        <v xml:space="preserve"> </v>
      </c>
      <c r="GW83" s="24" t="str">
        <f>IF(FM83&gt;=RAF," ",#REF!/$AI83/Frauen!$J77)</f>
        <v xml:space="preserve"> </v>
      </c>
      <c r="GX83" s="24" t="str">
        <f>IF(FM83&gt;=RAF," ",#REF!/$AI83/Frauen!$J80)</f>
        <v xml:space="preserve"> </v>
      </c>
      <c r="GY83" s="24" t="str">
        <f>IF(FM83&gt;=RAF," ",#REF!/$AI83/Frauen!$J83)</f>
        <v xml:space="preserve"> </v>
      </c>
      <c r="GZ83" s="24" t="str">
        <f>IF(FM83&gt;=RAF," ",#REF!/$AI83/Frauen!$J86)</f>
        <v xml:space="preserve"> </v>
      </c>
      <c r="HA83" s="89"/>
      <c r="HB83" s="35">
        <f t="shared" si="142"/>
        <v>138</v>
      </c>
      <c r="HC83" s="24"/>
      <c r="HD83" s="24"/>
      <c r="HE83" s="24"/>
      <c r="HF83" s="24"/>
      <c r="HG83" s="24"/>
      <c r="HH83" s="24"/>
      <c r="HI83" s="24"/>
      <c r="HJ83" s="24"/>
      <c r="HK83" s="89"/>
      <c r="HL83" s="35">
        <f t="shared" si="143"/>
        <v>138</v>
      </c>
      <c r="HM83" s="24"/>
      <c r="HN83" s="24"/>
      <c r="HO83" s="24"/>
      <c r="HP83" s="24"/>
      <c r="HQ83" s="24"/>
      <c r="HR83" s="24"/>
      <c r="HS83" s="24"/>
      <c r="HT83" s="24"/>
      <c r="HU83" s="89"/>
      <c r="HV83" s="35">
        <f t="shared" si="144"/>
        <v>138</v>
      </c>
      <c r="HW83" s="24"/>
      <c r="HX83" s="24"/>
      <c r="HY83" s="24"/>
      <c r="HZ83" s="24"/>
      <c r="IA83" s="24"/>
      <c r="IB83" s="24"/>
      <c r="IC83" s="24"/>
      <c r="ID83" s="89"/>
      <c r="IE83" s="9">
        <f t="shared" si="145"/>
        <v>91</v>
      </c>
      <c r="IF83" s="11" t="str">
        <f t="shared" si="101"/>
        <v/>
      </c>
      <c r="IG83" s="11" t="str">
        <f>IF($IE83&lt;RAF,IF(S84&lt;=RAK,ROUND(SUM(IF83:INDEX(Daky,RAF-BeginnAlter))+INDEX(Day,RAF-BeginnAlter+1)*INDEX(äky,1),RundDx),0),"")</f>
        <v/>
      </c>
      <c r="IH83" s="11" t="str">
        <f>IF($IE83&lt;RAF,IF(S84&lt;=RAK,ROUND(SUM(IG83:INDEX(Naky,RAF-BeginnAlter))+INDEX(Day,RAF-BeginnAlter+1)*INDEX(äky,1),RundDx),0),"")</f>
        <v/>
      </c>
      <c r="II83" s="10" t="str">
        <f t="shared" si="102"/>
        <v/>
      </c>
      <c r="IJ83" s="11" t="str">
        <f t="shared" si="103"/>
        <v/>
      </c>
      <c r="IK83" s="11" t="str">
        <f>IF($IE83&lt;RAF,IF(S84&lt;=RAK,SUM(IJ83:INDEX(Diky,RAF-BeginnAlter))+INDEX(Diy,RAF-BeginnAlter+1)*INDEX(äky,1),0),"")</f>
        <v/>
      </c>
      <c r="IL83" s="10" t="str">
        <f t="shared" si="104"/>
        <v/>
      </c>
      <c r="IM83" s="89"/>
      <c r="IN83" s="9">
        <f t="shared" si="105"/>
        <v>138</v>
      </c>
      <c r="IO83" s="11"/>
      <c r="IP83" s="11"/>
      <c r="IQ83" s="10"/>
      <c r="IR83" s="86"/>
    </row>
    <row r="84" spans="1:252" ht="15.75" customHeight="1" x14ac:dyDescent="0.25">
      <c r="A84" s="9">
        <f t="shared" si="125"/>
        <v>92</v>
      </c>
      <c r="B84" s="93"/>
      <c r="C84" s="93"/>
      <c r="D84" s="93"/>
      <c r="E84" s="93">
        <v>0.188235551811266</v>
      </c>
      <c r="F84" s="89"/>
      <c r="G84" s="9">
        <f t="shared" si="126"/>
        <v>92</v>
      </c>
      <c r="H84" s="11" t="str">
        <f t="shared" si="106"/>
        <v/>
      </c>
      <c r="I84" s="25" t="str">
        <f t="shared" si="107"/>
        <v/>
      </c>
      <c r="J84" s="25">
        <f t="shared" si="108"/>
        <v>20296</v>
      </c>
      <c r="K84" s="30">
        <f>IF(J84&gt;0,ROUND(SUM(J84:J$102)/J84-0.5,Rundex),"")</f>
        <v>3.52</v>
      </c>
      <c r="L84" s="25">
        <f t="shared" si="83"/>
        <v>20296</v>
      </c>
      <c r="M84" s="30">
        <f>IF(L84&gt;0,ROUND(SUM(L84:L$102)/L84-0.5,Rundex),"")</f>
        <v>3.52</v>
      </c>
      <c r="N84" s="89"/>
      <c r="O84" s="9">
        <f t="shared" si="127"/>
        <v>92</v>
      </c>
      <c r="P84" s="94">
        <v>4.3653992068153173E-3</v>
      </c>
      <c r="Q84" s="95">
        <v>91.956456400924679</v>
      </c>
      <c r="R84" s="94"/>
      <c r="S84" s="95"/>
      <c r="T84" s="28">
        <v>0.17323705618379487</v>
      </c>
      <c r="U84" s="11">
        <f t="shared" si="109"/>
        <v>24058</v>
      </c>
      <c r="V84" s="30">
        <f>IF(U84&gt;0,ROUND(SUM(U84:U$102)/U84-0.5,Rundex),"")</f>
        <v>3.58</v>
      </c>
      <c r="W84" s="89"/>
      <c r="X84" s="9">
        <f t="shared" si="128"/>
        <v>92</v>
      </c>
      <c r="Y84" s="11" t="str">
        <f t="shared" si="110"/>
        <v xml:space="preserve"> </v>
      </c>
      <c r="Z84" s="11" t="str">
        <f>IF($X84&lt;RAF,SUM(Y84:INDEX(Day,RAF-BeginnAlter))," ")</f>
        <v xml:space="preserve"> </v>
      </c>
      <c r="AA84" s="11" t="str">
        <f t="shared" si="81"/>
        <v xml:space="preserve"> </v>
      </c>
      <c r="AB84" s="11" t="str">
        <f>IF($X84&lt;RAF,SUM(AA84:INDEX(Cay,RAF-BeginnAlter))," ")</f>
        <v xml:space="preserve"> </v>
      </c>
      <c r="AC84" s="11" t="str">
        <f t="shared" si="82"/>
        <v xml:space="preserve"> </v>
      </c>
      <c r="AD84" s="11" t="str">
        <f>IF($X84&lt;RAF,SUM(AC84:INDEX(Caiy,RAF-BeginnAlter))," ")</f>
        <v xml:space="preserve"> </v>
      </c>
      <c r="AE84" s="10" t="str">
        <f t="shared" si="111"/>
        <v xml:space="preserve"> </v>
      </c>
      <c r="AF84" s="10" t="str">
        <f t="shared" si="112"/>
        <v xml:space="preserve"> </v>
      </c>
      <c r="AG84" s="89"/>
      <c r="AH84" s="9">
        <f t="shared" si="129"/>
        <v>92</v>
      </c>
      <c r="AI84" s="11" t="str">
        <f t="shared" si="113"/>
        <v xml:space="preserve"> </v>
      </c>
      <c r="AJ84" s="11" t="str">
        <f>IF($AH84&gt;RAF," ",IF($AH84&lt;RAF,SUM(AI84:INDEX(Diy,RAF-BeginnAlter))+INDEX(Ny,RAF-BeginnAlter+1),INDEX(Ny,RAF-BeginnAlter+1)))</f>
        <v xml:space="preserve"> </v>
      </c>
      <c r="AK84" s="11" t="str">
        <f>IF($AH84&lt;RAF,SUM(AI84:INDEX(Diy,RAF-BeginnAlter))," ")</f>
        <v xml:space="preserve"> </v>
      </c>
      <c r="AL84" s="10" t="str">
        <f t="shared" si="114"/>
        <v xml:space="preserve"> </v>
      </c>
      <c r="AM84" s="10" t="str">
        <f t="shared" si="115"/>
        <v xml:space="preserve"> </v>
      </c>
      <c r="AN84" s="10" t="str">
        <f t="shared" si="116"/>
        <v xml:space="preserve"> </v>
      </c>
      <c r="AO84" s="10" t="str">
        <f t="shared" si="117"/>
        <v xml:space="preserve"> </v>
      </c>
      <c r="AP84" s="89"/>
      <c r="AQ84" s="9">
        <f t="shared" si="130"/>
        <v>92</v>
      </c>
      <c r="AR84" s="11">
        <f t="shared" si="118"/>
        <v>2621</v>
      </c>
      <c r="AS84" s="11">
        <f>SUM(AR84:AR$96)</f>
        <v>10012</v>
      </c>
      <c r="AT84" s="25" t="str">
        <f>IF($AQ84&lt;RAF,SUM(AR84:INDEX(Dy,RAF-BeginnAlter))," ")</f>
        <v xml:space="preserve"> </v>
      </c>
      <c r="AU84" s="24">
        <f t="shared" si="119"/>
        <v>3.82</v>
      </c>
      <c r="AV84" s="24">
        <f t="shared" si="120"/>
        <v>3.3620000000000001</v>
      </c>
      <c r="AW84" s="24" t="str">
        <f t="shared" si="121"/>
        <v xml:space="preserve"> </v>
      </c>
      <c r="AX84" s="24" t="str">
        <f t="shared" si="122"/>
        <v xml:space="preserve"> </v>
      </c>
      <c r="AY84" s="89"/>
      <c r="AZ84" s="9">
        <f t="shared" si="131"/>
        <v>92</v>
      </c>
      <c r="BA84" s="11">
        <f t="shared" si="123"/>
        <v>3106</v>
      </c>
      <c r="BB84" s="11">
        <f>SUM(BA84:BA$96)</f>
        <v>12027</v>
      </c>
      <c r="BC84" s="10">
        <f t="shared" si="124"/>
        <v>3.8719999999999999</v>
      </c>
      <c r="BD84" s="10">
        <f t="shared" si="84"/>
        <v>3.4140000000000001</v>
      </c>
      <c r="BE84" s="89"/>
      <c r="BF84" s="9">
        <f t="shared" si="132"/>
        <v>75</v>
      </c>
      <c r="BG84" s="10" t="str">
        <f t="shared" si="85"/>
        <v/>
      </c>
      <c r="BH84" s="10" t="str">
        <f t="shared" si="86"/>
        <v/>
      </c>
      <c r="BI84" s="89"/>
      <c r="BJ84" s="9">
        <f t="shared" si="133"/>
        <v>92</v>
      </c>
      <c r="BK84" s="11" t="str">
        <f t="shared" si="87"/>
        <v xml:space="preserve"> </v>
      </c>
      <c r="BL84" s="11" t="str">
        <f>IF(BJ84&lt;RAF,SUM(BK84:INDEX(Daiy,RAF-BeginnAlter))," ")</f>
        <v xml:space="preserve"> </v>
      </c>
      <c r="BM84" s="11" t="str">
        <f>IF(BJ84&lt;RAF,SUM(BL84:INDEX(Naiy,RAF-BeginnAlter))," ")</f>
        <v xml:space="preserve"> </v>
      </c>
      <c r="BN84" s="10" t="str">
        <f t="shared" si="88"/>
        <v xml:space="preserve"> </v>
      </c>
      <c r="BO84" s="10" t="str">
        <f t="shared" si="89"/>
        <v xml:space="preserve"> </v>
      </c>
      <c r="BP84" s="89"/>
      <c r="BQ84" s="9">
        <f t="shared" si="134"/>
        <v>92</v>
      </c>
      <c r="BR84" s="11" t="str">
        <f t="shared" si="90"/>
        <v xml:space="preserve"> </v>
      </c>
      <c r="BS84" s="11" t="str">
        <f>IF(BQ84&lt;RAF,SUM(BR84:INDEX(Daiys,RAF-BeginnAlter))," ")</f>
        <v xml:space="preserve"> </v>
      </c>
      <c r="BT84" s="11" t="str">
        <f>IF(BQ84&lt;RAF,SUM(BS84:INDEX(Naiys,RAF-BeginnAlter))," ")</f>
        <v xml:space="preserve"> </v>
      </c>
      <c r="BU84" s="10" t="str">
        <f t="shared" si="91"/>
        <v xml:space="preserve"> </v>
      </c>
      <c r="BV84" s="10" t="str">
        <f t="shared" si="92"/>
        <v xml:space="preserve"> </v>
      </c>
      <c r="BW84" s="89"/>
      <c r="BX84" s="9">
        <f t="shared" si="135"/>
        <v>92</v>
      </c>
      <c r="BY84" s="10" t="str">
        <f t="shared" si="93"/>
        <v/>
      </c>
      <c r="BZ84" s="11" t="str">
        <f t="shared" si="94"/>
        <v/>
      </c>
      <c r="CA84" s="11" t="str">
        <f>IF(S85&lt;=RAK,IF($BX84&lt;RAF,SUM(BZ84:INDEX(Dazy,RAF-BeginnAlter)),""),"")</f>
        <v/>
      </c>
      <c r="CB84" s="10" t="str">
        <f t="shared" si="95"/>
        <v/>
      </c>
      <c r="CC84" s="11">
        <f t="shared" si="96"/>
        <v>0</v>
      </c>
      <c r="CD84" s="10">
        <f t="shared" si="97"/>
        <v>0</v>
      </c>
      <c r="CE84" s="10" t="str">
        <f t="shared" si="98"/>
        <v/>
      </c>
      <c r="CF84" s="89"/>
      <c r="CG84" s="9">
        <f t="shared" si="136"/>
        <v>92</v>
      </c>
      <c r="CH84" s="11" t="str">
        <f>IF(CG84&lt;RAF,ROUND(v^($CG84+FaktorAlter)*$H84*($B84*0.5*($P84+$P85)*(VLOOKUP(TRUNC(0.5*($Q84+$Q85),0),Männer!$AZ$9:$BD$95,5)+(0.5*($Q84+$Q85)-TRUNC(0.5*($Q84+$Q85),0))*(VLOOKUP(TRUNC(0.5*($Q84+$Q85)+1,0),Männer!$AZ$9:$BD$95,5)-VLOOKUP(TRUNC(0.5*($Q84+$Q85),0),Männer!$AZ$9:$BD$95,5)))+$C84*0.5*($CN84+$CN85)),RundDx),"")</f>
        <v/>
      </c>
      <c r="CI84" s="11" t="str">
        <f>IF(CG84&lt;RAF,ROUND(SUM(CH84:INDEX(Dawy,RAF-BeginnAlter))+INDEX(Day,RAF-BeginnAlter+1)*INDEX(äwy,1),RundDx),"")</f>
        <v/>
      </c>
      <c r="CJ84" s="11" t="str">
        <f>IF(CG84&lt;RAF,ROUND(SUM(CI84:INDEX(Nawy,RAF-BeginnAlter))+INDEX(Day,RAF-BeginnAlter+1)*INDEX(äwy,1),RundDx),"")</f>
        <v/>
      </c>
      <c r="CK84" s="10" t="str">
        <f t="shared" si="99"/>
        <v/>
      </c>
      <c r="CL84" s="11" t="str">
        <f>IF(CG84&lt;RAF,ROUND(v^($CG84+FaktorAlter)*$L84*$D84*0.5*($P84+$P85)*(VLOOKUP(TRUNC(0.5*($Q84+$Q85),0),Männer!$AZ$9:$BD$95,5)+(0.5*($Q84+$Q85)-TRUNC(0.5*($Q84+$Q85),0))*(VLOOKUP(TRUNC(0.5*($Q84+$Q85)+1,0),Männer!$AZ$9:$BD$95,5)-VLOOKUP(TRUNC(0.5*($Q84+$Q85),0),Männer!$AZ$9:$BD$95,5))),RundDx),"")</f>
        <v/>
      </c>
      <c r="CM84" s="11" t="str">
        <f>IF(CG84&lt;RAF,SUM(CL84:INDEX(Diwy,RAF-BeginnAlter))+INDEX(Diy,RAF-BeginnAlter+1)*INDEX(äwy,1),"")</f>
        <v/>
      </c>
      <c r="CN84" s="10" t="str">
        <f t="shared" si="100"/>
        <v/>
      </c>
      <c r="CO84" s="89"/>
      <c r="CP84" s="9">
        <f t="shared" si="146"/>
        <v>139</v>
      </c>
      <c r="CQ84" s="11"/>
      <c r="CR84" s="11"/>
      <c r="CS84" s="10"/>
      <c r="CT84" s="89"/>
      <c r="CU84" s="35">
        <f t="shared" si="137"/>
        <v>92</v>
      </c>
      <c r="CV84" s="25" t="str">
        <f>IF($CU84&gt;=RAF,"",IF($CU84-CV$103&lt;BeginnAlter,"",ROUND(v^($CU84+FaktorAlter)*$L84*$D84*0.5*(VLOOKUP($CU84-CV$103,Männer!$G$9:$J$102,4)+VLOOKUP($CU84-CV$103+1,Männer!$G$9:$J$102,4))*0.5*(VLOOKUP($CU84-CV$103,Männer!$AZ$9:$BD$102,5)+VLOOKUP($CU84-CV$103+1,Männer!$AZ$9:$BD$102,5)),RundDx)))</f>
        <v/>
      </c>
      <c r="CW84" s="25" t="str">
        <f>IF($CU84&gt;=RAF,"",IF($CU84-CW$103&lt;BeginnAlter,"",ROUND(v^($CU84+FaktorAlter)*$L84*$D84*0.5*(VLOOKUP($CU84-CW$103,Männer!$G$9:$J$102,4)+VLOOKUP($CU84-CW$103+1,Männer!$G$9:$J$102,4))*0.5*(VLOOKUP($CU84-CW$103,Männer!$AZ$9:$BD$102,5)+VLOOKUP($CU84-CW$103+1,Männer!$AZ$9:$BD$102,5)),RundDx)))</f>
        <v/>
      </c>
      <c r="CX84" s="25" t="str">
        <f>IF($CU84&gt;=RAF,"",IF($CU84-CX$103&lt;BeginnAlter,"",ROUND(v^($CU84+FaktorAlter)*$L84*$D84*0.5*(VLOOKUP($CU84-CX$103,Männer!$G$9:$J$102,4)+VLOOKUP($CU84-CX$103+1,Männer!$G$9:$J$102,4))*0.5*(VLOOKUP($CU84-CX$103,Männer!$AZ$9:$BD$102,5)+VLOOKUP($CU84-CX$103+1,Männer!$AZ$9:$BD$102,5)),RundDx)))</f>
        <v/>
      </c>
      <c r="CY84" s="25" t="str">
        <f>IF($CU84&gt;=RAF,"",IF($CU84-CY$103&lt;BeginnAlter,"",ROUND(v^($CU84+FaktorAlter)*$L84*$D84*0.5*(VLOOKUP($CU84-CY$103,Männer!$G$9:$J$102,4)+VLOOKUP($CU84-CY$103+1,Männer!$G$9:$J$102,4))*0.5*(VLOOKUP($CU84-CY$103,Männer!$AZ$9:$BD$102,5)+VLOOKUP($CU84-CY$103+1,Männer!$AZ$9:$BD$102,5)),RundDx)))</f>
        <v/>
      </c>
      <c r="CZ84" s="25" t="str">
        <f>IF($CU84&gt;=RAF,"",IF($CU84-CZ$103&lt;BeginnAlter,"",ROUND(v^($CU84+FaktorAlter)*$L84*$D84*0.5*(VLOOKUP($CU84-CZ$103,Männer!$G$9:$J$102,4)+VLOOKUP($CU84-CZ$103+1,Männer!$G$9:$J$102,4))*0.5*(VLOOKUP($CU84-CZ$103,Männer!$AZ$9:$BD$102,5)+VLOOKUP($CU84-CZ$103+1,Männer!$AZ$9:$BD$102,5)),RundDx)))</f>
        <v/>
      </c>
      <c r="DA84" s="25" t="str">
        <f>IF($CU84&gt;=RAF,"",IF($CU84-DA$103&lt;BeginnAlter,"",ROUND(v^($CU84+FaktorAlter)*$L84*$D84*0.5*(VLOOKUP($CU84-DA$103,Männer!$G$9:$J$102,4)+VLOOKUP($CU84-DA$103+1,Männer!$G$9:$J$102,4))*0.5*(VLOOKUP($CU84-DA$103,Männer!$AZ$9:$BD$102,5)+VLOOKUP($CU84-DA$103+1,Männer!$AZ$9:$BD$102,5)),RundDx)))</f>
        <v/>
      </c>
      <c r="DB84" s="25" t="str">
        <f>IF($CU84&gt;=RAF,"",IF($CU84-DB$103&lt;BeginnAlter,"",ROUND(v^($CU84+FaktorAlter)*$L84*$D84*0.5*(VLOOKUP($CU84-DB$103,Männer!$G$9:$J$102,4)+VLOOKUP($CU84-DB$103+1,Männer!$G$9:$J$102,4))*0.5*(VLOOKUP($CU84-DB$103,Männer!$AZ$9:$BD$102,5)+VLOOKUP($CU84-DB$103+1,Männer!$AZ$9:$BD$102,5)),RundDx)))</f>
        <v/>
      </c>
      <c r="DC84" s="25" t="str">
        <f>IF($CU84&gt;=RAF,"",IF($CU84-DC$103&lt;BeginnAlter,"",ROUND(v^($CU84+FaktorAlter)*$L84*$D84*0.5*(VLOOKUP($CU84-DC$103,Männer!$G$9:$J$102,4)+VLOOKUP($CU84-DC$103+1,Männer!$G$9:$J$102,4))*0.5*(VLOOKUP($CU84-DC$103,Männer!$AZ$9:$BD$102,5)+VLOOKUP($CU84-DC$103+1,Männer!$AZ$9:$BD$102,5)),RundDx)))</f>
        <v/>
      </c>
      <c r="DD84" s="25" t="str">
        <f>IF($CU84&gt;=RAF,"",IF($CU84-DD$103&lt;BeginnAlter,"",ROUND(v^($CU84+FaktorAlter)*$L84*$D84*0.5*(VLOOKUP($CU84-DD$103,Männer!$G$9:$J$102,4)+VLOOKUP($CU84-DD$103+1,Männer!$G$9:$J$102,4))*0.5*(VLOOKUP($CU84-DD$103,Männer!$AZ$9:$BD$102,5)+VLOOKUP($CU84-DD$103+1,Männer!$AZ$9:$BD$102,5)),RundDx)))</f>
        <v/>
      </c>
      <c r="DE84" s="25" t="str">
        <f>IF($CU84&gt;=RAF,"",IF($CU84-DE$103&lt;BeginnAlter,"",ROUND(v^($CU84+FaktorAlter)*$L84*$D84*0.5*(VLOOKUP($CU84-DE$103,Männer!$G$9:$J$102,4)+VLOOKUP($CU84-DE$103+1,Männer!$G$9:$J$102,4))*0.5*(VLOOKUP($CU84-DE$103,Männer!$AZ$9:$BD$102,5)+VLOOKUP($CU84-DE$103+1,Männer!$AZ$9:$BD$102,5)),RundDx)))</f>
        <v/>
      </c>
      <c r="DF84" s="25" t="str">
        <f>IF($CU84&gt;=RAF,"",IF($CU84-DF$103&lt;BeginnAlter,"",ROUND(v^($CU84+FaktorAlter)*$L84*$D84*0.5*(VLOOKUP($CU84-DF$103,Männer!$G$9:$J$102,4)+VLOOKUP($CU84-DF$103+1,Männer!$G$9:$J$102,4))*0.5*(VLOOKUP($CU84-DF$103,Männer!$AZ$9:$BD$102,5)+VLOOKUP($CU84-DF$103+1,Männer!$AZ$9:$BD$102,5)),RundDx)))</f>
        <v/>
      </c>
      <c r="DG84" s="25" t="str">
        <f>IF($CU84&gt;=RAF,"",IF($CU84-DG$103&lt;BeginnAlter,"",ROUND(v^($CU84+FaktorAlter)*$L84*$D84*0.5*(VLOOKUP($CU84-DG$103,Männer!$G$9:$J$102,4)+VLOOKUP($CU84-DG$103+1,Männer!$G$9:$J$102,4))*0.5*(VLOOKUP($CU84-DG$103,Männer!$AZ$9:$BD$102,5)+VLOOKUP($CU84-DG$103+1,Männer!$AZ$9:$BD$102,5)),RundDx)))</f>
        <v/>
      </c>
      <c r="DH84" s="25" t="str">
        <f>IF($CU84&gt;=RAF,"",IF($CU84-DH$103&lt;BeginnAlter,"",ROUND(v^($CU84+FaktorAlter)*$L84*$D84*0.5*(VLOOKUP($CU84-DH$103,Männer!$G$9:$J$102,4)+VLOOKUP($CU84-DH$103+1,Männer!$G$9:$J$102,4))*0.5*(VLOOKUP($CU84-DH$103,Männer!$AZ$9:$BD$102,5)+VLOOKUP($CU84-DH$103+1,Männer!$AZ$9:$BD$102,5)),RundDx)))</f>
        <v/>
      </c>
      <c r="DI84" s="25" t="str">
        <f>IF($CU84&gt;=RAF,"",IF($CU84-DI$103&lt;BeginnAlter,"",ROUND(v^($CU84+FaktorAlter)*$L84*$D84*0.5*(VLOOKUP($CU84-DI$103,Männer!$G$9:$J$102,4)+VLOOKUP($CU84-DI$103+1,Männer!$G$9:$J$102,4))*0.5*(VLOOKUP($CU84-DI$103,Männer!$AZ$9:$BD$102,5)+VLOOKUP($CU84-DI$103+1,Männer!$AZ$9:$BD$102,5)),RundDx)))</f>
        <v/>
      </c>
      <c r="DJ84" s="25" t="str">
        <f>IF($CU84&gt;=RAF,"",IF($CU84-DJ$103&lt;BeginnAlter,"",ROUND(v^($CU84+FaktorAlter)*$L84*$D84*0.5*(VLOOKUP($CU84-DJ$103,Männer!$G$9:$J$102,4)+VLOOKUP($CU84-DJ$103+1,Männer!$G$9:$J$102,4))*0.5*(VLOOKUP($CU84-DJ$103,Männer!$AZ$9:$BD$102,5)+VLOOKUP($CU84-DJ$103+1,Männer!$AZ$9:$BD$102,5)),RundDx)))</f>
        <v/>
      </c>
      <c r="DK84" s="25" t="str">
        <f>IF($CU84&gt;=RAF,"",IF($CU84-DK$103&lt;BeginnAlter,"",ROUND(v^($CU84+FaktorAlter)*$L84*$D84*0.5*(VLOOKUP($CU84-DK$103,Männer!$G$9:$J$102,4)+VLOOKUP($CU84-DK$103+1,Männer!$G$9:$J$102,4))*0.5*(VLOOKUP($CU84-DK$103,Männer!$AZ$9:$BD$102,5)+VLOOKUP($CU84-DK$103+1,Männer!$AZ$9:$BD$102,5)),RundDx)))</f>
        <v/>
      </c>
      <c r="DL84" s="25" t="str">
        <f>IF($CU84&gt;=RAF,"",IF($CU84-DL$103&lt;BeginnAlter,"",ROUND(v^($CU84+FaktorAlter)*$L84*$D84*0.5*(VLOOKUP($CU84-DL$103,Männer!$G$9:$J$102,4)+VLOOKUP($CU84-DL$103+1,Männer!$G$9:$J$102,4))*0.5*(VLOOKUP($CU84-DL$103,Männer!$AZ$9:$BD$102,5)+VLOOKUP($CU84-DL$103+1,Männer!$AZ$9:$BD$102,5)),RundDx)))</f>
        <v/>
      </c>
      <c r="DM84" s="25" t="str">
        <f>IF($CU84&gt;=RAF,"",IF($CU84-DM$103&lt;BeginnAlter,"",ROUND(v^($CU84+FaktorAlter)*$L84*$D84*0.5*(VLOOKUP($CU84-DM$103,Männer!$G$9:$J$102,4)+VLOOKUP($CU84-DM$103+1,Männer!$G$9:$J$102,4))*0.5*(VLOOKUP($CU84-DM$103,Männer!$AZ$9:$BD$102,5)+VLOOKUP($CU84-DM$103+1,Männer!$AZ$9:$BD$102,5)),RundDx)))</f>
        <v/>
      </c>
      <c r="DN84" s="25" t="str">
        <f>IF($CU84&gt;=RAF,"",IF($CU84-DN$103&lt;BeginnAlter,"",ROUND(v^($CU84+FaktorAlter)*$L84*$D84*0.5*(VLOOKUP($CU84-DN$103,Männer!$G$9:$J$102,4)+VLOOKUP($CU84-DN$103+1,Männer!$G$9:$J$102,4))*0.5*(VLOOKUP($CU84-DN$103,Männer!$AZ$9:$BD$102,5)+VLOOKUP($CU84-DN$103+1,Männer!$AZ$9:$BD$102,5)),RundDx)))</f>
        <v/>
      </c>
      <c r="DO84" s="25" t="str">
        <f>IF($CU84&gt;=RAF,"",IF($CU84-DO$103&lt;BeginnAlter,"",ROUND(v^($CU84+FaktorAlter)*$L84*$D84*0.5*(VLOOKUP($CU84-DO$103,Männer!$G$9:$J$102,4)+VLOOKUP($CU84-DO$103+1,Männer!$G$9:$J$102,4))*0.5*(VLOOKUP($CU84-DO$103,Männer!$AZ$9:$BD$102,5)+VLOOKUP($CU84-DO$103+1,Männer!$AZ$9:$BD$102,5)),RundDx)))</f>
        <v/>
      </c>
      <c r="DP84" s="25" t="str">
        <f>IF($CU84&gt;=RAF,"",IF($CU84-DP$103&lt;BeginnAlter,"",ROUND(v^($CU84+FaktorAlter)*$L84*$D84*0.5*(VLOOKUP($CU84-DP$103,Männer!$G$9:$J$102,4)+VLOOKUP($CU84-DP$103+1,Männer!$G$9:$J$102,4))*0.5*(VLOOKUP($CU84-DP$103,Männer!$AZ$9:$BD$102,5)+VLOOKUP($CU84-DP$103+1,Männer!$AZ$9:$BD$102,5)),RundDx)))</f>
        <v/>
      </c>
      <c r="DQ84" s="25" t="str">
        <f>IF($CU84&gt;=RAF,"",IF($CU84-DQ$103&lt;BeginnAlter,"",ROUND(v^($CU84+FaktorAlter)*$L84*$D84*0.5*(VLOOKUP($CU84-DQ$103,Männer!$G$9:$J$102,4)+VLOOKUP($CU84-DQ$103+1,Männer!$G$9:$J$102,4))*0.5*(VLOOKUP($CU84-DQ$103,Männer!$AZ$9:$BD$102,5)+VLOOKUP($CU84-DQ$103+1,Männer!$AZ$9:$BD$102,5)),RundDx)))</f>
        <v/>
      </c>
      <c r="DR84" s="25" t="str">
        <f>IF($CU84&gt;=RAF,"",IF($CU84-DR$103&lt;BeginnAlter,"",ROUND(v^($CU84+FaktorAlter)*$L84*$D84*0.5*(VLOOKUP($CU84-DR$103,Männer!$G$9:$J$102,4)+VLOOKUP($CU84-DR$103+1,Männer!$G$9:$J$102,4))*0.5*(VLOOKUP($CU84-DR$103,Männer!$AZ$9:$BD$102,5)+VLOOKUP($CU84-DR$103+1,Männer!$AZ$9:$BD$102,5)),RundDx)))</f>
        <v/>
      </c>
      <c r="DS84" s="25" t="str">
        <f>IF($CU84&gt;=RAF,"",IF($CU84-DS$103&lt;BeginnAlter,"",ROUND(v^($CU84+FaktorAlter)*$L84*$D84*0.5*(VLOOKUP($CU84-DS$103,Männer!$G$9:$J$102,4)+VLOOKUP($CU84-DS$103+1,Männer!$G$9:$J$102,4))*0.5*(VLOOKUP($CU84-DS$103,Männer!$AZ$9:$BD$102,5)+VLOOKUP($CU84-DS$103+1,Männer!$AZ$9:$BD$102,5)),RundDx)))</f>
        <v/>
      </c>
      <c r="DT84" s="25" t="str">
        <f>IF($CU84&gt;=RAF,"",IF($CU84-DT$103&lt;BeginnAlter,"",ROUND(v^($CU84+FaktorAlter)*$L84*$D84*0.5*(VLOOKUP($CU84-DT$103,Männer!$G$9:$J$102,4)+VLOOKUP($CU84-DT$103+1,Männer!$G$9:$J$102,4))*0.5*(VLOOKUP($CU84-DT$103,Männer!$AZ$9:$BD$102,5)+VLOOKUP($CU84-DT$103+1,Männer!$AZ$9:$BD$102,5)),RundDx)))</f>
        <v/>
      </c>
      <c r="DU84" s="25" t="str">
        <f>IF($CU84&gt;=RAF,"",IF($CU84-DU$103&lt;BeginnAlter,"",ROUND(v^($CU84+FaktorAlter)*$L84*$D84*0.5*(VLOOKUP($CU84-DU$103,Männer!$G$9:$J$102,4)+VLOOKUP($CU84-DU$103+1,Männer!$G$9:$J$102,4))*0.5*(VLOOKUP($CU84-DU$103,Männer!$AZ$9:$BD$102,5)+VLOOKUP($CU84-DU$103+1,Männer!$AZ$9:$BD$102,5)),RundDx)))</f>
        <v/>
      </c>
      <c r="DV84" s="25" t="str">
        <f>IF($CU84&gt;=RAF,"",IF($CU84-DV$103&lt;BeginnAlter,"",ROUND(v^($CU84+FaktorAlter)*$L84*$D84*0.5*(VLOOKUP($CU84-DV$103,Männer!$G$9:$J$102,4)+VLOOKUP($CU84-DV$103+1,Männer!$G$9:$J$102,4))*0.5*(VLOOKUP($CU84-DV$103,Männer!$AZ$9:$BD$102,5)+VLOOKUP($CU84-DV$103+1,Männer!$AZ$9:$BD$102,5)),RundDx)))</f>
        <v/>
      </c>
      <c r="DW84" s="25" t="str">
        <f>IF($CU84&gt;=RAF,"",IF($CU84-DW$103&lt;BeginnAlter,"",ROUND(v^($CU84+FaktorAlter)*$L84*$D84*0.5*(VLOOKUP($CU84-DW$103,Männer!$G$9:$J$102,4)+VLOOKUP($CU84-DW$103+1,Männer!$G$9:$J$102,4))*0.5*(VLOOKUP($CU84-DW$103,Männer!$AZ$9:$BD$102,5)+VLOOKUP($CU84-DW$103+1,Männer!$AZ$9:$BD$102,5)),RundDx)))</f>
        <v/>
      </c>
      <c r="DX84" s="25" t="str">
        <f>IF($CU84&gt;=RAF,"",IF($CU84-DX$103&lt;BeginnAlter,"",ROUND(v^($CU84+FaktorAlter)*$L84*$D84*0.5*(VLOOKUP($CU84-DX$103,Männer!$G$9:$J$102,4)+VLOOKUP($CU84-DX$103+1,Männer!$G$9:$J$102,4))*0.5*(VLOOKUP($CU84-DX$103,Männer!$AZ$9:$BD$102,5)+VLOOKUP($CU84-DX$103+1,Männer!$AZ$9:$BD$102,5)),RundDx)))</f>
        <v/>
      </c>
      <c r="DY84" s="25" t="str">
        <f>IF($CU84&gt;=RAF,"",IF($CU84-DY$103&lt;BeginnAlter,"",ROUND(v^($CU84+FaktorAlter)*$L84*$D84*0.5*(VLOOKUP($CU84-DY$103,Männer!$G$9:$J$102,4)+VLOOKUP($CU84-DY$103+1,Männer!$G$9:$J$102,4))*0.5*(VLOOKUP($CU84-DY$103,Männer!$AZ$9:$BD$102,5)+VLOOKUP($CU84-DY$103+1,Männer!$AZ$9:$BD$102,5)),RundDx)))</f>
        <v/>
      </c>
      <c r="DZ84" s="25" t="str">
        <f>IF($CU84&gt;=RAF,"",IF($CU84-DZ$103&lt;BeginnAlter,"",ROUND(v^($CU84+FaktorAlter)*$L84*$D84*0.5*(VLOOKUP($CU84-DZ$103,Männer!$G$9:$J$102,4)+VLOOKUP($CU84-DZ$103+1,Männer!$G$9:$J$102,4))*0.5*(VLOOKUP($CU84-DZ$103,Männer!$AZ$9:$BD$102,5)+VLOOKUP($CU84-DZ$103+1,Männer!$AZ$9:$BD$102,5)),RundDx)))</f>
        <v/>
      </c>
      <c r="EA84" s="43" t="str">
        <f>IF($CU84&gt;=RAF,"",IF($CU84-EA$103&lt;BeginnAlter,"",ROUND((SUM(CV$56:CV84)+SUM(FN$9:FN$56))/VLOOKUP($CU84,$AH$9:$AI$102,2)/VLOOKUP($CU84-EA$103,Männer!$G$9:$J$102,4),Rundäx)))</f>
        <v/>
      </c>
      <c r="EB84" s="43" t="str">
        <f>IF($CU84&gt;=RAF,"",IF($CU84-EB$103&lt;BeginnAlter,"",ROUND((SUM(CW$56:CW84)+SUM(FO$9:FO$56))/VLOOKUP($CU84,$AH$9:$AI$102,2)/VLOOKUP($CU84-EB$103,Männer!$G$9:$J$102,4),Rundäx)))</f>
        <v/>
      </c>
      <c r="EC84" s="43" t="str">
        <f>IF($CU84&gt;=RAF,"",IF($CU84-EC$103&lt;BeginnAlter,"",ROUND((SUM(CX$56:CX84)+SUM(FP$9:FP$56))/VLOOKUP($CU84,$AH$9:$AI$102,2)/VLOOKUP($CU84-EC$103,Männer!$G$9:$J$102,4),Rundäx)))</f>
        <v/>
      </c>
      <c r="ED84" s="43" t="str">
        <f>IF($CU84&gt;=RAF,"",IF($CU84-ED$103&lt;BeginnAlter,"",ROUND((SUM(CY$56:CY84)+SUM(FQ$9:FQ$56))/VLOOKUP($CU84,$AH$9:$AI$102,2)/VLOOKUP($CU84-ED$103,Männer!$G$9:$J$102,4),Rundäx)))</f>
        <v/>
      </c>
      <c r="EE84" s="43" t="str">
        <f>IF($CU84&gt;=RAF,"",IF($CU84-EE$103&lt;BeginnAlter,"",ROUND((SUM(CZ$56:CZ84)+SUM(FR$9:FR$56))/VLOOKUP($CU84,$AH$9:$AI$102,2)/VLOOKUP($CU84-EE$103,Männer!$G$9:$J$102,4),Rundäx)))</f>
        <v/>
      </c>
      <c r="EF84" s="43" t="str">
        <f>IF($CU84&gt;=RAF,"",IF($CU84-EF$103&lt;BeginnAlter,"",ROUND((SUM(DA$56:DA84)+SUM(FS$9:FS$56))/VLOOKUP($CU84,$AH$9:$AI$102,2)/VLOOKUP($CU84-EF$103,Männer!$G$9:$J$102,4),Rundäx)))</f>
        <v/>
      </c>
      <c r="EG84" s="43" t="str">
        <f>IF($CU84&gt;=RAF,"",IF($CU84-EG$103&lt;BeginnAlter,"",ROUND((SUM(DB$56:DB84)+SUM(FT$9:FT$56))/VLOOKUP($CU84,$AH$9:$AI$102,2)/VLOOKUP($CU84-EG$103,Männer!$G$9:$J$102,4),Rundäx)))</f>
        <v/>
      </c>
      <c r="EH84" s="43" t="str">
        <f>IF($CU84&gt;=RAF,"",IF($CU84-EH$103&lt;BeginnAlter,"",ROUND((SUM(DC$56:DC84)+SUM(FU$9:FU$56))/VLOOKUP($CU84,$AH$9:$AI$102,2)/VLOOKUP($CU84-EH$103,Männer!$G$9:$J$102,4),Rundäx)))</f>
        <v/>
      </c>
      <c r="EI84" s="89"/>
      <c r="EJ84" s="35">
        <f t="shared" si="138"/>
        <v>92</v>
      </c>
      <c r="EK84" s="43" t="str">
        <f>IF($CU84&gt;=RAF,"",IF($CU84-EK$103&lt;BeginnAlter,"",ROUND((SUM(DD$56:DD84)+SUM(FV$9:FV$56))/VLOOKUP($CU84,$AH$9:$AI$102,2)/VLOOKUP($CU84-EK$103,Männer!$G$9:$J$102,4),Rundäx)))</f>
        <v/>
      </c>
      <c r="EL84" s="43" t="str">
        <f>IF($CU84&gt;=RAF,"",IF($CU84-EL$103&lt;BeginnAlter,"",ROUND((SUM(DE$56:DE84)+SUM(FW$9:FW$56))/VLOOKUP($CU84,$AH$9:$AI$102,2)/VLOOKUP($CU84-EL$103,Männer!$G$9:$J$102,4),Rundäx)))</f>
        <v/>
      </c>
      <c r="EM84" s="43" t="str">
        <f>IF($CU84&gt;=RAF,"",IF($CU84-EM$103&lt;BeginnAlter,"",ROUND((SUM(DF$56:DF84)+SUM(FX$9:FX$56))/VLOOKUP($CU84,$AH$9:$AI$102,2)/VLOOKUP($CU84-EM$103,Männer!$G$9:$J$102,4),Rundäx)))</f>
        <v/>
      </c>
      <c r="EN84" s="43" t="str">
        <f>IF($CU84&gt;=RAF,"",IF($CU84-EN$103&lt;BeginnAlter,"",ROUND((SUM(DG$56:DG84)+SUM(FY$9:FY$56))/VLOOKUP($CU84,$AH$9:$AI$102,2)/VLOOKUP($CU84-EN$103,Männer!$G$9:$J$102,4),Rundäx)))</f>
        <v/>
      </c>
      <c r="EO84" s="43" t="str">
        <f>IF($CU84&gt;=RAF,"",IF($CU84-EO$103&lt;BeginnAlter,"",ROUND((SUM(DH$56:DH84)+SUM(FZ$9:FZ$56))/VLOOKUP($CU84,$AH$9:$AI$102,2)/VLOOKUP($CU84-EO$103,Männer!$G$9:$J$102,4),Rundäx)))</f>
        <v/>
      </c>
      <c r="EP84" s="43" t="str">
        <f>IF($CU84&gt;=RAF,"",IF($CU84-EP$103&lt;BeginnAlter,"",ROUND((SUM(DI$56:DI84)+SUM(GA$9:GA$56))/VLOOKUP($CU84,$AH$9:$AI$102,2)/VLOOKUP($CU84-EP$103,Männer!$G$9:$J$102,4),Rundäx)))</f>
        <v/>
      </c>
      <c r="EQ84" s="43" t="str">
        <f>IF($CU84&gt;=RAF,"",IF($CU84-EQ$103&lt;BeginnAlter,"",ROUND((SUM(DJ$56:DJ84)+SUM(GB$9:GB$56))/VLOOKUP($CU84,$AH$9:$AI$102,2)/VLOOKUP($CU84-EQ$103,Männer!$G$9:$J$102,4),Rundäx)))</f>
        <v/>
      </c>
      <c r="ER84" s="43" t="str">
        <f>IF($CU84&gt;=RAF,"",IF($CU84-ER$103&lt;BeginnAlter,"",ROUND((SUM(DK$56:DK84)+SUM(GC$9:GC$56))/VLOOKUP($CU84,$AH$9:$AI$102,2)/VLOOKUP($CU84-ER$103,Männer!$G$9:$J$102,4),Rundäx)))</f>
        <v/>
      </c>
      <c r="ES84" s="89"/>
      <c r="ET84" s="35">
        <f t="shared" si="139"/>
        <v>92</v>
      </c>
      <c r="EU84" s="43" t="str">
        <f>IF($CU84&gt;=RAF,"",IF($CU84-EU$103&lt;BeginnAlter,"",ROUND((SUM(DL$56:DL84)+SUM(GD$9:GD$56))/VLOOKUP($CU84,$AH$9:$AI$102,2)/VLOOKUP($CU84-EU$103,Männer!$G$9:$J$102,4),Rundäx)))</f>
        <v/>
      </c>
      <c r="EV84" s="43" t="str">
        <f>IF($CU84&gt;=RAF,"",IF($CU84-EV$103&lt;BeginnAlter,"",ROUND((SUM(DM$56:DM84)+SUM(GE$9:GE$56))/VLOOKUP($CU84,$AH$9:$AI$102,2)/VLOOKUP($CU84-EV$103,Männer!$G$9:$J$102,4),Rundäx)))</f>
        <v/>
      </c>
      <c r="EW84" s="43" t="str">
        <f>IF($CU84&gt;=RAF,"",IF($CU84-EW$103&lt;BeginnAlter,"",ROUND((SUM(DN$56:DN84)+SUM(GF$9:GF$56))/VLOOKUP($CU84,$AH$9:$AI$102,2)/VLOOKUP($CU84-EW$103,Männer!$G$9:$J$102,4),Rundäx)))</f>
        <v/>
      </c>
      <c r="EX84" s="43" t="str">
        <f>IF($CU84&gt;=RAF,"",IF($CU84-EX$103&lt;BeginnAlter,"",ROUND((SUM(DO$56:DO84)+SUM(GG$9:GG$56))/VLOOKUP($CU84,$AH$9:$AI$102,2)/VLOOKUP($CU84-EX$103,Männer!$G$9:$J$102,4),Rundäx)))</f>
        <v/>
      </c>
      <c r="EY84" s="43" t="str">
        <f>IF($CU84&gt;=RAF,"",IF($CU84-EY$103&lt;BeginnAlter,"",ROUND((SUM(DP$56:DP84)+SUM(GH$9:GH$56))/VLOOKUP($CU84,$AH$9:$AI$102,2)/VLOOKUP($CU84-EY$103,Männer!$G$9:$J$102,4),Rundäx)))</f>
        <v/>
      </c>
      <c r="EZ84" s="43" t="str">
        <f>IF($CU84&gt;=RAF,"",IF($CU84-EZ$103&lt;BeginnAlter,"",ROUND((SUM(DQ$56:DQ84)+SUM(GI$9:GI$56))/VLOOKUP($CU84,$AH$9:$AI$102,2)/VLOOKUP($CU84-EZ$103,Männer!$G$9:$J$102,4),Rundäx)))</f>
        <v/>
      </c>
      <c r="FA84" s="43" t="str">
        <f>IF($CU84&gt;=RAF,"",IF($CU84-FA$103&lt;BeginnAlter,"",ROUND((SUM(DR$56:DR84)+SUM(GJ$9:GJ$56))/VLOOKUP($CU84,$AH$9:$AI$102,2)/VLOOKUP($CU84-FA$103,Männer!$G$9:$J$102,4),Rundäx)))</f>
        <v/>
      </c>
      <c r="FB84" s="43" t="str">
        <f>IF($CU84&gt;=RAF,"",IF($CU84-FB$103&lt;BeginnAlter,"",ROUND((SUM(DS$56:DS84)+SUM(GK$9:GK$56))/VLOOKUP($CU84,$AH$9:$AI$102,2)/VLOOKUP($CU84-FB$103,Männer!$G$9:$J$102,4),Rundäx)))</f>
        <v/>
      </c>
      <c r="FC84" s="89"/>
      <c r="FD84" s="35">
        <f t="shared" si="140"/>
        <v>92</v>
      </c>
      <c r="FE84" s="43" t="str">
        <f>IF($CU84&gt;=RAF,"",IF($CU84-FE$103&lt;BeginnAlter,"",ROUND((SUM(DT$56:DT84)+SUM(GL$9:GL$56))/VLOOKUP($CU84,$AH$9:$AI$102,2)/VLOOKUP($CU84-FE$103,Männer!$G$9:$J$102,4),Rundäx)))</f>
        <v/>
      </c>
      <c r="FF84" s="43" t="str">
        <f>IF($CU84&gt;=RAF,"",IF($CU84-FF$103&lt;BeginnAlter,"",ROUND((SUM(DU$56:DU84)+SUM(GM$9:GM$56))/VLOOKUP($CU84,$AH$9:$AI$102,2)/VLOOKUP($CU84-FF$103,Männer!$G$9:$J$102,4),Rundäx)))</f>
        <v/>
      </c>
      <c r="FG84" s="43" t="str">
        <f>IF($CU84&gt;=RAF,"",IF($CU84-FG$103&lt;BeginnAlter,"",ROUND((SUM(DV$56:DV84)+SUM(GN$9:GN$56))/VLOOKUP($CU84,$AH$9:$AI$102,2)/VLOOKUP($CU84-FG$103,Männer!$G$9:$J$102,4),Rundäx)))</f>
        <v/>
      </c>
      <c r="FH84" s="43" t="str">
        <f>IF($CU84&gt;=RAF,"",IF($CU84-FH$103&lt;BeginnAlter,"",ROUND((SUM(DW$56:DW84)+SUM(GO$9:GO$56))/VLOOKUP($CU84,$AH$9:$AI$102,2)/VLOOKUP($CU84-FH$103,Männer!$G$9:$J$102,4),Rundäx)))</f>
        <v/>
      </c>
      <c r="FI84" s="43" t="str">
        <f>IF($CU84&gt;=RAF,"",IF($CU84-FI$103&lt;BeginnAlter,"",ROUND((SUM(DX$56:DX84)+SUM(GP$9:GP$56))/VLOOKUP($CU84,$AH$9:$AI$102,2)/VLOOKUP($CU84-FI$103,Männer!$G$9:$J$102,4),Rundäx)))</f>
        <v/>
      </c>
      <c r="FJ84" s="43" t="str">
        <f>IF($CU84&gt;=RAF,"",IF($CU84-FJ$103&lt;BeginnAlter,"",ROUND((SUM(DY$56:DY84)+SUM(GQ$9:GQ$56))/VLOOKUP($CU84,$AH$9:$AI$102,2)/VLOOKUP($CU84-FJ$103,Männer!$G$9:$J$102,4),Rundäx)))</f>
        <v/>
      </c>
      <c r="FK84" s="43" t="str">
        <f>IF($CU84&gt;=RAF,"",IF($CU84-FK$103&lt;BeginnAlter,"",ROUND((SUM(DZ$56:DZ84)+SUM(GR$9:GR$56))/VLOOKUP($CU84,$AH$9:$AI$102,2)/VLOOKUP($CU84-FK$103,Männer!$G$9:$J$102,4),Rundäx)))</f>
        <v/>
      </c>
      <c r="FL84" s="89"/>
      <c r="FM84" s="35">
        <f t="shared" si="141"/>
        <v>139</v>
      </c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4"/>
      <c r="GT84" s="24"/>
      <c r="GU84" s="24" t="str">
        <f>IF(FM84&gt;=RAF," ",#REF!/$AI84/Frauen!$J72)</f>
        <v xml:space="preserve"> </v>
      </c>
      <c r="GV84" s="24" t="str">
        <f>IF(FM84&gt;=RAF," ",#REF!/$AI84/Frauen!$J75)</f>
        <v xml:space="preserve"> </v>
      </c>
      <c r="GW84" s="24" t="str">
        <f>IF(FM84&gt;=RAF," ",#REF!/$AI84/Frauen!$J78)</f>
        <v xml:space="preserve"> </v>
      </c>
      <c r="GX84" s="24" t="str">
        <f>IF(FM84&gt;=RAF," ",#REF!/$AI84/Frauen!$J81)</f>
        <v xml:space="preserve"> </v>
      </c>
      <c r="GY84" s="24" t="str">
        <f>IF(FM84&gt;=RAF," ",#REF!/$AI84/Frauen!$J84)</f>
        <v xml:space="preserve"> </v>
      </c>
      <c r="GZ84" s="24" t="str">
        <f>IF(FM84&gt;=RAF," ",#REF!/$AI84/Frauen!$J87)</f>
        <v xml:space="preserve"> </v>
      </c>
      <c r="HA84" s="89"/>
      <c r="HB84" s="35">
        <f t="shared" si="142"/>
        <v>139</v>
      </c>
      <c r="HC84" s="24"/>
      <c r="HD84" s="24"/>
      <c r="HE84" s="24"/>
      <c r="HF84" s="24"/>
      <c r="HG84" s="24"/>
      <c r="HH84" s="24"/>
      <c r="HI84" s="24"/>
      <c r="HJ84" s="24"/>
      <c r="HK84" s="89"/>
      <c r="HL84" s="35">
        <f t="shared" si="143"/>
        <v>139</v>
      </c>
      <c r="HM84" s="24"/>
      <c r="HN84" s="24"/>
      <c r="HO84" s="24"/>
      <c r="HP84" s="24"/>
      <c r="HQ84" s="24"/>
      <c r="HR84" s="24"/>
      <c r="HS84" s="24"/>
      <c r="HT84" s="24"/>
      <c r="HU84" s="89"/>
      <c r="HV84" s="35">
        <f t="shared" si="144"/>
        <v>139</v>
      </c>
      <c r="HW84" s="24"/>
      <c r="HX84" s="24"/>
      <c r="HY84" s="24"/>
      <c r="HZ84" s="24"/>
      <c r="IA84" s="24"/>
      <c r="IB84" s="24"/>
      <c r="IC84" s="24"/>
      <c r="ID84" s="89"/>
      <c r="IE84" s="9">
        <f t="shared" si="145"/>
        <v>92</v>
      </c>
      <c r="IF84" s="11" t="str">
        <f t="shared" si="101"/>
        <v/>
      </c>
      <c r="IG84" s="11" t="str">
        <f>IF($IE84&lt;RAF,IF(S85&lt;=RAK,ROUND(SUM(IF84:INDEX(Daky,RAF-BeginnAlter))+INDEX(Day,RAF-BeginnAlter+1)*INDEX(äky,1),RundDx),0),"")</f>
        <v/>
      </c>
      <c r="IH84" s="11" t="str">
        <f>IF($IE84&lt;RAF,IF(S85&lt;=RAK,ROUND(SUM(IG84:INDEX(Naky,RAF-BeginnAlter))+INDEX(Day,RAF-BeginnAlter+1)*INDEX(äky,1),RundDx),0),"")</f>
        <v/>
      </c>
      <c r="II84" s="10" t="str">
        <f t="shared" si="102"/>
        <v/>
      </c>
      <c r="IJ84" s="11" t="str">
        <f t="shared" si="103"/>
        <v/>
      </c>
      <c r="IK84" s="11" t="str">
        <f>IF($IE84&lt;RAF,IF(S85&lt;=RAK,SUM(IJ84:INDEX(Diky,RAF-BeginnAlter))+INDEX(Diy,RAF-BeginnAlter+1)*INDEX(äky,1),0),"")</f>
        <v/>
      </c>
      <c r="IL84" s="10" t="str">
        <f t="shared" si="104"/>
        <v/>
      </c>
      <c r="IM84" s="89"/>
      <c r="IN84" s="9">
        <f t="shared" si="105"/>
        <v>139</v>
      </c>
      <c r="IO84" s="11"/>
      <c r="IP84" s="11"/>
      <c r="IQ84" s="10"/>
      <c r="IR84" s="86"/>
    </row>
    <row r="85" spans="1:252" ht="15.75" customHeight="1" x14ac:dyDescent="0.25">
      <c r="A85" s="9">
        <f t="shared" si="125"/>
        <v>93</v>
      </c>
      <c r="B85" s="93"/>
      <c r="C85" s="93"/>
      <c r="D85" s="93"/>
      <c r="E85" s="93">
        <v>0.20795958613491222</v>
      </c>
      <c r="F85" s="89"/>
      <c r="G85" s="9">
        <f t="shared" si="126"/>
        <v>93</v>
      </c>
      <c r="H85" s="11" t="str">
        <f t="shared" si="106"/>
        <v/>
      </c>
      <c r="I85" s="25" t="str">
        <f t="shared" si="107"/>
        <v/>
      </c>
      <c r="J85" s="25">
        <f t="shared" si="108"/>
        <v>16476</v>
      </c>
      <c r="K85" s="30">
        <f>IF(J85&gt;0,ROUND(SUM(J85:J$102)/J85-0.5,Rundex),"")</f>
        <v>3.22</v>
      </c>
      <c r="L85" s="25">
        <f t="shared" si="83"/>
        <v>16476</v>
      </c>
      <c r="M85" s="30">
        <f>IF(L85&gt;0,ROUND(SUM(L85:L$102)/L85-0.5,Rundex),"")</f>
        <v>3.22</v>
      </c>
      <c r="N85" s="89"/>
      <c r="O85" s="9">
        <f t="shared" si="127"/>
        <v>93</v>
      </c>
      <c r="P85" s="94">
        <v>4.1253992068153176E-3</v>
      </c>
      <c r="Q85" s="95">
        <v>92.893987481664539</v>
      </c>
      <c r="R85" s="94"/>
      <c r="S85" s="95"/>
      <c r="T85" s="28">
        <v>0.2</v>
      </c>
      <c r="U85" s="11">
        <f t="shared" si="109"/>
        <v>19890</v>
      </c>
      <c r="V85" s="30">
        <f>IF(U85&gt;0,ROUND(SUM(U85:U$102)/U85-0.5,Rundex),"")</f>
        <v>3.22</v>
      </c>
      <c r="W85" s="89"/>
      <c r="X85" s="9">
        <f t="shared" si="128"/>
        <v>93</v>
      </c>
      <c r="Y85" s="11" t="str">
        <f t="shared" si="110"/>
        <v xml:space="preserve"> </v>
      </c>
      <c r="Z85" s="11" t="str">
        <f>IF($X85&lt;RAF,SUM(Y85:INDEX(Day,RAF-BeginnAlter))," ")</f>
        <v xml:space="preserve"> </v>
      </c>
      <c r="AA85" s="11" t="str">
        <f t="shared" si="81"/>
        <v xml:space="preserve"> </v>
      </c>
      <c r="AB85" s="11" t="str">
        <f>IF($X85&lt;RAF,SUM(AA85:INDEX(Cay,RAF-BeginnAlter))," ")</f>
        <v xml:space="preserve"> </v>
      </c>
      <c r="AC85" s="11" t="str">
        <f t="shared" si="82"/>
        <v xml:space="preserve"> </v>
      </c>
      <c r="AD85" s="11" t="str">
        <f>IF($X85&lt;RAF,SUM(AC85:INDEX(Caiy,RAF-BeginnAlter))," ")</f>
        <v xml:space="preserve"> </v>
      </c>
      <c r="AE85" s="10" t="str">
        <f t="shared" si="111"/>
        <v xml:space="preserve"> </v>
      </c>
      <c r="AF85" s="10" t="str">
        <f t="shared" si="112"/>
        <v xml:space="preserve"> </v>
      </c>
      <c r="AG85" s="89"/>
      <c r="AH85" s="9">
        <f t="shared" si="129"/>
        <v>93</v>
      </c>
      <c r="AI85" s="11" t="str">
        <f t="shared" si="113"/>
        <v xml:space="preserve"> </v>
      </c>
      <c r="AJ85" s="11" t="str">
        <f>IF($AH85&gt;RAF," ",IF($AH85&lt;RAF,SUM(AI85:INDEX(Diy,RAF-BeginnAlter))+INDEX(Ny,RAF-BeginnAlter+1),INDEX(Ny,RAF-BeginnAlter+1)))</f>
        <v xml:space="preserve"> </v>
      </c>
      <c r="AK85" s="11" t="str">
        <f>IF($AH85&lt;RAF,SUM(AI85:INDEX(Diy,RAF-BeginnAlter))," ")</f>
        <v xml:space="preserve"> </v>
      </c>
      <c r="AL85" s="10" t="str">
        <f t="shared" si="114"/>
        <v xml:space="preserve"> </v>
      </c>
      <c r="AM85" s="10" t="str">
        <f t="shared" si="115"/>
        <v xml:space="preserve"> </v>
      </c>
      <c r="AN85" s="10" t="str">
        <f t="shared" si="116"/>
        <v xml:space="preserve"> </v>
      </c>
      <c r="AO85" s="10" t="str">
        <f t="shared" si="117"/>
        <v xml:space="preserve"> </v>
      </c>
      <c r="AP85" s="89"/>
      <c r="AQ85" s="9">
        <f t="shared" si="130"/>
        <v>93</v>
      </c>
      <c r="AR85" s="11">
        <f t="shared" si="118"/>
        <v>2080</v>
      </c>
      <c r="AS85" s="11">
        <f>SUM(AR85:AR$96)</f>
        <v>7391</v>
      </c>
      <c r="AT85" s="25" t="str">
        <f>IF($AQ85&lt;RAF,SUM(AR85:INDEX(Dy,RAF-BeginnAlter))," ")</f>
        <v xml:space="preserve"> </v>
      </c>
      <c r="AU85" s="24">
        <f t="shared" si="119"/>
        <v>3.5529999999999999</v>
      </c>
      <c r="AV85" s="24">
        <f t="shared" si="120"/>
        <v>3.0950000000000002</v>
      </c>
      <c r="AW85" s="24" t="str">
        <f t="shared" si="121"/>
        <v xml:space="preserve"> </v>
      </c>
      <c r="AX85" s="24" t="str">
        <f t="shared" si="122"/>
        <v xml:space="preserve"> </v>
      </c>
      <c r="AY85" s="89"/>
      <c r="AZ85" s="9">
        <f t="shared" si="131"/>
        <v>93</v>
      </c>
      <c r="BA85" s="11">
        <f t="shared" si="123"/>
        <v>2512</v>
      </c>
      <c r="BB85" s="11">
        <f>SUM(BA85:BA$96)</f>
        <v>8921</v>
      </c>
      <c r="BC85" s="10">
        <f t="shared" si="124"/>
        <v>3.5510000000000002</v>
      </c>
      <c r="BD85" s="10">
        <f t="shared" si="84"/>
        <v>3.093</v>
      </c>
      <c r="BE85" s="89"/>
      <c r="BF85" s="9">
        <f t="shared" si="132"/>
        <v>76</v>
      </c>
      <c r="BG85" s="10" t="str">
        <f t="shared" si="85"/>
        <v/>
      </c>
      <c r="BH85" s="10" t="str">
        <f t="shared" si="86"/>
        <v/>
      </c>
      <c r="BI85" s="89"/>
      <c r="BJ85" s="9">
        <f t="shared" si="133"/>
        <v>93</v>
      </c>
      <c r="BK85" s="11" t="str">
        <f t="shared" si="87"/>
        <v xml:space="preserve"> </v>
      </c>
      <c r="BL85" s="11" t="str">
        <f>IF(BJ85&lt;RAF,SUM(BK85:INDEX(Daiy,RAF-BeginnAlter))," ")</f>
        <v xml:space="preserve"> </v>
      </c>
      <c r="BM85" s="11" t="str">
        <f>IF(BJ85&lt;RAF,SUM(BL85:INDEX(Naiy,RAF-BeginnAlter))," ")</f>
        <v xml:space="preserve"> </v>
      </c>
      <c r="BN85" s="10" t="str">
        <f t="shared" si="88"/>
        <v xml:space="preserve"> </v>
      </c>
      <c r="BO85" s="10" t="str">
        <f t="shared" si="89"/>
        <v xml:space="preserve"> </v>
      </c>
      <c r="BP85" s="89"/>
      <c r="BQ85" s="9">
        <f t="shared" si="134"/>
        <v>93</v>
      </c>
      <c r="BR85" s="11" t="str">
        <f t="shared" si="90"/>
        <v xml:space="preserve"> </v>
      </c>
      <c r="BS85" s="11" t="str">
        <f>IF(BQ85&lt;RAF,SUM(BR85:INDEX(Daiys,RAF-BeginnAlter))," ")</f>
        <v xml:space="preserve"> </v>
      </c>
      <c r="BT85" s="11" t="str">
        <f>IF(BQ85&lt;RAF,SUM(BS85:INDEX(Naiys,RAF-BeginnAlter))," ")</f>
        <v xml:space="preserve"> </v>
      </c>
      <c r="BU85" s="10" t="str">
        <f t="shared" si="91"/>
        <v xml:space="preserve"> </v>
      </c>
      <c r="BV85" s="10" t="str">
        <f t="shared" si="92"/>
        <v xml:space="preserve"> </v>
      </c>
      <c r="BW85" s="89"/>
      <c r="BX85" s="9">
        <f t="shared" si="135"/>
        <v>93</v>
      </c>
      <c r="BY85" s="10" t="str">
        <f t="shared" si="93"/>
        <v/>
      </c>
      <c r="BZ85" s="11" t="str">
        <f t="shared" si="94"/>
        <v/>
      </c>
      <c r="CA85" s="11" t="str">
        <f>IF(S86&lt;=RAK,IF($BX85&lt;RAF,SUM(BZ85:INDEX(Dazy,RAF-BeginnAlter)),""),"")</f>
        <v/>
      </c>
      <c r="CB85" s="10" t="str">
        <f t="shared" si="95"/>
        <v/>
      </c>
      <c r="CC85" s="11">
        <f t="shared" si="96"/>
        <v>0</v>
      </c>
      <c r="CD85" s="10">
        <f t="shared" si="97"/>
        <v>0</v>
      </c>
      <c r="CE85" s="10" t="str">
        <f t="shared" si="98"/>
        <v/>
      </c>
      <c r="CF85" s="89"/>
      <c r="CG85" s="9">
        <f t="shared" si="136"/>
        <v>93</v>
      </c>
      <c r="CH85" s="11" t="str">
        <f>IF(CG85&lt;RAF,ROUND(v^($CG85+FaktorAlter)*$H85*($B85*0.5*($P85+$P86)*(VLOOKUP(TRUNC(0.5*($Q85+$Q86),0),Männer!$AZ$9:$BD$95,5)+(0.5*($Q85+$Q86)-TRUNC(0.5*($Q85+$Q86),0))*(VLOOKUP(TRUNC(0.5*($Q85+$Q86)+1,0),Männer!$AZ$9:$BD$95,5)-VLOOKUP(TRUNC(0.5*($Q85+$Q86),0),Männer!$AZ$9:$BD$95,5)))+$C85*0.5*($CN85+$CN86)),RundDx),"")</f>
        <v/>
      </c>
      <c r="CI85" s="11" t="str">
        <f>IF(CG85&lt;RAF,ROUND(SUM(CH85:INDEX(Dawy,RAF-BeginnAlter))+INDEX(Day,RAF-BeginnAlter+1)*INDEX(äwy,1),RundDx),"")</f>
        <v/>
      </c>
      <c r="CJ85" s="11" t="str">
        <f>IF(CG85&lt;RAF,ROUND(SUM(CI85:INDEX(Nawy,RAF-BeginnAlter))+INDEX(Day,RAF-BeginnAlter+1)*INDEX(äwy,1),RundDx),"")</f>
        <v/>
      </c>
      <c r="CK85" s="10" t="str">
        <f t="shared" si="99"/>
        <v/>
      </c>
      <c r="CL85" s="11" t="str">
        <f>IF(CG85&lt;RAF,ROUND(v^($CG85+FaktorAlter)*$L85*$D85*0.5*($P85+$P86)*(VLOOKUP(TRUNC(0.5*($Q85+$Q86),0),Männer!$AZ$9:$BD$95,5)+(0.5*($Q85+$Q86)-TRUNC(0.5*($Q85+$Q86),0))*(VLOOKUP(TRUNC(0.5*($Q85+$Q86)+1,0),Männer!$AZ$9:$BD$95,5)-VLOOKUP(TRUNC(0.5*($Q85+$Q86),0),Männer!$AZ$9:$BD$95,5))),RundDx),"")</f>
        <v/>
      </c>
      <c r="CM85" s="11" t="str">
        <f>IF(CG85&lt;RAF,SUM(CL85:INDEX(Diwy,RAF-BeginnAlter))+INDEX(Diy,RAF-BeginnAlter+1)*INDEX(äwy,1),"")</f>
        <v/>
      </c>
      <c r="CN85" s="10" t="str">
        <f t="shared" si="100"/>
        <v/>
      </c>
      <c r="CO85" s="89"/>
      <c r="CP85" s="9">
        <f t="shared" si="146"/>
        <v>140</v>
      </c>
      <c r="CQ85" s="11"/>
      <c r="CR85" s="11"/>
      <c r="CS85" s="10"/>
      <c r="CT85" s="89"/>
      <c r="CU85" s="35">
        <f t="shared" si="137"/>
        <v>93</v>
      </c>
      <c r="CV85" s="25" t="str">
        <f>IF($CU85&gt;=RAF,"",IF($CU85-CV$103&lt;BeginnAlter,"",ROUND(v^($CU85+FaktorAlter)*$L85*$D85*0.5*(VLOOKUP($CU85-CV$103,Männer!$G$9:$J$102,4)+VLOOKUP($CU85-CV$103+1,Männer!$G$9:$J$102,4))*0.5*(VLOOKUP($CU85-CV$103,Männer!$AZ$9:$BD$102,5)+VLOOKUP($CU85-CV$103+1,Männer!$AZ$9:$BD$102,5)),RundDx)))</f>
        <v/>
      </c>
      <c r="CW85" s="25" t="str">
        <f>IF($CU85&gt;=RAF,"",IF($CU85-CW$103&lt;BeginnAlter,"",ROUND(v^($CU85+FaktorAlter)*$L85*$D85*0.5*(VLOOKUP($CU85-CW$103,Männer!$G$9:$J$102,4)+VLOOKUP($CU85-CW$103+1,Männer!$G$9:$J$102,4))*0.5*(VLOOKUP($CU85-CW$103,Männer!$AZ$9:$BD$102,5)+VLOOKUP($CU85-CW$103+1,Männer!$AZ$9:$BD$102,5)),RundDx)))</f>
        <v/>
      </c>
      <c r="CX85" s="25" t="str">
        <f>IF($CU85&gt;=RAF,"",IF($CU85-CX$103&lt;BeginnAlter,"",ROUND(v^($CU85+FaktorAlter)*$L85*$D85*0.5*(VLOOKUP($CU85-CX$103,Männer!$G$9:$J$102,4)+VLOOKUP($CU85-CX$103+1,Männer!$G$9:$J$102,4))*0.5*(VLOOKUP($CU85-CX$103,Männer!$AZ$9:$BD$102,5)+VLOOKUP($CU85-CX$103+1,Männer!$AZ$9:$BD$102,5)),RundDx)))</f>
        <v/>
      </c>
      <c r="CY85" s="25" t="str">
        <f>IF($CU85&gt;=RAF,"",IF($CU85-CY$103&lt;BeginnAlter,"",ROUND(v^($CU85+FaktorAlter)*$L85*$D85*0.5*(VLOOKUP($CU85-CY$103,Männer!$G$9:$J$102,4)+VLOOKUP($CU85-CY$103+1,Männer!$G$9:$J$102,4))*0.5*(VLOOKUP($CU85-CY$103,Männer!$AZ$9:$BD$102,5)+VLOOKUP($CU85-CY$103+1,Männer!$AZ$9:$BD$102,5)),RundDx)))</f>
        <v/>
      </c>
      <c r="CZ85" s="25" t="str">
        <f>IF($CU85&gt;=RAF,"",IF($CU85-CZ$103&lt;BeginnAlter,"",ROUND(v^($CU85+FaktorAlter)*$L85*$D85*0.5*(VLOOKUP($CU85-CZ$103,Männer!$G$9:$J$102,4)+VLOOKUP($CU85-CZ$103+1,Männer!$G$9:$J$102,4))*0.5*(VLOOKUP($CU85-CZ$103,Männer!$AZ$9:$BD$102,5)+VLOOKUP($CU85-CZ$103+1,Männer!$AZ$9:$BD$102,5)),RundDx)))</f>
        <v/>
      </c>
      <c r="DA85" s="25" t="str">
        <f>IF($CU85&gt;=RAF,"",IF($CU85-DA$103&lt;BeginnAlter,"",ROUND(v^($CU85+FaktorAlter)*$L85*$D85*0.5*(VLOOKUP($CU85-DA$103,Männer!$G$9:$J$102,4)+VLOOKUP($CU85-DA$103+1,Männer!$G$9:$J$102,4))*0.5*(VLOOKUP($CU85-DA$103,Männer!$AZ$9:$BD$102,5)+VLOOKUP($CU85-DA$103+1,Männer!$AZ$9:$BD$102,5)),RundDx)))</f>
        <v/>
      </c>
      <c r="DB85" s="25" t="str">
        <f>IF($CU85&gt;=RAF,"",IF($CU85-DB$103&lt;BeginnAlter,"",ROUND(v^($CU85+FaktorAlter)*$L85*$D85*0.5*(VLOOKUP($CU85-DB$103,Männer!$G$9:$J$102,4)+VLOOKUP($CU85-DB$103+1,Männer!$G$9:$J$102,4))*0.5*(VLOOKUP($CU85-DB$103,Männer!$AZ$9:$BD$102,5)+VLOOKUP($CU85-DB$103+1,Männer!$AZ$9:$BD$102,5)),RundDx)))</f>
        <v/>
      </c>
      <c r="DC85" s="25" t="str">
        <f>IF($CU85&gt;=RAF,"",IF($CU85-DC$103&lt;BeginnAlter,"",ROUND(v^($CU85+FaktorAlter)*$L85*$D85*0.5*(VLOOKUP($CU85-DC$103,Männer!$G$9:$J$102,4)+VLOOKUP($CU85-DC$103+1,Männer!$G$9:$J$102,4))*0.5*(VLOOKUP($CU85-DC$103,Männer!$AZ$9:$BD$102,5)+VLOOKUP($CU85-DC$103+1,Männer!$AZ$9:$BD$102,5)),RundDx)))</f>
        <v/>
      </c>
      <c r="DD85" s="25" t="str">
        <f>IF($CU85&gt;=RAF,"",IF($CU85-DD$103&lt;BeginnAlter,"",ROUND(v^($CU85+FaktorAlter)*$L85*$D85*0.5*(VLOOKUP($CU85-DD$103,Männer!$G$9:$J$102,4)+VLOOKUP($CU85-DD$103+1,Männer!$G$9:$J$102,4))*0.5*(VLOOKUP($CU85-DD$103,Männer!$AZ$9:$BD$102,5)+VLOOKUP($CU85-DD$103+1,Männer!$AZ$9:$BD$102,5)),RundDx)))</f>
        <v/>
      </c>
      <c r="DE85" s="25" t="str">
        <f>IF($CU85&gt;=RAF,"",IF($CU85-DE$103&lt;BeginnAlter,"",ROUND(v^($CU85+FaktorAlter)*$L85*$D85*0.5*(VLOOKUP($CU85-DE$103,Männer!$G$9:$J$102,4)+VLOOKUP($CU85-DE$103+1,Männer!$G$9:$J$102,4))*0.5*(VLOOKUP($CU85-DE$103,Männer!$AZ$9:$BD$102,5)+VLOOKUP($CU85-DE$103+1,Männer!$AZ$9:$BD$102,5)),RundDx)))</f>
        <v/>
      </c>
      <c r="DF85" s="25" t="str">
        <f>IF($CU85&gt;=RAF,"",IF($CU85-DF$103&lt;BeginnAlter,"",ROUND(v^($CU85+FaktorAlter)*$L85*$D85*0.5*(VLOOKUP($CU85-DF$103,Männer!$G$9:$J$102,4)+VLOOKUP($CU85-DF$103+1,Männer!$G$9:$J$102,4))*0.5*(VLOOKUP($CU85-DF$103,Männer!$AZ$9:$BD$102,5)+VLOOKUP($CU85-DF$103+1,Männer!$AZ$9:$BD$102,5)),RundDx)))</f>
        <v/>
      </c>
      <c r="DG85" s="25" t="str">
        <f>IF($CU85&gt;=RAF,"",IF($CU85-DG$103&lt;BeginnAlter,"",ROUND(v^($CU85+FaktorAlter)*$L85*$D85*0.5*(VLOOKUP($CU85-DG$103,Männer!$G$9:$J$102,4)+VLOOKUP($CU85-DG$103+1,Männer!$G$9:$J$102,4))*0.5*(VLOOKUP($CU85-DG$103,Männer!$AZ$9:$BD$102,5)+VLOOKUP($CU85-DG$103+1,Männer!$AZ$9:$BD$102,5)),RundDx)))</f>
        <v/>
      </c>
      <c r="DH85" s="25" t="str">
        <f>IF($CU85&gt;=RAF,"",IF($CU85-DH$103&lt;BeginnAlter,"",ROUND(v^($CU85+FaktorAlter)*$L85*$D85*0.5*(VLOOKUP($CU85-DH$103,Männer!$G$9:$J$102,4)+VLOOKUP($CU85-DH$103+1,Männer!$G$9:$J$102,4))*0.5*(VLOOKUP($CU85-DH$103,Männer!$AZ$9:$BD$102,5)+VLOOKUP($CU85-DH$103+1,Männer!$AZ$9:$BD$102,5)),RundDx)))</f>
        <v/>
      </c>
      <c r="DI85" s="25" t="str">
        <f>IF($CU85&gt;=RAF,"",IF($CU85-DI$103&lt;BeginnAlter,"",ROUND(v^($CU85+FaktorAlter)*$L85*$D85*0.5*(VLOOKUP($CU85-DI$103,Männer!$G$9:$J$102,4)+VLOOKUP($CU85-DI$103+1,Männer!$G$9:$J$102,4))*0.5*(VLOOKUP($CU85-DI$103,Männer!$AZ$9:$BD$102,5)+VLOOKUP($CU85-DI$103+1,Männer!$AZ$9:$BD$102,5)),RundDx)))</f>
        <v/>
      </c>
      <c r="DJ85" s="25" t="str">
        <f>IF($CU85&gt;=RAF,"",IF($CU85-DJ$103&lt;BeginnAlter,"",ROUND(v^($CU85+FaktorAlter)*$L85*$D85*0.5*(VLOOKUP($CU85-DJ$103,Männer!$G$9:$J$102,4)+VLOOKUP($CU85-DJ$103+1,Männer!$G$9:$J$102,4))*0.5*(VLOOKUP($CU85-DJ$103,Männer!$AZ$9:$BD$102,5)+VLOOKUP($CU85-DJ$103+1,Männer!$AZ$9:$BD$102,5)),RundDx)))</f>
        <v/>
      </c>
      <c r="DK85" s="25" t="str">
        <f>IF($CU85&gt;=RAF,"",IF($CU85-DK$103&lt;BeginnAlter,"",ROUND(v^($CU85+FaktorAlter)*$L85*$D85*0.5*(VLOOKUP($CU85-DK$103,Männer!$G$9:$J$102,4)+VLOOKUP($CU85-DK$103+1,Männer!$G$9:$J$102,4))*0.5*(VLOOKUP($CU85-DK$103,Männer!$AZ$9:$BD$102,5)+VLOOKUP($CU85-DK$103+1,Männer!$AZ$9:$BD$102,5)),RundDx)))</f>
        <v/>
      </c>
      <c r="DL85" s="25" t="str">
        <f>IF($CU85&gt;=RAF,"",IF($CU85-DL$103&lt;BeginnAlter,"",ROUND(v^($CU85+FaktorAlter)*$L85*$D85*0.5*(VLOOKUP($CU85-DL$103,Männer!$G$9:$J$102,4)+VLOOKUP($CU85-DL$103+1,Männer!$G$9:$J$102,4))*0.5*(VLOOKUP($CU85-DL$103,Männer!$AZ$9:$BD$102,5)+VLOOKUP($CU85-DL$103+1,Männer!$AZ$9:$BD$102,5)),RundDx)))</f>
        <v/>
      </c>
      <c r="DM85" s="25" t="str">
        <f>IF($CU85&gt;=RAF,"",IF($CU85-DM$103&lt;BeginnAlter,"",ROUND(v^($CU85+FaktorAlter)*$L85*$D85*0.5*(VLOOKUP($CU85-DM$103,Männer!$G$9:$J$102,4)+VLOOKUP($CU85-DM$103+1,Männer!$G$9:$J$102,4))*0.5*(VLOOKUP($CU85-DM$103,Männer!$AZ$9:$BD$102,5)+VLOOKUP($CU85-DM$103+1,Männer!$AZ$9:$BD$102,5)),RundDx)))</f>
        <v/>
      </c>
      <c r="DN85" s="25" t="str">
        <f>IF($CU85&gt;=RAF,"",IF($CU85-DN$103&lt;BeginnAlter,"",ROUND(v^($CU85+FaktorAlter)*$L85*$D85*0.5*(VLOOKUP($CU85-DN$103,Männer!$G$9:$J$102,4)+VLOOKUP($CU85-DN$103+1,Männer!$G$9:$J$102,4))*0.5*(VLOOKUP($CU85-DN$103,Männer!$AZ$9:$BD$102,5)+VLOOKUP($CU85-DN$103+1,Männer!$AZ$9:$BD$102,5)),RundDx)))</f>
        <v/>
      </c>
      <c r="DO85" s="25" t="str">
        <f>IF($CU85&gt;=RAF,"",IF($CU85-DO$103&lt;BeginnAlter,"",ROUND(v^($CU85+FaktorAlter)*$L85*$D85*0.5*(VLOOKUP($CU85-DO$103,Männer!$G$9:$J$102,4)+VLOOKUP($CU85-DO$103+1,Männer!$G$9:$J$102,4))*0.5*(VLOOKUP($CU85-DO$103,Männer!$AZ$9:$BD$102,5)+VLOOKUP($CU85-DO$103+1,Männer!$AZ$9:$BD$102,5)),RundDx)))</f>
        <v/>
      </c>
      <c r="DP85" s="25" t="str">
        <f>IF($CU85&gt;=RAF,"",IF($CU85-DP$103&lt;BeginnAlter,"",ROUND(v^($CU85+FaktorAlter)*$L85*$D85*0.5*(VLOOKUP($CU85-DP$103,Männer!$G$9:$J$102,4)+VLOOKUP($CU85-DP$103+1,Männer!$G$9:$J$102,4))*0.5*(VLOOKUP($CU85-DP$103,Männer!$AZ$9:$BD$102,5)+VLOOKUP($CU85-DP$103+1,Männer!$AZ$9:$BD$102,5)),RundDx)))</f>
        <v/>
      </c>
      <c r="DQ85" s="25" t="str">
        <f>IF($CU85&gt;=RAF,"",IF($CU85-DQ$103&lt;BeginnAlter,"",ROUND(v^($CU85+FaktorAlter)*$L85*$D85*0.5*(VLOOKUP($CU85-DQ$103,Männer!$G$9:$J$102,4)+VLOOKUP($CU85-DQ$103+1,Männer!$G$9:$J$102,4))*0.5*(VLOOKUP($CU85-DQ$103,Männer!$AZ$9:$BD$102,5)+VLOOKUP($CU85-DQ$103+1,Männer!$AZ$9:$BD$102,5)),RundDx)))</f>
        <v/>
      </c>
      <c r="DR85" s="25" t="str">
        <f>IF($CU85&gt;=RAF,"",IF($CU85-DR$103&lt;BeginnAlter,"",ROUND(v^($CU85+FaktorAlter)*$L85*$D85*0.5*(VLOOKUP($CU85-DR$103,Männer!$G$9:$J$102,4)+VLOOKUP($CU85-DR$103+1,Männer!$G$9:$J$102,4))*0.5*(VLOOKUP($CU85-DR$103,Männer!$AZ$9:$BD$102,5)+VLOOKUP($CU85-DR$103+1,Männer!$AZ$9:$BD$102,5)),RundDx)))</f>
        <v/>
      </c>
      <c r="DS85" s="25" t="str">
        <f>IF($CU85&gt;=RAF,"",IF($CU85-DS$103&lt;BeginnAlter,"",ROUND(v^($CU85+FaktorAlter)*$L85*$D85*0.5*(VLOOKUP($CU85-DS$103,Männer!$G$9:$J$102,4)+VLOOKUP($CU85-DS$103+1,Männer!$G$9:$J$102,4))*0.5*(VLOOKUP($CU85-DS$103,Männer!$AZ$9:$BD$102,5)+VLOOKUP($CU85-DS$103+1,Männer!$AZ$9:$BD$102,5)),RundDx)))</f>
        <v/>
      </c>
      <c r="DT85" s="25" t="str">
        <f>IF($CU85&gt;=RAF,"",IF($CU85-DT$103&lt;BeginnAlter,"",ROUND(v^($CU85+FaktorAlter)*$L85*$D85*0.5*(VLOOKUP($CU85-DT$103,Männer!$G$9:$J$102,4)+VLOOKUP($CU85-DT$103+1,Männer!$G$9:$J$102,4))*0.5*(VLOOKUP($CU85-DT$103,Männer!$AZ$9:$BD$102,5)+VLOOKUP($CU85-DT$103+1,Männer!$AZ$9:$BD$102,5)),RundDx)))</f>
        <v/>
      </c>
      <c r="DU85" s="25" t="str">
        <f>IF($CU85&gt;=RAF,"",IF($CU85-DU$103&lt;BeginnAlter,"",ROUND(v^($CU85+FaktorAlter)*$L85*$D85*0.5*(VLOOKUP($CU85-DU$103,Männer!$G$9:$J$102,4)+VLOOKUP($CU85-DU$103+1,Männer!$G$9:$J$102,4))*0.5*(VLOOKUP($CU85-DU$103,Männer!$AZ$9:$BD$102,5)+VLOOKUP($CU85-DU$103+1,Männer!$AZ$9:$BD$102,5)),RundDx)))</f>
        <v/>
      </c>
      <c r="DV85" s="25" t="str">
        <f>IF($CU85&gt;=RAF,"",IF($CU85-DV$103&lt;BeginnAlter,"",ROUND(v^($CU85+FaktorAlter)*$L85*$D85*0.5*(VLOOKUP($CU85-DV$103,Männer!$G$9:$J$102,4)+VLOOKUP($CU85-DV$103+1,Männer!$G$9:$J$102,4))*0.5*(VLOOKUP($CU85-DV$103,Männer!$AZ$9:$BD$102,5)+VLOOKUP($CU85-DV$103+1,Männer!$AZ$9:$BD$102,5)),RundDx)))</f>
        <v/>
      </c>
      <c r="DW85" s="25" t="str">
        <f>IF($CU85&gt;=RAF,"",IF($CU85-DW$103&lt;BeginnAlter,"",ROUND(v^($CU85+FaktorAlter)*$L85*$D85*0.5*(VLOOKUP($CU85-DW$103,Männer!$G$9:$J$102,4)+VLOOKUP($CU85-DW$103+1,Männer!$G$9:$J$102,4))*0.5*(VLOOKUP($CU85-DW$103,Männer!$AZ$9:$BD$102,5)+VLOOKUP($CU85-DW$103+1,Männer!$AZ$9:$BD$102,5)),RundDx)))</f>
        <v/>
      </c>
      <c r="DX85" s="25" t="str">
        <f>IF($CU85&gt;=RAF,"",IF($CU85-DX$103&lt;BeginnAlter,"",ROUND(v^($CU85+FaktorAlter)*$L85*$D85*0.5*(VLOOKUP($CU85-DX$103,Männer!$G$9:$J$102,4)+VLOOKUP($CU85-DX$103+1,Männer!$G$9:$J$102,4))*0.5*(VLOOKUP($CU85-DX$103,Männer!$AZ$9:$BD$102,5)+VLOOKUP($CU85-DX$103+1,Männer!$AZ$9:$BD$102,5)),RundDx)))</f>
        <v/>
      </c>
      <c r="DY85" s="25" t="str">
        <f>IF($CU85&gt;=RAF,"",IF($CU85-DY$103&lt;BeginnAlter,"",ROUND(v^($CU85+FaktorAlter)*$L85*$D85*0.5*(VLOOKUP($CU85-DY$103,Männer!$G$9:$J$102,4)+VLOOKUP($CU85-DY$103+1,Männer!$G$9:$J$102,4))*0.5*(VLOOKUP($CU85-DY$103,Männer!$AZ$9:$BD$102,5)+VLOOKUP($CU85-DY$103+1,Männer!$AZ$9:$BD$102,5)),RundDx)))</f>
        <v/>
      </c>
      <c r="DZ85" s="25" t="str">
        <f>IF($CU85&gt;=RAF,"",IF($CU85-DZ$103&lt;BeginnAlter,"",ROUND(v^($CU85+FaktorAlter)*$L85*$D85*0.5*(VLOOKUP($CU85-DZ$103,Männer!$G$9:$J$102,4)+VLOOKUP($CU85-DZ$103+1,Männer!$G$9:$J$102,4))*0.5*(VLOOKUP($CU85-DZ$103,Männer!$AZ$9:$BD$102,5)+VLOOKUP($CU85-DZ$103+1,Männer!$AZ$9:$BD$102,5)),RundDx)))</f>
        <v/>
      </c>
      <c r="EA85" s="43" t="str">
        <f>IF($CU85&gt;=RAF,"",IF($CU85-EA$103&lt;BeginnAlter,"",ROUND((SUM(CV$56:CV85)+SUM(FN$9:FN$56))/VLOOKUP($CU85,$AH$9:$AI$102,2)/VLOOKUP($CU85-EA$103,Männer!$G$9:$J$102,4),Rundäx)))</f>
        <v/>
      </c>
      <c r="EB85" s="43" t="str">
        <f>IF($CU85&gt;=RAF,"",IF($CU85-EB$103&lt;BeginnAlter,"",ROUND((SUM(CW$56:CW85)+SUM(FO$9:FO$56))/VLOOKUP($CU85,$AH$9:$AI$102,2)/VLOOKUP($CU85-EB$103,Männer!$G$9:$J$102,4),Rundäx)))</f>
        <v/>
      </c>
      <c r="EC85" s="43" t="str">
        <f>IF($CU85&gt;=RAF,"",IF($CU85-EC$103&lt;BeginnAlter,"",ROUND((SUM(CX$56:CX85)+SUM(FP$9:FP$56))/VLOOKUP($CU85,$AH$9:$AI$102,2)/VLOOKUP($CU85-EC$103,Männer!$G$9:$J$102,4),Rundäx)))</f>
        <v/>
      </c>
      <c r="ED85" s="43" t="str">
        <f>IF($CU85&gt;=RAF,"",IF($CU85-ED$103&lt;BeginnAlter,"",ROUND((SUM(CY$56:CY85)+SUM(FQ$9:FQ$56))/VLOOKUP($CU85,$AH$9:$AI$102,2)/VLOOKUP($CU85-ED$103,Männer!$G$9:$J$102,4),Rundäx)))</f>
        <v/>
      </c>
      <c r="EE85" s="43" t="str">
        <f>IF($CU85&gt;=RAF,"",IF($CU85-EE$103&lt;BeginnAlter,"",ROUND((SUM(CZ$56:CZ85)+SUM(FR$9:FR$56))/VLOOKUP($CU85,$AH$9:$AI$102,2)/VLOOKUP($CU85-EE$103,Männer!$G$9:$J$102,4),Rundäx)))</f>
        <v/>
      </c>
      <c r="EF85" s="43" t="str">
        <f>IF($CU85&gt;=RAF,"",IF($CU85-EF$103&lt;BeginnAlter,"",ROUND((SUM(DA$56:DA85)+SUM(FS$9:FS$56))/VLOOKUP($CU85,$AH$9:$AI$102,2)/VLOOKUP($CU85-EF$103,Männer!$G$9:$J$102,4),Rundäx)))</f>
        <v/>
      </c>
      <c r="EG85" s="43" t="str">
        <f>IF($CU85&gt;=RAF,"",IF($CU85-EG$103&lt;BeginnAlter,"",ROUND((SUM(DB$56:DB85)+SUM(FT$9:FT$56))/VLOOKUP($CU85,$AH$9:$AI$102,2)/VLOOKUP($CU85-EG$103,Männer!$G$9:$J$102,4),Rundäx)))</f>
        <v/>
      </c>
      <c r="EH85" s="43" t="str">
        <f>IF($CU85&gt;=RAF,"",IF($CU85-EH$103&lt;BeginnAlter,"",ROUND((SUM(DC$56:DC85)+SUM(FU$9:FU$56))/VLOOKUP($CU85,$AH$9:$AI$102,2)/VLOOKUP($CU85-EH$103,Männer!$G$9:$J$102,4),Rundäx)))</f>
        <v/>
      </c>
      <c r="EI85" s="89"/>
      <c r="EJ85" s="35">
        <f t="shared" si="138"/>
        <v>93</v>
      </c>
      <c r="EK85" s="43" t="str">
        <f>IF($CU85&gt;=RAF,"",IF($CU85-EK$103&lt;BeginnAlter,"",ROUND((SUM(DD$56:DD85)+SUM(FV$9:FV$56))/VLOOKUP($CU85,$AH$9:$AI$102,2)/VLOOKUP($CU85-EK$103,Männer!$G$9:$J$102,4),Rundäx)))</f>
        <v/>
      </c>
      <c r="EL85" s="43" t="str">
        <f>IF($CU85&gt;=RAF,"",IF($CU85-EL$103&lt;BeginnAlter,"",ROUND((SUM(DE$56:DE85)+SUM(FW$9:FW$56))/VLOOKUP($CU85,$AH$9:$AI$102,2)/VLOOKUP($CU85-EL$103,Männer!$G$9:$J$102,4),Rundäx)))</f>
        <v/>
      </c>
      <c r="EM85" s="43" t="str">
        <f>IF($CU85&gt;=RAF,"",IF($CU85-EM$103&lt;BeginnAlter,"",ROUND((SUM(DF$56:DF85)+SUM(FX$9:FX$56))/VLOOKUP($CU85,$AH$9:$AI$102,2)/VLOOKUP($CU85-EM$103,Männer!$G$9:$J$102,4),Rundäx)))</f>
        <v/>
      </c>
      <c r="EN85" s="43" t="str">
        <f>IF($CU85&gt;=RAF,"",IF($CU85-EN$103&lt;BeginnAlter,"",ROUND((SUM(DG$56:DG85)+SUM(FY$9:FY$56))/VLOOKUP($CU85,$AH$9:$AI$102,2)/VLOOKUP($CU85-EN$103,Männer!$G$9:$J$102,4),Rundäx)))</f>
        <v/>
      </c>
      <c r="EO85" s="43" t="str">
        <f>IF($CU85&gt;=RAF,"",IF($CU85-EO$103&lt;BeginnAlter,"",ROUND((SUM(DH$56:DH85)+SUM(FZ$9:FZ$56))/VLOOKUP($CU85,$AH$9:$AI$102,2)/VLOOKUP($CU85-EO$103,Männer!$G$9:$J$102,4),Rundäx)))</f>
        <v/>
      </c>
      <c r="EP85" s="43" t="str">
        <f>IF($CU85&gt;=RAF,"",IF($CU85-EP$103&lt;BeginnAlter,"",ROUND((SUM(DI$56:DI85)+SUM(GA$9:GA$56))/VLOOKUP($CU85,$AH$9:$AI$102,2)/VLOOKUP($CU85-EP$103,Männer!$G$9:$J$102,4),Rundäx)))</f>
        <v/>
      </c>
      <c r="EQ85" s="43" t="str">
        <f>IF($CU85&gt;=RAF,"",IF($CU85-EQ$103&lt;BeginnAlter,"",ROUND((SUM(DJ$56:DJ85)+SUM(GB$9:GB$56))/VLOOKUP($CU85,$AH$9:$AI$102,2)/VLOOKUP($CU85-EQ$103,Männer!$G$9:$J$102,4),Rundäx)))</f>
        <v/>
      </c>
      <c r="ER85" s="43" t="str">
        <f>IF($CU85&gt;=RAF,"",IF($CU85-ER$103&lt;BeginnAlter,"",ROUND((SUM(DK$56:DK85)+SUM(GC$9:GC$56))/VLOOKUP($CU85,$AH$9:$AI$102,2)/VLOOKUP($CU85-ER$103,Männer!$G$9:$J$102,4),Rundäx)))</f>
        <v/>
      </c>
      <c r="ES85" s="89"/>
      <c r="ET85" s="35">
        <f t="shared" si="139"/>
        <v>93</v>
      </c>
      <c r="EU85" s="43" t="str">
        <f>IF($CU85&gt;=RAF,"",IF($CU85-EU$103&lt;BeginnAlter,"",ROUND((SUM(DL$56:DL85)+SUM(GD$9:GD$56))/VLOOKUP($CU85,$AH$9:$AI$102,2)/VLOOKUP($CU85-EU$103,Männer!$G$9:$J$102,4),Rundäx)))</f>
        <v/>
      </c>
      <c r="EV85" s="43" t="str">
        <f>IF($CU85&gt;=RAF,"",IF($CU85-EV$103&lt;BeginnAlter,"",ROUND((SUM(DM$56:DM85)+SUM(GE$9:GE$56))/VLOOKUP($CU85,$AH$9:$AI$102,2)/VLOOKUP($CU85-EV$103,Männer!$G$9:$J$102,4),Rundäx)))</f>
        <v/>
      </c>
      <c r="EW85" s="43" t="str">
        <f>IF($CU85&gt;=RAF,"",IF($CU85-EW$103&lt;BeginnAlter,"",ROUND((SUM(DN$56:DN85)+SUM(GF$9:GF$56))/VLOOKUP($CU85,$AH$9:$AI$102,2)/VLOOKUP($CU85-EW$103,Männer!$G$9:$J$102,4),Rundäx)))</f>
        <v/>
      </c>
      <c r="EX85" s="43" t="str">
        <f>IF($CU85&gt;=RAF,"",IF($CU85-EX$103&lt;BeginnAlter,"",ROUND((SUM(DO$56:DO85)+SUM(GG$9:GG$56))/VLOOKUP($CU85,$AH$9:$AI$102,2)/VLOOKUP($CU85-EX$103,Männer!$G$9:$J$102,4),Rundäx)))</f>
        <v/>
      </c>
      <c r="EY85" s="43" t="str">
        <f>IF($CU85&gt;=RAF,"",IF($CU85-EY$103&lt;BeginnAlter,"",ROUND((SUM(DP$56:DP85)+SUM(GH$9:GH$56))/VLOOKUP($CU85,$AH$9:$AI$102,2)/VLOOKUP($CU85-EY$103,Männer!$G$9:$J$102,4),Rundäx)))</f>
        <v/>
      </c>
      <c r="EZ85" s="43" t="str">
        <f>IF($CU85&gt;=RAF,"",IF($CU85-EZ$103&lt;BeginnAlter,"",ROUND((SUM(DQ$56:DQ85)+SUM(GI$9:GI$56))/VLOOKUP($CU85,$AH$9:$AI$102,2)/VLOOKUP($CU85-EZ$103,Männer!$G$9:$J$102,4),Rundäx)))</f>
        <v/>
      </c>
      <c r="FA85" s="43" t="str">
        <f>IF($CU85&gt;=RAF,"",IF($CU85-FA$103&lt;BeginnAlter,"",ROUND((SUM(DR$56:DR85)+SUM(GJ$9:GJ$56))/VLOOKUP($CU85,$AH$9:$AI$102,2)/VLOOKUP($CU85-FA$103,Männer!$G$9:$J$102,4),Rundäx)))</f>
        <v/>
      </c>
      <c r="FB85" s="43" t="str">
        <f>IF($CU85&gt;=RAF,"",IF($CU85-FB$103&lt;BeginnAlter,"",ROUND((SUM(DS$56:DS85)+SUM(GK$9:GK$56))/VLOOKUP($CU85,$AH$9:$AI$102,2)/VLOOKUP($CU85-FB$103,Männer!$G$9:$J$102,4),Rundäx)))</f>
        <v/>
      </c>
      <c r="FC85" s="89"/>
      <c r="FD85" s="35">
        <f t="shared" si="140"/>
        <v>93</v>
      </c>
      <c r="FE85" s="43" t="str">
        <f>IF($CU85&gt;=RAF,"",IF($CU85-FE$103&lt;BeginnAlter,"",ROUND((SUM(DT$56:DT85)+SUM(GL$9:GL$56))/VLOOKUP($CU85,$AH$9:$AI$102,2)/VLOOKUP($CU85-FE$103,Männer!$G$9:$J$102,4),Rundäx)))</f>
        <v/>
      </c>
      <c r="FF85" s="43" t="str">
        <f>IF($CU85&gt;=RAF,"",IF($CU85-FF$103&lt;BeginnAlter,"",ROUND((SUM(DU$56:DU85)+SUM(GM$9:GM$56))/VLOOKUP($CU85,$AH$9:$AI$102,2)/VLOOKUP($CU85-FF$103,Männer!$G$9:$J$102,4),Rundäx)))</f>
        <v/>
      </c>
      <c r="FG85" s="43" t="str">
        <f>IF($CU85&gt;=RAF,"",IF($CU85-FG$103&lt;BeginnAlter,"",ROUND((SUM(DV$56:DV85)+SUM(GN$9:GN$56))/VLOOKUP($CU85,$AH$9:$AI$102,2)/VLOOKUP($CU85-FG$103,Männer!$G$9:$J$102,4),Rundäx)))</f>
        <v/>
      </c>
      <c r="FH85" s="43" t="str">
        <f>IF($CU85&gt;=RAF,"",IF($CU85-FH$103&lt;BeginnAlter,"",ROUND((SUM(DW$56:DW85)+SUM(GO$9:GO$56))/VLOOKUP($CU85,$AH$9:$AI$102,2)/VLOOKUP($CU85-FH$103,Männer!$G$9:$J$102,4),Rundäx)))</f>
        <v/>
      </c>
      <c r="FI85" s="43" t="str">
        <f>IF($CU85&gt;=RAF,"",IF($CU85-FI$103&lt;BeginnAlter,"",ROUND((SUM(DX$56:DX85)+SUM(GP$9:GP$56))/VLOOKUP($CU85,$AH$9:$AI$102,2)/VLOOKUP($CU85-FI$103,Männer!$G$9:$J$102,4),Rundäx)))</f>
        <v/>
      </c>
      <c r="FJ85" s="43" t="str">
        <f>IF($CU85&gt;=RAF,"",IF($CU85-FJ$103&lt;BeginnAlter,"",ROUND((SUM(DY$56:DY85)+SUM(GQ$9:GQ$56))/VLOOKUP($CU85,$AH$9:$AI$102,2)/VLOOKUP($CU85-FJ$103,Männer!$G$9:$J$102,4),Rundäx)))</f>
        <v/>
      </c>
      <c r="FK85" s="43" t="str">
        <f>IF($CU85&gt;=RAF,"",IF($CU85-FK$103&lt;BeginnAlter,"",ROUND((SUM(DZ$56:DZ85)+SUM(GR$9:GR$56))/VLOOKUP($CU85,$AH$9:$AI$102,2)/VLOOKUP($CU85-FK$103,Männer!$G$9:$J$102,4),Rundäx)))</f>
        <v/>
      </c>
      <c r="FL85" s="89"/>
      <c r="FM85" s="35">
        <f t="shared" si="141"/>
        <v>140</v>
      </c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4"/>
      <c r="GT85" s="24"/>
      <c r="GU85" s="24" t="str">
        <f>IF(FM85&gt;=RAF," ",#REF!/$AI85/Frauen!$J73)</f>
        <v xml:space="preserve"> </v>
      </c>
      <c r="GV85" s="24" t="str">
        <f>IF(FM85&gt;=RAF," ",#REF!/$AI85/Frauen!$J76)</f>
        <v xml:space="preserve"> </v>
      </c>
      <c r="GW85" s="24" t="str">
        <f>IF(FM85&gt;=RAF," ",#REF!/$AI85/Frauen!$J79)</f>
        <v xml:space="preserve"> </v>
      </c>
      <c r="GX85" s="24" t="str">
        <f>IF(FM85&gt;=RAF," ",#REF!/$AI85/Frauen!$J82)</f>
        <v xml:space="preserve"> </v>
      </c>
      <c r="GY85" s="24" t="str">
        <f>IF(FM85&gt;=RAF," ",#REF!/$AI85/Frauen!$J85)</f>
        <v xml:space="preserve"> </v>
      </c>
      <c r="GZ85" s="24" t="str">
        <f>IF(FM85&gt;=RAF," ",#REF!/$AI85/Frauen!$J88)</f>
        <v xml:space="preserve"> </v>
      </c>
      <c r="HA85" s="89"/>
      <c r="HB85" s="35">
        <f t="shared" si="142"/>
        <v>140</v>
      </c>
      <c r="HC85" s="24"/>
      <c r="HD85" s="24"/>
      <c r="HE85" s="24"/>
      <c r="HF85" s="24"/>
      <c r="HG85" s="24"/>
      <c r="HH85" s="24"/>
      <c r="HI85" s="24"/>
      <c r="HJ85" s="24"/>
      <c r="HK85" s="89"/>
      <c r="HL85" s="35">
        <f t="shared" si="143"/>
        <v>140</v>
      </c>
      <c r="HM85" s="24"/>
      <c r="HN85" s="24"/>
      <c r="HO85" s="24"/>
      <c r="HP85" s="24"/>
      <c r="HQ85" s="24"/>
      <c r="HR85" s="24"/>
      <c r="HS85" s="24"/>
      <c r="HT85" s="24"/>
      <c r="HU85" s="89"/>
      <c r="HV85" s="35">
        <f t="shared" si="144"/>
        <v>140</v>
      </c>
      <c r="HW85" s="24"/>
      <c r="HX85" s="24"/>
      <c r="HY85" s="24"/>
      <c r="HZ85" s="24"/>
      <c r="IA85" s="24"/>
      <c r="IB85" s="24"/>
      <c r="IC85" s="24"/>
      <c r="ID85" s="89"/>
      <c r="IE85" s="9">
        <f t="shared" si="145"/>
        <v>93</v>
      </c>
      <c r="IF85" s="11" t="str">
        <f t="shared" si="101"/>
        <v/>
      </c>
      <c r="IG85" s="11" t="str">
        <f>IF($IE85&lt;RAF,IF(S86&lt;=RAK,ROUND(SUM(IF85:INDEX(Daky,RAF-BeginnAlter))+INDEX(Day,RAF-BeginnAlter+1)*INDEX(äky,1),RundDx),0),"")</f>
        <v/>
      </c>
      <c r="IH85" s="11" t="str">
        <f>IF($IE85&lt;RAF,IF(S86&lt;=RAK,ROUND(SUM(IG85:INDEX(Naky,RAF-BeginnAlter))+INDEX(Day,RAF-BeginnAlter+1)*INDEX(äky,1),RundDx),0),"")</f>
        <v/>
      </c>
      <c r="II85" s="10" t="str">
        <f t="shared" si="102"/>
        <v/>
      </c>
      <c r="IJ85" s="11" t="str">
        <f t="shared" si="103"/>
        <v/>
      </c>
      <c r="IK85" s="11" t="str">
        <f>IF($IE85&lt;RAF,IF(S86&lt;=RAK,SUM(IJ85:INDEX(Diky,RAF-BeginnAlter))+INDEX(Diy,RAF-BeginnAlter+1)*INDEX(äky,1),0),"")</f>
        <v/>
      </c>
      <c r="IL85" s="10" t="str">
        <f t="shared" si="104"/>
        <v/>
      </c>
      <c r="IM85" s="89"/>
      <c r="IN85" s="9">
        <f t="shared" si="105"/>
        <v>140</v>
      </c>
      <c r="IO85" s="11"/>
      <c r="IP85" s="11"/>
      <c r="IQ85" s="10"/>
      <c r="IR85" s="86"/>
    </row>
    <row r="86" spans="1:252" ht="15.75" customHeight="1" x14ac:dyDescent="0.25">
      <c r="A86" s="9">
        <f t="shared" si="125"/>
        <v>94</v>
      </c>
      <c r="B86" s="93"/>
      <c r="C86" s="93"/>
      <c r="D86" s="93"/>
      <c r="E86" s="93">
        <v>0.22969666922310927</v>
      </c>
      <c r="F86" s="89"/>
      <c r="G86" s="9">
        <f t="shared" si="126"/>
        <v>94</v>
      </c>
      <c r="H86" s="11" t="str">
        <f t="shared" si="106"/>
        <v/>
      </c>
      <c r="I86" s="25" t="str">
        <f t="shared" si="107"/>
        <v/>
      </c>
      <c r="J86" s="25">
        <f t="shared" si="108"/>
        <v>13050</v>
      </c>
      <c r="K86" s="30">
        <f>IF(J86&gt;0,ROUND(SUM(J86:J$102)/J86-0.5,Rundex),"")</f>
        <v>2.94</v>
      </c>
      <c r="L86" s="25">
        <f t="shared" si="83"/>
        <v>13050</v>
      </c>
      <c r="M86" s="30">
        <f>IF(L86&gt;0,ROUND(SUM(L86:L$102)/L86-0.5,Rundex),"")</f>
        <v>2.94</v>
      </c>
      <c r="N86" s="89"/>
      <c r="O86" s="9">
        <f t="shared" si="127"/>
        <v>94</v>
      </c>
      <c r="P86" s="94">
        <v>3.8853992068153174E-3</v>
      </c>
      <c r="Q86" s="95">
        <v>93.831518562404426</v>
      </c>
      <c r="R86" s="94"/>
      <c r="S86" s="95"/>
      <c r="T86" s="28">
        <v>0.22604469617582959</v>
      </c>
      <c r="U86" s="11">
        <f t="shared" si="109"/>
        <v>15912</v>
      </c>
      <c r="V86" s="30">
        <f>IF(U86&gt;0,ROUND(SUM(U86:U$102)/U86-0.5,Rundex),"")</f>
        <v>2.9</v>
      </c>
      <c r="W86" s="89"/>
      <c r="X86" s="9">
        <f t="shared" si="128"/>
        <v>94</v>
      </c>
      <c r="Y86" s="11" t="str">
        <f t="shared" si="110"/>
        <v xml:space="preserve"> </v>
      </c>
      <c r="Z86" s="11" t="str">
        <f>IF($X86&lt;RAF,SUM(Y86:INDEX(Day,RAF-BeginnAlter))," ")</f>
        <v xml:space="preserve"> </v>
      </c>
      <c r="AA86" s="11" t="str">
        <f t="shared" si="81"/>
        <v xml:space="preserve"> </v>
      </c>
      <c r="AB86" s="11" t="str">
        <f>IF($X86&lt;RAF,SUM(AA86:INDEX(Cay,RAF-BeginnAlter))," ")</f>
        <v xml:space="preserve"> </v>
      </c>
      <c r="AC86" s="11" t="str">
        <f t="shared" si="82"/>
        <v xml:space="preserve"> </v>
      </c>
      <c r="AD86" s="11" t="str">
        <f>IF($X86&lt;RAF,SUM(AC86:INDEX(Caiy,RAF-BeginnAlter))," ")</f>
        <v xml:space="preserve"> </v>
      </c>
      <c r="AE86" s="10" t="str">
        <f t="shared" si="111"/>
        <v xml:space="preserve"> </v>
      </c>
      <c r="AF86" s="10" t="str">
        <f t="shared" si="112"/>
        <v xml:space="preserve"> </v>
      </c>
      <c r="AG86" s="89"/>
      <c r="AH86" s="9">
        <f t="shared" si="129"/>
        <v>94</v>
      </c>
      <c r="AI86" s="11" t="str">
        <f t="shared" si="113"/>
        <v xml:space="preserve"> </v>
      </c>
      <c r="AJ86" s="11" t="str">
        <f>IF($AH86&gt;RAF," ",IF($AH86&lt;RAF,SUM(AI86:INDEX(Diy,RAF-BeginnAlter))+INDEX(Ny,RAF-BeginnAlter+1),INDEX(Ny,RAF-BeginnAlter+1)))</f>
        <v xml:space="preserve"> </v>
      </c>
      <c r="AK86" s="11" t="str">
        <f>IF($AH86&lt;RAF,SUM(AI86:INDEX(Diy,RAF-BeginnAlter))," ")</f>
        <v xml:space="preserve"> </v>
      </c>
      <c r="AL86" s="10" t="str">
        <f t="shared" si="114"/>
        <v xml:space="preserve"> </v>
      </c>
      <c r="AM86" s="10" t="str">
        <f t="shared" si="115"/>
        <v xml:space="preserve"> </v>
      </c>
      <c r="AN86" s="10" t="str">
        <f t="shared" si="116"/>
        <v xml:space="preserve"> </v>
      </c>
      <c r="AO86" s="10" t="str">
        <f t="shared" si="117"/>
        <v xml:space="preserve"> </v>
      </c>
      <c r="AP86" s="89"/>
      <c r="AQ86" s="9">
        <f t="shared" si="130"/>
        <v>94</v>
      </c>
      <c r="AR86" s="11">
        <f t="shared" si="118"/>
        <v>1612</v>
      </c>
      <c r="AS86" s="11">
        <f>SUM(AR86:AR$96)</f>
        <v>5311</v>
      </c>
      <c r="AT86" s="25" t="str">
        <f>IF($AQ86&lt;RAF,SUM(AR86:INDEX(Dy,RAF-BeginnAlter))," ")</f>
        <v xml:space="preserve"> </v>
      </c>
      <c r="AU86" s="24">
        <f t="shared" si="119"/>
        <v>3.2949999999999999</v>
      </c>
      <c r="AV86" s="24">
        <f t="shared" si="120"/>
        <v>2.8359999999999999</v>
      </c>
      <c r="AW86" s="24" t="str">
        <f t="shared" si="121"/>
        <v xml:space="preserve"> </v>
      </c>
      <c r="AX86" s="24" t="str">
        <f t="shared" si="122"/>
        <v xml:space="preserve"> </v>
      </c>
      <c r="AY86" s="89"/>
      <c r="AZ86" s="9">
        <f t="shared" si="131"/>
        <v>94</v>
      </c>
      <c r="BA86" s="11">
        <f t="shared" si="123"/>
        <v>1965</v>
      </c>
      <c r="BB86" s="11">
        <f>SUM(BA86:BA$96)</f>
        <v>6409</v>
      </c>
      <c r="BC86" s="10">
        <f t="shared" si="124"/>
        <v>3.262</v>
      </c>
      <c r="BD86" s="10">
        <f t="shared" si="84"/>
        <v>2.8029999999999999</v>
      </c>
      <c r="BE86" s="89"/>
      <c r="BF86" s="9">
        <f t="shared" si="132"/>
        <v>77</v>
      </c>
      <c r="BG86" s="10" t="str">
        <f t="shared" si="85"/>
        <v/>
      </c>
      <c r="BH86" s="10" t="str">
        <f t="shared" si="86"/>
        <v/>
      </c>
      <c r="BI86" s="89"/>
      <c r="BJ86" s="9">
        <f t="shared" si="133"/>
        <v>94</v>
      </c>
      <c r="BK86" s="11" t="str">
        <f t="shared" si="87"/>
        <v xml:space="preserve"> </v>
      </c>
      <c r="BL86" s="11" t="str">
        <f>IF(BJ86&lt;RAF,SUM(BK86:INDEX(Daiy,RAF-BeginnAlter))," ")</f>
        <v xml:space="preserve"> </v>
      </c>
      <c r="BM86" s="11" t="str">
        <f>IF(BJ86&lt;RAF,SUM(BL86:INDEX(Naiy,RAF-BeginnAlter))," ")</f>
        <v xml:space="preserve"> </v>
      </c>
      <c r="BN86" s="10" t="str">
        <f t="shared" si="88"/>
        <v xml:space="preserve"> </v>
      </c>
      <c r="BO86" s="10" t="str">
        <f t="shared" si="89"/>
        <v xml:space="preserve"> </v>
      </c>
      <c r="BP86" s="89"/>
      <c r="BQ86" s="9">
        <f t="shared" si="134"/>
        <v>94</v>
      </c>
      <c r="BR86" s="11" t="str">
        <f t="shared" si="90"/>
        <v xml:space="preserve"> </v>
      </c>
      <c r="BS86" s="11" t="str">
        <f>IF(BQ86&lt;RAF,SUM(BR86:INDEX(Daiys,RAF-BeginnAlter))," ")</f>
        <v xml:space="preserve"> </v>
      </c>
      <c r="BT86" s="11" t="str">
        <f>IF(BQ86&lt;RAF,SUM(BS86:INDEX(Naiys,RAF-BeginnAlter))," ")</f>
        <v xml:space="preserve"> </v>
      </c>
      <c r="BU86" s="10" t="str">
        <f t="shared" si="91"/>
        <v xml:space="preserve"> </v>
      </c>
      <c r="BV86" s="10" t="str">
        <f t="shared" si="92"/>
        <v xml:space="preserve"> </v>
      </c>
      <c r="BW86" s="89"/>
      <c r="BX86" s="9">
        <f t="shared" si="135"/>
        <v>94</v>
      </c>
      <c r="BY86" s="10" t="str">
        <f t="shared" si="93"/>
        <v/>
      </c>
      <c r="BZ86" s="11" t="str">
        <f t="shared" si="94"/>
        <v/>
      </c>
      <c r="CA86" s="11" t="str">
        <f>IF(S87&lt;=RAK,IF($BX86&lt;RAF,SUM(BZ86:INDEX(Dazy,RAF-BeginnAlter)),""),"")</f>
        <v/>
      </c>
      <c r="CB86" s="10" t="str">
        <f t="shared" si="95"/>
        <v/>
      </c>
      <c r="CC86" s="11">
        <f t="shared" si="96"/>
        <v>0</v>
      </c>
      <c r="CD86" s="10">
        <f t="shared" si="97"/>
        <v>0</v>
      </c>
      <c r="CE86" s="10" t="str">
        <f t="shared" si="98"/>
        <v/>
      </c>
      <c r="CF86" s="89"/>
      <c r="CG86" s="9">
        <f t="shared" si="136"/>
        <v>94</v>
      </c>
      <c r="CH86" s="11" t="str">
        <f>IF(CG86&lt;RAF,ROUND(v^($CG86+FaktorAlter)*$H86*($B86*0.5*($P86+$P87)*(VLOOKUP(TRUNC(0.5*($Q86+$Q87),0),Männer!$AZ$9:$BD$95,5)+(0.5*($Q86+$Q87)-TRUNC(0.5*($Q86+$Q87),0))*(VLOOKUP(TRUNC(0.5*($Q86+$Q87)+1,0),Männer!$AZ$9:$BD$95,5)-VLOOKUP(TRUNC(0.5*($Q86+$Q87),0),Männer!$AZ$9:$BD$95,5)))+$C86*0.5*($CN86+$CN87)),RundDx),"")</f>
        <v/>
      </c>
      <c r="CI86" s="11" t="str">
        <f>IF(CG86&lt;RAF,ROUND(SUM(CH86:INDEX(Dawy,RAF-BeginnAlter))+INDEX(Day,RAF-BeginnAlter+1)*INDEX(äwy,1),RundDx),"")</f>
        <v/>
      </c>
      <c r="CJ86" s="11" t="str">
        <f>IF(CG86&lt;RAF,ROUND(SUM(CI86:INDEX(Nawy,RAF-BeginnAlter))+INDEX(Day,RAF-BeginnAlter+1)*INDEX(äwy,1),RundDx),"")</f>
        <v/>
      </c>
      <c r="CK86" s="10" t="str">
        <f t="shared" si="99"/>
        <v/>
      </c>
      <c r="CL86" s="11" t="str">
        <f>IF(CG86&lt;RAF,ROUND(v^($CG86+FaktorAlter)*$L86*$D86*0.5*($P86+$P87)*(VLOOKUP(TRUNC(0.5*($Q86+$Q87),0),Männer!$AZ$9:$BD$95,5)+(0.5*($Q86+$Q87)-TRUNC(0.5*($Q86+$Q87),0))*(VLOOKUP(TRUNC(0.5*($Q86+$Q87)+1,0),Männer!$AZ$9:$BD$95,5)-VLOOKUP(TRUNC(0.5*($Q86+$Q87),0),Männer!$AZ$9:$BD$95,5))),RundDx),"")</f>
        <v/>
      </c>
      <c r="CM86" s="11" t="str">
        <f>IF(CG86&lt;RAF,SUM(CL86:INDEX(Diwy,RAF-BeginnAlter))+INDEX(Diy,RAF-BeginnAlter+1)*INDEX(äwy,1),"")</f>
        <v/>
      </c>
      <c r="CN86" s="10" t="str">
        <f t="shared" si="100"/>
        <v/>
      </c>
      <c r="CO86" s="89"/>
      <c r="CP86" s="9">
        <f t="shared" si="146"/>
        <v>141</v>
      </c>
      <c r="CQ86" s="11"/>
      <c r="CR86" s="11"/>
      <c r="CS86" s="10"/>
      <c r="CT86" s="89"/>
      <c r="CU86" s="35">
        <f t="shared" si="137"/>
        <v>94</v>
      </c>
      <c r="CV86" s="25" t="str">
        <f>IF($CU86&gt;=RAF,"",IF($CU86-CV$103&lt;BeginnAlter,"",ROUND(v^($CU86+FaktorAlter)*$L86*$D86*0.5*(VLOOKUP($CU86-CV$103,Männer!$G$9:$J$102,4)+VLOOKUP($CU86-CV$103+1,Männer!$G$9:$J$102,4))*0.5*(VLOOKUP($CU86-CV$103,Männer!$AZ$9:$BD$102,5)+VLOOKUP($CU86-CV$103+1,Männer!$AZ$9:$BD$102,5)),RundDx)))</f>
        <v/>
      </c>
      <c r="CW86" s="25" t="str">
        <f>IF($CU86&gt;=RAF,"",IF($CU86-CW$103&lt;BeginnAlter,"",ROUND(v^($CU86+FaktorAlter)*$L86*$D86*0.5*(VLOOKUP($CU86-CW$103,Männer!$G$9:$J$102,4)+VLOOKUP($CU86-CW$103+1,Männer!$G$9:$J$102,4))*0.5*(VLOOKUP($CU86-CW$103,Männer!$AZ$9:$BD$102,5)+VLOOKUP($CU86-CW$103+1,Männer!$AZ$9:$BD$102,5)),RundDx)))</f>
        <v/>
      </c>
      <c r="CX86" s="25" t="str">
        <f>IF($CU86&gt;=RAF,"",IF($CU86-CX$103&lt;BeginnAlter,"",ROUND(v^($CU86+FaktorAlter)*$L86*$D86*0.5*(VLOOKUP($CU86-CX$103,Männer!$G$9:$J$102,4)+VLOOKUP($CU86-CX$103+1,Männer!$G$9:$J$102,4))*0.5*(VLOOKUP($CU86-CX$103,Männer!$AZ$9:$BD$102,5)+VLOOKUP($CU86-CX$103+1,Männer!$AZ$9:$BD$102,5)),RundDx)))</f>
        <v/>
      </c>
      <c r="CY86" s="25" t="str">
        <f>IF($CU86&gt;=RAF,"",IF($CU86-CY$103&lt;BeginnAlter,"",ROUND(v^($CU86+FaktorAlter)*$L86*$D86*0.5*(VLOOKUP($CU86-CY$103,Männer!$G$9:$J$102,4)+VLOOKUP($CU86-CY$103+1,Männer!$G$9:$J$102,4))*0.5*(VLOOKUP($CU86-CY$103,Männer!$AZ$9:$BD$102,5)+VLOOKUP($CU86-CY$103+1,Männer!$AZ$9:$BD$102,5)),RundDx)))</f>
        <v/>
      </c>
      <c r="CZ86" s="25" t="str">
        <f>IF($CU86&gt;=RAF,"",IF($CU86-CZ$103&lt;BeginnAlter,"",ROUND(v^($CU86+FaktorAlter)*$L86*$D86*0.5*(VLOOKUP($CU86-CZ$103,Männer!$G$9:$J$102,4)+VLOOKUP($CU86-CZ$103+1,Männer!$G$9:$J$102,4))*0.5*(VLOOKUP($CU86-CZ$103,Männer!$AZ$9:$BD$102,5)+VLOOKUP($CU86-CZ$103+1,Männer!$AZ$9:$BD$102,5)),RundDx)))</f>
        <v/>
      </c>
      <c r="DA86" s="25" t="str">
        <f>IF($CU86&gt;=RAF,"",IF($CU86-DA$103&lt;BeginnAlter,"",ROUND(v^($CU86+FaktorAlter)*$L86*$D86*0.5*(VLOOKUP($CU86-DA$103,Männer!$G$9:$J$102,4)+VLOOKUP($CU86-DA$103+1,Männer!$G$9:$J$102,4))*0.5*(VLOOKUP($CU86-DA$103,Männer!$AZ$9:$BD$102,5)+VLOOKUP($CU86-DA$103+1,Männer!$AZ$9:$BD$102,5)),RundDx)))</f>
        <v/>
      </c>
      <c r="DB86" s="25" t="str">
        <f>IF($CU86&gt;=RAF,"",IF($CU86-DB$103&lt;BeginnAlter,"",ROUND(v^($CU86+FaktorAlter)*$L86*$D86*0.5*(VLOOKUP($CU86-DB$103,Männer!$G$9:$J$102,4)+VLOOKUP($CU86-DB$103+1,Männer!$G$9:$J$102,4))*0.5*(VLOOKUP($CU86-DB$103,Männer!$AZ$9:$BD$102,5)+VLOOKUP($CU86-DB$103+1,Männer!$AZ$9:$BD$102,5)),RundDx)))</f>
        <v/>
      </c>
      <c r="DC86" s="25" t="str">
        <f>IF($CU86&gt;=RAF,"",IF($CU86-DC$103&lt;BeginnAlter,"",ROUND(v^($CU86+FaktorAlter)*$L86*$D86*0.5*(VLOOKUP($CU86-DC$103,Männer!$G$9:$J$102,4)+VLOOKUP($CU86-DC$103+1,Männer!$G$9:$J$102,4))*0.5*(VLOOKUP($CU86-DC$103,Männer!$AZ$9:$BD$102,5)+VLOOKUP($CU86-DC$103+1,Männer!$AZ$9:$BD$102,5)),RundDx)))</f>
        <v/>
      </c>
      <c r="DD86" s="25" t="str">
        <f>IF($CU86&gt;=RAF,"",IF($CU86-DD$103&lt;BeginnAlter,"",ROUND(v^($CU86+FaktorAlter)*$L86*$D86*0.5*(VLOOKUP($CU86-DD$103,Männer!$G$9:$J$102,4)+VLOOKUP($CU86-DD$103+1,Männer!$G$9:$J$102,4))*0.5*(VLOOKUP($CU86-DD$103,Männer!$AZ$9:$BD$102,5)+VLOOKUP($CU86-DD$103+1,Männer!$AZ$9:$BD$102,5)),RundDx)))</f>
        <v/>
      </c>
      <c r="DE86" s="25" t="str">
        <f>IF($CU86&gt;=RAF,"",IF($CU86-DE$103&lt;BeginnAlter,"",ROUND(v^($CU86+FaktorAlter)*$L86*$D86*0.5*(VLOOKUP($CU86-DE$103,Männer!$G$9:$J$102,4)+VLOOKUP($CU86-DE$103+1,Männer!$G$9:$J$102,4))*0.5*(VLOOKUP($CU86-DE$103,Männer!$AZ$9:$BD$102,5)+VLOOKUP($CU86-DE$103+1,Männer!$AZ$9:$BD$102,5)),RundDx)))</f>
        <v/>
      </c>
      <c r="DF86" s="25" t="str">
        <f>IF($CU86&gt;=RAF,"",IF($CU86-DF$103&lt;BeginnAlter,"",ROUND(v^($CU86+FaktorAlter)*$L86*$D86*0.5*(VLOOKUP($CU86-DF$103,Männer!$G$9:$J$102,4)+VLOOKUP($CU86-DF$103+1,Männer!$G$9:$J$102,4))*0.5*(VLOOKUP($CU86-DF$103,Männer!$AZ$9:$BD$102,5)+VLOOKUP($CU86-DF$103+1,Männer!$AZ$9:$BD$102,5)),RundDx)))</f>
        <v/>
      </c>
      <c r="DG86" s="25" t="str">
        <f>IF($CU86&gt;=RAF,"",IF($CU86-DG$103&lt;BeginnAlter,"",ROUND(v^($CU86+FaktorAlter)*$L86*$D86*0.5*(VLOOKUP($CU86-DG$103,Männer!$G$9:$J$102,4)+VLOOKUP($CU86-DG$103+1,Männer!$G$9:$J$102,4))*0.5*(VLOOKUP($CU86-DG$103,Männer!$AZ$9:$BD$102,5)+VLOOKUP($CU86-DG$103+1,Männer!$AZ$9:$BD$102,5)),RundDx)))</f>
        <v/>
      </c>
      <c r="DH86" s="25" t="str">
        <f>IF($CU86&gt;=RAF,"",IF($CU86-DH$103&lt;BeginnAlter,"",ROUND(v^($CU86+FaktorAlter)*$L86*$D86*0.5*(VLOOKUP($CU86-DH$103,Männer!$G$9:$J$102,4)+VLOOKUP($CU86-DH$103+1,Männer!$G$9:$J$102,4))*0.5*(VLOOKUP($CU86-DH$103,Männer!$AZ$9:$BD$102,5)+VLOOKUP($CU86-DH$103+1,Männer!$AZ$9:$BD$102,5)),RundDx)))</f>
        <v/>
      </c>
      <c r="DI86" s="25" t="str">
        <f>IF($CU86&gt;=RAF,"",IF($CU86-DI$103&lt;BeginnAlter,"",ROUND(v^($CU86+FaktorAlter)*$L86*$D86*0.5*(VLOOKUP($CU86-DI$103,Männer!$G$9:$J$102,4)+VLOOKUP($CU86-DI$103+1,Männer!$G$9:$J$102,4))*0.5*(VLOOKUP($CU86-DI$103,Männer!$AZ$9:$BD$102,5)+VLOOKUP($CU86-DI$103+1,Männer!$AZ$9:$BD$102,5)),RundDx)))</f>
        <v/>
      </c>
      <c r="DJ86" s="25" t="str">
        <f>IF($CU86&gt;=RAF,"",IF($CU86-DJ$103&lt;BeginnAlter,"",ROUND(v^($CU86+FaktorAlter)*$L86*$D86*0.5*(VLOOKUP($CU86-DJ$103,Männer!$G$9:$J$102,4)+VLOOKUP($CU86-DJ$103+1,Männer!$G$9:$J$102,4))*0.5*(VLOOKUP($CU86-DJ$103,Männer!$AZ$9:$BD$102,5)+VLOOKUP($CU86-DJ$103+1,Männer!$AZ$9:$BD$102,5)),RundDx)))</f>
        <v/>
      </c>
      <c r="DK86" s="25" t="str">
        <f>IF($CU86&gt;=RAF,"",IF($CU86-DK$103&lt;BeginnAlter,"",ROUND(v^($CU86+FaktorAlter)*$L86*$D86*0.5*(VLOOKUP($CU86-DK$103,Männer!$G$9:$J$102,4)+VLOOKUP($CU86-DK$103+1,Männer!$G$9:$J$102,4))*0.5*(VLOOKUP($CU86-DK$103,Männer!$AZ$9:$BD$102,5)+VLOOKUP($CU86-DK$103+1,Männer!$AZ$9:$BD$102,5)),RundDx)))</f>
        <v/>
      </c>
      <c r="DL86" s="25" t="str">
        <f>IF($CU86&gt;=RAF,"",IF($CU86-DL$103&lt;BeginnAlter,"",ROUND(v^($CU86+FaktorAlter)*$L86*$D86*0.5*(VLOOKUP($CU86-DL$103,Männer!$G$9:$J$102,4)+VLOOKUP($CU86-DL$103+1,Männer!$G$9:$J$102,4))*0.5*(VLOOKUP($CU86-DL$103,Männer!$AZ$9:$BD$102,5)+VLOOKUP($CU86-DL$103+1,Männer!$AZ$9:$BD$102,5)),RundDx)))</f>
        <v/>
      </c>
      <c r="DM86" s="25" t="str">
        <f>IF($CU86&gt;=RAF,"",IF($CU86-DM$103&lt;BeginnAlter,"",ROUND(v^($CU86+FaktorAlter)*$L86*$D86*0.5*(VLOOKUP($CU86-DM$103,Männer!$G$9:$J$102,4)+VLOOKUP($CU86-DM$103+1,Männer!$G$9:$J$102,4))*0.5*(VLOOKUP($CU86-DM$103,Männer!$AZ$9:$BD$102,5)+VLOOKUP($CU86-DM$103+1,Männer!$AZ$9:$BD$102,5)),RundDx)))</f>
        <v/>
      </c>
      <c r="DN86" s="25" t="str">
        <f>IF($CU86&gt;=RAF,"",IF($CU86-DN$103&lt;BeginnAlter,"",ROUND(v^($CU86+FaktorAlter)*$L86*$D86*0.5*(VLOOKUP($CU86-DN$103,Männer!$G$9:$J$102,4)+VLOOKUP($CU86-DN$103+1,Männer!$G$9:$J$102,4))*0.5*(VLOOKUP($CU86-DN$103,Männer!$AZ$9:$BD$102,5)+VLOOKUP($CU86-DN$103+1,Männer!$AZ$9:$BD$102,5)),RundDx)))</f>
        <v/>
      </c>
      <c r="DO86" s="25" t="str">
        <f>IF($CU86&gt;=RAF,"",IF($CU86-DO$103&lt;BeginnAlter,"",ROUND(v^($CU86+FaktorAlter)*$L86*$D86*0.5*(VLOOKUP($CU86-DO$103,Männer!$G$9:$J$102,4)+VLOOKUP($CU86-DO$103+1,Männer!$G$9:$J$102,4))*0.5*(VLOOKUP($CU86-DO$103,Männer!$AZ$9:$BD$102,5)+VLOOKUP($CU86-DO$103+1,Männer!$AZ$9:$BD$102,5)),RundDx)))</f>
        <v/>
      </c>
      <c r="DP86" s="25" t="str">
        <f>IF($CU86&gt;=RAF,"",IF($CU86-DP$103&lt;BeginnAlter,"",ROUND(v^($CU86+FaktorAlter)*$L86*$D86*0.5*(VLOOKUP($CU86-DP$103,Männer!$G$9:$J$102,4)+VLOOKUP($CU86-DP$103+1,Männer!$G$9:$J$102,4))*0.5*(VLOOKUP($CU86-DP$103,Männer!$AZ$9:$BD$102,5)+VLOOKUP($CU86-DP$103+1,Männer!$AZ$9:$BD$102,5)),RundDx)))</f>
        <v/>
      </c>
      <c r="DQ86" s="25" t="str">
        <f>IF($CU86&gt;=RAF,"",IF($CU86-DQ$103&lt;BeginnAlter,"",ROUND(v^($CU86+FaktorAlter)*$L86*$D86*0.5*(VLOOKUP($CU86-DQ$103,Männer!$G$9:$J$102,4)+VLOOKUP($CU86-DQ$103+1,Männer!$G$9:$J$102,4))*0.5*(VLOOKUP($CU86-DQ$103,Männer!$AZ$9:$BD$102,5)+VLOOKUP($CU86-DQ$103+1,Männer!$AZ$9:$BD$102,5)),RundDx)))</f>
        <v/>
      </c>
      <c r="DR86" s="25" t="str">
        <f>IF($CU86&gt;=RAF,"",IF($CU86-DR$103&lt;BeginnAlter,"",ROUND(v^($CU86+FaktorAlter)*$L86*$D86*0.5*(VLOOKUP($CU86-DR$103,Männer!$G$9:$J$102,4)+VLOOKUP($CU86-DR$103+1,Männer!$G$9:$J$102,4))*0.5*(VLOOKUP($CU86-DR$103,Männer!$AZ$9:$BD$102,5)+VLOOKUP($CU86-DR$103+1,Männer!$AZ$9:$BD$102,5)),RundDx)))</f>
        <v/>
      </c>
      <c r="DS86" s="25" t="str">
        <f>IF($CU86&gt;=RAF,"",IF($CU86-DS$103&lt;BeginnAlter,"",ROUND(v^($CU86+FaktorAlter)*$L86*$D86*0.5*(VLOOKUP($CU86-DS$103,Männer!$G$9:$J$102,4)+VLOOKUP($CU86-DS$103+1,Männer!$G$9:$J$102,4))*0.5*(VLOOKUP($CU86-DS$103,Männer!$AZ$9:$BD$102,5)+VLOOKUP($CU86-DS$103+1,Männer!$AZ$9:$BD$102,5)),RundDx)))</f>
        <v/>
      </c>
      <c r="DT86" s="25" t="str">
        <f>IF($CU86&gt;=RAF,"",IF($CU86-DT$103&lt;BeginnAlter,"",ROUND(v^($CU86+FaktorAlter)*$L86*$D86*0.5*(VLOOKUP($CU86-DT$103,Männer!$G$9:$J$102,4)+VLOOKUP($CU86-DT$103+1,Männer!$G$9:$J$102,4))*0.5*(VLOOKUP($CU86-DT$103,Männer!$AZ$9:$BD$102,5)+VLOOKUP($CU86-DT$103+1,Männer!$AZ$9:$BD$102,5)),RundDx)))</f>
        <v/>
      </c>
      <c r="DU86" s="25" t="str">
        <f>IF($CU86&gt;=RAF,"",IF($CU86-DU$103&lt;BeginnAlter,"",ROUND(v^($CU86+FaktorAlter)*$L86*$D86*0.5*(VLOOKUP($CU86-DU$103,Männer!$G$9:$J$102,4)+VLOOKUP($CU86-DU$103+1,Männer!$G$9:$J$102,4))*0.5*(VLOOKUP($CU86-DU$103,Männer!$AZ$9:$BD$102,5)+VLOOKUP($CU86-DU$103+1,Männer!$AZ$9:$BD$102,5)),RundDx)))</f>
        <v/>
      </c>
      <c r="DV86" s="25" t="str">
        <f>IF($CU86&gt;=RAF,"",IF($CU86-DV$103&lt;BeginnAlter,"",ROUND(v^($CU86+FaktorAlter)*$L86*$D86*0.5*(VLOOKUP($CU86-DV$103,Männer!$G$9:$J$102,4)+VLOOKUP($CU86-DV$103+1,Männer!$G$9:$J$102,4))*0.5*(VLOOKUP($CU86-DV$103,Männer!$AZ$9:$BD$102,5)+VLOOKUP($CU86-DV$103+1,Männer!$AZ$9:$BD$102,5)),RundDx)))</f>
        <v/>
      </c>
      <c r="DW86" s="25" t="str">
        <f>IF($CU86&gt;=RAF,"",IF($CU86-DW$103&lt;BeginnAlter,"",ROUND(v^($CU86+FaktorAlter)*$L86*$D86*0.5*(VLOOKUP($CU86-DW$103,Männer!$G$9:$J$102,4)+VLOOKUP($CU86-DW$103+1,Männer!$G$9:$J$102,4))*0.5*(VLOOKUP($CU86-DW$103,Männer!$AZ$9:$BD$102,5)+VLOOKUP($CU86-DW$103+1,Männer!$AZ$9:$BD$102,5)),RundDx)))</f>
        <v/>
      </c>
      <c r="DX86" s="25" t="str">
        <f>IF($CU86&gt;=RAF,"",IF($CU86-DX$103&lt;BeginnAlter,"",ROUND(v^($CU86+FaktorAlter)*$L86*$D86*0.5*(VLOOKUP($CU86-DX$103,Männer!$G$9:$J$102,4)+VLOOKUP($CU86-DX$103+1,Männer!$G$9:$J$102,4))*0.5*(VLOOKUP($CU86-DX$103,Männer!$AZ$9:$BD$102,5)+VLOOKUP($CU86-DX$103+1,Männer!$AZ$9:$BD$102,5)),RundDx)))</f>
        <v/>
      </c>
      <c r="DY86" s="25" t="str">
        <f>IF($CU86&gt;=RAF,"",IF($CU86-DY$103&lt;BeginnAlter,"",ROUND(v^($CU86+FaktorAlter)*$L86*$D86*0.5*(VLOOKUP($CU86-DY$103,Männer!$G$9:$J$102,4)+VLOOKUP($CU86-DY$103+1,Männer!$G$9:$J$102,4))*0.5*(VLOOKUP($CU86-DY$103,Männer!$AZ$9:$BD$102,5)+VLOOKUP($CU86-DY$103+1,Männer!$AZ$9:$BD$102,5)),RundDx)))</f>
        <v/>
      </c>
      <c r="DZ86" s="25" t="str">
        <f>IF($CU86&gt;=RAF,"",IF($CU86-DZ$103&lt;BeginnAlter,"",ROUND(v^($CU86+FaktorAlter)*$L86*$D86*0.5*(VLOOKUP($CU86-DZ$103,Männer!$G$9:$J$102,4)+VLOOKUP($CU86-DZ$103+1,Männer!$G$9:$J$102,4))*0.5*(VLOOKUP($CU86-DZ$103,Männer!$AZ$9:$BD$102,5)+VLOOKUP($CU86-DZ$103+1,Männer!$AZ$9:$BD$102,5)),RundDx)))</f>
        <v/>
      </c>
      <c r="EA86" s="43" t="str">
        <f>IF($CU86&gt;=RAF,"",IF($CU86-EA$103&lt;BeginnAlter,"",ROUND((SUM(CV$56:CV86)+SUM(FN$9:FN$56))/VLOOKUP($CU86,$AH$9:$AI$102,2)/VLOOKUP($CU86-EA$103,Männer!$G$9:$J$102,4),Rundäx)))</f>
        <v/>
      </c>
      <c r="EB86" s="43" t="str">
        <f>IF($CU86&gt;=RAF,"",IF($CU86-EB$103&lt;BeginnAlter,"",ROUND((SUM(CW$56:CW86)+SUM(FO$9:FO$56))/VLOOKUP($CU86,$AH$9:$AI$102,2)/VLOOKUP($CU86-EB$103,Männer!$G$9:$J$102,4),Rundäx)))</f>
        <v/>
      </c>
      <c r="EC86" s="43" t="str">
        <f>IF($CU86&gt;=RAF,"",IF($CU86-EC$103&lt;BeginnAlter,"",ROUND((SUM(CX$56:CX86)+SUM(FP$9:FP$56))/VLOOKUP($CU86,$AH$9:$AI$102,2)/VLOOKUP($CU86-EC$103,Männer!$G$9:$J$102,4),Rundäx)))</f>
        <v/>
      </c>
      <c r="ED86" s="43" t="str">
        <f>IF($CU86&gt;=RAF,"",IF($CU86-ED$103&lt;BeginnAlter,"",ROUND((SUM(CY$56:CY86)+SUM(FQ$9:FQ$56))/VLOOKUP($CU86,$AH$9:$AI$102,2)/VLOOKUP($CU86-ED$103,Männer!$G$9:$J$102,4),Rundäx)))</f>
        <v/>
      </c>
      <c r="EE86" s="43" t="str">
        <f>IF($CU86&gt;=RAF,"",IF($CU86-EE$103&lt;BeginnAlter,"",ROUND((SUM(CZ$56:CZ86)+SUM(FR$9:FR$56))/VLOOKUP($CU86,$AH$9:$AI$102,2)/VLOOKUP($CU86-EE$103,Männer!$G$9:$J$102,4),Rundäx)))</f>
        <v/>
      </c>
      <c r="EF86" s="43" t="str">
        <f>IF($CU86&gt;=RAF,"",IF($CU86-EF$103&lt;BeginnAlter,"",ROUND((SUM(DA$56:DA86)+SUM(FS$9:FS$56))/VLOOKUP($CU86,$AH$9:$AI$102,2)/VLOOKUP($CU86-EF$103,Männer!$G$9:$J$102,4),Rundäx)))</f>
        <v/>
      </c>
      <c r="EG86" s="43" t="str">
        <f>IF($CU86&gt;=RAF,"",IF($CU86-EG$103&lt;BeginnAlter,"",ROUND((SUM(DB$56:DB86)+SUM(FT$9:FT$56))/VLOOKUP($CU86,$AH$9:$AI$102,2)/VLOOKUP($CU86-EG$103,Männer!$G$9:$J$102,4),Rundäx)))</f>
        <v/>
      </c>
      <c r="EH86" s="43" t="str">
        <f>IF($CU86&gt;=RAF,"",IF($CU86-EH$103&lt;BeginnAlter,"",ROUND((SUM(DC$56:DC86)+SUM(FU$9:FU$56))/VLOOKUP($CU86,$AH$9:$AI$102,2)/VLOOKUP($CU86-EH$103,Männer!$G$9:$J$102,4),Rundäx)))</f>
        <v/>
      </c>
      <c r="EI86" s="89"/>
      <c r="EJ86" s="35">
        <f t="shared" si="138"/>
        <v>94</v>
      </c>
      <c r="EK86" s="43" t="str">
        <f>IF($CU86&gt;=RAF,"",IF($CU86-EK$103&lt;BeginnAlter,"",ROUND((SUM(DD$56:DD86)+SUM(FV$9:FV$56))/VLOOKUP($CU86,$AH$9:$AI$102,2)/VLOOKUP($CU86-EK$103,Männer!$G$9:$J$102,4),Rundäx)))</f>
        <v/>
      </c>
      <c r="EL86" s="43" t="str">
        <f>IF($CU86&gt;=RAF,"",IF($CU86-EL$103&lt;BeginnAlter,"",ROUND((SUM(DE$56:DE86)+SUM(FW$9:FW$56))/VLOOKUP($CU86,$AH$9:$AI$102,2)/VLOOKUP($CU86-EL$103,Männer!$G$9:$J$102,4),Rundäx)))</f>
        <v/>
      </c>
      <c r="EM86" s="43" t="str">
        <f>IF($CU86&gt;=RAF,"",IF($CU86-EM$103&lt;BeginnAlter,"",ROUND((SUM(DF$56:DF86)+SUM(FX$9:FX$56))/VLOOKUP($CU86,$AH$9:$AI$102,2)/VLOOKUP($CU86-EM$103,Männer!$G$9:$J$102,4),Rundäx)))</f>
        <v/>
      </c>
      <c r="EN86" s="43" t="str">
        <f>IF($CU86&gt;=RAF,"",IF($CU86-EN$103&lt;BeginnAlter,"",ROUND((SUM(DG$56:DG86)+SUM(FY$9:FY$56))/VLOOKUP($CU86,$AH$9:$AI$102,2)/VLOOKUP($CU86-EN$103,Männer!$G$9:$J$102,4),Rundäx)))</f>
        <v/>
      </c>
      <c r="EO86" s="43" t="str">
        <f>IF($CU86&gt;=RAF,"",IF($CU86-EO$103&lt;BeginnAlter,"",ROUND((SUM(DH$56:DH86)+SUM(FZ$9:FZ$56))/VLOOKUP($CU86,$AH$9:$AI$102,2)/VLOOKUP($CU86-EO$103,Männer!$G$9:$J$102,4),Rundäx)))</f>
        <v/>
      </c>
      <c r="EP86" s="43" t="str">
        <f>IF($CU86&gt;=RAF,"",IF($CU86-EP$103&lt;BeginnAlter,"",ROUND((SUM(DI$56:DI86)+SUM(GA$9:GA$56))/VLOOKUP($CU86,$AH$9:$AI$102,2)/VLOOKUP($CU86-EP$103,Männer!$G$9:$J$102,4),Rundäx)))</f>
        <v/>
      </c>
      <c r="EQ86" s="43" t="str">
        <f>IF($CU86&gt;=RAF,"",IF($CU86-EQ$103&lt;BeginnAlter,"",ROUND((SUM(DJ$56:DJ86)+SUM(GB$9:GB$56))/VLOOKUP($CU86,$AH$9:$AI$102,2)/VLOOKUP($CU86-EQ$103,Männer!$G$9:$J$102,4),Rundäx)))</f>
        <v/>
      </c>
      <c r="ER86" s="43" t="str">
        <f>IF($CU86&gt;=RAF,"",IF($CU86-ER$103&lt;BeginnAlter,"",ROUND((SUM(DK$56:DK86)+SUM(GC$9:GC$56))/VLOOKUP($CU86,$AH$9:$AI$102,2)/VLOOKUP($CU86-ER$103,Männer!$G$9:$J$102,4),Rundäx)))</f>
        <v/>
      </c>
      <c r="ES86" s="89"/>
      <c r="ET86" s="35">
        <f t="shared" si="139"/>
        <v>94</v>
      </c>
      <c r="EU86" s="43" t="str">
        <f>IF($CU86&gt;=RAF,"",IF($CU86-EU$103&lt;BeginnAlter,"",ROUND((SUM(DL$56:DL86)+SUM(GD$9:GD$56))/VLOOKUP($CU86,$AH$9:$AI$102,2)/VLOOKUP($CU86-EU$103,Männer!$G$9:$J$102,4),Rundäx)))</f>
        <v/>
      </c>
      <c r="EV86" s="43" t="str">
        <f>IF($CU86&gt;=RAF,"",IF($CU86-EV$103&lt;BeginnAlter,"",ROUND((SUM(DM$56:DM86)+SUM(GE$9:GE$56))/VLOOKUP($CU86,$AH$9:$AI$102,2)/VLOOKUP($CU86-EV$103,Männer!$G$9:$J$102,4),Rundäx)))</f>
        <v/>
      </c>
      <c r="EW86" s="43" t="str">
        <f>IF($CU86&gt;=RAF,"",IF($CU86-EW$103&lt;BeginnAlter,"",ROUND((SUM(DN$56:DN86)+SUM(GF$9:GF$56))/VLOOKUP($CU86,$AH$9:$AI$102,2)/VLOOKUP($CU86-EW$103,Männer!$G$9:$J$102,4),Rundäx)))</f>
        <v/>
      </c>
      <c r="EX86" s="43" t="str">
        <f>IF($CU86&gt;=RAF,"",IF($CU86-EX$103&lt;BeginnAlter,"",ROUND((SUM(DO$56:DO86)+SUM(GG$9:GG$56))/VLOOKUP($CU86,$AH$9:$AI$102,2)/VLOOKUP($CU86-EX$103,Männer!$G$9:$J$102,4),Rundäx)))</f>
        <v/>
      </c>
      <c r="EY86" s="43" t="str">
        <f>IF($CU86&gt;=RAF,"",IF($CU86-EY$103&lt;BeginnAlter,"",ROUND((SUM(DP$56:DP86)+SUM(GH$9:GH$56))/VLOOKUP($CU86,$AH$9:$AI$102,2)/VLOOKUP($CU86-EY$103,Männer!$G$9:$J$102,4),Rundäx)))</f>
        <v/>
      </c>
      <c r="EZ86" s="43" t="str">
        <f>IF($CU86&gt;=RAF,"",IF($CU86-EZ$103&lt;BeginnAlter,"",ROUND((SUM(DQ$56:DQ86)+SUM(GI$9:GI$56))/VLOOKUP($CU86,$AH$9:$AI$102,2)/VLOOKUP($CU86-EZ$103,Männer!$G$9:$J$102,4),Rundäx)))</f>
        <v/>
      </c>
      <c r="FA86" s="43" t="str">
        <f>IF($CU86&gt;=RAF,"",IF($CU86-FA$103&lt;BeginnAlter,"",ROUND((SUM(DR$56:DR86)+SUM(GJ$9:GJ$56))/VLOOKUP($CU86,$AH$9:$AI$102,2)/VLOOKUP($CU86-FA$103,Männer!$G$9:$J$102,4),Rundäx)))</f>
        <v/>
      </c>
      <c r="FB86" s="43" t="str">
        <f>IF($CU86&gt;=RAF,"",IF($CU86-FB$103&lt;BeginnAlter,"",ROUND((SUM(DS$56:DS86)+SUM(GK$9:GK$56))/VLOOKUP($CU86,$AH$9:$AI$102,2)/VLOOKUP($CU86-FB$103,Männer!$G$9:$J$102,4),Rundäx)))</f>
        <v/>
      </c>
      <c r="FC86" s="89"/>
      <c r="FD86" s="35">
        <f t="shared" si="140"/>
        <v>94</v>
      </c>
      <c r="FE86" s="43" t="str">
        <f>IF($CU86&gt;=RAF,"",IF($CU86-FE$103&lt;BeginnAlter,"",ROUND((SUM(DT$56:DT86)+SUM(GL$9:GL$56))/VLOOKUP($CU86,$AH$9:$AI$102,2)/VLOOKUP($CU86-FE$103,Männer!$G$9:$J$102,4),Rundäx)))</f>
        <v/>
      </c>
      <c r="FF86" s="43" t="str">
        <f>IF($CU86&gt;=RAF,"",IF($CU86-FF$103&lt;BeginnAlter,"",ROUND((SUM(DU$56:DU86)+SUM(GM$9:GM$56))/VLOOKUP($CU86,$AH$9:$AI$102,2)/VLOOKUP($CU86-FF$103,Männer!$G$9:$J$102,4),Rundäx)))</f>
        <v/>
      </c>
      <c r="FG86" s="43" t="str">
        <f>IF($CU86&gt;=RAF,"",IF($CU86-FG$103&lt;BeginnAlter,"",ROUND((SUM(DV$56:DV86)+SUM(GN$9:GN$56))/VLOOKUP($CU86,$AH$9:$AI$102,2)/VLOOKUP($CU86-FG$103,Männer!$G$9:$J$102,4),Rundäx)))</f>
        <v/>
      </c>
      <c r="FH86" s="43" t="str">
        <f>IF($CU86&gt;=RAF,"",IF($CU86-FH$103&lt;BeginnAlter,"",ROUND((SUM(DW$56:DW86)+SUM(GO$9:GO$56))/VLOOKUP($CU86,$AH$9:$AI$102,2)/VLOOKUP($CU86-FH$103,Männer!$G$9:$J$102,4),Rundäx)))</f>
        <v/>
      </c>
      <c r="FI86" s="43" t="str">
        <f>IF($CU86&gt;=RAF,"",IF($CU86-FI$103&lt;BeginnAlter,"",ROUND((SUM(DX$56:DX86)+SUM(GP$9:GP$56))/VLOOKUP($CU86,$AH$9:$AI$102,2)/VLOOKUP($CU86-FI$103,Männer!$G$9:$J$102,4),Rundäx)))</f>
        <v/>
      </c>
      <c r="FJ86" s="43" t="str">
        <f>IF($CU86&gt;=RAF,"",IF($CU86-FJ$103&lt;BeginnAlter,"",ROUND((SUM(DY$56:DY86)+SUM(GQ$9:GQ$56))/VLOOKUP($CU86,$AH$9:$AI$102,2)/VLOOKUP($CU86-FJ$103,Männer!$G$9:$J$102,4),Rundäx)))</f>
        <v/>
      </c>
      <c r="FK86" s="43" t="str">
        <f>IF($CU86&gt;=RAF,"",IF($CU86-FK$103&lt;BeginnAlter,"",ROUND((SUM(DZ$56:DZ86)+SUM(GR$9:GR$56))/VLOOKUP($CU86,$AH$9:$AI$102,2)/VLOOKUP($CU86-FK$103,Männer!$G$9:$J$102,4),Rundäx)))</f>
        <v/>
      </c>
      <c r="FL86" s="89"/>
      <c r="FM86" s="35">
        <f t="shared" si="141"/>
        <v>141</v>
      </c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4"/>
      <c r="GT86" s="24"/>
      <c r="GU86" s="24" t="str">
        <f>IF(FM86&gt;=RAF," ",#REF!/$AI86/Frauen!$J74)</f>
        <v xml:space="preserve"> </v>
      </c>
      <c r="GV86" s="24" t="str">
        <f>IF(FM86&gt;=RAF," ",#REF!/$AI86/Frauen!$J77)</f>
        <v xml:space="preserve"> </v>
      </c>
      <c r="GW86" s="24" t="str">
        <f>IF(FM86&gt;=RAF," ",#REF!/$AI86/Frauen!$J80)</f>
        <v xml:space="preserve"> </v>
      </c>
      <c r="GX86" s="24" t="str">
        <f>IF(FM86&gt;=RAF," ",#REF!/$AI86/Frauen!$J83)</f>
        <v xml:space="preserve"> </v>
      </c>
      <c r="GY86" s="24" t="str">
        <f>IF(FM86&gt;=RAF," ",#REF!/$AI86/Frauen!$J86)</f>
        <v xml:space="preserve"> </v>
      </c>
      <c r="GZ86" s="24" t="str">
        <f>IF(FM86&gt;=RAF," ",#REF!/$AI86/Frauen!$J89)</f>
        <v xml:space="preserve"> </v>
      </c>
      <c r="HA86" s="89"/>
      <c r="HB86" s="35">
        <f t="shared" si="142"/>
        <v>141</v>
      </c>
      <c r="HC86" s="24"/>
      <c r="HD86" s="24"/>
      <c r="HE86" s="24"/>
      <c r="HF86" s="24"/>
      <c r="HG86" s="24"/>
      <c r="HH86" s="24"/>
      <c r="HI86" s="24"/>
      <c r="HJ86" s="24"/>
      <c r="HK86" s="89"/>
      <c r="HL86" s="35">
        <f t="shared" si="143"/>
        <v>141</v>
      </c>
      <c r="HM86" s="24"/>
      <c r="HN86" s="24"/>
      <c r="HO86" s="24"/>
      <c r="HP86" s="24"/>
      <c r="HQ86" s="24"/>
      <c r="HR86" s="24"/>
      <c r="HS86" s="24"/>
      <c r="HT86" s="24"/>
      <c r="HU86" s="89"/>
      <c r="HV86" s="35">
        <f t="shared" si="144"/>
        <v>141</v>
      </c>
      <c r="HW86" s="24"/>
      <c r="HX86" s="24"/>
      <c r="HY86" s="24"/>
      <c r="HZ86" s="24"/>
      <c r="IA86" s="24"/>
      <c r="IB86" s="24"/>
      <c r="IC86" s="24"/>
      <c r="ID86" s="89"/>
      <c r="IE86" s="9">
        <f t="shared" si="145"/>
        <v>94</v>
      </c>
      <c r="IF86" s="11" t="str">
        <f t="shared" si="101"/>
        <v/>
      </c>
      <c r="IG86" s="11" t="str">
        <f>IF($IE86&lt;RAF,IF(S87&lt;=RAK,ROUND(SUM(IF86:INDEX(Daky,RAF-BeginnAlter))+INDEX(Day,RAF-BeginnAlter+1)*INDEX(äky,1),RundDx),0),"")</f>
        <v/>
      </c>
      <c r="IH86" s="11" t="str">
        <f>IF($IE86&lt;RAF,IF(S87&lt;=RAK,ROUND(SUM(IG86:INDEX(Naky,RAF-BeginnAlter))+INDEX(Day,RAF-BeginnAlter+1)*INDEX(äky,1),RundDx),0),"")</f>
        <v/>
      </c>
      <c r="II86" s="10" t="str">
        <f t="shared" si="102"/>
        <v/>
      </c>
      <c r="IJ86" s="11" t="str">
        <f t="shared" si="103"/>
        <v/>
      </c>
      <c r="IK86" s="11" t="str">
        <f>IF($IE86&lt;RAF,IF(S87&lt;=RAK,SUM(IJ86:INDEX(Diky,RAF-BeginnAlter))+INDEX(Diy,RAF-BeginnAlter+1)*INDEX(äky,1),0),"")</f>
        <v/>
      </c>
      <c r="IL86" s="10" t="str">
        <f t="shared" si="104"/>
        <v/>
      </c>
      <c r="IM86" s="89"/>
      <c r="IN86" s="9">
        <f t="shared" si="105"/>
        <v>141</v>
      </c>
      <c r="IO86" s="11"/>
      <c r="IP86" s="11"/>
      <c r="IQ86" s="10"/>
      <c r="IR86" s="86"/>
    </row>
    <row r="87" spans="1:252" ht="15.75" customHeight="1" x14ac:dyDescent="0.25">
      <c r="A87" s="9">
        <f t="shared" si="125"/>
        <v>95</v>
      </c>
      <c r="B87" s="93"/>
      <c r="C87" s="93"/>
      <c r="D87" s="93"/>
      <c r="E87" s="93">
        <v>0.25408750487521359</v>
      </c>
      <c r="F87" s="89"/>
      <c r="G87" s="9">
        <f t="shared" si="126"/>
        <v>95</v>
      </c>
      <c r="H87" s="11" t="str">
        <f t="shared" si="106"/>
        <v/>
      </c>
      <c r="I87" s="25" t="str">
        <f t="shared" si="107"/>
        <v/>
      </c>
      <c r="J87" s="25">
        <f t="shared" si="108"/>
        <v>10052</v>
      </c>
      <c r="K87" s="30">
        <f>IF(J87&gt;0,ROUND(SUM(J87:J$102)/J87-0.5,Rundex),"")</f>
        <v>2.66</v>
      </c>
      <c r="L87" s="25">
        <f t="shared" si="83"/>
        <v>10052</v>
      </c>
      <c r="M87" s="30">
        <f>IF(L87&gt;0,ROUND(SUM(L87:L$102)/L87-0.5,Rundex),"")</f>
        <v>2.66</v>
      </c>
      <c r="N87" s="89"/>
      <c r="O87" s="9">
        <f t="shared" si="127"/>
        <v>95</v>
      </c>
      <c r="P87" s="94">
        <v>3.6453992068153172E-3</v>
      </c>
      <c r="Q87" s="95">
        <v>94.769049643144299</v>
      </c>
      <c r="R87" s="94"/>
      <c r="S87" s="95"/>
      <c r="T87" s="28">
        <v>0.25721202536538801</v>
      </c>
      <c r="U87" s="11">
        <f t="shared" si="109"/>
        <v>12315</v>
      </c>
      <c r="V87" s="30">
        <f>IF(U87&gt;0,ROUND(SUM(U87:U$102)/U87-0.5,Rundex),"")</f>
        <v>2.6</v>
      </c>
      <c r="W87" s="89"/>
      <c r="X87" s="9">
        <f t="shared" si="128"/>
        <v>95</v>
      </c>
      <c r="Y87" s="11" t="str">
        <f t="shared" si="110"/>
        <v xml:space="preserve"> </v>
      </c>
      <c r="Z87" s="11" t="str">
        <f>IF($X87&lt;RAF,SUM(Y87:INDEX(Day,RAF-BeginnAlter))," ")</f>
        <v xml:space="preserve"> </v>
      </c>
      <c r="AA87" s="11" t="str">
        <f t="shared" si="81"/>
        <v xml:space="preserve"> </v>
      </c>
      <c r="AB87" s="11" t="str">
        <f>IF($X87&lt;RAF,SUM(AA87:INDEX(Cay,RAF-BeginnAlter))," ")</f>
        <v xml:space="preserve"> </v>
      </c>
      <c r="AC87" s="11" t="str">
        <f t="shared" si="82"/>
        <v xml:space="preserve"> </v>
      </c>
      <c r="AD87" s="11" t="str">
        <f>IF($X87&lt;RAF,SUM(AC87:INDEX(Caiy,RAF-BeginnAlter))," ")</f>
        <v xml:space="preserve"> </v>
      </c>
      <c r="AE87" s="10" t="str">
        <f t="shared" si="111"/>
        <v xml:space="preserve"> </v>
      </c>
      <c r="AF87" s="10" t="str">
        <f t="shared" si="112"/>
        <v xml:space="preserve"> </v>
      </c>
      <c r="AG87" s="89"/>
      <c r="AH87" s="9">
        <f t="shared" si="129"/>
        <v>95</v>
      </c>
      <c r="AI87" s="11" t="str">
        <f t="shared" si="113"/>
        <v xml:space="preserve"> </v>
      </c>
      <c r="AJ87" s="11" t="str">
        <f>IF($AH87&gt;RAF," ",IF($AH87&lt;RAF,SUM(AI87:INDEX(Diy,RAF-BeginnAlter))+INDEX(Ny,RAF-BeginnAlter+1),INDEX(Ny,RAF-BeginnAlter+1)))</f>
        <v xml:space="preserve"> </v>
      </c>
      <c r="AK87" s="11" t="str">
        <f>IF($AH87&lt;RAF,SUM(AI87:INDEX(Diy,RAF-BeginnAlter))," ")</f>
        <v xml:space="preserve"> </v>
      </c>
      <c r="AL87" s="10" t="str">
        <f t="shared" si="114"/>
        <v xml:space="preserve"> </v>
      </c>
      <c r="AM87" s="10" t="str">
        <f t="shared" si="115"/>
        <v xml:space="preserve"> </v>
      </c>
      <c r="AN87" s="10" t="str">
        <f t="shared" si="116"/>
        <v xml:space="preserve"> </v>
      </c>
      <c r="AO87" s="10" t="str">
        <f t="shared" si="117"/>
        <v xml:space="preserve"> </v>
      </c>
      <c r="AP87" s="89"/>
      <c r="AQ87" s="9">
        <f t="shared" si="130"/>
        <v>95</v>
      </c>
      <c r="AR87" s="11">
        <f t="shared" si="118"/>
        <v>1214</v>
      </c>
      <c r="AS87" s="11">
        <f>SUM(AR87:AR$96)</f>
        <v>3699</v>
      </c>
      <c r="AT87" s="25" t="str">
        <f>IF($AQ87&lt;RAF,SUM(AR87:INDEX(Dy,RAF-BeginnAlter))," ")</f>
        <v xml:space="preserve"> </v>
      </c>
      <c r="AU87" s="24">
        <f t="shared" si="119"/>
        <v>3.0470000000000002</v>
      </c>
      <c r="AV87" s="24">
        <f t="shared" si="120"/>
        <v>2.589</v>
      </c>
      <c r="AW87" s="24" t="str">
        <f t="shared" si="121"/>
        <v xml:space="preserve"> </v>
      </c>
      <c r="AX87" s="24" t="str">
        <f t="shared" si="122"/>
        <v xml:space="preserve"> </v>
      </c>
      <c r="AY87" s="89"/>
      <c r="AZ87" s="9">
        <f t="shared" si="131"/>
        <v>95</v>
      </c>
      <c r="BA87" s="11">
        <f t="shared" si="123"/>
        <v>1487</v>
      </c>
      <c r="BB87" s="11">
        <f>SUM(BA87:BA$96)</f>
        <v>4444</v>
      </c>
      <c r="BC87" s="10">
        <f t="shared" si="124"/>
        <v>2.9889999999999999</v>
      </c>
      <c r="BD87" s="10">
        <f t="shared" si="84"/>
        <v>2.5299999999999998</v>
      </c>
      <c r="BE87" s="89"/>
      <c r="BF87" s="9">
        <f t="shared" si="132"/>
        <v>78</v>
      </c>
      <c r="BG87" s="10" t="str">
        <f t="shared" si="85"/>
        <v/>
      </c>
      <c r="BH87" s="10" t="str">
        <f t="shared" si="86"/>
        <v/>
      </c>
      <c r="BI87" s="89"/>
      <c r="BJ87" s="9">
        <f t="shared" si="133"/>
        <v>95</v>
      </c>
      <c r="BK87" s="11" t="str">
        <f t="shared" si="87"/>
        <v xml:space="preserve"> </v>
      </c>
      <c r="BL87" s="11" t="str">
        <f>IF(BJ87&lt;RAF,SUM(BK87:INDEX(Daiy,RAF-BeginnAlter))," ")</f>
        <v xml:space="preserve"> </v>
      </c>
      <c r="BM87" s="11" t="str">
        <f>IF(BJ87&lt;RAF,SUM(BL87:INDEX(Naiy,RAF-BeginnAlter))," ")</f>
        <v xml:space="preserve"> </v>
      </c>
      <c r="BN87" s="10" t="str">
        <f t="shared" si="88"/>
        <v xml:space="preserve"> </v>
      </c>
      <c r="BO87" s="10" t="str">
        <f t="shared" si="89"/>
        <v xml:space="preserve"> </v>
      </c>
      <c r="BP87" s="89"/>
      <c r="BQ87" s="9">
        <f t="shared" si="134"/>
        <v>95</v>
      </c>
      <c r="BR87" s="11" t="str">
        <f t="shared" si="90"/>
        <v xml:space="preserve"> </v>
      </c>
      <c r="BS87" s="11" t="str">
        <f>IF(BQ87&lt;RAF,SUM(BR87:INDEX(Daiys,RAF-BeginnAlter))," ")</f>
        <v xml:space="preserve"> </v>
      </c>
      <c r="BT87" s="11" t="str">
        <f>IF(BQ87&lt;RAF,SUM(BS87:INDEX(Naiys,RAF-BeginnAlter))," ")</f>
        <v xml:space="preserve"> </v>
      </c>
      <c r="BU87" s="10" t="str">
        <f t="shared" si="91"/>
        <v xml:space="preserve"> </v>
      </c>
      <c r="BV87" s="10" t="str">
        <f t="shared" si="92"/>
        <v xml:space="preserve"> </v>
      </c>
      <c r="BW87" s="89"/>
      <c r="BX87" s="9">
        <f t="shared" si="135"/>
        <v>95</v>
      </c>
      <c r="BY87" s="10" t="str">
        <f t="shared" si="93"/>
        <v/>
      </c>
      <c r="BZ87" s="11" t="str">
        <f t="shared" si="94"/>
        <v/>
      </c>
      <c r="CA87" s="11" t="str">
        <f>IF(S88&lt;=RAK,IF($BX87&lt;RAF,SUM(BZ87:INDEX(Dazy,RAF-BeginnAlter)),""),"")</f>
        <v/>
      </c>
      <c r="CB87" s="10" t="str">
        <f t="shared" si="95"/>
        <v/>
      </c>
      <c r="CC87" s="11">
        <f t="shared" si="96"/>
        <v>0</v>
      </c>
      <c r="CD87" s="10">
        <f t="shared" si="97"/>
        <v>0</v>
      </c>
      <c r="CE87" s="10" t="str">
        <f t="shared" si="98"/>
        <v/>
      </c>
      <c r="CF87" s="89"/>
      <c r="CG87" s="9">
        <f t="shared" si="136"/>
        <v>95</v>
      </c>
      <c r="CH87" s="11" t="str">
        <f>IF(CG87&lt;RAF,ROUND(v^($CG87+FaktorAlter)*$H87*($B87*0.5*($P87+$P88)*(VLOOKUP(TRUNC(0.5*($Q87+$Q88),0),Männer!$AZ$9:$BD$95,5)+(0.5*($Q87+$Q88)-TRUNC(0.5*($Q87+$Q88),0))*(VLOOKUP(TRUNC(0.5*($Q87+$Q88)+1,0),Männer!$AZ$9:$BD$95,5)-VLOOKUP(TRUNC(0.5*($Q87+$Q88),0),Männer!$AZ$9:$BD$95,5)))+$C87*0.5*($CN87+$CN88)),RundDx),"")</f>
        <v/>
      </c>
      <c r="CI87" s="11" t="str">
        <f>IF(CG87&lt;RAF,ROUND(SUM(CH87:INDEX(Dawy,RAF-BeginnAlter))+INDEX(Day,RAF-BeginnAlter+1)*INDEX(äwy,1),RundDx),"")</f>
        <v/>
      </c>
      <c r="CJ87" s="11" t="str">
        <f>IF(CG87&lt;RAF,ROUND(SUM(CI87:INDEX(Nawy,RAF-BeginnAlter))+INDEX(Day,RAF-BeginnAlter+1)*INDEX(äwy,1),RundDx),"")</f>
        <v/>
      </c>
      <c r="CK87" s="10" t="str">
        <f t="shared" si="99"/>
        <v/>
      </c>
      <c r="CL87" s="11" t="str">
        <f>IF(CG87&lt;RAF,ROUND(v^($CG87+FaktorAlter)*$L87*$D87*0.5*($P87+$P88)*(VLOOKUP(TRUNC(0.5*($Q87+$Q88),0),Männer!$AZ$9:$BD$95,5)+(0.5*($Q87+$Q88)-TRUNC(0.5*($Q87+$Q88),0))*(VLOOKUP(TRUNC(0.5*($Q87+$Q88)+1,0),Männer!$AZ$9:$BD$95,5)-VLOOKUP(TRUNC(0.5*($Q87+$Q88),0),Männer!$AZ$9:$BD$95,5))),RundDx),"")</f>
        <v/>
      </c>
      <c r="CM87" s="11" t="str">
        <f>IF(CG87&lt;RAF,SUM(CL87:INDEX(Diwy,RAF-BeginnAlter))+INDEX(Diy,RAF-BeginnAlter+1)*INDEX(äwy,1),"")</f>
        <v/>
      </c>
      <c r="CN87" s="10" t="str">
        <f t="shared" si="100"/>
        <v/>
      </c>
      <c r="CO87" s="89"/>
      <c r="CP87" s="9">
        <f t="shared" si="146"/>
        <v>142</v>
      </c>
      <c r="CQ87" s="11"/>
      <c r="CR87" s="11"/>
      <c r="CS87" s="10"/>
      <c r="CT87" s="89"/>
      <c r="CU87" s="35">
        <f t="shared" si="137"/>
        <v>95</v>
      </c>
      <c r="CV87" s="25" t="str">
        <f>IF($CU87&gt;=RAF,"",IF($CU87-CV$103&lt;BeginnAlter,"",ROUND(v^($CU87+FaktorAlter)*$L87*$D87*0.5*(VLOOKUP($CU87-CV$103,Männer!$G$9:$J$102,4)+VLOOKUP($CU87-CV$103+1,Männer!$G$9:$J$102,4))*0.5*(VLOOKUP($CU87-CV$103,Männer!$AZ$9:$BD$102,5)+VLOOKUP($CU87-CV$103+1,Männer!$AZ$9:$BD$102,5)),RundDx)))</f>
        <v/>
      </c>
      <c r="CW87" s="25" t="str">
        <f>IF($CU87&gt;=RAF,"",IF($CU87-CW$103&lt;BeginnAlter,"",ROUND(v^($CU87+FaktorAlter)*$L87*$D87*0.5*(VLOOKUP($CU87-CW$103,Männer!$G$9:$J$102,4)+VLOOKUP($CU87-CW$103+1,Männer!$G$9:$J$102,4))*0.5*(VLOOKUP($CU87-CW$103,Männer!$AZ$9:$BD$102,5)+VLOOKUP($CU87-CW$103+1,Männer!$AZ$9:$BD$102,5)),RundDx)))</f>
        <v/>
      </c>
      <c r="CX87" s="25" t="str">
        <f>IF($CU87&gt;=RAF,"",IF($CU87-CX$103&lt;BeginnAlter,"",ROUND(v^($CU87+FaktorAlter)*$L87*$D87*0.5*(VLOOKUP($CU87-CX$103,Männer!$G$9:$J$102,4)+VLOOKUP($CU87-CX$103+1,Männer!$G$9:$J$102,4))*0.5*(VLOOKUP($CU87-CX$103,Männer!$AZ$9:$BD$102,5)+VLOOKUP($CU87-CX$103+1,Männer!$AZ$9:$BD$102,5)),RundDx)))</f>
        <v/>
      </c>
      <c r="CY87" s="25" t="str">
        <f>IF($CU87&gt;=RAF,"",IF($CU87-CY$103&lt;BeginnAlter,"",ROUND(v^($CU87+FaktorAlter)*$L87*$D87*0.5*(VLOOKUP($CU87-CY$103,Männer!$G$9:$J$102,4)+VLOOKUP($CU87-CY$103+1,Männer!$G$9:$J$102,4))*0.5*(VLOOKUP($CU87-CY$103,Männer!$AZ$9:$BD$102,5)+VLOOKUP($CU87-CY$103+1,Männer!$AZ$9:$BD$102,5)),RundDx)))</f>
        <v/>
      </c>
      <c r="CZ87" s="25" t="str">
        <f>IF($CU87&gt;=RAF,"",IF($CU87-CZ$103&lt;BeginnAlter,"",ROUND(v^($CU87+FaktorAlter)*$L87*$D87*0.5*(VLOOKUP($CU87-CZ$103,Männer!$G$9:$J$102,4)+VLOOKUP($CU87-CZ$103+1,Männer!$G$9:$J$102,4))*0.5*(VLOOKUP($CU87-CZ$103,Männer!$AZ$9:$BD$102,5)+VLOOKUP($CU87-CZ$103+1,Männer!$AZ$9:$BD$102,5)),RundDx)))</f>
        <v/>
      </c>
      <c r="DA87" s="25" t="str">
        <f>IF($CU87&gt;=RAF,"",IF($CU87-DA$103&lt;BeginnAlter,"",ROUND(v^($CU87+FaktorAlter)*$L87*$D87*0.5*(VLOOKUP($CU87-DA$103,Männer!$G$9:$J$102,4)+VLOOKUP($CU87-DA$103+1,Männer!$G$9:$J$102,4))*0.5*(VLOOKUP($CU87-DA$103,Männer!$AZ$9:$BD$102,5)+VLOOKUP($CU87-DA$103+1,Männer!$AZ$9:$BD$102,5)),RundDx)))</f>
        <v/>
      </c>
      <c r="DB87" s="25" t="str">
        <f>IF($CU87&gt;=RAF,"",IF($CU87-DB$103&lt;BeginnAlter,"",ROUND(v^($CU87+FaktorAlter)*$L87*$D87*0.5*(VLOOKUP($CU87-DB$103,Männer!$G$9:$J$102,4)+VLOOKUP($CU87-DB$103+1,Männer!$G$9:$J$102,4))*0.5*(VLOOKUP($CU87-DB$103,Männer!$AZ$9:$BD$102,5)+VLOOKUP($CU87-DB$103+1,Männer!$AZ$9:$BD$102,5)),RundDx)))</f>
        <v/>
      </c>
      <c r="DC87" s="25" t="str">
        <f>IF($CU87&gt;=RAF,"",IF($CU87-DC$103&lt;BeginnAlter,"",ROUND(v^($CU87+FaktorAlter)*$L87*$D87*0.5*(VLOOKUP($CU87-DC$103,Männer!$G$9:$J$102,4)+VLOOKUP($CU87-DC$103+1,Männer!$G$9:$J$102,4))*0.5*(VLOOKUP($CU87-DC$103,Männer!$AZ$9:$BD$102,5)+VLOOKUP($CU87-DC$103+1,Männer!$AZ$9:$BD$102,5)),RundDx)))</f>
        <v/>
      </c>
      <c r="DD87" s="25" t="str">
        <f>IF($CU87&gt;=RAF,"",IF($CU87-DD$103&lt;BeginnAlter,"",ROUND(v^($CU87+FaktorAlter)*$L87*$D87*0.5*(VLOOKUP($CU87-DD$103,Männer!$G$9:$J$102,4)+VLOOKUP($CU87-DD$103+1,Männer!$G$9:$J$102,4))*0.5*(VLOOKUP($CU87-DD$103,Männer!$AZ$9:$BD$102,5)+VLOOKUP($CU87-DD$103+1,Männer!$AZ$9:$BD$102,5)),RundDx)))</f>
        <v/>
      </c>
      <c r="DE87" s="25" t="str">
        <f>IF($CU87&gt;=RAF,"",IF($CU87-DE$103&lt;BeginnAlter,"",ROUND(v^($CU87+FaktorAlter)*$L87*$D87*0.5*(VLOOKUP($CU87-DE$103,Männer!$G$9:$J$102,4)+VLOOKUP($CU87-DE$103+1,Männer!$G$9:$J$102,4))*0.5*(VLOOKUP($CU87-DE$103,Männer!$AZ$9:$BD$102,5)+VLOOKUP($CU87-DE$103+1,Männer!$AZ$9:$BD$102,5)),RundDx)))</f>
        <v/>
      </c>
      <c r="DF87" s="25" t="str">
        <f>IF($CU87&gt;=RAF,"",IF($CU87-DF$103&lt;BeginnAlter,"",ROUND(v^($CU87+FaktorAlter)*$L87*$D87*0.5*(VLOOKUP($CU87-DF$103,Männer!$G$9:$J$102,4)+VLOOKUP($CU87-DF$103+1,Männer!$G$9:$J$102,4))*0.5*(VLOOKUP($CU87-DF$103,Männer!$AZ$9:$BD$102,5)+VLOOKUP($CU87-DF$103+1,Männer!$AZ$9:$BD$102,5)),RundDx)))</f>
        <v/>
      </c>
      <c r="DG87" s="25" t="str">
        <f>IF($CU87&gt;=RAF,"",IF($CU87-DG$103&lt;BeginnAlter,"",ROUND(v^($CU87+FaktorAlter)*$L87*$D87*0.5*(VLOOKUP($CU87-DG$103,Männer!$G$9:$J$102,4)+VLOOKUP($CU87-DG$103+1,Männer!$G$9:$J$102,4))*0.5*(VLOOKUP($CU87-DG$103,Männer!$AZ$9:$BD$102,5)+VLOOKUP($CU87-DG$103+1,Männer!$AZ$9:$BD$102,5)),RundDx)))</f>
        <v/>
      </c>
      <c r="DH87" s="25" t="str">
        <f>IF($CU87&gt;=RAF,"",IF($CU87-DH$103&lt;BeginnAlter,"",ROUND(v^($CU87+FaktorAlter)*$L87*$D87*0.5*(VLOOKUP($CU87-DH$103,Männer!$G$9:$J$102,4)+VLOOKUP($CU87-DH$103+1,Männer!$G$9:$J$102,4))*0.5*(VLOOKUP($CU87-DH$103,Männer!$AZ$9:$BD$102,5)+VLOOKUP($CU87-DH$103+1,Männer!$AZ$9:$BD$102,5)),RundDx)))</f>
        <v/>
      </c>
      <c r="DI87" s="25" t="str">
        <f>IF($CU87&gt;=RAF,"",IF($CU87-DI$103&lt;BeginnAlter,"",ROUND(v^($CU87+FaktorAlter)*$L87*$D87*0.5*(VLOOKUP($CU87-DI$103,Männer!$G$9:$J$102,4)+VLOOKUP($CU87-DI$103+1,Männer!$G$9:$J$102,4))*0.5*(VLOOKUP($CU87-DI$103,Männer!$AZ$9:$BD$102,5)+VLOOKUP($CU87-DI$103+1,Männer!$AZ$9:$BD$102,5)),RundDx)))</f>
        <v/>
      </c>
      <c r="DJ87" s="25" t="str">
        <f>IF($CU87&gt;=RAF,"",IF($CU87-DJ$103&lt;BeginnAlter,"",ROUND(v^($CU87+FaktorAlter)*$L87*$D87*0.5*(VLOOKUP($CU87-DJ$103,Männer!$G$9:$J$102,4)+VLOOKUP($CU87-DJ$103+1,Männer!$G$9:$J$102,4))*0.5*(VLOOKUP($CU87-DJ$103,Männer!$AZ$9:$BD$102,5)+VLOOKUP($CU87-DJ$103+1,Männer!$AZ$9:$BD$102,5)),RundDx)))</f>
        <v/>
      </c>
      <c r="DK87" s="25" t="str">
        <f>IF($CU87&gt;=RAF,"",IF($CU87-DK$103&lt;BeginnAlter,"",ROUND(v^($CU87+FaktorAlter)*$L87*$D87*0.5*(VLOOKUP($CU87-DK$103,Männer!$G$9:$J$102,4)+VLOOKUP($CU87-DK$103+1,Männer!$G$9:$J$102,4))*0.5*(VLOOKUP($CU87-DK$103,Männer!$AZ$9:$BD$102,5)+VLOOKUP($CU87-DK$103+1,Männer!$AZ$9:$BD$102,5)),RundDx)))</f>
        <v/>
      </c>
      <c r="DL87" s="25" t="str">
        <f>IF($CU87&gt;=RAF,"",IF($CU87-DL$103&lt;BeginnAlter,"",ROUND(v^($CU87+FaktorAlter)*$L87*$D87*0.5*(VLOOKUP($CU87-DL$103,Männer!$G$9:$J$102,4)+VLOOKUP($CU87-DL$103+1,Männer!$G$9:$J$102,4))*0.5*(VLOOKUP($CU87-DL$103,Männer!$AZ$9:$BD$102,5)+VLOOKUP($CU87-DL$103+1,Männer!$AZ$9:$BD$102,5)),RundDx)))</f>
        <v/>
      </c>
      <c r="DM87" s="25" t="str">
        <f>IF($CU87&gt;=RAF,"",IF($CU87-DM$103&lt;BeginnAlter,"",ROUND(v^($CU87+FaktorAlter)*$L87*$D87*0.5*(VLOOKUP($CU87-DM$103,Männer!$G$9:$J$102,4)+VLOOKUP($CU87-DM$103+1,Männer!$G$9:$J$102,4))*0.5*(VLOOKUP($CU87-DM$103,Männer!$AZ$9:$BD$102,5)+VLOOKUP($CU87-DM$103+1,Männer!$AZ$9:$BD$102,5)),RundDx)))</f>
        <v/>
      </c>
      <c r="DN87" s="25" t="str">
        <f>IF($CU87&gt;=RAF,"",IF($CU87-DN$103&lt;BeginnAlter,"",ROUND(v^($CU87+FaktorAlter)*$L87*$D87*0.5*(VLOOKUP($CU87-DN$103,Männer!$G$9:$J$102,4)+VLOOKUP($CU87-DN$103+1,Männer!$G$9:$J$102,4))*0.5*(VLOOKUP($CU87-DN$103,Männer!$AZ$9:$BD$102,5)+VLOOKUP($CU87-DN$103+1,Männer!$AZ$9:$BD$102,5)),RundDx)))</f>
        <v/>
      </c>
      <c r="DO87" s="25" t="str">
        <f>IF($CU87&gt;=RAF,"",IF($CU87-DO$103&lt;BeginnAlter,"",ROUND(v^($CU87+FaktorAlter)*$L87*$D87*0.5*(VLOOKUP($CU87-DO$103,Männer!$G$9:$J$102,4)+VLOOKUP($CU87-DO$103+1,Männer!$G$9:$J$102,4))*0.5*(VLOOKUP($CU87-DO$103,Männer!$AZ$9:$BD$102,5)+VLOOKUP($CU87-DO$103+1,Männer!$AZ$9:$BD$102,5)),RundDx)))</f>
        <v/>
      </c>
      <c r="DP87" s="25" t="str">
        <f>IF($CU87&gt;=RAF,"",IF($CU87-DP$103&lt;BeginnAlter,"",ROUND(v^($CU87+FaktorAlter)*$L87*$D87*0.5*(VLOOKUP($CU87-DP$103,Männer!$G$9:$J$102,4)+VLOOKUP($CU87-DP$103+1,Männer!$G$9:$J$102,4))*0.5*(VLOOKUP($CU87-DP$103,Männer!$AZ$9:$BD$102,5)+VLOOKUP($CU87-DP$103+1,Männer!$AZ$9:$BD$102,5)),RundDx)))</f>
        <v/>
      </c>
      <c r="DQ87" s="25" t="str">
        <f>IF($CU87&gt;=RAF,"",IF($CU87-DQ$103&lt;BeginnAlter,"",ROUND(v^($CU87+FaktorAlter)*$L87*$D87*0.5*(VLOOKUP($CU87-DQ$103,Männer!$G$9:$J$102,4)+VLOOKUP($CU87-DQ$103+1,Männer!$G$9:$J$102,4))*0.5*(VLOOKUP($CU87-DQ$103,Männer!$AZ$9:$BD$102,5)+VLOOKUP($CU87-DQ$103+1,Männer!$AZ$9:$BD$102,5)),RundDx)))</f>
        <v/>
      </c>
      <c r="DR87" s="25" t="str">
        <f>IF($CU87&gt;=RAF,"",IF($CU87-DR$103&lt;BeginnAlter,"",ROUND(v^($CU87+FaktorAlter)*$L87*$D87*0.5*(VLOOKUP($CU87-DR$103,Männer!$G$9:$J$102,4)+VLOOKUP($CU87-DR$103+1,Männer!$G$9:$J$102,4))*0.5*(VLOOKUP($CU87-DR$103,Männer!$AZ$9:$BD$102,5)+VLOOKUP($CU87-DR$103+1,Männer!$AZ$9:$BD$102,5)),RundDx)))</f>
        <v/>
      </c>
      <c r="DS87" s="25" t="str">
        <f>IF($CU87&gt;=RAF,"",IF($CU87-DS$103&lt;BeginnAlter,"",ROUND(v^($CU87+FaktorAlter)*$L87*$D87*0.5*(VLOOKUP($CU87-DS$103,Männer!$G$9:$J$102,4)+VLOOKUP($CU87-DS$103+1,Männer!$G$9:$J$102,4))*0.5*(VLOOKUP($CU87-DS$103,Männer!$AZ$9:$BD$102,5)+VLOOKUP($CU87-DS$103+1,Männer!$AZ$9:$BD$102,5)),RundDx)))</f>
        <v/>
      </c>
      <c r="DT87" s="25" t="str">
        <f>IF($CU87&gt;=RAF,"",IF($CU87-DT$103&lt;BeginnAlter,"",ROUND(v^($CU87+FaktorAlter)*$L87*$D87*0.5*(VLOOKUP($CU87-DT$103,Männer!$G$9:$J$102,4)+VLOOKUP($CU87-DT$103+1,Männer!$G$9:$J$102,4))*0.5*(VLOOKUP($CU87-DT$103,Männer!$AZ$9:$BD$102,5)+VLOOKUP($CU87-DT$103+1,Männer!$AZ$9:$BD$102,5)),RundDx)))</f>
        <v/>
      </c>
      <c r="DU87" s="25" t="str">
        <f>IF($CU87&gt;=RAF,"",IF($CU87-DU$103&lt;BeginnAlter,"",ROUND(v^($CU87+FaktorAlter)*$L87*$D87*0.5*(VLOOKUP($CU87-DU$103,Männer!$G$9:$J$102,4)+VLOOKUP($CU87-DU$103+1,Männer!$G$9:$J$102,4))*0.5*(VLOOKUP($CU87-DU$103,Männer!$AZ$9:$BD$102,5)+VLOOKUP($CU87-DU$103+1,Männer!$AZ$9:$BD$102,5)),RundDx)))</f>
        <v/>
      </c>
      <c r="DV87" s="25" t="str">
        <f>IF($CU87&gt;=RAF,"",IF($CU87-DV$103&lt;BeginnAlter,"",ROUND(v^($CU87+FaktorAlter)*$L87*$D87*0.5*(VLOOKUP($CU87-DV$103,Männer!$G$9:$J$102,4)+VLOOKUP($CU87-DV$103+1,Männer!$G$9:$J$102,4))*0.5*(VLOOKUP($CU87-DV$103,Männer!$AZ$9:$BD$102,5)+VLOOKUP($CU87-DV$103+1,Männer!$AZ$9:$BD$102,5)),RundDx)))</f>
        <v/>
      </c>
      <c r="DW87" s="25" t="str">
        <f>IF($CU87&gt;=RAF,"",IF($CU87-DW$103&lt;BeginnAlter,"",ROUND(v^($CU87+FaktorAlter)*$L87*$D87*0.5*(VLOOKUP($CU87-DW$103,Männer!$G$9:$J$102,4)+VLOOKUP($CU87-DW$103+1,Männer!$G$9:$J$102,4))*0.5*(VLOOKUP($CU87-DW$103,Männer!$AZ$9:$BD$102,5)+VLOOKUP($CU87-DW$103+1,Männer!$AZ$9:$BD$102,5)),RundDx)))</f>
        <v/>
      </c>
      <c r="DX87" s="25" t="str">
        <f>IF($CU87&gt;=RAF,"",IF($CU87-DX$103&lt;BeginnAlter,"",ROUND(v^($CU87+FaktorAlter)*$L87*$D87*0.5*(VLOOKUP($CU87-DX$103,Männer!$G$9:$J$102,4)+VLOOKUP($CU87-DX$103+1,Männer!$G$9:$J$102,4))*0.5*(VLOOKUP($CU87-DX$103,Männer!$AZ$9:$BD$102,5)+VLOOKUP($CU87-DX$103+1,Männer!$AZ$9:$BD$102,5)),RundDx)))</f>
        <v/>
      </c>
      <c r="DY87" s="25" t="str">
        <f>IF($CU87&gt;=RAF,"",IF($CU87-DY$103&lt;BeginnAlter,"",ROUND(v^($CU87+FaktorAlter)*$L87*$D87*0.5*(VLOOKUP($CU87-DY$103,Männer!$G$9:$J$102,4)+VLOOKUP($CU87-DY$103+1,Männer!$G$9:$J$102,4))*0.5*(VLOOKUP($CU87-DY$103,Männer!$AZ$9:$BD$102,5)+VLOOKUP($CU87-DY$103+1,Männer!$AZ$9:$BD$102,5)),RundDx)))</f>
        <v/>
      </c>
      <c r="DZ87" s="25" t="str">
        <f>IF($CU87&gt;=RAF,"",IF($CU87-DZ$103&lt;BeginnAlter,"",ROUND(v^($CU87+FaktorAlter)*$L87*$D87*0.5*(VLOOKUP($CU87-DZ$103,Männer!$G$9:$J$102,4)+VLOOKUP($CU87-DZ$103+1,Männer!$G$9:$J$102,4))*0.5*(VLOOKUP($CU87-DZ$103,Männer!$AZ$9:$BD$102,5)+VLOOKUP($CU87-DZ$103+1,Männer!$AZ$9:$BD$102,5)),RundDx)))</f>
        <v/>
      </c>
      <c r="EA87" s="43" t="str">
        <f>IF($CU87&gt;=RAF,"",IF($CU87-EA$103&lt;BeginnAlter,"",ROUND((SUM(CV$56:CV87)+SUM(FN$9:FN$56))/VLOOKUP($CU87,$AH$9:$AI$102,2)/VLOOKUP($CU87-EA$103,Männer!$G$9:$J$102,4),Rundäx)))</f>
        <v/>
      </c>
      <c r="EB87" s="43" t="str">
        <f>IF($CU87&gt;=RAF,"",IF($CU87-EB$103&lt;BeginnAlter,"",ROUND((SUM(CW$56:CW87)+SUM(FO$9:FO$56))/VLOOKUP($CU87,$AH$9:$AI$102,2)/VLOOKUP($CU87-EB$103,Männer!$G$9:$J$102,4),Rundäx)))</f>
        <v/>
      </c>
      <c r="EC87" s="43" t="str">
        <f>IF($CU87&gt;=RAF,"",IF($CU87-EC$103&lt;BeginnAlter,"",ROUND((SUM(CX$56:CX87)+SUM(FP$9:FP$56))/VLOOKUP($CU87,$AH$9:$AI$102,2)/VLOOKUP($CU87-EC$103,Männer!$G$9:$J$102,4),Rundäx)))</f>
        <v/>
      </c>
      <c r="ED87" s="43" t="str">
        <f>IF($CU87&gt;=RAF,"",IF($CU87-ED$103&lt;BeginnAlter,"",ROUND((SUM(CY$56:CY87)+SUM(FQ$9:FQ$56))/VLOOKUP($CU87,$AH$9:$AI$102,2)/VLOOKUP($CU87-ED$103,Männer!$G$9:$J$102,4),Rundäx)))</f>
        <v/>
      </c>
      <c r="EE87" s="43" t="str">
        <f>IF($CU87&gt;=RAF,"",IF($CU87-EE$103&lt;BeginnAlter,"",ROUND((SUM(CZ$56:CZ87)+SUM(FR$9:FR$56))/VLOOKUP($CU87,$AH$9:$AI$102,2)/VLOOKUP($CU87-EE$103,Männer!$G$9:$J$102,4),Rundäx)))</f>
        <v/>
      </c>
      <c r="EF87" s="43" t="str">
        <f>IF($CU87&gt;=RAF,"",IF($CU87-EF$103&lt;BeginnAlter,"",ROUND((SUM(DA$56:DA87)+SUM(FS$9:FS$56))/VLOOKUP($CU87,$AH$9:$AI$102,2)/VLOOKUP($CU87-EF$103,Männer!$G$9:$J$102,4),Rundäx)))</f>
        <v/>
      </c>
      <c r="EG87" s="43" t="str">
        <f>IF($CU87&gt;=RAF,"",IF($CU87-EG$103&lt;BeginnAlter,"",ROUND((SUM(DB$56:DB87)+SUM(FT$9:FT$56))/VLOOKUP($CU87,$AH$9:$AI$102,2)/VLOOKUP($CU87-EG$103,Männer!$G$9:$J$102,4),Rundäx)))</f>
        <v/>
      </c>
      <c r="EH87" s="43" t="str">
        <f>IF($CU87&gt;=RAF,"",IF($CU87-EH$103&lt;BeginnAlter,"",ROUND((SUM(DC$56:DC87)+SUM(FU$9:FU$56))/VLOOKUP($CU87,$AH$9:$AI$102,2)/VLOOKUP($CU87-EH$103,Männer!$G$9:$J$102,4),Rundäx)))</f>
        <v/>
      </c>
      <c r="EI87" s="89"/>
      <c r="EJ87" s="35">
        <f t="shared" si="138"/>
        <v>95</v>
      </c>
      <c r="EK87" s="43" t="str">
        <f>IF($CU87&gt;=RAF,"",IF($CU87-EK$103&lt;BeginnAlter,"",ROUND((SUM(DD$56:DD87)+SUM(FV$9:FV$56))/VLOOKUP($CU87,$AH$9:$AI$102,2)/VLOOKUP($CU87-EK$103,Männer!$G$9:$J$102,4),Rundäx)))</f>
        <v/>
      </c>
      <c r="EL87" s="43" t="str">
        <f>IF($CU87&gt;=RAF,"",IF($CU87-EL$103&lt;BeginnAlter,"",ROUND((SUM(DE$56:DE87)+SUM(FW$9:FW$56))/VLOOKUP($CU87,$AH$9:$AI$102,2)/VLOOKUP($CU87-EL$103,Männer!$G$9:$J$102,4),Rundäx)))</f>
        <v/>
      </c>
      <c r="EM87" s="43" t="str">
        <f>IF($CU87&gt;=RAF,"",IF($CU87-EM$103&lt;BeginnAlter,"",ROUND((SUM(DF$56:DF87)+SUM(FX$9:FX$56))/VLOOKUP($CU87,$AH$9:$AI$102,2)/VLOOKUP($CU87-EM$103,Männer!$G$9:$J$102,4),Rundäx)))</f>
        <v/>
      </c>
      <c r="EN87" s="43" t="str">
        <f>IF($CU87&gt;=RAF,"",IF($CU87-EN$103&lt;BeginnAlter,"",ROUND((SUM(DG$56:DG87)+SUM(FY$9:FY$56))/VLOOKUP($CU87,$AH$9:$AI$102,2)/VLOOKUP($CU87-EN$103,Männer!$G$9:$J$102,4),Rundäx)))</f>
        <v/>
      </c>
      <c r="EO87" s="43" t="str">
        <f>IF($CU87&gt;=RAF,"",IF($CU87-EO$103&lt;BeginnAlter,"",ROUND((SUM(DH$56:DH87)+SUM(FZ$9:FZ$56))/VLOOKUP($CU87,$AH$9:$AI$102,2)/VLOOKUP($CU87-EO$103,Männer!$G$9:$J$102,4),Rundäx)))</f>
        <v/>
      </c>
      <c r="EP87" s="43" t="str">
        <f>IF($CU87&gt;=RAF,"",IF($CU87-EP$103&lt;BeginnAlter,"",ROUND((SUM(DI$56:DI87)+SUM(GA$9:GA$56))/VLOOKUP($CU87,$AH$9:$AI$102,2)/VLOOKUP($CU87-EP$103,Männer!$G$9:$J$102,4),Rundäx)))</f>
        <v/>
      </c>
      <c r="EQ87" s="43" t="str">
        <f>IF($CU87&gt;=RAF,"",IF($CU87-EQ$103&lt;BeginnAlter,"",ROUND((SUM(DJ$56:DJ87)+SUM(GB$9:GB$56))/VLOOKUP($CU87,$AH$9:$AI$102,2)/VLOOKUP($CU87-EQ$103,Männer!$G$9:$J$102,4),Rundäx)))</f>
        <v/>
      </c>
      <c r="ER87" s="43" t="str">
        <f>IF($CU87&gt;=RAF,"",IF($CU87-ER$103&lt;BeginnAlter,"",ROUND((SUM(DK$56:DK87)+SUM(GC$9:GC$56))/VLOOKUP($CU87,$AH$9:$AI$102,2)/VLOOKUP($CU87-ER$103,Männer!$G$9:$J$102,4),Rundäx)))</f>
        <v/>
      </c>
      <c r="ES87" s="89"/>
      <c r="ET87" s="35">
        <f t="shared" si="139"/>
        <v>95</v>
      </c>
      <c r="EU87" s="43" t="str">
        <f>IF($CU87&gt;=RAF,"",IF($CU87-EU$103&lt;BeginnAlter,"",ROUND((SUM(DL$56:DL87)+SUM(GD$9:GD$56))/VLOOKUP($CU87,$AH$9:$AI$102,2)/VLOOKUP($CU87-EU$103,Männer!$G$9:$J$102,4),Rundäx)))</f>
        <v/>
      </c>
      <c r="EV87" s="43" t="str">
        <f>IF($CU87&gt;=RAF,"",IF($CU87-EV$103&lt;BeginnAlter,"",ROUND((SUM(DM$56:DM87)+SUM(GE$9:GE$56))/VLOOKUP($CU87,$AH$9:$AI$102,2)/VLOOKUP($CU87-EV$103,Männer!$G$9:$J$102,4),Rundäx)))</f>
        <v/>
      </c>
      <c r="EW87" s="43" t="str">
        <f>IF($CU87&gt;=RAF,"",IF($CU87-EW$103&lt;BeginnAlter,"",ROUND((SUM(DN$56:DN87)+SUM(GF$9:GF$56))/VLOOKUP($CU87,$AH$9:$AI$102,2)/VLOOKUP($CU87-EW$103,Männer!$G$9:$J$102,4),Rundäx)))</f>
        <v/>
      </c>
      <c r="EX87" s="43" t="str">
        <f>IF($CU87&gt;=RAF,"",IF($CU87-EX$103&lt;BeginnAlter,"",ROUND((SUM(DO$56:DO87)+SUM(GG$9:GG$56))/VLOOKUP($CU87,$AH$9:$AI$102,2)/VLOOKUP($CU87-EX$103,Männer!$G$9:$J$102,4),Rundäx)))</f>
        <v/>
      </c>
      <c r="EY87" s="43" t="str">
        <f>IF($CU87&gt;=RAF,"",IF($CU87-EY$103&lt;BeginnAlter,"",ROUND((SUM(DP$56:DP87)+SUM(GH$9:GH$56))/VLOOKUP($CU87,$AH$9:$AI$102,2)/VLOOKUP($CU87-EY$103,Männer!$G$9:$J$102,4),Rundäx)))</f>
        <v/>
      </c>
      <c r="EZ87" s="43" t="str">
        <f>IF($CU87&gt;=RAF,"",IF($CU87-EZ$103&lt;BeginnAlter,"",ROUND((SUM(DQ$56:DQ87)+SUM(GI$9:GI$56))/VLOOKUP($CU87,$AH$9:$AI$102,2)/VLOOKUP($CU87-EZ$103,Männer!$G$9:$J$102,4),Rundäx)))</f>
        <v/>
      </c>
      <c r="FA87" s="43" t="str">
        <f>IF($CU87&gt;=RAF,"",IF($CU87-FA$103&lt;BeginnAlter,"",ROUND((SUM(DR$56:DR87)+SUM(GJ$9:GJ$56))/VLOOKUP($CU87,$AH$9:$AI$102,2)/VLOOKUP($CU87-FA$103,Männer!$G$9:$J$102,4),Rundäx)))</f>
        <v/>
      </c>
      <c r="FB87" s="43" t="str">
        <f>IF($CU87&gt;=RAF,"",IF($CU87-FB$103&lt;BeginnAlter,"",ROUND((SUM(DS$56:DS87)+SUM(GK$9:GK$56))/VLOOKUP($CU87,$AH$9:$AI$102,2)/VLOOKUP($CU87-FB$103,Männer!$G$9:$J$102,4),Rundäx)))</f>
        <v/>
      </c>
      <c r="FC87" s="89"/>
      <c r="FD87" s="35">
        <f t="shared" si="140"/>
        <v>95</v>
      </c>
      <c r="FE87" s="43" t="str">
        <f>IF($CU87&gt;=RAF,"",IF($CU87-FE$103&lt;BeginnAlter,"",ROUND((SUM(DT$56:DT87)+SUM(GL$9:GL$56))/VLOOKUP($CU87,$AH$9:$AI$102,2)/VLOOKUP($CU87-FE$103,Männer!$G$9:$J$102,4),Rundäx)))</f>
        <v/>
      </c>
      <c r="FF87" s="43" t="str">
        <f>IF($CU87&gt;=RAF,"",IF($CU87-FF$103&lt;BeginnAlter,"",ROUND((SUM(DU$56:DU87)+SUM(GM$9:GM$56))/VLOOKUP($CU87,$AH$9:$AI$102,2)/VLOOKUP($CU87-FF$103,Männer!$G$9:$J$102,4),Rundäx)))</f>
        <v/>
      </c>
      <c r="FG87" s="43" t="str">
        <f>IF($CU87&gt;=RAF,"",IF($CU87-FG$103&lt;BeginnAlter,"",ROUND((SUM(DV$56:DV87)+SUM(GN$9:GN$56))/VLOOKUP($CU87,$AH$9:$AI$102,2)/VLOOKUP($CU87-FG$103,Männer!$G$9:$J$102,4),Rundäx)))</f>
        <v/>
      </c>
      <c r="FH87" s="43" t="str">
        <f>IF($CU87&gt;=RAF,"",IF($CU87-FH$103&lt;BeginnAlter,"",ROUND((SUM(DW$56:DW87)+SUM(GO$9:GO$56))/VLOOKUP($CU87,$AH$9:$AI$102,2)/VLOOKUP($CU87-FH$103,Männer!$G$9:$J$102,4),Rundäx)))</f>
        <v/>
      </c>
      <c r="FI87" s="43" t="str">
        <f>IF($CU87&gt;=RAF,"",IF($CU87-FI$103&lt;BeginnAlter,"",ROUND((SUM(DX$56:DX87)+SUM(GP$9:GP$56))/VLOOKUP($CU87,$AH$9:$AI$102,2)/VLOOKUP($CU87-FI$103,Männer!$G$9:$J$102,4),Rundäx)))</f>
        <v/>
      </c>
      <c r="FJ87" s="43" t="str">
        <f>IF($CU87&gt;=RAF,"",IF($CU87-FJ$103&lt;BeginnAlter,"",ROUND((SUM(DY$56:DY87)+SUM(GQ$9:GQ$56))/VLOOKUP($CU87,$AH$9:$AI$102,2)/VLOOKUP($CU87-FJ$103,Männer!$G$9:$J$102,4),Rundäx)))</f>
        <v/>
      </c>
      <c r="FK87" s="43" t="str">
        <f>IF($CU87&gt;=RAF,"",IF($CU87-FK$103&lt;BeginnAlter,"",ROUND((SUM(DZ$56:DZ87)+SUM(GR$9:GR$56))/VLOOKUP($CU87,$AH$9:$AI$102,2)/VLOOKUP($CU87-FK$103,Männer!$G$9:$J$102,4),Rundäx)))</f>
        <v/>
      </c>
      <c r="FL87" s="89"/>
      <c r="FM87" s="35">
        <f t="shared" si="141"/>
        <v>142</v>
      </c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25"/>
      <c r="GM87" s="25"/>
      <c r="GN87" s="25"/>
      <c r="GO87" s="25"/>
      <c r="GP87" s="25"/>
      <c r="GQ87" s="25"/>
      <c r="GR87" s="25"/>
      <c r="GS87" s="24"/>
      <c r="GT87" s="24"/>
      <c r="GU87" s="24" t="str">
        <f>IF(FM87&gt;=RAF," ",#REF!/$AI87/Frauen!$J75)</f>
        <v xml:space="preserve"> </v>
      </c>
      <c r="GV87" s="24" t="str">
        <f>IF(FM87&gt;=RAF," ",#REF!/$AI87/Frauen!$J78)</f>
        <v xml:space="preserve"> </v>
      </c>
      <c r="GW87" s="24" t="str">
        <f>IF(FM87&gt;=RAF," ",#REF!/$AI87/Frauen!$J81)</f>
        <v xml:space="preserve"> </v>
      </c>
      <c r="GX87" s="24" t="str">
        <f>IF(FM87&gt;=RAF," ",#REF!/$AI87/Frauen!$J84)</f>
        <v xml:space="preserve"> </v>
      </c>
      <c r="GY87" s="24" t="str">
        <f>IF(FM87&gt;=RAF," ",#REF!/$AI87/Frauen!$J87)</f>
        <v xml:space="preserve"> </v>
      </c>
      <c r="GZ87" s="24" t="str">
        <f>IF(FM87&gt;=RAF," ",#REF!/$AI87/Frauen!$J90)</f>
        <v xml:space="preserve"> </v>
      </c>
      <c r="HA87" s="89"/>
      <c r="HB87" s="35">
        <f t="shared" si="142"/>
        <v>142</v>
      </c>
      <c r="HC87" s="24"/>
      <c r="HD87" s="24"/>
      <c r="HE87" s="24"/>
      <c r="HF87" s="24"/>
      <c r="HG87" s="24"/>
      <c r="HH87" s="24"/>
      <c r="HI87" s="24"/>
      <c r="HJ87" s="24"/>
      <c r="HK87" s="89"/>
      <c r="HL87" s="35">
        <f t="shared" si="143"/>
        <v>142</v>
      </c>
      <c r="HM87" s="24"/>
      <c r="HN87" s="24"/>
      <c r="HO87" s="24"/>
      <c r="HP87" s="24"/>
      <c r="HQ87" s="24"/>
      <c r="HR87" s="24"/>
      <c r="HS87" s="24"/>
      <c r="HT87" s="24"/>
      <c r="HU87" s="89"/>
      <c r="HV87" s="35">
        <f t="shared" si="144"/>
        <v>142</v>
      </c>
      <c r="HW87" s="24"/>
      <c r="HX87" s="24"/>
      <c r="HY87" s="24"/>
      <c r="HZ87" s="24"/>
      <c r="IA87" s="24"/>
      <c r="IB87" s="24"/>
      <c r="IC87" s="24"/>
      <c r="ID87" s="89"/>
      <c r="IE87" s="9">
        <f t="shared" si="145"/>
        <v>95</v>
      </c>
      <c r="IF87" s="11" t="str">
        <f t="shared" si="101"/>
        <v/>
      </c>
      <c r="IG87" s="11" t="str">
        <f>IF($IE87&lt;RAF,IF(S88&lt;=RAK,ROUND(SUM(IF87:INDEX(Daky,RAF-BeginnAlter))+INDEX(Day,RAF-BeginnAlter+1)*INDEX(äky,1),RundDx),0),"")</f>
        <v/>
      </c>
      <c r="IH87" s="11" t="str">
        <f>IF($IE87&lt;RAF,IF(S88&lt;=RAK,ROUND(SUM(IG87:INDEX(Naky,RAF-BeginnAlter))+INDEX(Day,RAF-BeginnAlter+1)*INDEX(äky,1),RundDx),0),"")</f>
        <v/>
      </c>
      <c r="II87" s="10" t="str">
        <f t="shared" si="102"/>
        <v/>
      </c>
      <c r="IJ87" s="11" t="str">
        <f t="shared" si="103"/>
        <v/>
      </c>
      <c r="IK87" s="11" t="str">
        <f>IF($IE87&lt;RAF,IF(S88&lt;=RAK,SUM(IJ87:INDEX(Diky,RAF-BeginnAlter))+INDEX(Diy,RAF-BeginnAlter+1)*INDEX(äky,1),0),"")</f>
        <v/>
      </c>
      <c r="IL87" s="10" t="str">
        <f t="shared" si="104"/>
        <v/>
      </c>
      <c r="IM87" s="89"/>
      <c r="IN87" s="9">
        <f t="shared" si="105"/>
        <v>142</v>
      </c>
      <c r="IO87" s="11"/>
      <c r="IP87" s="11"/>
      <c r="IQ87" s="10"/>
      <c r="IR87" s="86"/>
    </row>
    <row r="88" spans="1:252" ht="15.75" customHeight="1" x14ac:dyDescent="0.25">
      <c r="A88" s="9">
        <f t="shared" si="125"/>
        <v>96</v>
      </c>
      <c r="B88" s="93"/>
      <c r="C88" s="93"/>
      <c r="D88" s="93"/>
      <c r="E88" s="93">
        <v>0.28197810385856825</v>
      </c>
      <c r="F88" s="89"/>
      <c r="G88" s="9">
        <f t="shared" si="126"/>
        <v>96</v>
      </c>
      <c r="H88" s="11" t="str">
        <f t="shared" si="106"/>
        <v/>
      </c>
      <c r="I88" s="25" t="str">
        <f t="shared" si="107"/>
        <v/>
      </c>
      <c r="J88" s="25">
        <f t="shared" si="108"/>
        <v>7498</v>
      </c>
      <c r="K88" s="30">
        <f>IF(J88&gt;0,ROUND(SUM(J88:J$102)/J88-0.5,Rundex),"")</f>
        <v>2.4</v>
      </c>
      <c r="L88" s="25">
        <f t="shared" si="83"/>
        <v>7498</v>
      </c>
      <c r="M88" s="30">
        <f>IF(L88&gt;0,ROUND(SUM(L88:L$102)/L88-0.5,Rundex),"")</f>
        <v>2.4</v>
      </c>
      <c r="N88" s="89"/>
      <c r="O88" s="9">
        <f t="shared" si="127"/>
        <v>96</v>
      </c>
      <c r="P88" s="94">
        <v>3.405399206815317E-3</v>
      </c>
      <c r="Q88" s="95">
        <v>95.706580723884173</v>
      </c>
      <c r="R88" s="94"/>
      <c r="S88" s="95"/>
      <c r="T88" s="28">
        <v>0.29144293286525302</v>
      </c>
      <c r="U88" s="11">
        <f t="shared" si="109"/>
        <v>9147</v>
      </c>
      <c r="V88" s="30">
        <f>IF(U88&gt;0,ROUND(SUM(U88:U$102)/U88-0.5,Rundex),"")</f>
        <v>2.33</v>
      </c>
      <c r="W88" s="89"/>
      <c r="X88" s="9">
        <f t="shared" si="128"/>
        <v>96</v>
      </c>
      <c r="Y88" s="11" t="str">
        <f t="shared" si="110"/>
        <v xml:space="preserve"> </v>
      </c>
      <c r="Z88" s="11" t="str">
        <f>IF($X88&lt;RAF,SUM(Y88:INDEX(Day,RAF-BeginnAlter))," ")</f>
        <v xml:space="preserve"> </v>
      </c>
      <c r="AA88" s="11" t="str">
        <f t="shared" si="81"/>
        <v xml:space="preserve"> </v>
      </c>
      <c r="AB88" s="11" t="str">
        <f>IF($X88&lt;RAF,SUM(AA88:INDEX(Cay,RAF-BeginnAlter))," ")</f>
        <v xml:space="preserve"> </v>
      </c>
      <c r="AC88" s="11" t="str">
        <f t="shared" si="82"/>
        <v xml:space="preserve"> </v>
      </c>
      <c r="AD88" s="11" t="str">
        <f>IF($X88&lt;RAF,SUM(AC88:INDEX(Caiy,RAF-BeginnAlter))," ")</f>
        <v xml:space="preserve"> </v>
      </c>
      <c r="AE88" s="10" t="str">
        <f t="shared" si="111"/>
        <v xml:space="preserve"> </v>
      </c>
      <c r="AF88" s="10" t="str">
        <f t="shared" si="112"/>
        <v xml:space="preserve"> </v>
      </c>
      <c r="AG88" s="89"/>
      <c r="AH88" s="9">
        <f t="shared" si="129"/>
        <v>96</v>
      </c>
      <c r="AI88" s="11" t="str">
        <f t="shared" si="113"/>
        <v xml:space="preserve"> </v>
      </c>
      <c r="AJ88" s="11" t="str">
        <f>IF($AH88&gt;RAF," ",IF($AH88&lt;RAF,SUM(AI88:INDEX(Diy,RAF-BeginnAlter))+INDEX(Ny,RAF-BeginnAlter+1),INDEX(Ny,RAF-BeginnAlter+1)))</f>
        <v xml:space="preserve"> </v>
      </c>
      <c r="AK88" s="11" t="str">
        <f>IF($AH88&lt;RAF,SUM(AI88:INDEX(Diy,RAF-BeginnAlter))," ")</f>
        <v xml:space="preserve"> </v>
      </c>
      <c r="AL88" s="10" t="str">
        <f t="shared" si="114"/>
        <v xml:space="preserve"> </v>
      </c>
      <c r="AM88" s="10" t="str">
        <f t="shared" si="115"/>
        <v xml:space="preserve"> </v>
      </c>
      <c r="AN88" s="10" t="str">
        <f t="shared" si="116"/>
        <v xml:space="preserve"> </v>
      </c>
      <c r="AO88" s="10" t="str">
        <f t="shared" si="117"/>
        <v xml:space="preserve"> </v>
      </c>
      <c r="AP88" s="89"/>
      <c r="AQ88" s="9">
        <f t="shared" si="130"/>
        <v>96</v>
      </c>
      <c r="AR88" s="11">
        <f t="shared" si="118"/>
        <v>886</v>
      </c>
      <c r="AS88" s="11">
        <f>SUM(AR88:AR$96)</f>
        <v>2485</v>
      </c>
      <c r="AT88" s="25" t="str">
        <f>IF($AQ88&lt;RAF,SUM(AR88:INDEX(Dy,RAF-BeginnAlter))," ")</f>
        <v xml:space="preserve"> </v>
      </c>
      <c r="AU88" s="24">
        <f t="shared" si="119"/>
        <v>2.8050000000000002</v>
      </c>
      <c r="AV88" s="24">
        <f t="shared" si="120"/>
        <v>2.3460000000000001</v>
      </c>
      <c r="AW88" s="24" t="str">
        <f t="shared" si="121"/>
        <v xml:space="preserve"> </v>
      </c>
      <c r="AX88" s="24" t="str">
        <f t="shared" si="122"/>
        <v xml:space="preserve"> </v>
      </c>
      <c r="AY88" s="89"/>
      <c r="AZ88" s="9">
        <f t="shared" si="131"/>
        <v>96</v>
      </c>
      <c r="BA88" s="11">
        <f t="shared" si="123"/>
        <v>1080</v>
      </c>
      <c r="BB88" s="11">
        <f>SUM(BA88:BA$96)</f>
        <v>2957</v>
      </c>
      <c r="BC88" s="10">
        <f t="shared" si="124"/>
        <v>2.738</v>
      </c>
      <c r="BD88" s="10">
        <f t="shared" si="84"/>
        <v>2.2799999999999998</v>
      </c>
      <c r="BE88" s="89"/>
      <c r="BF88" s="9">
        <f t="shared" si="132"/>
        <v>79</v>
      </c>
      <c r="BG88" s="10" t="str">
        <f t="shared" si="85"/>
        <v/>
      </c>
      <c r="BH88" s="10" t="str">
        <f t="shared" si="86"/>
        <v/>
      </c>
      <c r="BI88" s="89"/>
      <c r="BJ88" s="9">
        <f t="shared" si="133"/>
        <v>96</v>
      </c>
      <c r="BK88" s="11" t="str">
        <f t="shared" si="87"/>
        <v xml:space="preserve"> </v>
      </c>
      <c r="BL88" s="11" t="str">
        <f>IF(BJ88&lt;RAF,SUM(BK88:INDEX(Daiy,RAF-BeginnAlter))," ")</f>
        <v xml:space="preserve"> </v>
      </c>
      <c r="BM88" s="11" t="str">
        <f>IF(BJ88&lt;RAF,SUM(BL88:INDEX(Naiy,RAF-BeginnAlter))," ")</f>
        <v xml:space="preserve"> </v>
      </c>
      <c r="BN88" s="10" t="str">
        <f t="shared" si="88"/>
        <v xml:space="preserve"> </v>
      </c>
      <c r="BO88" s="10" t="str">
        <f t="shared" si="89"/>
        <v xml:space="preserve"> </v>
      </c>
      <c r="BP88" s="89"/>
      <c r="BQ88" s="9">
        <f t="shared" si="134"/>
        <v>96</v>
      </c>
      <c r="BR88" s="11" t="str">
        <f t="shared" si="90"/>
        <v xml:space="preserve"> </v>
      </c>
      <c r="BS88" s="11" t="str">
        <f>IF(BQ88&lt;RAF,SUM(BR88:INDEX(Daiys,RAF-BeginnAlter))," ")</f>
        <v xml:space="preserve"> </v>
      </c>
      <c r="BT88" s="11" t="str">
        <f>IF(BQ88&lt;RAF,SUM(BS88:INDEX(Naiys,RAF-BeginnAlter))," ")</f>
        <v xml:space="preserve"> </v>
      </c>
      <c r="BU88" s="10" t="str">
        <f t="shared" si="91"/>
        <v xml:space="preserve"> </v>
      </c>
      <c r="BV88" s="10" t="str">
        <f t="shared" si="92"/>
        <v xml:space="preserve"> </v>
      </c>
      <c r="BW88" s="89"/>
      <c r="BX88" s="9">
        <f t="shared" si="135"/>
        <v>96</v>
      </c>
      <c r="BY88" s="10" t="str">
        <f t="shared" si="93"/>
        <v/>
      </c>
      <c r="BZ88" s="11" t="str">
        <f t="shared" si="94"/>
        <v/>
      </c>
      <c r="CA88" s="11" t="str">
        <f>IF(S89&lt;=RAK,IF($BX88&lt;RAF,SUM(BZ88:INDEX(Dazy,RAF-BeginnAlter)),""),"")</f>
        <v/>
      </c>
      <c r="CB88" s="10" t="str">
        <f t="shared" si="95"/>
        <v/>
      </c>
      <c r="CC88" s="11">
        <f t="shared" si="96"/>
        <v>0</v>
      </c>
      <c r="CD88" s="10">
        <f t="shared" si="97"/>
        <v>0</v>
      </c>
      <c r="CE88" s="10" t="str">
        <f t="shared" si="98"/>
        <v/>
      </c>
      <c r="CF88" s="89"/>
      <c r="CG88" s="9">
        <f t="shared" si="136"/>
        <v>96</v>
      </c>
      <c r="CH88" s="11" t="str">
        <f>IF(CG88&lt;RAF,ROUND(v^($CG88+FaktorAlter)*$H88*($B88*0.5*($P88+$P89)*(VLOOKUP(TRUNC(0.5*($Q88+$Q89),0),Männer!$AZ$9:$BD$95,5)+(0.5*($Q88+$Q89)-TRUNC(0.5*($Q88+$Q89),0))*(VLOOKUP(TRUNC(0.5*($Q88+$Q89)+1,0),Männer!$AZ$9:$BD$95,5)-VLOOKUP(TRUNC(0.5*($Q88+$Q89),0),Männer!$AZ$9:$BD$95,5)))+$C88*0.5*($CN88+$CN89)),RundDx),"")</f>
        <v/>
      </c>
      <c r="CI88" s="11" t="str">
        <f>IF(CG88&lt;RAF,ROUND(SUM(CH88:INDEX(Dawy,RAF-BeginnAlter))+INDEX(Day,RAF-BeginnAlter+1)*INDEX(äwy,1),RundDx),"")</f>
        <v/>
      </c>
      <c r="CJ88" s="11" t="str">
        <f>IF(CG88&lt;RAF,ROUND(SUM(CI88:INDEX(Nawy,RAF-BeginnAlter))+INDEX(Day,RAF-BeginnAlter+1)*INDEX(äwy,1),RundDx),"")</f>
        <v/>
      </c>
      <c r="CK88" s="10" t="str">
        <f t="shared" si="99"/>
        <v/>
      </c>
      <c r="CL88" s="11" t="str">
        <f>IF(CG88&lt;RAF,ROUND(v^($CG88+FaktorAlter)*$L88*$D88*0.5*($P88+$P89)*(VLOOKUP(TRUNC(0.5*($Q88+$Q89),0),Männer!$AZ$9:$BD$95,5)+(0.5*($Q88+$Q89)-TRUNC(0.5*($Q88+$Q89),0))*(VLOOKUP(TRUNC(0.5*($Q88+$Q89)+1,0),Männer!$AZ$9:$BD$95,5)-VLOOKUP(TRUNC(0.5*($Q88+$Q89),0),Männer!$AZ$9:$BD$95,5))),RundDx),"")</f>
        <v/>
      </c>
      <c r="CM88" s="11" t="str">
        <f>IF(CG88&lt;RAF,SUM(CL88:INDEX(Diwy,RAF-BeginnAlter))+INDEX(Diy,RAF-BeginnAlter+1)*INDEX(äwy,1),"")</f>
        <v/>
      </c>
      <c r="CN88" s="10" t="str">
        <f t="shared" si="100"/>
        <v/>
      </c>
      <c r="CO88" s="89"/>
      <c r="CP88" s="9">
        <f t="shared" si="146"/>
        <v>143</v>
      </c>
      <c r="CQ88" s="11"/>
      <c r="CR88" s="11"/>
      <c r="CS88" s="10"/>
      <c r="CT88" s="89"/>
      <c r="CU88" s="35">
        <f t="shared" si="137"/>
        <v>96</v>
      </c>
      <c r="CV88" s="25" t="str">
        <f>IF($CU88&gt;=RAF,"",IF($CU88-CV$103&lt;BeginnAlter,"",ROUND(v^($CU88+FaktorAlter)*$L88*$D88*0.5*(VLOOKUP($CU88-CV$103,Männer!$G$9:$J$102,4)+VLOOKUP($CU88-CV$103+1,Männer!$G$9:$J$102,4))*0.5*(VLOOKUP($CU88-CV$103,Männer!$AZ$9:$BD$102,5)+VLOOKUP($CU88-CV$103+1,Männer!$AZ$9:$BD$102,5)),RundDx)))</f>
        <v/>
      </c>
      <c r="CW88" s="25" t="str">
        <f>IF($CU88&gt;=RAF,"",IF($CU88-CW$103&lt;BeginnAlter,"",ROUND(v^($CU88+FaktorAlter)*$L88*$D88*0.5*(VLOOKUP($CU88-CW$103,Männer!$G$9:$J$102,4)+VLOOKUP($CU88-CW$103+1,Männer!$G$9:$J$102,4))*0.5*(VLOOKUP($CU88-CW$103,Männer!$AZ$9:$BD$102,5)+VLOOKUP($CU88-CW$103+1,Männer!$AZ$9:$BD$102,5)),RundDx)))</f>
        <v/>
      </c>
      <c r="CX88" s="25" t="str">
        <f>IF($CU88&gt;=RAF,"",IF($CU88-CX$103&lt;BeginnAlter,"",ROUND(v^($CU88+FaktorAlter)*$L88*$D88*0.5*(VLOOKUP($CU88-CX$103,Männer!$G$9:$J$102,4)+VLOOKUP($CU88-CX$103+1,Männer!$G$9:$J$102,4))*0.5*(VLOOKUP($CU88-CX$103,Männer!$AZ$9:$BD$102,5)+VLOOKUP($CU88-CX$103+1,Männer!$AZ$9:$BD$102,5)),RundDx)))</f>
        <v/>
      </c>
      <c r="CY88" s="25" t="str">
        <f>IF($CU88&gt;=RAF,"",IF($CU88-CY$103&lt;BeginnAlter,"",ROUND(v^($CU88+FaktorAlter)*$L88*$D88*0.5*(VLOOKUP($CU88-CY$103,Männer!$G$9:$J$102,4)+VLOOKUP($CU88-CY$103+1,Männer!$G$9:$J$102,4))*0.5*(VLOOKUP($CU88-CY$103,Männer!$AZ$9:$BD$102,5)+VLOOKUP($CU88-CY$103+1,Männer!$AZ$9:$BD$102,5)),RundDx)))</f>
        <v/>
      </c>
      <c r="CZ88" s="25" t="str">
        <f>IF($CU88&gt;=RAF,"",IF($CU88-CZ$103&lt;BeginnAlter,"",ROUND(v^($CU88+FaktorAlter)*$L88*$D88*0.5*(VLOOKUP($CU88-CZ$103,Männer!$G$9:$J$102,4)+VLOOKUP($CU88-CZ$103+1,Männer!$G$9:$J$102,4))*0.5*(VLOOKUP($CU88-CZ$103,Männer!$AZ$9:$BD$102,5)+VLOOKUP($CU88-CZ$103+1,Männer!$AZ$9:$BD$102,5)),RundDx)))</f>
        <v/>
      </c>
      <c r="DA88" s="25" t="str">
        <f>IF($CU88&gt;=RAF,"",IF($CU88-DA$103&lt;BeginnAlter,"",ROUND(v^($CU88+FaktorAlter)*$L88*$D88*0.5*(VLOOKUP($CU88-DA$103,Männer!$G$9:$J$102,4)+VLOOKUP($CU88-DA$103+1,Männer!$G$9:$J$102,4))*0.5*(VLOOKUP($CU88-DA$103,Männer!$AZ$9:$BD$102,5)+VLOOKUP($CU88-DA$103+1,Männer!$AZ$9:$BD$102,5)),RundDx)))</f>
        <v/>
      </c>
      <c r="DB88" s="25" t="str">
        <f>IF($CU88&gt;=RAF,"",IF($CU88-DB$103&lt;BeginnAlter,"",ROUND(v^($CU88+FaktorAlter)*$L88*$D88*0.5*(VLOOKUP($CU88-DB$103,Männer!$G$9:$J$102,4)+VLOOKUP($CU88-DB$103+1,Männer!$G$9:$J$102,4))*0.5*(VLOOKUP($CU88-DB$103,Männer!$AZ$9:$BD$102,5)+VLOOKUP($CU88-DB$103+1,Männer!$AZ$9:$BD$102,5)),RundDx)))</f>
        <v/>
      </c>
      <c r="DC88" s="25" t="str">
        <f>IF($CU88&gt;=RAF,"",IF($CU88-DC$103&lt;BeginnAlter,"",ROUND(v^($CU88+FaktorAlter)*$L88*$D88*0.5*(VLOOKUP($CU88-DC$103,Männer!$G$9:$J$102,4)+VLOOKUP($CU88-DC$103+1,Männer!$G$9:$J$102,4))*0.5*(VLOOKUP($CU88-DC$103,Männer!$AZ$9:$BD$102,5)+VLOOKUP($CU88-DC$103+1,Männer!$AZ$9:$BD$102,5)),RundDx)))</f>
        <v/>
      </c>
      <c r="DD88" s="25" t="str">
        <f>IF($CU88&gt;=RAF,"",IF($CU88-DD$103&lt;BeginnAlter,"",ROUND(v^($CU88+FaktorAlter)*$L88*$D88*0.5*(VLOOKUP($CU88-DD$103,Männer!$G$9:$J$102,4)+VLOOKUP($CU88-DD$103+1,Männer!$G$9:$J$102,4))*0.5*(VLOOKUP($CU88-DD$103,Männer!$AZ$9:$BD$102,5)+VLOOKUP($CU88-DD$103+1,Männer!$AZ$9:$BD$102,5)),RundDx)))</f>
        <v/>
      </c>
      <c r="DE88" s="25" t="str">
        <f>IF($CU88&gt;=RAF,"",IF($CU88-DE$103&lt;BeginnAlter,"",ROUND(v^($CU88+FaktorAlter)*$L88*$D88*0.5*(VLOOKUP($CU88-DE$103,Männer!$G$9:$J$102,4)+VLOOKUP($CU88-DE$103+1,Männer!$G$9:$J$102,4))*0.5*(VLOOKUP($CU88-DE$103,Männer!$AZ$9:$BD$102,5)+VLOOKUP($CU88-DE$103+1,Männer!$AZ$9:$BD$102,5)),RundDx)))</f>
        <v/>
      </c>
      <c r="DF88" s="25" t="str">
        <f>IF($CU88&gt;=RAF,"",IF($CU88-DF$103&lt;BeginnAlter,"",ROUND(v^($CU88+FaktorAlter)*$L88*$D88*0.5*(VLOOKUP($CU88-DF$103,Männer!$G$9:$J$102,4)+VLOOKUP($CU88-DF$103+1,Männer!$G$9:$J$102,4))*0.5*(VLOOKUP($CU88-DF$103,Männer!$AZ$9:$BD$102,5)+VLOOKUP($CU88-DF$103+1,Männer!$AZ$9:$BD$102,5)),RundDx)))</f>
        <v/>
      </c>
      <c r="DG88" s="25" t="str">
        <f>IF($CU88&gt;=RAF,"",IF($CU88-DG$103&lt;BeginnAlter,"",ROUND(v^($CU88+FaktorAlter)*$L88*$D88*0.5*(VLOOKUP($CU88-DG$103,Männer!$G$9:$J$102,4)+VLOOKUP($CU88-DG$103+1,Männer!$G$9:$J$102,4))*0.5*(VLOOKUP($CU88-DG$103,Männer!$AZ$9:$BD$102,5)+VLOOKUP($CU88-DG$103+1,Männer!$AZ$9:$BD$102,5)),RundDx)))</f>
        <v/>
      </c>
      <c r="DH88" s="25" t="str">
        <f>IF($CU88&gt;=RAF,"",IF($CU88-DH$103&lt;BeginnAlter,"",ROUND(v^($CU88+FaktorAlter)*$L88*$D88*0.5*(VLOOKUP($CU88-DH$103,Männer!$G$9:$J$102,4)+VLOOKUP($CU88-DH$103+1,Männer!$G$9:$J$102,4))*0.5*(VLOOKUP($CU88-DH$103,Männer!$AZ$9:$BD$102,5)+VLOOKUP($CU88-DH$103+1,Männer!$AZ$9:$BD$102,5)),RundDx)))</f>
        <v/>
      </c>
      <c r="DI88" s="25" t="str">
        <f>IF($CU88&gt;=RAF,"",IF($CU88-DI$103&lt;BeginnAlter,"",ROUND(v^($CU88+FaktorAlter)*$L88*$D88*0.5*(VLOOKUP($CU88-DI$103,Männer!$G$9:$J$102,4)+VLOOKUP($CU88-DI$103+1,Männer!$G$9:$J$102,4))*0.5*(VLOOKUP($CU88-DI$103,Männer!$AZ$9:$BD$102,5)+VLOOKUP($CU88-DI$103+1,Männer!$AZ$9:$BD$102,5)),RundDx)))</f>
        <v/>
      </c>
      <c r="DJ88" s="25" t="str">
        <f>IF($CU88&gt;=RAF,"",IF($CU88-DJ$103&lt;BeginnAlter,"",ROUND(v^($CU88+FaktorAlter)*$L88*$D88*0.5*(VLOOKUP($CU88-DJ$103,Männer!$G$9:$J$102,4)+VLOOKUP($CU88-DJ$103+1,Männer!$G$9:$J$102,4))*0.5*(VLOOKUP($CU88-DJ$103,Männer!$AZ$9:$BD$102,5)+VLOOKUP($CU88-DJ$103+1,Männer!$AZ$9:$BD$102,5)),RundDx)))</f>
        <v/>
      </c>
      <c r="DK88" s="25" t="str">
        <f>IF($CU88&gt;=RAF,"",IF($CU88-DK$103&lt;BeginnAlter,"",ROUND(v^($CU88+FaktorAlter)*$L88*$D88*0.5*(VLOOKUP($CU88-DK$103,Männer!$G$9:$J$102,4)+VLOOKUP($CU88-DK$103+1,Männer!$G$9:$J$102,4))*0.5*(VLOOKUP($CU88-DK$103,Männer!$AZ$9:$BD$102,5)+VLOOKUP($CU88-DK$103+1,Männer!$AZ$9:$BD$102,5)),RundDx)))</f>
        <v/>
      </c>
      <c r="DL88" s="25" t="str">
        <f>IF($CU88&gt;=RAF,"",IF($CU88-DL$103&lt;BeginnAlter,"",ROUND(v^($CU88+FaktorAlter)*$L88*$D88*0.5*(VLOOKUP($CU88-DL$103,Männer!$G$9:$J$102,4)+VLOOKUP($CU88-DL$103+1,Männer!$G$9:$J$102,4))*0.5*(VLOOKUP($CU88-DL$103,Männer!$AZ$9:$BD$102,5)+VLOOKUP($CU88-DL$103+1,Männer!$AZ$9:$BD$102,5)),RundDx)))</f>
        <v/>
      </c>
      <c r="DM88" s="25" t="str">
        <f>IF($CU88&gt;=RAF,"",IF($CU88-DM$103&lt;BeginnAlter,"",ROUND(v^($CU88+FaktorAlter)*$L88*$D88*0.5*(VLOOKUP($CU88-DM$103,Männer!$G$9:$J$102,4)+VLOOKUP($CU88-DM$103+1,Männer!$G$9:$J$102,4))*0.5*(VLOOKUP($CU88-DM$103,Männer!$AZ$9:$BD$102,5)+VLOOKUP($CU88-DM$103+1,Männer!$AZ$9:$BD$102,5)),RundDx)))</f>
        <v/>
      </c>
      <c r="DN88" s="25" t="str">
        <f>IF($CU88&gt;=RAF,"",IF($CU88-DN$103&lt;BeginnAlter,"",ROUND(v^($CU88+FaktorAlter)*$L88*$D88*0.5*(VLOOKUP($CU88-DN$103,Männer!$G$9:$J$102,4)+VLOOKUP($CU88-DN$103+1,Männer!$G$9:$J$102,4))*0.5*(VLOOKUP($CU88-DN$103,Männer!$AZ$9:$BD$102,5)+VLOOKUP($CU88-DN$103+1,Männer!$AZ$9:$BD$102,5)),RundDx)))</f>
        <v/>
      </c>
      <c r="DO88" s="25" t="str">
        <f>IF($CU88&gt;=RAF,"",IF($CU88-DO$103&lt;BeginnAlter,"",ROUND(v^($CU88+FaktorAlter)*$L88*$D88*0.5*(VLOOKUP($CU88-DO$103,Männer!$G$9:$J$102,4)+VLOOKUP($CU88-DO$103+1,Männer!$G$9:$J$102,4))*0.5*(VLOOKUP($CU88-DO$103,Männer!$AZ$9:$BD$102,5)+VLOOKUP($CU88-DO$103+1,Männer!$AZ$9:$BD$102,5)),RundDx)))</f>
        <v/>
      </c>
      <c r="DP88" s="25" t="str">
        <f>IF($CU88&gt;=RAF,"",IF($CU88-DP$103&lt;BeginnAlter,"",ROUND(v^($CU88+FaktorAlter)*$L88*$D88*0.5*(VLOOKUP($CU88-DP$103,Männer!$G$9:$J$102,4)+VLOOKUP($CU88-DP$103+1,Männer!$G$9:$J$102,4))*0.5*(VLOOKUP($CU88-DP$103,Männer!$AZ$9:$BD$102,5)+VLOOKUP($CU88-DP$103+1,Männer!$AZ$9:$BD$102,5)),RundDx)))</f>
        <v/>
      </c>
      <c r="DQ88" s="25" t="str">
        <f>IF($CU88&gt;=RAF,"",IF($CU88-DQ$103&lt;BeginnAlter,"",ROUND(v^($CU88+FaktorAlter)*$L88*$D88*0.5*(VLOOKUP($CU88-DQ$103,Männer!$G$9:$J$102,4)+VLOOKUP($CU88-DQ$103+1,Männer!$G$9:$J$102,4))*0.5*(VLOOKUP($CU88-DQ$103,Männer!$AZ$9:$BD$102,5)+VLOOKUP($CU88-DQ$103+1,Männer!$AZ$9:$BD$102,5)),RundDx)))</f>
        <v/>
      </c>
      <c r="DR88" s="25" t="str">
        <f>IF($CU88&gt;=RAF,"",IF($CU88-DR$103&lt;BeginnAlter,"",ROUND(v^($CU88+FaktorAlter)*$L88*$D88*0.5*(VLOOKUP($CU88-DR$103,Männer!$G$9:$J$102,4)+VLOOKUP($CU88-DR$103+1,Männer!$G$9:$J$102,4))*0.5*(VLOOKUP($CU88-DR$103,Männer!$AZ$9:$BD$102,5)+VLOOKUP($CU88-DR$103+1,Männer!$AZ$9:$BD$102,5)),RundDx)))</f>
        <v/>
      </c>
      <c r="DS88" s="25" t="str">
        <f>IF($CU88&gt;=RAF,"",IF($CU88-DS$103&lt;BeginnAlter,"",ROUND(v^($CU88+FaktorAlter)*$L88*$D88*0.5*(VLOOKUP($CU88-DS$103,Männer!$G$9:$J$102,4)+VLOOKUP($CU88-DS$103+1,Männer!$G$9:$J$102,4))*0.5*(VLOOKUP($CU88-DS$103,Männer!$AZ$9:$BD$102,5)+VLOOKUP($CU88-DS$103+1,Männer!$AZ$9:$BD$102,5)),RundDx)))</f>
        <v/>
      </c>
      <c r="DT88" s="25" t="str">
        <f>IF($CU88&gt;=RAF,"",IF($CU88-DT$103&lt;BeginnAlter,"",ROUND(v^($CU88+FaktorAlter)*$L88*$D88*0.5*(VLOOKUP($CU88-DT$103,Männer!$G$9:$J$102,4)+VLOOKUP($CU88-DT$103+1,Männer!$G$9:$J$102,4))*0.5*(VLOOKUP($CU88-DT$103,Männer!$AZ$9:$BD$102,5)+VLOOKUP($CU88-DT$103+1,Männer!$AZ$9:$BD$102,5)),RundDx)))</f>
        <v/>
      </c>
      <c r="DU88" s="25" t="str">
        <f>IF($CU88&gt;=RAF,"",IF($CU88-DU$103&lt;BeginnAlter,"",ROUND(v^($CU88+FaktorAlter)*$L88*$D88*0.5*(VLOOKUP($CU88-DU$103,Männer!$G$9:$J$102,4)+VLOOKUP($CU88-DU$103+1,Männer!$G$9:$J$102,4))*0.5*(VLOOKUP($CU88-DU$103,Männer!$AZ$9:$BD$102,5)+VLOOKUP($CU88-DU$103+1,Männer!$AZ$9:$BD$102,5)),RundDx)))</f>
        <v/>
      </c>
      <c r="DV88" s="25" t="str">
        <f>IF($CU88&gt;=RAF,"",IF($CU88-DV$103&lt;BeginnAlter,"",ROUND(v^($CU88+FaktorAlter)*$L88*$D88*0.5*(VLOOKUP($CU88-DV$103,Männer!$G$9:$J$102,4)+VLOOKUP($CU88-DV$103+1,Männer!$G$9:$J$102,4))*0.5*(VLOOKUP($CU88-DV$103,Männer!$AZ$9:$BD$102,5)+VLOOKUP($CU88-DV$103+1,Männer!$AZ$9:$BD$102,5)),RundDx)))</f>
        <v/>
      </c>
      <c r="DW88" s="25" t="str">
        <f>IF($CU88&gt;=RAF,"",IF($CU88-DW$103&lt;BeginnAlter,"",ROUND(v^($CU88+FaktorAlter)*$L88*$D88*0.5*(VLOOKUP($CU88-DW$103,Männer!$G$9:$J$102,4)+VLOOKUP($CU88-DW$103+1,Männer!$G$9:$J$102,4))*0.5*(VLOOKUP($CU88-DW$103,Männer!$AZ$9:$BD$102,5)+VLOOKUP($CU88-DW$103+1,Männer!$AZ$9:$BD$102,5)),RundDx)))</f>
        <v/>
      </c>
      <c r="DX88" s="25" t="str">
        <f>IF($CU88&gt;=RAF,"",IF($CU88-DX$103&lt;BeginnAlter,"",ROUND(v^($CU88+FaktorAlter)*$L88*$D88*0.5*(VLOOKUP($CU88-DX$103,Männer!$G$9:$J$102,4)+VLOOKUP($CU88-DX$103+1,Männer!$G$9:$J$102,4))*0.5*(VLOOKUP($CU88-DX$103,Männer!$AZ$9:$BD$102,5)+VLOOKUP($CU88-DX$103+1,Männer!$AZ$9:$BD$102,5)),RundDx)))</f>
        <v/>
      </c>
      <c r="DY88" s="25" t="str">
        <f>IF($CU88&gt;=RAF,"",IF($CU88-DY$103&lt;BeginnAlter,"",ROUND(v^($CU88+FaktorAlter)*$L88*$D88*0.5*(VLOOKUP($CU88-DY$103,Männer!$G$9:$J$102,4)+VLOOKUP($CU88-DY$103+1,Männer!$G$9:$J$102,4))*0.5*(VLOOKUP($CU88-DY$103,Männer!$AZ$9:$BD$102,5)+VLOOKUP($CU88-DY$103+1,Männer!$AZ$9:$BD$102,5)),RundDx)))</f>
        <v/>
      </c>
      <c r="DZ88" s="25" t="str">
        <f>IF($CU88&gt;=RAF,"",IF($CU88-DZ$103&lt;BeginnAlter,"",ROUND(v^($CU88+FaktorAlter)*$L88*$D88*0.5*(VLOOKUP($CU88-DZ$103,Männer!$G$9:$J$102,4)+VLOOKUP($CU88-DZ$103+1,Männer!$G$9:$J$102,4))*0.5*(VLOOKUP($CU88-DZ$103,Männer!$AZ$9:$BD$102,5)+VLOOKUP($CU88-DZ$103+1,Männer!$AZ$9:$BD$102,5)),RundDx)))</f>
        <v/>
      </c>
      <c r="EA88" s="43" t="str">
        <f>IF($CU88&gt;=RAF,"",IF($CU88-EA$103&lt;BeginnAlter,"",ROUND((SUM(CV$56:CV88)+SUM(FN$9:FN$56))/VLOOKUP($CU88,$AH$9:$AI$102,2)/VLOOKUP($CU88-EA$103,Männer!$G$9:$J$102,4),Rundäx)))</f>
        <v/>
      </c>
      <c r="EB88" s="43" t="str">
        <f>IF($CU88&gt;=RAF,"",IF($CU88-EB$103&lt;BeginnAlter,"",ROUND((SUM(CW$56:CW88)+SUM(FO$9:FO$56))/VLOOKUP($CU88,$AH$9:$AI$102,2)/VLOOKUP($CU88-EB$103,Männer!$G$9:$J$102,4),Rundäx)))</f>
        <v/>
      </c>
      <c r="EC88" s="43" t="str">
        <f>IF($CU88&gt;=RAF,"",IF($CU88-EC$103&lt;BeginnAlter,"",ROUND((SUM(CX$56:CX88)+SUM(FP$9:FP$56))/VLOOKUP($CU88,$AH$9:$AI$102,2)/VLOOKUP($CU88-EC$103,Männer!$G$9:$J$102,4),Rundäx)))</f>
        <v/>
      </c>
      <c r="ED88" s="43" t="str">
        <f>IF($CU88&gt;=RAF,"",IF($CU88-ED$103&lt;BeginnAlter,"",ROUND((SUM(CY$56:CY88)+SUM(FQ$9:FQ$56))/VLOOKUP($CU88,$AH$9:$AI$102,2)/VLOOKUP($CU88-ED$103,Männer!$G$9:$J$102,4),Rundäx)))</f>
        <v/>
      </c>
      <c r="EE88" s="43" t="str">
        <f>IF($CU88&gt;=RAF,"",IF($CU88-EE$103&lt;BeginnAlter,"",ROUND((SUM(CZ$56:CZ88)+SUM(FR$9:FR$56))/VLOOKUP($CU88,$AH$9:$AI$102,2)/VLOOKUP($CU88-EE$103,Männer!$G$9:$J$102,4),Rundäx)))</f>
        <v/>
      </c>
      <c r="EF88" s="43" t="str">
        <f>IF($CU88&gt;=RAF,"",IF($CU88-EF$103&lt;BeginnAlter,"",ROUND((SUM(DA$56:DA88)+SUM(FS$9:FS$56))/VLOOKUP($CU88,$AH$9:$AI$102,2)/VLOOKUP($CU88-EF$103,Männer!$G$9:$J$102,4),Rundäx)))</f>
        <v/>
      </c>
      <c r="EG88" s="43" t="str">
        <f>IF($CU88&gt;=RAF,"",IF($CU88-EG$103&lt;BeginnAlter,"",ROUND((SUM(DB$56:DB88)+SUM(FT$9:FT$56))/VLOOKUP($CU88,$AH$9:$AI$102,2)/VLOOKUP($CU88-EG$103,Männer!$G$9:$J$102,4),Rundäx)))</f>
        <v/>
      </c>
      <c r="EH88" s="43" t="str">
        <f>IF($CU88&gt;=RAF,"",IF($CU88-EH$103&lt;BeginnAlter,"",ROUND((SUM(DC$56:DC88)+SUM(FU$9:FU$56))/VLOOKUP($CU88,$AH$9:$AI$102,2)/VLOOKUP($CU88-EH$103,Männer!$G$9:$J$102,4),Rundäx)))</f>
        <v/>
      </c>
      <c r="EI88" s="89"/>
      <c r="EJ88" s="35">
        <f t="shared" si="138"/>
        <v>96</v>
      </c>
      <c r="EK88" s="43" t="str">
        <f>IF($CU88&gt;=RAF,"",IF($CU88-EK$103&lt;BeginnAlter,"",ROUND((SUM(DD$56:DD88)+SUM(FV$9:FV$56))/VLOOKUP($CU88,$AH$9:$AI$102,2)/VLOOKUP($CU88-EK$103,Männer!$G$9:$J$102,4),Rundäx)))</f>
        <v/>
      </c>
      <c r="EL88" s="43" t="str">
        <f>IF($CU88&gt;=RAF,"",IF($CU88-EL$103&lt;BeginnAlter,"",ROUND((SUM(DE$56:DE88)+SUM(FW$9:FW$56))/VLOOKUP($CU88,$AH$9:$AI$102,2)/VLOOKUP($CU88-EL$103,Männer!$G$9:$J$102,4),Rundäx)))</f>
        <v/>
      </c>
      <c r="EM88" s="43" t="str">
        <f>IF($CU88&gt;=RAF,"",IF($CU88-EM$103&lt;BeginnAlter,"",ROUND((SUM(DF$56:DF88)+SUM(FX$9:FX$56))/VLOOKUP($CU88,$AH$9:$AI$102,2)/VLOOKUP($CU88-EM$103,Männer!$G$9:$J$102,4),Rundäx)))</f>
        <v/>
      </c>
      <c r="EN88" s="43" t="str">
        <f>IF($CU88&gt;=RAF,"",IF($CU88-EN$103&lt;BeginnAlter,"",ROUND((SUM(DG$56:DG88)+SUM(FY$9:FY$56))/VLOOKUP($CU88,$AH$9:$AI$102,2)/VLOOKUP($CU88-EN$103,Männer!$G$9:$J$102,4),Rundäx)))</f>
        <v/>
      </c>
      <c r="EO88" s="43" t="str">
        <f>IF($CU88&gt;=RAF,"",IF($CU88-EO$103&lt;BeginnAlter,"",ROUND((SUM(DH$56:DH88)+SUM(FZ$9:FZ$56))/VLOOKUP($CU88,$AH$9:$AI$102,2)/VLOOKUP($CU88-EO$103,Männer!$G$9:$J$102,4),Rundäx)))</f>
        <v/>
      </c>
      <c r="EP88" s="43" t="str">
        <f>IF($CU88&gt;=RAF,"",IF($CU88-EP$103&lt;BeginnAlter,"",ROUND((SUM(DI$56:DI88)+SUM(GA$9:GA$56))/VLOOKUP($CU88,$AH$9:$AI$102,2)/VLOOKUP($CU88-EP$103,Männer!$G$9:$J$102,4),Rundäx)))</f>
        <v/>
      </c>
      <c r="EQ88" s="43" t="str">
        <f>IF($CU88&gt;=RAF,"",IF($CU88-EQ$103&lt;BeginnAlter,"",ROUND((SUM(DJ$56:DJ88)+SUM(GB$9:GB$56))/VLOOKUP($CU88,$AH$9:$AI$102,2)/VLOOKUP($CU88-EQ$103,Männer!$G$9:$J$102,4),Rundäx)))</f>
        <v/>
      </c>
      <c r="ER88" s="43" t="str">
        <f>IF($CU88&gt;=RAF,"",IF($CU88-ER$103&lt;BeginnAlter,"",ROUND((SUM(DK$56:DK88)+SUM(GC$9:GC$56))/VLOOKUP($CU88,$AH$9:$AI$102,2)/VLOOKUP($CU88-ER$103,Männer!$G$9:$J$102,4),Rundäx)))</f>
        <v/>
      </c>
      <c r="ES88" s="89"/>
      <c r="ET88" s="35">
        <f t="shared" si="139"/>
        <v>96</v>
      </c>
      <c r="EU88" s="43" t="str">
        <f>IF($CU88&gt;=RAF,"",IF($CU88-EU$103&lt;BeginnAlter,"",ROUND((SUM(DL$56:DL88)+SUM(GD$9:GD$56))/VLOOKUP($CU88,$AH$9:$AI$102,2)/VLOOKUP($CU88-EU$103,Männer!$G$9:$J$102,4),Rundäx)))</f>
        <v/>
      </c>
      <c r="EV88" s="43" t="str">
        <f>IF($CU88&gt;=RAF,"",IF($CU88-EV$103&lt;BeginnAlter,"",ROUND((SUM(DM$56:DM88)+SUM(GE$9:GE$56))/VLOOKUP($CU88,$AH$9:$AI$102,2)/VLOOKUP($CU88-EV$103,Männer!$G$9:$J$102,4),Rundäx)))</f>
        <v/>
      </c>
      <c r="EW88" s="43" t="str">
        <f>IF($CU88&gt;=RAF,"",IF($CU88-EW$103&lt;BeginnAlter,"",ROUND((SUM(DN$56:DN88)+SUM(GF$9:GF$56))/VLOOKUP($CU88,$AH$9:$AI$102,2)/VLOOKUP($CU88-EW$103,Männer!$G$9:$J$102,4),Rundäx)))</f>
        <v/>
      </c>
      <c r="EX88" s="43" t="str">
        <f>IF($CU88&gt;=RAF,"",IF($CU88-EX$103&lt;BeginnAlter,"",ROUND((SUM(DO$56:DO88)+SUM(GG$9:GG$56))/VLOOKUP($CU88,$AH$9:$AI$102,2)/VLOOKUP($CU88-EX$103,Männer!$G$9:$J$102,4),Rundäx)))</f>
        <v/>
      </c>
      <c r="EY88" s="43" t="str">
        <f>IF($CU88&gt;=RAF,"",IF($CU88-EY$103&lt;BeginnAlter,"",ROUND((SUM(DP$56:DP88)+SUM(GH$9:GH$56))/VLOOKUP($CU88,$AH$9:$AI$102,2)/VLOOKUP($CU88-EY$103,Männer!$G$9:$J$102,4),Rundäx)))</f>
        <v/>
      </c>
      <c r="EZ88" s="43" t="str">
        <f>IF($CU88&gt;=RAF,"",IF($CU88-EZ$103&lt;BeginnAlter,"",ROUND((SUM(DQ$56:DQ88)+SUM(GI$9:GI$56))/VLOOKUP($CU88,$AH$9:$AI$102,2)/VLOOKUP($CU88-EZ$103,Männer!$G$9:$J$102,4),Rundäx)))</f>
        <v/>
      </c>
      <c r="FA88" s="43" t="str">
        <f>IF($CU88&gt;=RAF,"",IF($CU88-FA$103&lt;BeginnAlter,"",ROUND((SUM(DR$56:DR88)+SUM(GJ$9:GJ$56))/VLOOKUP($CU88,$AH$9:$AI$102,2)/VLOOKUP($CU88-FA$103,Männer!$G$9:$J$102,4),Rundäx)))</f>
        <v/>
      </c>
      <c r="FB88" s="43" t="str">
        <f>IF($CU88&gt;=RAF,"",IF($CU88-FB$103&lt;BeginnAlter,"",ROUND((SUM(DS$56:DS88)+SUM(GK$9:GK$56))/VLOOKUP($CU88,$AH$9:$AI$102,2)/VLOOKUP($CU88-FB$103,Männer!$G$9:$J$102,4),Rundäx)))</f>
        <v/>
      </c>
      <c r="FC88" s="89"/>
      <c r="FD88" s="35">
        <f t="shared" si="140"/>
        <v>96</v>
      </c>
      <c r="FE88" s="43" t="str">
        <f>IF($CU88&gt;=RAF,"",IF($CU88-FE$103&lt;BeginnAlter,"",ROUND((SUM(DT$56:DT88)+SUM(GL$9:GL$56))/VLOOKUP($CU88,$AH$9:$AI$102,2)/VLOOKUP($CU88-FE$103,Männer!$G$9:$J$102,4),Rundäx)))</f>
        <v/>
      </c>
      <c r="FF88" s="43" t="str">
        <f>IF($CU88&gt;=RAF,"",IF($CU88-FF$103&lt;BeginnAlter,"",ROUND((SUM(DU$56:DU88)+SUM(GM$9:GM$56))/VLOOKUP($CU88,$AH$9:$AI$102,2)/VLOOKUP($CU88-FF$103,Männer!$G$9:$J$102,4),Rundäx)))</f>
        <v/>
      </c>
      <c r="FG88" s="43" t="str">
        <f>IF($CU88&gt;=RAF,"",IF($CU88-FG$103&lt;BeginnAlter,"",ROUND((SUM(DV$56:DV88)+SUM(GN$9:GN$56))/VLOOKUP($CU88,$AH$9:$AI$102,2)/VLOOKUP($CU88-FG$103,Männer!$G$9:$J$102,4),Rundäx)))</f>
        <v/>
      </c>
      <c r="FH88" s="43" t="str">
        <f>IF($CU88&gt;=RAF,"",IF($CU88-FH$103&lt;BeginnAlter,"",ROUND((SUM(DW$56:DW88)+SUM(GO$9:GO$56))/VLOOKUP($CU88,$AH$9:$AI$102,2)/VLOOKUP($CU88-FH$103,Männer!$G$9:$J$102,4),Rundäx)))</f>
        <v/>
      </c>
      <c r="FI88" s="43" t="str">
        <f>IF($CU88&gt;=RAF,"",IF($CU88-FI$103&lt;BeginnAlter,"",ROUND((SUM(DX$56:DX88)+SUM(GP$9:GP$56))/VLOOKUP($CU88,$AH$9:$AI$102,2)/VLOOKUP($CU88-FI$103,Männer!$G$9:$J$102,4),Rundäx)))</f>
        <v/>
      </c>
      <c r="FJ88" s="43" t="str">
        <f>IF($CU88&gt;=RAF,"",IF($CU88-FJ$103&lt;BeginnAlter,"",ROUND((SUM(DY$56:DY88)+SUM(GQ$9:GQ$56))/VLOOKUP($CU88,$AH$9:$AI$102,2)/VLOOKUP($CU88-FJ$103,Männer!$G$9:$J$102,4),Rundäx)))</f>
        <v/>
      </c>
      <c r="FK88" s="43" t="str">
        <f>IF($CU88&gt;=RAF,"",IF($CU88-FK$103&lt;BeginnAlter,"",ROUND((SUM(DZ$56:DZ88)+SUM(GR$9:GR$56))/VLOOKUP($CU88,$AH$9:$AI$102,2)/VLOOKUP($CU88-FK$103,Männer!$G$9:$J$102,4),Rundäx)))</f>
        <v/>
      </c>
      <c r="FL88" s="89"/>
      <c r="FM88" s="35">
        <f t="shared" si="141"/>
        <v>143</v>
      </c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25"/>
      <c r="GM88" s="25"/>
      <c r="GN88" s="25"/>
      <c r="GO88" s="25"/>
      <c r="GP88" s="25"/>
      <c r="GQ88" s="25"/>
      <c r="GR88" s="25"/>
      <c r="GS88" s="24"/>
      <c r="GT88" s="24"/>
      <c r="GU88" s="24" t="str">
        <f>IF(FM88&gt;=RAF," ",#REF!/$AI88/Frauen!$J76)</f>
        <v xml:space="preserve"> </v>
      </c>
      <c r="GV88" s="24" t="str">
        <f>IF(FM88&gt;=RAF," ",#REF!/$AI88/Frauen!$J79)</f>
        <v xml:space="preserve"> </v>
      </c>
      <c r="GW88" s="24" t="str">
        <f>IF(FM88&gt;=RAF," ",#REF!/$AI88/Frauen!$J82)</f>
        <v xml:space="preserve"> </v>
      </c>
      <c r="GX88" s="24" t="str">
        <f>IF(FM88&gt;=RAF," ",#REF!/$AI88/Frauen!$J85)</f>
        <v xml:space="preserve"> </v>
      </c>
      <c r="GY88" s="24" t="str">
        <f>IF(FM88&gt;=RAF," ",#REF!/$AI88/Frauen!$J88)</f>
        <v xml:space="preserve"> </v>
      </c>
      <c r="GZ88" s="24" t="str">
        <f>IF(FM88&gt;=RAF," ",#REF!/$AI88/Frauen!$J91)</f>
        <v xml:space="preserve"> </v>
      </c>
      <c r="HA88" s="89"/>
      <c r="HB88" s="35">
        <f t="shared" si="142"/>
        <v>143</v>
      </c>
      <c r="HC88" s="24"/>
      <c r="HD88" s="24"/>
      <c r="HE88" s="24"/>
      <c r="HF88" s="24"/>
      <c r="HG88" s="24"/>
      <c r="HH88" s="24"/>
      <c r="HI88" s="24"/>
      <c r="HJ88" s="24"/>
      <c r="HK88" s="89"/>
      <c r="HL88" s="35">
        <f t="shared" si="143"/>
        <v>143</v>
      </c>
      <c r="HM88" s="24"/>
      <c r="HN88" s="24"/>
      <c r="HO88" s="24"/>
      <c r="HP88" s="24"/>
      <c r="HQ88" s="24"/>
      <c r="HR88" s="24"/>
      <c r="HS88" s="24"/>
      <c r="HT88" s="24"/>
      <c r="HU88" s="89"/>
      <c r="HV88" s="35">
        <f t="shared" si="144"/>
        <v>143</v>
      </c>
      <c r="HW88" s="24"/>
      <c r="HX88" s="24"/>
      <c r="HY88" s="24"/>
      <c r="HZ88" s="24"/>
      <c r="IA88" s="24"/>
      <c r="IB88" s="24"/>
      <c r="IC88" s="24"/>
      <c r="ID88" s="89"/>
      <c r="IE88" s="9">
        <f t="shared" si="145"/>
        <v>96</v>
      </c>
      <c r="IF88" s="11" t="str">
        <f t="shared" si="101"/>
        <v/>
      </c>
      <c r="IG88" s="11" t="str">
        <f>IF($IE88&lt;RAF,IF(S89&lt;=RAK,ROUND(SUM(IF88:INDEX(Daky,RAF-BeginnAlter))+INDEX(Day,RAF-BeginnAlter+1)*INDEX(äky,1),RundDx),0),"")</f>
        <v/>
      </c>
      <c r="IH88" s="11" t="str">
        <f>IF($IE88&lt;RAF,IF(S89&lt;=RAK,ROUND(SUM(IG88:INDEX(Naky,RAF-BeginnAlter))+INDEX(Day,RAF-BeginnAlter+1)*INDEX(äky,1),RundDx),0),"")</f>
        <v/>
      </c>
      <c r="II88" s="10" t="str">
        <f t="shared" si="102"/>
        <v/>
      </c>
      <c r="IJ88" s="11" t="str">
        <f t="shared" si="103"/>
        <v/>
      </c>
      <c r="IK88" s="11" t="str">
        <f>IF($IE88&lt;RAF,IF(S89&lt;=RAK,SUM(IJ88:INDEX(Diky,RAF-BeginnAlter))+INDEX(Diy,RAF-BeginnAlter+1)*INDEX(äky,1),0),"")</f>
        <v/>
      </c>
      <c r="IL88" s="10" t="str">
        <f t="shared" si="104"/>
        <v/>
      </c>
      <c r="IM88" s="89"/>
      <c r="IN88" s="9">
        <f t="shared" si="105"/>
        <v>143</v>
      </c>
      <c r="IO88" s="11"/>
      <c r="IP88" s="11"/>
      <c r="IQ88" s="10"/>
      <c r="IR88" s="86"/>
    </row>
    <row r="89" spans="1:252" ht="15.75" customHeight="1" x14ac:dyDescent="0.25">
      <c r="A89" s="9">
        <f t="shared" si="125"/>
        <v>97</v>
      </c>
      <c r="B89" s="93"/>
      <c r="C89" s="93"/>
      <c r="D89" s="93"/>
      <c r="E89" s="93">
        <v>0.3144529241314592</v>
      </c>
      <c r="F89" s="89"/>
      <c r="G89" s="9">
        <f t="shared" si="126"/>
        <v>97</v>
      </c>
      <c r="H89" s="11" t="str">
        <f t="shared" si="106"/>
        <v/>
      </c>
      <c r="I89" s="25" t="str">
        <f t="shared" si="107"/>
        <v/>
      </c>
      <c r="J89" s="25">
        <f t="shared" si="108"/>
        <v>5384</v>
      </c>
      <c r="K89" s="30">
        <f>IF(J89&gt;0,ROUND(SUM(J89:J$102)/J89-0.5,Rundex),"")</f>
        <v>2.15</v>
      </c>
      <c r="L89" s="25">
        <f t="shared" si="83"/>
        <v>5384</v>
      </c>
      <c r="M89" s="30">
        <f>IF(L89&gt;0,ROUND(SUM(L89:L$102)/L89-0.5,Rundex),"")</f>
        <v>2.15</v>
      </c>
      <c r="N89" s="89"/>
      <c r="O89" s="9">
        <f t="shared" si="127"/>
        <v>97</v>
      </c>
      <c r="P89" s="94">
        <v>3.1653992068153168E-3</v>
      </c>
      <c r="Q89" s="95">
        <v>96.644111804624046</v>
      </c>
      <c r="R89" s="94"/>
      <c r="S89" s="95"/>
      <c r="T89" s="28">
        <v>0.32887908922988296</v>
      </c>
      <c r="U89" s="11">
        <f t="shared" si="109"/>
        <v>6481</v>
      </c>
      <c r="V89" s="30">
        <f>IF(U89&gt;0,ROUND(SUM(U89:U$102)/U89-0.5,Rundex),"")</f>
        <v>2.08</v>
      </c>
      <c r="W89" s="89"/>
      <c r="X89" s="9">
        <f t="shared" si="128"/>
        <v>97</v>
      </c>
      <c r="Y89" s="11" t="str">
        <f t="shared" si="110"/>
        <v xml:space="preserve"> </v>
      </c>
      <c r="Z89" s="11" t="str">
        <f>IF($X89&lt;RAF,SUM(Y89:INDEX(Day,RAF-BeginnAlter))," ")</f>
        <v xml:space="preserve"> </v>
      </c>
      <c r="AA89" s="11" t="str">
        <f t="shared" si="81"/>
        <v xml:space="preserve"> </v>
      </c>
      <c r="AB89" s="11" t="str">
        <f>IF($X89&lt;RAF,SUM(AA89:INDEX(Cay,RAF-BeginnAlter))," ")</f>
        <v xml:space="preserve"> </v>
      </c>
      <c r="AC89" s="11" t="str">
        <f t="shared" si="82"/>
        <v xml:space="preserve"> </v>
      </c>
      <c r="AD89" s="11" t="str">
        <f>IF($X89&lt;RAF,SUM(AC89:INDEX(Caiy,RAF-BeginnAlter))," ")</f>
        <v xml:space="preserve"> </v>
      </c>
      <c r="AE89" s="10" t="str">
        <f t="shared" si="111"/>
        <v xml:space="preserve"> </v>
      </c>
      <c r="AF89" s="10" t="str">
        <f t="shared" si="112"/>
        <v xml:space="preserve"> </v>
      </c>
      <c r="AG89" s="89"/>
      <c r="AH89" s="9">
        <f t="shared" si="129"/>
        <v>97</v>
      </c>
      <c r="AI89" s="11" t="str">
        <f t="shared" si="113"/>
        <v xml:space="preserve"> </v>
      </c>
      <c r="AJ89" s="11" t="str">
        <f>IF($AH89&gt;RAF," ",IF($AH89&lt;RAF,SUM(AI89:INDEX(Diy,RAF-BeginnAlter))+INDEX(Ny,RAF-BeginnAlter+1),INDEX(Ny,RAF-BeginnAlter+1)))</f>
        <v xml:space="preserve"> </v>
      </c>
      <c r="AK89" s="11" t="str">
        <f>IF($AH89&lt;RAF,SUM(AI89:INDEX(Diy,RAF-BeginnAlter))," ")</f>
        <v xml:space="preserve"> </v>
      </c>
      <c r="AL89" s="10" t="str">
        <f t="shared" si="114"/>
        <v xml:space="preserve"> </v>
      </c>
      <c r="AM89" s="10" t="str">
        <f t="shared" si="115"/>
        <v xml:space="preserve"> </v>
      </c>
      <c r="AN89" s="10" t="str">
        <f t="shared" si="116"/>
        <v xml:space="preserve"> </v>
      </c>
      <c r="AO89" s="10" t="str">
        <f t="shared" si="117"/>
        <v xml:space="preserve"> </v>
      </c>
      <c r="AP89" s="89"/>
      <c r="AQ89" s="9">
        <f t="shared" si="130"/>
        <v>97</v>
      </c>
      <c r="AR89" s="11">
        <f t="shared" si="118"/>
        <v>622</v>
      </c>
      <c r="AS89" s="11">
        <f>SUM(AR89:AR$96)</f>
        <v>1599</v>
      </c>
      <c r="AT89" s="25" t="str">
        <f>IF($AQ89&lt;RAF,SUM(AR89:INDEX(Dy,RAF-BeginnAlter))," ")</f>
        <v xml:space="preserve"> </v>
      </c>
      <c r="AU89" s="24">
        <f t="shared" si="119"/>
        <v>2.5710000000000002</v>
      </c>
      <c r="AV89" s="24">
        <f t="shared" si="120"/>
        <v>2.1120000000000001</v>
      </c>
      <c r="AW89" s="24" t="str">
        <f t="shared" si="121"/>
        <v xml:space="preserve"> </v>
      </c>
      <c r="AX89" s="24" t="str">
        <f t="shared" si="122"/>
        <v xml:space="preserve"> </v>
      </c>
      <c r="AY89" s="89"/>
      <c r="AZ89" s="9">
        <f t="shared" si="131"/>
        <v>97</v>
      </c>
      <c r="BA89" s="11">
        <f t="shared" si="123"/>
        <v>749</v>
      </c>
      <c r="BB89" s="11">
        <f>SUM(BA89:BA$96)</f>
        <v>1877</v>
      </c>
      <c r="BC89" s="10">
        <f t="shared" si="124"/>
        <v>2.5059999999999998</v>
      </c>
      <c r="BD89" s="10">
        <f t="shared" si="84"/>
        <v>2.048</v>
      </c>
      <c r="BE89" s="89"/>
      <c r="BF89" s="9">
        <f t="shared" si="132"/>
        <v>80</v>
      </c>
      <c r="BG89" s="10" t="str">
        <f t="shared" si="85"/>
        <v/>
      </c>
      <c r="BH89" s="10" t="str">
        <f t="shared" si="86"/>
        <v/>
      </c>
      <c r="BI89" s="89"/>
      <c r="BJ89" s="9">
        <f t="shared" si="133"/>
        <v>97</v>
      </c>
      <c r="BK89" s="11" t="str">
        <f t="shared" si="87"/>
        <v xml:space="preserve"> </v>
      </c>
      <c r="BL89" s="11" t="str">
        <f>IF(BJ89&lt;RAF,SUM(BK89:INDEX(Daiy,RAF-BeginnAlter))," ")</f>
        <v xml:space="preserve"> </v>
      </c>
      <c r="BM89" s="11" t="str">
        <f>IF(BJ89&lt;RAF,SUM(BL89:INDEX(Naiy,RAF-BeginnAlter))," ")</f>
        <v xml:space="preserve"> </v>
      </c>
      <c r="BN89" s="10" t="str">
        <f t="shared" si="88"/>
        <v xml:space="preserve"> </v>
      </c>
      <c r="BO89" s="10" t="str">
        <f t="shared" si="89"/>
        <v xml:space="preserve"> </v>
      </c>
      <c r="BP89" s="89"/>
      <c r="BQ89" s="9">
        <f t="shared" si="134"/>
        <v>97</v>
      </c>
      <c r="BR89" s="11" t="str">
        <f t="shared" si="90"/>
        <v xml:space="preserve"> </v>
      </c>
      <c r="BS89" s="11" t="str">
        <f>IF(BQ89&lt;RAF,SUM(BR89:INDEX(Daiys,RAF-BeginnAlter))," ")</f>
        <v xml:space="preserve"> </v>
      </c>
      <c r="BT89" s="11" t="str">
        <f>IF(BQ89&lt;RAF,SUM(BS89:INDEX(Naiys,RAF-BeginnAlter))," ")</f>
        <v xml:space="preserve"> </v>
      </c>
      <c r="BU89" s="10" t="str">
        <f t="shared" si="91"/>
        <v xml:space="preserve"> </v>
      </c>
      <c r="BV89" s="10" t="str">
        <f t="shared" si="92"/>
        <v xml:space="preserve"> </v>
      </c>
      <c r="BW89" s="89"/>
      <c r="BX89" s="9">
        <f t="shared" si="135"/>
        <v>97</v>
      </c>
      <c r="BY89" s="10" t="str">
        <f t="shared" si="93"/>
        <v/>
      </c>
      <c r="BZ89" s="11" t="str">
        <f t="shared" si="94"/>
        <v/>
      </c>
      <c r="CA89" s="11" t="str">
        <f>IF(S90&lt;=RAK,IF($BX89&lt;RAF,SUM(BZ89:INDEX(Dazy,RAF-BeginnAlter)),""),"")</f>
        <v/>
      </c>
      <c r="CB89" s="10" t="str">
        <f t="shared" si="95"/>
        <v/>
      </c>
      <c r="CC89" s="11">
        <f t="shared" si="96"/>
        <v>0</v>
      </c>
      <c r="CD89" s="10">
        <f t="shared" si="97"/>
        <v>0</v>
      </c>
      <c r="CE89" s="10" t="str">
        <f t="shared" si="98"/>
        <v/>
      </c>
      <c r="CF89" s="89"/>
      <c r="CG89" s="9">
        <f t="shared" si="136"/>
        <v>97</v>
      </c>
      <c r="CH89" s="11" t="str">
        <f>IF(CG89&lt;RAF,ROUND(v^($CG89+FaktorAlter)*$H89*($B89*0.5*($P89+$P90)*(VLOOKUP(TRUNC(0.5*($Q89+$Q90),0),Männer!$AZ$9:$BD$95,5)+(0.5*($Q89+$Q90)-TRUNC(0.5*($Q89+$Q90),0))*(VLOOKUP(TRUNC(0.5*($Q89+$Q90)+1,0),Männer!$AZ$9:$BD$95,5)-VLOOKUP(TRUNC(0.5*($Q89+$Q90),0),Männer!$AZ$9:$BD$95,5)))+$C89*0.5*($CN89+$CN90)),RundDx),"")</f>
        <v/>
      </c>
      <c r="CI89" s="11" t="str">
        <f>IF(CG89&lt;RAF,ROUND(SUM(CH89:INDEX(Dawy,RAF-BeginnAlter))+INDEX(Day,RAF-BeginnAlter+1)*INDEX(äwy,1),RundDx),"")</f>
        <v/>
      </c>
      <c r="CJ89" s="11" t="str">
        <f>IF(CG89&lt;RAF,ROUND(SUM(CI89:INDEX(Nawy,RAF-BeginnAlter))+INDEX(Day,RAF-BeginnAlter+1)*INDEX(äwy,1),RundDx),"")</f>
        <v/>
      </c>
      <c r="CK89" s="10" t="str">
        <f t="shared" si="99"/>
        <v/>
      </c>
      <c r="CL89" s="11" t="str">
        <f>IF(CG89&lt;RAF,ROUND(v^($CG89+FaktorAlter)*$L89*$D89*0.5*($P89+$P90)*(VLOOKUP(TRUNC(0.5*($Q89+$Q90),0),Männer!$AZ$9:$BD$95,5)+(0.5*($Q89+$Q90)-TRUNC(0.5*($Q89+$Q90),0))*(VLOOKUP(TRUNC(0.5*($Q89+$Q90)+1,0),Männer!$AZ$9:$BD$95,5)-VLOOKUP(TRUNC(0.5*($Q89+$Q90),0),Männer!$AZ$9:$BD$95,5))),RundDx),"")</f>
        <v/>
      </c>
      <c r="CM89" s="11" t="str">
        <f>IF(CG89&lt;RAF,SUM(CL89:INDEX(Diwy,RAF-BeginnAlter))+INDEX(Diy,RAF-BeginnAlter+1)*INDEX(äwy,1),"")</f>
        <v/>
      </c>
      <c r="CN89" s="10" t="str">
        <f t="shared" si="100"/>
        <v/>
      </c>
      <c r="CO89" s="89"/>
      <c r="CP89" s="9">
        <f t="shared" si="146"/>
        <v>144</v>
      </c>
      <c r="CQ89" s="11"/>
      <c r="CR89" s="11"/>
      <c r="CS89" s="10"/>
      <c r="CT89" s="89"/>
      <c r="CU89" s="35">
        <f t="shared" si="137"/>
        <v>97</v>
      </c>
      <c r="CV89" s="25" t="str">
        <f>IF($CU89&gt;=RAF,"",IF($CU89-CV$103&lt;BeginnAlter,"",ROUND(v^($CU89+FaktorAlter)*$L89*$D89*0.5*(VLOOKUP($CU89-CV$103,Männer!$G$9:$J$102,4)+VLOOKUP($CU89-CV$103+1,Männer!$G$9:$J$102,4))*0.5*(VLOOKUP($CU89-CV$103,Männer!$AZ$9:$BD$102,5)+VLOOKUP($CU89-CV$103+1,Männer!$AZ$9:$BD$102,5)),RundDx)))</f>
        <v/>
      </c>
      <c r="CW89" s="25" t="str">
        <f>IF($CU89&gt;=RAF,"",IF($CU89-CW$103&lt;BeginnAlter,"",ROUND(v^($CU89+FaktorAlter)*$L89*$D89*0.5*(VLOOKUP($CU89-CW$103,Männer!$G$9:$J$102,4)+VLOOKUP($CU89-CW$103+1,Männer!$G$9:$J$102,4))*0.5*(VLOOKUP($CU89-CW$103,Männer!$AZ$9:$BD$102,5)+VLOOKUP($CU89-CW$103+1,Männer!$AZ$9:$BD$102,5)),RundDx)))</f>
        <v/>
      </c>
      <c r="CX89" s="25" t="str">
        <f>IF($CU89&gt;=RAF,"",IF($CU89-CX$103&lt;BeginnAlter,"",ROUND(v^($CU89+FaktorAlter)*$L89*$D89*0.5*(VLOOKUP($CU89-CX$103,Männer!$G$9:$J$102,4)+VLOOKUP($CU89-CX$103+1,Männer!$G$9:$J$102,4))*0.5*(VLOOKUP($CU89-CX$103,Männer!$AZ$9:$BD$102,5)+VLOOKUP($CU89-CX$103+1,Männer!$AZ$9:$BD$102,5)),RundDx)))</f>
        <v/>
      </c>
      <c r="CY89" s="25" t="str">
        <f>IF($CU89&gt;=RAF,"",IF($CU89-CY$103&lt;BeginnAlter,"",ROUND(v^($CU89+FaktorAlter)*$L89*$D89*0.5*(VLOOKUP($CU89-CY$103,Männer!$G$9:$J$102,4)+VLOOKUP($CU89-CY$103+1,Männer!$G$9:$J$102,4))*0.5*(VLOOKUP($CU89-CY$103,Männer!$AZ$9:$BD$102,5)+VLOOKUP($CU89-CY$103+1,Männer!$AZ$9:$BD$102,5)),RundDx)))</f>
        <v/>
      </c>
      <c r="CZ89" s="25" t="str">
        <f>IF($CU89&gt;=RAF,"",IF($CU89-CZ$103&lt;BeginnAlter,"",ROUND(v^($CU89+FaktorAlter)*$L89*$D89*0.5*(VLOOKUP($CU89-CZ$103,Männer!$G$9:$J$102,4)+VLOOKUP($CU89-CZ$103+1,Männer!$G$9:$J$102,4))*0.5*(VLOOKUP($CU89-CZ$103,Männer!$AZ$9:$BD$102,5)+VLOOKUP($CU89-CZ$103+1,Männer!$AZ$9:$BD$102,5)),RundDx)))</f>
        <v/>
      </c>
      <c r="DA89" s="25" t="str">
        <f>IF($CU89&gt;=RAF,"",IF($CU89-DA$103&lt;BeginnAlter,"",ROUND(v^($CU89+FaktorAlter)*$L89*$D89*0.5*(VLOOKUP($CU89-DA$103,Männer!$G$9:$J$102,4)+VLOOKUP($CU89-DA$103+1,Männer!$G$9:$J$102,4))*0.5*(VLOOKUP($CU89-DA$103,Männer!$AZ$9:$BD$102,5)+VLOOKUP($CU89-DA$103+1,Männer!$AZ$9:$BD$102,5)),RundDx)))</f>
        <v/>
      </c>
      <c r="DB89" s="25" t="str">
        <f>IF($CU89&gt;=RAF,"",IF($CU89-DB$103&lt;BeginnAlter,"",ROUND(v^($CU89+FaktorAlter)*$L89*$D89*0.5*(VLOOKUP($CU89-DB$103,Männer!$G$9:$J$102,4)+VLOOKUP($CU89-DB$103+1,Männer!$G$9:$J$102,4))*0.5*(VLOOKUP($CU89-DB$103,Männer!$AZ$9:$BD$102,5)+VLOOKUP($CU89-DB$103+1,Männer!$AZ$9:$BD$102,5)),RundDx)))</f>
        <v/>
      </c>
      <c r="DC89" s="25" t="str">
        <f>IF($CU89&gt;=RAF,"",IF($CU89-DC$103&lt;BeginnAlter,"",ROUND(v^($CU89+FaktorAlter)*$L89*$D89*0.5*(VLOOKUP($CU89-DC$103,Männer!$G$9:$J$102,4)+VLOOKUP($CU89-DC$103+1,Männer!$G$9:$J$102,4))*0.5*(VLOOKUP($CU89-DC$103,Männer!$AZ$9:$BD$102,5)+VLOOKUP($CU89-DC$103+1,Männer!$AZ$9:$BD$102,5)),RundDx)))</f>
        <v/>
      </c>
      <c r="DD89" s="25" t="str">
        <f>IF($CU89&gt;=RAF,"",IF($CU89-DD$103&lt;BeginnAlter,"",ROUND(v^($CU89+FaktorAlter)*$L89*$D89*0.5*(VLOOKUP($CU89-DD$103,Männer!$G$9:$J$102,4)+VLOOKUP($CU89-DD$103+1,Männer!$G$9:$J$102,4))*0.5*(VLOOKUP($CU89-DD$103,Männer!$AZ$9:$BD$102,5)+VLOOKUP($CU89-DD$103+1,Männer!$AZ$9:$BD$102,5)),RundDx)))</f>
        <v/>
      </c>
      <c r="DE89" s="25" t="str">
        <f>IF($CU89&gt;=RAF,"",IF($CU89-DE$103&lt;BeginnAlter,"",ROUND(v^($CU89+FaktorAlter)*$L89*$D89*0.5*(VLOOKUP($CU89-DE$103,Männer!$G$9:$J$102,4)+VLOOKUP($CU89-DE$103+1,Männer!$G$9:$J$102,4))*0.5*(VLOOKUP($CU89-DE$103,Männer!$AZ$9:$BD$102,5)+VLOOKUP($CU89-DE$103+1,Männer!$AZ$9:$BD$102,5)),RundDx)))</f>
        <v/>
      </c>
      <c r="DF89" s="25" t="str">
        <f>IF($CU89&gt;=RAF,"",IF($CU89-DF$103&lt;BeginnAlter,"",ROUND(v^($CU89+FaktorAlter)*$L89*$D89*0.5*(VLOOKUP($CU89-DF$103,Männer!$G$9:$J$102,4)+VLOOKUP($CU89-DF$103+1,Männer!$G$9:$J$102,4))*0.5*(VLOOKUP($CU89-DF$103,Männer!$AZ$9:$BD$102,5)+VLOOKUP($CU89-DF$103+1,Männer!$AZ$9:$BD$102,5)),RundDx)))</f>
        <v/>
      </c>
      <c r="DG89" s="25" t="str">
        <f>IF($CU89&gt;=RAF,"",IF($CU89-DG$103&lt;BeginnAlter,"",ROUND(v^($CU89+FaktorAlter)*$L89*$D89*0.5*(VLOOKUP($CU89-DG$103,Männer!$G$9:$J$102,4)+VLOOKUP($CU89-DG$103+1,Männer!$G$9:$J$102,4))*0.5*(VLOOKUP($CU89-DG$103,Männer!$AZ$9:$BD$102,5)+VLOOKUP($CU89-DG$103+1,Männer!$AZ$9:$BD$102,5)),RundDx)))</f>
        <v/>
      </c>
      <c r="DH89" s="25" t="str">
        <f>IF($CU89&gt;=RAF,"",IF($CU89-DH$103&lt;BeginnAlter,"",ROUND(v^($CU89+FaktorAlter)*$L89*$D89*0.5*(VLOOKUP($CU89-DH$103,Männer!$G$9:$J$102,4)+VLOOKUP($CU89-DH$103+1,Männer!$G$9:$J$102,4))*0.5*(VLOOKUP($CU89-DH$103,Männer!$AZ$9:$BD$102,5)+VLOOKUP($CU89-DH$103+1,Männer!$AZ$9:$BD$102,5)),RundDx)))</f>
        <v/>
      </c>
      <c r="DI89" s="25" t="str">
        <f>IF($CU89&gt;=RAF,"",IF($CU89-DI$103&lt;BeginnAlter,"",ROUND(v^($CU89+FaktorAlter)*$L89*$D89*0.5*(VLOOKUP($CU89-DI$103,Männer!$G$9:$J$102,4)+VLOOKUP($CU89-DI$103+1,Männer!$G$9:$J$102,4))*0.5*(VLOOKUP($CU89-DI$103,Männer!$AZ$9:$BD$102,5)+VLOOKUP($CU89-DI$103+1,Männer!$AZ$9:$BD$102,5)),RundDx)))</f>
        <v/>
      </c>
      <c r="DJ89" s="25" t="str">
        <f>IF($CU89&gt;=RAF,"",IF($CU89-DJ$103&lt;BeginnAlter,"",ROUND(v^($CU89+FaktorAlter)*$L89*$D89*0.5*(VLOOKUP($CU89-DJ$103,Männer!$G$9:$J$102,4)+VLOOKUP($CU89-DJ$103+1,Männer!$G$9:$J$102,4))*0.5*(VLOOKUP($CU89-DJ$103,Männer!$AZ$9:$BD$102,5)+VLOOKUP($CU89-DJ$103+1,Männer!$AZ$9:$BD$102,5)),RundDx)))</f>
        <v/>
      </c>
      <c r="DK89" s="25" t="str">
        <f>IF($CU89&gt;=RAF,"",IF($CU89-DK$103&lt;BeginnAlter,"",ROUND(v^($CU89+FaktorAlter)*$L89*$D89*0.5*(VLOOKUP($CU89-DK$103,Männer!$G$9:$J$102,4)+VLOOKUP($CU89-DK$103+1,Männer!$G$9:$J$102,4))*0.5*(VLOOKUP($CU89-DK$103,Männer!$AZ$9:$BD$102,5)+VLOOKUP($CU89-DK$103+1,Männer!$AZ$9:$BD$102,5)),RundDx)))</f>
        <v/>
      </c>
      <c r="DL89" s="25" t="str">
        <f>IF($CU89&gt;=RAF,"",IF($CU89-DL$103&lt;BeginnAlter,"",ROUND(v^($CU89+FaktorAlter)*$L89*$D89*0.5*(VLOOKUP($CU89-DL$103,Männer!$G$9:$J$102,4)+VLOOKUP($CU89-DL$103+1,Männer!$G$9:$J$102,4))*0.5*(VLOOKUP($CU89-DL$103,Männer!$AZ$9:$BD$102,5)+VLOOKUP($CU89-DL$103+1,Männer!$AZ$9:$BD$102,5)),RundDx)))</f>
        <v/>
      </c>
      <c r="DM89" s="25" t="str">
        <f>IF($CU89&gt;=RAF,"",IF($CU89-DM$103&lt;BeginnAlter,"",ROUND(v^($CU89+FaktorAlter)*$L89*$D89*0.5*(VLOOKUP($CU89-DM$103,Männer!$G$9:$J$102,4)+VLOOKUP($CU89-DM$103+1,Männer!$G$9:$J$102,4))*0.5*(VLOOKUP($CU89-DM$103,Männer!$AZ$9:$BD$102,5)+VLOOKUP($CU89-DM$103+1,Männer!$AZ$9:$BD$102,5)),RundDx)))</f>
        <v/>
      </c>
      <c r="DN89" s="25" t="str">
        <f>IF($CU89&gt;=RAF,"",IF($CU89-DN$103&lt;BeginnAlter,"",ROUND(v^($CU89+FaktorAlter)*$L89*$D89*0.5*(VLOOKUP($CU89-DN$103,Männer!$G$9:$J$102,4)+VLOOKUP($CU89-DN$103+1,Männer!$G$9:$J$102,4))*0.5*(VLOOKUP($CU89-DN$103,Männer!$AZ$9:$BD$102,5)+VLOOKUP($CU89-DN$103+1,Männer!$AZ$9:$BD$102,5)),RundDx)))</f>
        <v/>
      </c>
      <c r="DO89" s="25" t="str">
        <f>IF($CU89&gt;=RAF,"",IF($CU89-DO$103&lt;BeginnAlter,"",ROUND(v^($CU89+FaktorAlter)*$L89*$D89*0.5*(VLOOKUP($CU89-DO$103,Männer!$G$9:$J$102,4)+VLOOKUP($CU89-DO$103+1,Männer!$G$9:$J$102,4))*0.5*(VLOOKUP($CU89-DO$103,Männer!$AZ$9:$BD$102,5)+VLOOKUP($CU89-DO$103+1,Männer!$AZ$9:$BD$102,5)),RundDx)))</f>
        <v/>
      </c>
      <c r="DP89" s="25" t="str">
        <f>IF($CU89&gt;=RAF,"",IF($CU89-DP$103&lt;BeginnAlter,"",ROUND(v^($CU89+FaktorAlter)*$L89*$D89*0.5*(VLOOKUP($CU89-DP$103,Männer!$G$9:$J$102,4)+VLOOKUP($CU89-DP$103+1,Männer!$G$9:$J$102,4))*0.5*(VLOOKUP($CU89-DP$103,Männer!$AZ$9:$BD$102,5)+VLOOKUP($CU89-DP$103+1,Männer!$AZ$9:$BD$102,5)),RundDx)))</f>
        <v/>
      </c>
      <c r="DQ89" s="25" t="str">
        <f>IF($CU89&gt;=RAF,"",IF($CU89-DQ$103&lt;BeginnAlter,"",ROUND(v^($CU89+FaktorAlter)*$L89*$D89*0.5*(VLOOKUP($CU89-DQ$103,Männer!$G$9:$J$102,4)+VLOOKUP($CU89-DQ$103+1,Männer!$G$9:$J$102,4))*0.5*(VLOOKUP($CU89-DQ$103,Männer!$AZ$9:$BD$102,5)+VLOOKUP($CU89-DQ$103+1,Männer!$AZ$9:$BD$102,5)),RundDx)))</f>
        <v/>
      </c>
      <c r="DR89" s="25" t="str">
        <f>IF($CU89&gt;=RAF,"",IF($CU89-DR$103&lt;BeginnAlter,"",ROUND(v^($CU89+FaktorAlter)*$L89*$D89*0.5*(VLOOKUP($CU89-DR$103,Männer!$G$9:$J$102,4)+VLOOKUP($CU89-DR$103+1,Männer!$G$9:$J$102,4))*0.5*(VLOOKUP($CU89-DR$103,Männer!$AZ$9:$BD$102,5)+VLOOKUP($CU89-DR$103+1,Männer!$AZ$9:$BD$102,5)),RundDx)))</f>
        <v/>
      </c>
      <c r="DS89" s="25" t="str">
        <f>IF($CU89&gt;=RAF,"",IF($CU89-DS$103&lt;BeginnAlter,"",ROUND(v^($CU89+FaktorAlter)*$L89*$D89*0.5*(VLOOKUP($CU89-DS$103,Männer!$G$9:$J$102,4)+VLOOKUP($CU89-DS$103+1,Männer!$G$9:$J$102,4))*0.5*(VLOOKUP($CU89-DS$103,Männer!$AZ$9:$BD$102,5)+VLOOKUP($CU89-DS$103+1,Männer!$AZ$9:$BD$102,5)),RundDx)))</f>
        <v/>
      </c>
      <c r="DT89" s="25" t="str">
        <f>IF($CU89&gt;=RAF,"",IF($CU89-DT$103&lt;BeginnAlter,"",ROUND(v^($CU89+FaktorAlter)*$L89*$D89*0.5*(VLOOKUP($CU89-DT$103,Männer!$G$9:$J$102,4)+VLOOKUP($CU89-DT$103+1,Männer!$G$9:$J$102,4))*0.5*(VLOOKUP($CU89-DT$103,Männer!$AZ$9:$BD$102,5)+VLOOKUP($CU89-DT$103+1,Männer!$AZ$9:$BD$102,5)),RundDx)))</f>
        <v/>
      </c>
      <c r="DU89" s="25" t="str">
        <f>IF($CU89&gt;=RAF,"",IF($CU89-DU$103&lt;BeginnAlter,"",ROUND(v^($CU89+FaktorAlter)*$L89*$D89*0.5*(VLOOKUP($CU89-DU$103,Männer!$G$9:$J$102,4)+VLOOKUP($CU89-DU$103+1,Männer!$G$9:$J$102,4))*0.5*(VLOOKUP($CU89-DU$103,Männer!$AZ$9:$BD$102,5)+VLOOKUP($CU89-DU$103+1,Männer!$AZ$9:$BD$102,5)),RundDx)))</f>
        <v/>
      </c>
      <c r="DV89" s="25" t="str">
        <f>IF($CU89&gt;=RAF,"",IF($CU89-DV$103&lt;BeginnAlter,"",ROUND(v^($CU89+FaktorAlter)*$L89*$D89*0.5*(VLOOKUP($CU89-DV$103,Männer!$G$9:$J$102,4)+VLOOKUP($CU89-DV$103+1,Männer!$G$9:$J$102,4))*0.5*(VLOOKUP($CU89-DV$103,Männer!$AZ$9:$BD$102,5)+VLOOKUP($CU89-DV$103+1,Männer!$AZ$9:$BD$102,5)),RundDx)))</f>
        <v/>
      </c>
      <c r="DW89" s="25" t="str">
        <f>IF($CU89&gt;=RAF,"",IF($CU89-DW$103&lt;BeginnAlter,"",ROUND(v^($CU89+FaktorAlter)*$L89*$D89*0.5*(VLOOKUP($CU89-DW$103,Männer!$G$9:$J$102,4)+VLOOKUP($CU89-DW$103+1,Männer!$G$9:$J$102,4))*0.5*(VLOOKUP($CU89-DW$103,Männer!$AZ$9:$BD$102,5)+VLOOKUP($CU89-DW$103+1,Männer!$AZ$9:$BD$102,5)),RundDx)))</f>
        <v/>
      </c>
      <c r="DX89" s="25" t="str">
        <f>IF($CU89&gt;=RAF,"",IF($CU89-DX$103&lt;BeginnAlter,"",ROUND(v^($CU89+FaktorAlter)*$L89*$D89*0.5*(VLOOKUP($CU89-DX$103,Männer!$G$9:$J$102,4)+VLOOKUP($CU89-DX$103+1,Männer!$G$9:$J$102,4))*0.5*(VLOOKUP($CU89-DX$103,Männer!$AZ$9:$BD$102,5)+VLOOKUP($CU89-DX$103+1,Männer!$AZ$9:$BD$102,5)),RundDx)))</f>
        <v/>
      </c>
      <c r="DY89" s="25" t="str">
        <f>IF($CU89&gt;=RAF,"",IF($CU89-DY$103&lt;BeginnAlter,"",ROUND(v^($CU89+FaktorAlter)*$L89*$D89*0.5*(VLOOKUP($CU89-DY$103,Männer!$G$9:$J$102,4)+VLOOKUP($CU89-DY$103+1,Männer!$G$9:$J$102,4))*0.5*(VLOOKUP($CU89-DY$103,Männer!$AZ$9:$BD$102,5)+VLOOKUP($CU89-DY$103+1,Männer!$AZ$9:$BD$102,5)),RundDx)))</f>
        <v/>
      </c>
      <c r="DZ89" s="25" t="str">
        <f>IF($CU89&gt;=RAF,"",IF($CU89-DZ$103&lt;BeginnAlter,"",ROUND(v^($CU89+FaktorAlter)*$L89*$D89*0.5*(VLOOKUP($CU89-DZ$103,Männer!$G$9:$J$102,4)+VLOOKUP($CU89-DZ$103+1,Männer!$G$9:$J$102,4))*0.5*(VLOOKUP($CU89-DZ$103,Männer!$AZ$9:$BD$102,5)+VLOOKUP($CU89-DZ$103+1,Männer!$AZ$9:$BD$102,5)),RundDx)))</f>
        <v/>
      </c>
      <c r="EA89" s="43" t="str">
        <f>IF($CU89&gt;=RAF,"",IF($CU89-EA$103&lt;BeginnAlter,"",ROUND((SUM(CV$56:CV89)+SUM(FN$9:FN$56))/VLOOKUP($CU89,$AH$9:$AI$102,2)/VLOOKUP($CU89-EA$103,Männer!$G$9:$J$102,4),Rundäx)))</f>
        <v/>
      </c>
      <c r="EB89" s="43" t="str">
        <f>IF($CU89&gt;=RAF,"",IF($CU89-EB$103&lt;BeginnAlter,"",ROUND((SUM(CW$56:CW89)+SUM(FO$9:FO$56))/VLOOKUP($CU89,$AH$9:$AI$102,2)/VLOOKUP($CU89-EB$103,Männer!$G$9:$J$102,4),Rundäx)))</f>
        <v/>
      </c>
      <c r="EC89" s="43" t="str">
        <f>IF($CU89&gt;=RAF,"",IF($CU89-EC$103&lt;BeginnAlter,"",ROUND((SUM(CX$56:CX89)+SUM(FP$9:FP$56))/VLOOKUP($CU89,$AH$9:$AI$102,2)/VLOOKUP($CU89-EC$103,Männer!$G$9:$J$102,4),Rundäx)))</f>
        <v/>
      </c>
      <c r="ED89" s="43" t="str">
        <f>IF($CU89&gt;=RAF,"",IF($CU89-ED$103&lt;BeginnAlter,"",ROUND((SUM(CY$56:CY89)+SUM(FQ$9:FQ$56))/VLOOKUP($CU89,$AH$9:$AI$102,2)/VLOOKUP($CU89-ED$103,Männer!$G$9:$J$102,4),Rundäx)))</f>
        <v/>
      </c>
      <c r="EE89" s="43" t="str">
        <f>IF($CU89&gt;=RAF,"",IF($CU89-EE$103&lt;BeginnAlter,"",ROUND((SUM(CZ$56:CZ89)+SUM(FR$9:FR$56))/VLOOKUP($CU89,$AH$9:$AI$102,2)/VLOOKUP($CU89-EE$103,Männer!$G$9:$J$102,4),Rundäx)))</f>
        <v/>
      </c>
      <c r="EF89" s="43" t="str">
        <f>IF($CU89&gt;=RAF,"",IF($CU89-EF$103&lt;BeginnAlter,"",ROUND((SUM(DA$56:DA89)+SUM(FS$9:FS$56))/VLOOKUP($CU89,$AH$9:$AI$102,2)/VLOOKUP($CU89-EF$103,Männer!$G$9:$J$102,4),Rundäx)))</f>
        <v/>
      </c>
      <c r="EG89" s="43" t="str">
        <f>IF($CU89&gt;=RAF,"",IF($CU89-EG$103&lt;BeginnAlter,"",ROUND((SUM(DB$56:DB89)+SUM(FT$9:FT$56))/VLOOKUP($CU89,$AH$9:$AI$102,2)/VLOOKUP($CU89-EG$103,Männer!$G$9:$J$102,4),Rundäx)))</f>
        <v/>
      </c>
      <c r="EH89" s="43" t="str">
        <f>IF($CU89&gt;=RAF,"",IF($CU89-EH$103&lt;BeginnAlter,"",ROUND((SUM(DC$56:DC89)+SUM(FU$9:FU$56))/VLOOKUP($CU89,$AH$9:$AI$102,2)/VLOOKUP($CU89-EH$103,Männer!$G$9:$J$102,4),Rundäx)))</f>
        <v/>
      </c>
      <c r="EI89" s="89"/>
      <c r="EJ89" s="35">
        <f t="shared" si="138"/>
        <v>97</v>
      </c>
      <c r="EK89" s="43" t="str">
        <f>IF($CU89&gt;=RAF,"",IF($CU89-EK$103&lt;BeginnAlter,"",ROUND((SUM(DD$56:DD89)+SUM(FV$9:FV$56))/VLOOKUP($CU89,$AH$9:$AI$102,2)/VLOOKUP($CU89-EK$103,Männer!$G$9:$J$102,4),Rundäx)))</f>
        <v/>
      </c>
      <c r="EL89" s="43" t="str">
        <f>IF($CU89&gt;=RAF,"",IF($CU89-EL$103&lt;BeginnAlter,"",ROUND((SUM(DE$56:DE89)+SUM(FW$9:FW$56))/VLOOKUP($CU89,$AH$9:$AI$102,2)/VLOOKUP($CU89-EL$103,Männer!$G$9:$J$102,4),Rundäx)))</f>
        <v/>
      </c>
      <c r="EM89" s="43" t="str">
        <f>IF($CU89&gt;=RAF,"",IF($CU89-EM$103&lt;BeginnAlter,"",ROUND((SUM(DF$56:DF89)+SUM(FX$9:FX$56))/VLOOKUP($CU89,$AH$9:$AI$102,2)/VLOOKUP($CU89-EM$103,Männer!$G$9:$J$102,4),Rundäx)))</f>
        <v/>
      </c>
      <c r="EN89" s="43" t="str">
        <f>IF($CU89&gt;=RAF,"",IF($CU89-EN$103&lt;BeginnAlter,"",ROUND((SUM(DG$56:DG89)+SUM(FY$9:FY$56))/VLOOKUP($CU89,$AH$9:$AI$102,2)/VLOOKUP($CU89-EN$103,Männer!$G$9:$J$102,4),Rundäx)))</f>
        <v/>
      </c>
      <c r="EO89" s="43" t="str">
        <f>IF($CU89&gt;=RAF,"",IF($CU89-EO$103&lt;BeginnAlter,"",ROUND((SUM(DH$56:DH89)+SUM(FZ$9:FZ$56))/VLOOKUP($CU89,$AH$9:$AI$102,2)/VLOOKUP($CU89-EO$103,Männer!$G$9:$J$102,4),Rundäx)))</f>
        <v/>
      </c>
      <c r="EP89" s="43" t="str">
        <f>IF($CU89&gt;=RAF,"",IF($CU89-EP$103&lt;BeginnAlter,"",ROUND((SUM(DI$56:DI89)+SUM(GA$9:GA$56))/VLOOKUP($CU89,$AH$9:$AI$102,2)/VLOOKUP($CU89-EP$103,Männer!$G$9:$J$102,4),Rundäx)))</f>
        <v/>
      </c>
      <c r="EQ89" s="43" t="str">
        <f>IF($CU89&gt;=RAF,"",IF($CU89-EQ$103&lt;BeginnAlter,"",ROUND((SUM(DJ$56:DJ89)+SUM(GB$9:GB$56))/VLOOKUP($CU89,$AH$9:$AI$102,2)/VLOOKUP($CU89-EQ$103,Männer!$G$9:$J$102,4),Rundäx)))</f>
        <v/>
      </c>
      <c r="ER89" s="43" t="str">
        <f>IF($CU89&gt;=RAF,"",IF($CU89-ER$103&lt;BeginnAlter,"",ROUND((SUM(DK$56:DK89)+SUM(GC$9:GC$56))/VLOOKUP($CU89,$AH$9:$AI$102,2)/VLOOKUP($CU89-ER$103,Männer!$G$9:$J$102,4),Rundäx)))</f>
        <v/>
      </c>
      <c r="ES89" s="89"/>
      <c r="ET89" s="35">
        <f t="shared" si="139"/>
        <v>97</v>
      </c>
      <c r="EU89" s="43" t="str">
        <f>IF($CU89&gt;=RAF,"",IF($CU89-EU$103&lt;BeginnAlter,"",ROUND((SUM(DL$56:DL89)+SUM(GD$9:GD$56))/VLOOKUP($CU89,$AH$9:$AI$102,2)/VLOOKUP($CU89-EU$103,Männer!$G$9:$J$102,4),Rundäx)))</f>
        <v/>
      </c>
      <c r="EV89" s="43" t="str">
        <f>IF($CU89&gt;=RAF,"",IF($CU89-EV$103&lt;BeginnAlter,"",ROUND((SUM(DM$56:DM89)+SUM(GE$9:GE$56))/VLOOKUP($CU89,$AH$9:$AI$102,2)/VLOOKUP($CU89-EV$103,Männer!$G$9:$J$102,4),Rundäx)))</f>
        <v/>
      </c>
      <c r="EW89" s="43" t="str">
        <f>IF($CU89&gt;=RAF,"",IF($CU89-EW$103&lt;BeginnAlter,"",ROUND((SUM(DN$56:DN89)+SUM(GF$9:GF$56))/VLOOKUP($CU89,$AH$9:$AI$102,2)/VLOOKUP($CU89-EW$103,Männer!$G$9:$J$102,4),Rundäx)))</f>
        <v/>
      </c>
      <c r="EX89" s="43" t="str">
        <f>IF($CU89&gt;=RAF,"",IF($CU89-EX$103&lt;BeginnAlter,"",ROUND((SUM(DO$56:DO89)+SUM(GG$9:GG$56))/VLOOKUP($CU89,$AH$9:$AI$102,2)/VLOOKUP($CU89-EX$103,Männer!$G$9:$J$102,4),Rundäx)))</f>
        <v/>
      </c>
      <c r="EY89" s="43" t="str">
        <f>IF($CU89&gt;=RAF,"",IF($CU89-EY$103&lt;BeginnAlter,"",ROUND((SUM(DP$56:DP89)+SUM(GH$9:GH$56))/VLOOKUP($CU89,$AH$9:$AI$102,2)/VLOOKUP($CU89-EY$103,Männer!$G$9:$J$102,4),Rundäx)))</f>
        <v/>
      </c>
      <c r="EZ89" s="43" t="str">
        <f>IF($CU89&gt;=RAF,"",IF($CU89-EZ$103&lt;BeginnAlter,"",ROUND((SUM(DQ$56:DQ89)+SUM(GI$9:GI$56))/VLOOKUP($CU89,$AH$9:$AI$102,2)/VLOOKUP($CU89-EZ$103,Männer!$G$9:$J$102,4),Rundäx)))</f>
        <v/>
      </c>
      <c r="FA89" s="43" t="str">
        <f>IF($CU89&gt;=RAF,"",IF($CU89-FA$103&lt;BeginnAlter,"",ROUND((SUM(DR$56:DR89)+SUM(GJ$9:GJ$56))/VLOOKUP($CU89,$AH$9:$AI$102,2)/VLOOKUP($CU89-FA$103,Männer!$G$9:$J$102,4),Rundäx)))</f>
        <v/>
      </c>
      <c r="FB89" s="43" t="str">
        <f>IF($CU89&gt;=RAF,"",IF($CU89-FB$103&lt;BeginnAlter,"",ROUND((SUM(DS$56:DS89)+SUM(GK$9:GK$56))/VLOOKUP($CU89,$AH$9:$AI$102,2)/VLOOKUP($CU89-FB$103,Männer!$G$9:$J$102,4),Rundäx)))</f>
        <v/>
      </c>
      <c r="FC89" s="89"/>
      <c r="FD89" s="35">
        <f t="shared" si="140"/>
        <v>97</v>
      </c>
      <c r="FE89" s="43" t="str">
        <f>IF($CU89&gt;=RAF,"",IF($CU89-FE$103&lt;BeginnAlter,"",ROUND((SUM(DT$56:DT89)+SUM(GL$9:GL$56))/VLOOKUP($CU89,$AH$9:$AI$102,2)/VLOOKUP($CU89-FE$103,Männer!$G$9:$J$102,4),Rundäx)))</f>
        <v/>
      </c>
      <c r="FF89" s="43" t="str">
        <f>IF($CU89&gt;=RAF,"",IF($CU89-FF$103&lt;BeginnAlter,"",ROUND((SUM(DU$56:DU89)+SUM(GM$9:GM$56))/VLOOKUP($CU89,$AH$9:$AI$102,2)/VLOOKUP($CU89-FF$103,Männer!$G$9:$J$102,4),Rundäx)))</f>
        <v/>
      </c>
      <c r="FG89" s="43" t="str">
        <f>IF($CU89&gt;=RAF,"",IF($CU89-FG$103&lt;BeginnAlter,"",ROUND((SUM(DV$56:DV89)+SUM(GN$9:GN$56))/VLOOKUP($CU89,$AH$9:$AI$102,2)/VLOOKUP($CU89-FG$103,Männer!$G$9:$J$102,4),Rundäx)))</f>
        <v/>
      </c>
      <c r="FH89" s="43" t="str">
        <f>IF($CU89&gt;=RAF,"",IF($CU89-FH$103&lt;BeginnAlter,"",ROUND((SUM(DW$56:DW89)+SUM(GO$9:GO$56))/VLOOKUP($CU89,$AH$9:$AI$102,2)/VLOOKUP($CU89-FH$103,Männer!$G$9:$J$102,4),Rundäx)))</f>
        <v/>
      </c>
      <c r="FI89" s="43" t="str">
        <f>IF($CU89&gt;=RAF,"",IF($CU89-FI$103&lt;BeginnAlter,"",ROUND((SUM(DX$56:DX89)+SUM(GP$9:GP$56))/VLOOKUP($CU89,$AH$9:$AI$102,2)/VLOOKUP($CU89-FI$103,Männer!$G$9:$J$102,4),Rundäx)))</f>
        <v/>
      </c>
      <c r="FJ89" s="43" t="str">
        <f>IF($CU89&gt;=RAF,"",IF($CU89-FJ$103&lt;BeginnAlter,"",ROUND((SUM(DY$56:DY89)+SUM(GQ$9:GQ$56))/VLOOKUP($CU89,$AH$9:$AI$102,2)/VLOOKUP($CU89-FJ$103,Männer!$G$9:$J$102,4),Rundäx)))</f>
        <v/>
      </c>
      <c r="FK89" s="43" t="str">
        <f>IF($CU89&gt;=RAF,"",IF($CU89-FK$103&lt;BeginnAlter,"",ROUND((SUM(DZ$56:DZ89)+SUM(GR$9:GR$56))/VLOOKUP($CU89,$AH$9:$AI$102,2)/VLOOKUP($CU89-FK$103,Männer!$G$9:$J$102,4),Rundäx)))</f>
        <v/>
      </c>
      <c r="FL89" s="89"/>
      <c r="FM89" s="35">
        <f t="shared" si="141"/>
        <v>144</v>
      </c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25"/>
      <c r="GM89" s="25"/>
      <c r="GN89" s="25"/>
      <c r="GO89" s="25"/>
      <c r="GP89" s="25"/>
      <c r="GQ89" s="25"/>
      <c r="GR89" s="25"/>
      <c r="GS89" s="24"/>
      <c r="GT89" s="24"/>
      <c r="GU89" s="24" t="str">
        <f>IF(FM89&gt;=RAF," ",#REF!/$AI89/Frauen!$J77)</f>
        <v xml:space="preserve"> </v>
      </c>
      <c r="GV89" s="24" t="str">
        <f>IF(FM89&gt;=RAF," ",#REF!/$AI89/Frauen!$J80)</f>
        <v xml:space="preserve"> </v>
      </c>
      <c r="GW89" s="24" t="str">
        <f>IF(FM89&gt;=RAF," ",#REF!/$AI89/Frauen!$J83)</f>
        <v xml:space="preserve"> </v>
      </c>
      <c r="GX89" s="24" t="str">
        <f>IF(FM89&gt;=RAF," ",#REF!/$AI89/Frauen!$J86)</f>
        <v xml:space="preserve"> </v>
      </c>
      <c r="GY89" s="24" t="str">
        <f>IF(FM89&gt;=RAF," ",#REF!/$AI89/Frauen!$J89)</f>
        <v xml:space="preserve"> </v>
      </c>
      <c r="GZ89" s="24" t="str">
        <f>IF(FM89&gt;=RAF," ",#REF!/$AI89/Frauen!$J92)</f>
        <v xml:space="preserve"> </v>
      </c>
      <c r="HA89" s="89"/>
      <c r="HB89" s="35">
        <f t="shared" si="142"/>
        <v>144</v>
      </c>
      <c r="HC89" s="24"/>
      <c r="HD89" s="24"/>
      <c r="HE89" s="24"/>
      <c r="HF89" s="24"/>
      <c r="HG89" s="24"/>
      <c r="HH89" s="24"/>
      <c r="HI89" s="24"/>
      <c r="HJ89" s="24"/>
      <c r="HK89" s="89"/>
      <c r="HL89" s="35">
        <f t="shared" si="143"/>
        <v>144</v>
      </c>
      <c r="HM89" s="24"/>
      <c r="HN89" s="24"/>
      <c r="HO89" s="24"/>
      <c r="HP89" s="24"/>
      <c r="HQ89" s="24"/>
      <c r="HR89" s="24"/>
      <c r="HS89" s="24"/>
      <c r="HT89" s="24"/>
      <c r="HU89" s="89"/>
      <c r="HV89" s="35">
        <f t="shared" si="144"/>
        <v>144</v>
      </c>
      <c r="HW89" s="24"/>
      <c r="HX89" s="24"/>
      <c r="HY89" s="24"/>
      <c r="HZ89" s="24"/>
      <c r="IA89" s="24"/>
      <c r="IB89" s="24"/>
      <c r="IC89" s="24"/>
      <c r="ID89" s="89"/>
      <c r="IE89" s="9">
        <f t="shared" si="145"/>
        <v>97</v>
      </c>
      <c r="IF89" s="11" t="str">
        <f t="shared" si="101"/>
        <v/>
      </c>
      <c r="IG89" s="11" t="str">
        <f>IF($IE89&lt;RAF,IF(S90&lt;=RAK,ROUND(SUM(IF89:INDEX(Daky,RAF-BeginnAlter))+INDEX(Day,RAF-BeginnAlter+1)*INDEX(äky,1),RundDx),0),"")</f>
        <v/>
      </c>
      <c r="IH89" s="11" t="str">
        <f>IF($IE89&lt;RAF,IF(S90&lt;=RAK,ROUND(SUM(IG89:INDEX(Naky,RAF-BeginnAlter))+INDEX(Day,RAF-BeginnAlter+1)*INDEX(äky,1),RundDx),0),"")</f>
        <v/>
      </c>
      <c r="II89" s="10" t="str">
        <f t="shared" si="102"/>
        <v/>
      </c>
      <c r="IJ89" s="11" t="str">
        <f t="shared" si="103"/>
        <v/>
      </c>
      <c r="IK89" s="11" t="str">
        <f>IF($IE89&lt;RAF,IF(S90&lt;=RAK,SUM(IJ89:INDEX(Diky,RAF-BeginnAlter))+INDEX(Diy,RAF-BeginnAlter+1)*INDEX(äky,1),0),"")</f>
        <v/>
      </c>
      <c r="IL89" s="10" t="str">
        <f t="shared" si="104"/>
        <v/>
      </c>
      <c r="IM89" s="89"/>
      <c r="IN89" s="9">
        <f t="shared" si="105"/>
        <v>144</v>
      </c>
      <c r="IO89" s="11"/>
      <c r="IP89" s="11"/>
      <c r="IQ89" s="10"/>
      <c r="IR89" s="86"/>
    </row>
    <row r="90" spans="1:252" ht="15.75" customHeight="1" x14ac:dyDescent="0.25">
      <c r="A90" s="9">
        <f t="shared" si="125"/>
        <v>98</v>
      </c>
      <c r="B90" s="93"/>
      <c r="C90" s="93"/>
      <c r="D90" s="93"/>
      <c r="E90" s="93">
        <v>0.35287014835131159</v>
      </c>
      <c r="F90" s="89"/>
      <c r="G90" s="9">
        <f t="shared" si="126"/>
        <v>98</v>
      </c>
      <c r="H90" s="11" t="str">
        <f t="shared" si="106"/>
        <v/>
      </c>
      <c r="I90" s="25" t="str">
        <f t="shared" si="107"/>
        <v/>
      </c>
      <c r="J90" s="25">
        <f t="shared" si="108"/>
        <v>3691</v>
      </c>
      <c r="K90" s="30">
        <f>IF(J90&gt;0,ROUND(SUM(J90:J$102)/J90-0.5,Rundex),"")</f>
        <v>1.9</v>
      </c>
      <c r="L90" s="25">
        <f t="shared" si="83"/>
        <v>3691</v>
      </c>
      <c r="M90" s="30">
        <f>IF(L90&gt;0,ROUND(SUM(L90:L$102)/L90-0.5,Rundex),"")</f>
        <v>1.9</v>
      </c>
      <c r="N90" s="89"/>
      <c r="O90" s="9">
        <f t="shared" si="127"/>
        <v>98</v>
      </c>
      <c r="P90" s="94">
        <v>2.9253992068153166E-3</v>
      </c>
      <c r="Q90" s="95">
        <v>97.58164288536392</v>
      </c>
      <c r="R90" s="94"/>
      <c r="S90" s="95"/>
      <c r="T90" s="28">
        <v>0.36966216501373683</v>
      </c>
      <c r="U90" s="11">
        <f t="shared" si="109"/>
        <v>4350</v>
      </c>
      <c r="V90" s="30">
        <f>IF(U90&gt;0,ROUND(SUM(U90:U$102)/U90-0.5,Rundex),"")</f>
        <v>1.86</v>
      </c>
      <c r="W90" s="89"/>
      <c r="X90" s="9">
        <f t="shared" si="128"/>
        <v>98</v>
      </c>
      <c r="Y90" s="11" t="str">
        <f t="shared" si="110"/>
        <v xml:space="preserve"> </v>
      </c>
      <c r="Z90" s="11" t="str">
        <f>IF($X90&lt;RAF,SUM(Y90:INDEX(Day,RAF-BeginnAlter))," ")</f>
        <v xml:space="preserve"> </v>
      </c>
      <c r="AA90" s="11" t="str">
        <f t="shared" si="81"/>
        <v xml:space="preserve"> </v>
      </c>
      <c r="AB90" s="11" t="str">
        <f>IF($X90&lt;RAF,SUM(AA90:INDEX(Cay,RAF-BeginnAlter))," ")</f>
        <v xml:space="preserve"> </v>
      </c>
      <c r="AC90" s="11" t="str">
        <f t="shared" si="82"/>
        <v xml:space="preserve"> </v>
      </c>
      <c r="AD90" s="11" t="str">
        <f>IF($X90&lt;RAF,SUM(AC90:INDEX(Caiy,RAF-BeginnAlter))," ")</f>
        <v xml:space="preserve"> </v>
      </c>
      <c r="AE90" s="10" t="str">
        <f t="shared" si="111"/>
        <v xml:space="preserve"> </v>
      </c>
      <c r="AF90" s="10" t="str">
        <f t="shared" si="112"/>
        <v xml:space="preserve"> </v>
      </c>
      <c r="AG90" s="89"/>
      <c r="AH90" s="9">
        <f t="shared" si="129"/>
        <v>98</v>
      </c>
      <c r="AI90" s="11" t="str">
        <f t="shared" si="113"/>
        <v xml:space="preserve"> </v>
      </c>
      <c r="AJ90" s="11" t="str">
        <f>IF($AH90&gt;RAF," ",IF($AH90&lt;RAF,SUM(AI90:INDEX(Diy,RAF-BeginnAlter))+INDEX(Ny,RAF-BeginnAlter+1),INDEX(Ny,RAF-BeginnAlter+1)))</f>
        <v xml:space="preserve"> </v>
      </c>
      <c r="AK90" s="11" t="str">
        <f>IF($AH90&lt;RAF,SUM(AI90:INDEX(Diy,RAF-BeginnAlter))," ")</f>
        <v xml:space="preserve"> </v>
      </c>
      <c r="AL90" s="10" t="str">
        <f t="shared" si="114"/>
        <v xml:space="preserve"> </v>
      </c>
      <c r="AM90" s="10" t="str">
        <f t="shared" si="115"/>
        <v xml:space="preserve"> </v>
      </c>
      <c r="AN90" s="10" t="str">
        <f t="shared" si="116"/>
        <v xml:space="preserve"> </v>
      </c>
      <c r="AO90" s="10" t="str">
        <f t="shared" si="117"/>
        <v xml:space="preserve"> </v>
      </c>
      <c r="AP90" s="89"/>
      <c r="AQ90" s="9">
        <f t="shared" si="130"/>
        <v>98</v>
      </c>
      <c r="AR90" s="11">
        <f t="shared" si="118"/>
        <v>417</v>
      </c>
      <c r="AS90" s="11">
        <f>SUM(AR90:AR$96)</f>
        <v>977</v>
      </c>
      <c r="AT90" s="25" t="str">
        <f>IF($AQ90&lt;RAF,SUM(AR90:INDEX(Dy,RAF-BeginnAlter))," ")</f>
        <v xml:space="preserve"> </v>
      </c>
      <c r="AU90" s="24">
        <f t="shared" si="119"/>
        <v>2.343</v>
      </c>
      <c r="AV90" s="24">
        <f t="shared" si="120"/>
        <v>1.885</v>
      </c>
      <c r="AW90" s="24" t="str">
        <f t="shared" si="121"/>
        <v xml:space="preserve"> </v>
      </c>
      <c r="AX90" s="24" t="str">
        <f t="shared" si="122"/>
        <v xml:space="preserve"> </v>
      </c>
      <c r="AY90" s="89"/>
      <c r="AZ90" s="9">
        <f t="shared" si="131"/>
        <v>98</v>
      </c>
      <c r="BA90" s="11">
        <f t="shared" si="123"/>
        <v>491</v>
      </c>
      <c r="BB90" s="11">
        <f>SUM(BA90:BA$96)</f>
        <v>1128</v>
      </c>
      <c r="BC90" s="10">
        <f t="shared" si="124"/>
        <v>2.2970000000000002</v>
      </c>
      <c r="BD90" s="10">
        <f t="shared" si="84"/>
        <v>1.839</v>
      </c>
      <c r="BE90" s="89"/>
      <c r="BF90" s="9">
        <f t="shared" si="132"/>
        <v>81</v>
      </c>
      <c r="BG90" s="10" t="str">
        <f t="shared" si="85"/>
        <v/>
      </c>
      <c r="BH90" s="10" t="str">
        <f t="shared" si="86"/>
        <v/>
      </c>
      <c r="BI90" s="89"/>
      <c r="BJ90" s="9">
        <f t="shared" si="133"/>
        <v>98</v>
      </c>
      <c r="BK90" s="11" t="str">
        <f t="shared" si="87"/>
        <v xml:space="preserve"> </v>
      </c>
      <c r="BL90" s="11" t="str">
        <f>IF(BJ90&lt;RAF,SUM(BK90:INDEX(Daiy,RAF-BeginnAlter))," ")</f>
        <v xml:space="preserve"> </v>
      </c>
      <c r="BM90" s="11" t="str">
        <f>IF(BJ90&lt;RAF,SUM(BL90:INDEX(Naiy,RAF-BeginnAlter))," ")</f>
        <v xml:space="preserve"> </v>
      </c>
      <c r="BN90" s="10" t="str">
        <f t="shared" si="88"/>
        <v xml:space="preserve"> </v>
      </c>
      <c r="BO90" s="10" t="str">
        <f t="shared" si="89"/>
        <v xml:space="preserve"> </v>
      </c>
      <c r="BP90" s="89"/>
      <c r="BQ90" s="9">
        <f t="shared" si="134"/>
        <v>98</v>
      </c>
      <c r="BR90" s="11" t="str">
        <f t="shared" si="90"/>
        <v xml:space="preserve"> </v>
      </c>
      <c r="BS90" s="11" t="str">
        <f>IF(BQ90&lt;RAF,SUM(BR90:INDEX(Daiys,RAF-BeginnAlter))," ")</f>
        <v xml:space="preserve"> </v>
      </c>
      <c r="BT90" s="11" t="str">
        <f>IF(BQ90&lt;RAF,SUM(BS90:INDEX(Naiys,RAF-BeginnAlter))," ")</f>
        <v xml:space="preserve"> </v>
      </c>
      <c r="BU90" s="10" t="str">
        <f t="shared" si="91"/>
        <v xml:space="preserve"> </v>
      </c>
      <c r="BV90" s="10" t="str">
        <f t="shared" si="92"/>
        <v xml:space="preserve"> </v>
      </c>
      <c r="BW90" s="89"/>
      <c r="BX90" s="9">
        <f t="shared" si="135"/>
        <v>98</v>
      </c>
      <c r="BY90" s="10" t="str">
        <f t="shared" si="93"/>
        <v/>
      </c>
      <c r="BZ90" s="11" t="str">
        <f t="shared" si="94"/>
        <v/>
      </c>
      <c r="CA90" s="11" t="str">
        <f>IF(S91&lt;=RAK,IF($BX90&lt;RAF,SUM(BZ90:INDEX(Dazy,RAF-BeginnAlter)),""),"")</f>
        <v/>
      </c>
      <c r="CB90" s="10" t="str">
        <f t="shared" si="95"/>
        <v/>
      </c>
      <c r="CC90" s="11">
        <f t="shared" si="96"/>
        <v>0</v>
      </c>
      <c r="CD90" s="10">
        <f t="shared" si="97"/>
        <v>0</v>
      </c>
      <c r="CE90" s="10" t="str">
        <f t="shared" si="98"/>
        <v/>
      </c>
      <c r="CF90" s="89"/>
      <c r="CG90" s="9">
        <f t="shared" si="136"/>
        <v>98</v>
      </c>
      <c r="CH90" s="11" t="str">
        <f>IF(CG90&lt;RAF,ROUND(v^($CG90+FaktorAlter)*$H90*($B90*0.5*($P90+$P91)*(VLOOKUP(TRUNC(0.5*($Q90+$Q91),0),Männer!$AZ$9:$BD$95,5)+(0.5*($Q90+$Q91)-TRUNC(0.5*($Q90+$Q91),0))*(VLOOKUP(TRUNC(0.5*($Q90+$Q91)+1,0),Männer!$AZ$9:$BD$95,5)-VLOOKUP(TRUNC(0.5*($Q90+$Q91),0),Männer!$AZ$9:$BD$95,5)))+$C90*0.5*($CN90+$CN91)),RundDx),"")</f>
        <v/>
      </c>
      <c r="CI90" s="11" t="str">
        <f>IF(CG90&lt;RAF,ROUND(SUM(CH90:INDEX(Dawy,RAF-BeginnAlter))+INDEX(Day,RAF-BeginnAlter+1)*INDEX(äwy,1),RundDx),"")</f>
        <v/>
      </c>
      <c r="CJ90" s="11" t="str">
        <f>IF(CG90&lt;RAF,ROUND(SUM(CI90:INDEX(Nawy,RAF-BeginnAlter))+INDEX(Day,RAF-BeginnAlter+1)*INDEX(äwy,1),RundDx),"")</f>
        <v/>
      </c>
      <c r="CK90" s="10" t="str">
        <f t="shared" si="99"/>
        <v/>
      </c>
      <c r="CL90" s="11" t="str">
        <f>IF(CG90&lt;RAF,ROUND(v^($CG90+FaktorAlter)*$L90*$D90*0.5*($P90+$P91)*(VLOOKUP(TRUNC(0.5*($Q90+$Q91),0),Männer!$AZ$9:$BD$95,5)+(0.5*($Q90+$Q91)-TRUNC(0.5*($Q90+$Q91),0))*(VLOOKUP(TRUNC(0.5*($Q90+$Q91)+1,0),Männer!$AZ$9:$BD$95,5)-VLOOKUP(TRUNC(0.5*($Q90+$Q91),0),Männer!$AZ$9:$BD$95,5))),RundDx),"")</f>
        <v/>
      </c>
      <c r="CM90" s="11" t="str">
        <f>IF(CG90&lt;RAF,SUM(CL90:INDEX(Diwy,RAF-BeginnAlter))+INDEX(Diy,RAF-BeginnAlter+1)*INDEX(äwy,1),"")</f>
        <v/>
      </c>
      <c r="CN90" s="10" t="str">
        <f t="shared" si="100"/>
        <v/>
      </c>
      <c r="CO90" s="89"/>
      <c r="CP90" s="9">
        <f t="shared" si="146"/>
        <v>145</v>
      </c>
      <c r="CQ90" s="11"/>
      <c r="CR90" s="11"/>
      <c r="CS90" s="10"/>
      <c r="CT90" s="89"/>
      <c r="CU90" s="35">
        <f t="shared" si="137"/>
        <v>98</v>
      </c>
      <c r="CV90" s="25" t="str">
        <f>IF($CU90&gt;=RAF,"",IF($CU90-CV$103&lt;BeginnAlter,"",ROUND(v^($CU90+FaktorAlter)*$L90*$D90*0.5*(VLOOKUP($CU90-CV$103,Männer!$G$9:$J$102,4)+VLOOKUP($CU90-CV$103+1,Männer!$G$9:$J$102,4))*0.5*(VLOOKUP($CU90-CV$103,Männer!$AZ$9:$BD$102,5)+VLOOKUP($CU90-CV$103+1,Männer!$AZ$9:$BD$102,5)),RundDx)))</f>
        <v/>
      </c>
      <c r="CW90" s="25" t="str">
        <f>IF($CU90&gt;=RAF,"",IF($CU90-CW$103&lt;BeginnAlter,"",ROUND(v^($CU90+FaktorAlter)*$L90*$D90*0.5*(VLOOKUP($CU90-CW$103,Männer!$G$9:$J$102,4)+VLOOKUP($CU90-CW$103+1,Männer!$G$9:$J$102,4))*0.5*(VLOOKUP($CU90-CW$103,Männer!$AZ$9:$BD$102,5)+VLOOKUP($CU90-CW$103+1,Männer!$AZ$9:$BD$102,5)),RundDx)))</f>
        <v/>
      </c>
      <c r="CX90" s="25" t="str">
        <f>IF($CU90&gt;=RAF,"",IF($CU90-CX$103&lt;BeginnAlter,"",ROUND(v^($CU90+FaktorAlter)*$L90*$D90*0.5*(VLOOKUP($CU90-CX$103,Männer!$G$9:$J$102,4)+VLOOKUP($CU90-CX$103+1,Männer!$G$9:$J$102,4))*0.5*(VLOOKUP($CU90-CX$103,Männer!$AZ$9:$BD$102,5)+VLOOKUP($CU90-CX$103+1,Männer!$AZ$9:$BD$102,5)),RundDx)))</f>
        <v/>
      </c>
      <c r="CY90" s="25" t="str">
        <f>IF($CU90&gt;=RAF,"",IF($CU90-CY$103&lt;BeginnAlter,"",ROUND(v^($CU90+FaktorAlter)*$L90*$D90*0.5*(VLOOKUP($CU90-CY$103,Männer!$G$9:$J$102,4)+VLOOKUP($CU90-CY$103+1,Männer!$G$9:$J$102,4))*0.5*(VLOOKUP($CU90-CY$103,Männer!$AZ$9:$BD$102,5)+VLOOKUP($CU90-CY$103+1,Männer!$AZ$9:$BD$102,5)),RundDx)))</f>
        <v/>
      </c>
      <c r="CZ90" s="25" t="str">
        <f>IF($CU90&gt;=RAF,"",IF($CU90-CZ$103&lt;BeginnAlter,"",ROUND(v^($CU90+FaktorAlter)*$L90*$D90*0.5*(VLOOKUP($CU90-CZ$103,Männer!$G$9:$J$102,4)+VLOOKUP($CU90-CZ$103+1,Männer!$G$9:$J$102,4))*0.5*(VLOOKUP($CU90-CZ$103,Männer!$AZ$9:$BD$102,5)+VLOOKUP($CU90-CZ$103+1,Männer!$AZ$9:$BD$102,5)),RundDx)))</f>
        <v/>
      </c>
      <c r="DA90" s="25" t="str">
        <f>IF($CU90&gt;=RAF,"",IF($CU90-DA$103&lt;BeginnAlter,"",ROUND(v^($CU90+FaktorAlter)*$L90*$D90*0.5*(VLOOKUP($CU90-DA$103,Männer!$G$9:$J$102,4)+VLOOKUP($CU90-DA$103+1,Männer!$G$9:$J$102,4))*0.5*(VLOOKUP($CU90-DA$103,Männer!$AZ$9:$BD$102,5)+VLOOKUP($CU90-DA$103+1,Männer!$AZ$9:$BD$102,5)),RundDx)))</f>
        <v/>
      </c>
      <c r="DB90" s="25" t="str">
        <f>IF($CU90&gt;=RAF,"",IF($CU90-DB$103&lt;BeginnAlter,"",ROUND(v^($CU90+FaktorAlter)*$L90*$D90*0.5*(VLOOKUP($CU90-DB$103,Männer!$G$9:$J$102,4)+VLOOKUP($CU90-DB$103+1,Männer!$G$9:$J$102,4))*0.5*(VLOOKUP($CU90-DB$103,Männer!$AZ$9:$BD$102,5)+VLOOKUP($CU90-DB$103+1,Männer!$AZ$9:$BD$102,5)),RundDx)))</f>
        <v/>
      </c>
      <c r="DC90" s="25" t="str">
        <f>IF($CU90&gt;=RAF,"",IF($CU90-DC$103&lt;BeginnAlter,"",ROUND(v^($CU90+FaktorAlter)*$L90*$D90*0.5*(VLOOKUP($CU90-DC$103,Männer!$G$9:$J$102,4)+VLOOKUP($CU90-DC$103+1,Männer!$G$9:$J$102,4))*0.5*(VLOOKUP($CU90-DC$103,Männer!$AZ$9:$BD$102,5)+VLOOKUP($CU90-DC$103+1,Männer!$AZ$9:$BD$102,5)),RundDx)))</f>
        <v/>
      </c>
      <c r="DD90" s="25" t="str">
        <f>IF($CU90&gt;=RAF,"",IF($CU90-DD$103&lt;BeginnAlter,"",ROUND(v^($CU90+FaktorAlter)*$L90*$D90*0.5*(VLOOKUP($CU90-DD$103,Männer!$G$9:$J$102,4)+VLOOKUP($CU90-DD$103+1,Männer!$G$9:$J$102,4))*0.5*(VLOOKUP($CU90-DD$103,Männer!$AZ$9:$BD$102,5)+VLOOKUP($CU90-DD$103+1,Männer!$AZ$9:$BD$102,5)),RundDx)))</f>
        <v/>
      </c>
      <c r="DE90" s="25" t="str">
        <f>IF($CU90&gt;=RAF,"",IF($CU90-DE$103&lt;BeginnAlter,"",ROUND(v^($CU90+FaktorAlter)*$L90*$D90*0.5*(VLOOKUP($CU90-DE$103,Männer!$G$9:$J$102,4)+VLOOKUP($CU90-DE$103+1,Männer!$G$9:$J$102,4))*0.5*(VLOOKUP($CU90-DE$103,Männer!$AZ$9:$BD$102,5)+VLOOKUP($CU90-DE$103+1,Männer!$AZ$9:$BD$102,5)),RundDx)))</f>
        <v/>
      </c>
      <c r="DF90" s="25" t="str">
        <f>IF($CU90&gt;=RAF,"",IF($CU90-DF$103&lt;BeginnAlter,"",ROUND(v^($CU90+FaktorAlter)*$L90*$D90*0.5*(VLOOKUP($CU90-DF$103,Männer!$G$9:$J$102,4)+VLOOKUP($CU90-DF$103+1,Männer!$G$9:$J$102,4))*0.5*(VLOOKUP($CU90-DF$103,Männer!$AZ$9:$BD$102,5)+VLOOKUP($CU90-DF$103+1,Männer!$AZ$9:$BD$102,5)),RundDx)))</f>
        <v/>
      </c>
      <c r="DG90" s="25" t="str">
        <f>IF($CU90&gt;=RAF,"",IF($CU90-DG$103&lt;BeginnAlter,"",ROUND(v^($CU90+FaktorAlter)*$L90*$D90*0.5*(VLOOKUP($CU90-DG$103,Männer!$G$9:$J$102,4)+VLOOKUP($CU90-DG$103+1,Männer!$G$9:$J$102,4))*0.5*(VLOOKUP($CU90-DG$103,Männer!$AZ$9:$BD$102,5)+VLOOKUP($CU90-DG$103+1,Männer!$AZ$9:$BD$102,5)),RundDx)))</f>
        <v/>
      </c>
      <c r="DH90" s="25" t="str">
        <f>IF($CU90&gt;=RAF,"",IF($CU90-DH$103&lt;BeginnAlter,"",ROUND(v^($CU90+FaktorAlter)*$L90*$D90*0.5*(VLOOKUP($CU90-DH$103,Männer!$G$9:$J$102,4)+VLOOKUP($CU90-DH$103+1,Männer!$G$9:$J$102,4))*0.5*(VLOOKUP($CU90-DH$103,Männer!$AZ$9:$BD$102,5)+VLOOKUP($CU90-DH$103+1,Männer!$AZ$9:$BD$102,5)),RundDx)))</f>
        <v/>
      </c>
      <c r="DI90" s="25" t="str">
        <f>IF($CU90&gt;=RAF,"",IF($CU90-DI$103&lt;BeginnAlter,"",ROUND(v^($CU90+FaktorAlter)*$L90*$D90*0.5*(VLOOKUP($CU90-DI$103,Männer!$G$9:$J$102,4)+VLOOKUP($CU90-DI$103+1,Männer!$G$9:$J$102,4))*0.5*(VLOOKUP($CU90-DI$103,Männer!$AZ$9:$BD$102,5)+VLOOKUP($CU90-DI$103+1,Männer!$AZ$9:$BD$102,5)),RundDx)))</f>
        <v/>
      </c>
      <c r="DJ90" s="25" t="str">
        <f>IF($CU90&gt;=RAF,"",IF($CU90-DJ$103&lt;BeginnAlter,"",ROUND(v^($CU90+FaktorAlter)*$L90*$D90*0.5*(VLOOKUP($CU90-DJ$103,Männer!$G$9:$J$102,4)+VLOOKUP($CU90-DJ$103+1,Männer!$G$9:$J$102,4))*0.5*(VLOOKUP($CU90-DJ$103,Männer!$AZ$9:$BD$102,5)+VLOOKUP($CU90-DJ$103+1,Männer!$AZ$9:$BD$102,5)),RundDx)))</f>
        <v/>
      </c>
      <c r="DK90" s="25" t="str">
        <f>IF($CU90&gt;=RAF,"",IF($CU90-DK$103&lt;BeginnAlter,"",ROUND(v^($CU90+FaktorAlter)*$L90*$D90*0.5*(VLOOKUP($CU90-DK$103,Männer!$G$9:$J$102,4)+VLOOKUP($CU90-DK$103+1,Männer!$G$9:$J$102,4))*0.5*(VLOOKUP($CU90-DK$103,Männer!$AZ$9:$BD$102,5)+VLOOKUP($CU90-DK$103+1,Männer!$AZ$9:$BD$102,5)),RundDx)))</f>
        <v/>
      </c>
      <c r="DL90" s="25" t="str">
        <f>IF($CU90&gt;=RAF,"",IF($CU90-DL$103&lt;BeginnAlter,"",ROUND(v^($CU90+FaktorAlter)*$L90*$D90*0.5*(VLOOKUP($CU90-DL$103,Männer!$G$9:$J$102,4)+VLOOKUP($CU90-DL$103+1,Männer!$G$9:$J$102,4))*0.5*(VLOOKUP($CU90-DL$103,Männer!$AZ$9:$BD$102,5)+VLOOKUP($CU90-DL$103+1,Männer!$AZ$9:$BD$102,5)),RundDx)))</f>
        <v/>
      </c>
      <c r="DM90" s="25" t="str">
        <f>IF($CU90&gt;=RAF,"",IF($CU90-DM$103&lt;BeginnAlter,"",ROUND(v^($CU90+FaktorAlter)*$L90*$D90*0.5*(VLOOKUP($CU90-DM$103,Männer!$G$9:$J$102,4)+VLOOKUP($CU90-DM$103+1,Männer!$G$9:$J$102,4))*0.5*(VLOOKUP($CU90-DM$103,Männer!$AZ$9:$BD$102,5)+VLOOKUP($CU90-DM$103+1,Männer!$AZ$9:$BD$102,5)),RundDx)))</f>
        <v/>
      </c>
      <c r="DN90" s="25" t="str">
        <f>IF($CU90&gt;=RAF,"",IF($CU90-DN$103&lt;BeginnAlter,"",ROUND(v^($CU90+FaktorAlter)*$L90*$D90*0.5*(VLOOKUP($CU90-DN$103,Männer!$G$9:$J$102,4)+VLOOKUP($CU90-DN$103+1,Männer!$G$9:$J$102,4))*0.5*(VLOOKUP($CU90-DN$103,Männer!$AZ$9:$BD$102,5)+VLOOKUP($CU90-DN$103+1,Männer!$AZ$9:$BD$102,5)),RundDx)))</f>
        <v/>
      </c>
      <c r="DO90" s="25" t="str">
        <f>IF($CU90&gt;=RAF,"",IF($CU90-DO$103&lt;BeginnAlter,"",ROUND(v^($CU90+FaktorAlter)*$L90*$D90*0.5*(VLOOKUP($CU90-DO$103,Männer!$G$9:$J$102,4)+VLOOKUP($CU90-DO$103+1,Männer!$G$9:$J$102,4))*0.5*(VLOOKUP($CU90-DO$103,Männer!$AZ$9:$BD$102,5)+VLOOKUP($CU90-DO$103+1,Männer!$AZ$9:$BD$102,5)),RundDx)))</f>
        <v/>
      </c>
      <c r="DP90" s="25" t="str">
        <f>IF($CU90&gt;=RAF,"",IF($CU90-DP$103&lt;BeginnAlter,"",ROUND(v^($CU90+FaktorAlter)*$L90*$D90*0.5*(VLOOKUP($CU90-DP$103,Männer!$G$9:$J$102,4)+VLOOKUP($CU90-DP$103+1,Männer!$G$9:$J$102,4))*0.5*(VLOOKUP($CU90-DP$103,Männer!$AZ$9:$BD$102,5)+VLOOKUP($CU90-DP$103+1,Männer!$AZ$9:$BD$102,5)),RundDx)))</f>
        <v/>
      </c>
      <c r="DQ90" s="25" t="str">
        <f>IF($CU90&gt;=RAF,"",IF($CU90-DQ$103&lt;BeginnAlter,"",ROUND(v^($CU90+FaktorAlter)*$L90*$D90*0.5*(VLOOKUP($CU90-DQ$103,Männer!$G$9:$J$102,4)+VLOOKUP($CU90-DQ$103+1,Männer!$G$9:$J$102,4))*0.5*(VLOOKUP($CU90-DQ$103,Männer!$AZ$9:$BD$102,5)+VLOOKUP($CU90-DQ$103+1,Männer!$AZ$9:$BD$102,5)),RundDx)))</f>
        <v/>
      </c>
      <c r="DR90" s="25" t="str">
        <f>IF($CU90&gt;=RAF,"",IF($CU90-DR$103&lt;BeginnAlter,"",ROUND(v^($CU90+FaktorAlter)*$L90*$D90*0.5*(VLOOKUP($CU90-DR$103,Männer!$G$9:$J$102,4)+VLOOKUP($CU90-DR$103+1,Männer!$G$9:$J$102,4))*0.5*(VLOOKUP($CU90-DR$103,Männer!$AZ$9:$BD$102,5)+VLOOKUP($CU90-DR$103+1,Männer!$AZ$9:$BD$102,5)),RundDx)))</f>
        <v/>
      </c>
      <c r="DS90" s="25" t="str">
        <f>IF($CU90&gt;=RAF,"",IF($CU90-DS$103&lt;BeginnAlter,"",ROUND(v^($CU90+FaktorAlter)*$L90*$D90*0.5*(VLOOKUP($CU90-DS$103,Männer!$G$9:$J$102,4)+VLOOKUP($CU90-DS$103+1,Männer!$G$9:$J$102,4))*0.5*(VLOOKUP($CU90-DS$103,Männer!$AZ$9:$BD$102,5)+VLOOKUP($CU90-DS$103+1,Männer!$AZ$9:$BD$102,5)),RundDx)))</f>
        <v/>
      </c>
      <c r="DT90" s="25" t="str">
        <f>IF($CU90&gt;=RAF,"",IF($CU90-DT$103&lt;BeginnAlter,"",ROUND(v^($CU90+FaktorAlter)*$L90*$D90*0.5*(VLOOKUP($CU90-DT$103,Männer!$G$9:$J$102,4)+VLOOKUP($CU90-DT$103+1,Männer!$G$9:$J$102,4))*0.5*(VLOOKUP($CU90-DT$103,Männer!$AZ$9:$BD$102,5)+VLOOKUP($CU90-DT$103+1,Männer!$AZ$9:$BD$102,5)),RundDx)))</f>
        <v/>
      </c>
      <c r="DU90" s="25" t="str">
        <f>IF($CU90&gt;=RAF,"",IF($CU90-DU$103&lt;BeginnAlter,"",ROUND(v^($CU90+FaktorAlter)*$L90*$D90*0.5*(VLOOKUP($CU90-DU$103,Männer!$G$9:$J$102,4)+VLOOKUP($CU90-DU$103+1,Männer!$G$9:$J$102,4))*0.5*(VLOOKUP($CU90-DU$103,Männer!$AZ$9:$BD$102,5)+VLOOKUP($CU90-DU$103+1,Männer!$AZ$9:$BD$102,5)),RundDx)))</f>
        <v/>
      </c>
      <c r="DV90" s="25" t="str">
        <f>IF($CU90&gt;=RAF,"",IF($CU90-DV$103&lt;BeginnAlter,"",ROUND(v^($CU90+FaktorAlter)*$L90*$D90*0.5*(VLOOKUP($CU90-DV$103,Männer!$G$9:$J$102,4)+VLOOKUP($CU90-DV$103+1,Männer!$G$9:$J$102,4))*0.5*(VLOOKUP($CU90-DV$103,Männer!$AZ$9:$BD$102,5)+VLOOKUP($CU90-DV$103+1,Männer!$AZ$9:$BD$102,5)),RundDx)))</f>
        <v/>
      </c>
      <c r="DW90" s="25" t="str">
        <f>IF($CU90&gt;=RAF,"",IF($CU90-DW$103&lt;BeginnAlter,"",ROUND(v^($CU90+FaktorAlter)*$L90*$D90*0.5*(VLOOKUP($CU90-DW$103,Männer!$G$9:$J$102,4)+VLOOKUP($CU90-DW$103+1,Männer!$G$9:$J$102,4))*0.5*(VLOOKUP($CU90-DW$103,Männer!$AZ$9:$BD$102,5)+VLOOKUP($CU90-DW$103+1,Männer!$AZ$9:$BD$102,5)),RundDx)))</f>
        <v/>
      </c>
      <c r="DX90" s="25" t="str">
        <f>IF($CU90&gt;=RAF,"",IF($CU90-DX$103&lt;BeginnAlter,"",ROUND(v^($CU90+FaktorAlter)*$L90*$D90*0.5*(VLOOKUP($CU90-DX$103,Männer!$G$9:$J$102,4)+VLOOKUP($CU90-DX$103+1,Männer!$G$9:$J$102,4))*0.5*(VLOOKUP($CU90-DX$103,Männer!$AZ$9:$BD$102,5)+VLOOKUP($CU90-DX$103+1,Männer!$AZ$9:$BD$102,5)),RundDx)))</f>
        <v/>
      </c>
      <c r="DY90" s="25" t="str">
        <f>IF($CU90&gt;=RAF,"",IF($CU90-DY$103&lt;BeginnAlter,"",ROUND(v^($CU90+FaktorAlter)*$L90*$D90*0.5*(VLOOKUP($CU90-DY$103,Männer!$G$9:$J$102,4)+VLOOKUP($CU90-DY$103+1,Männer!$G$9:$J$102,4))*0.5*(VLOOKUP($CU90-DY$103,Männer!$AZ$9:$BD$102,5)+VLOOKUP($CU90-DY$103+1,Männer!$AZ$9:$BD$102,5)),RundDx)))</f>
        <v/>
      </c>
      <c r="DZ90" s="25" t="str">
        <f>IF($CU90&gt;=RAF,"",IF($CU90-DZ$103&lt;BeginnAlter,"",ROUND(v^($CU90+FaktorAlter)*$L90*$D90*0.5*(VLOOKUP($CU90-DZ$103,Männer!$G$9:$J$102,4)+VLOOKUP($CU90-DZ$103+1,Männer!$G$9:$J$102,4))*0.5*(VLOOKUP($CU90-DZ$103,Männer!$AZ$9:$BD$102,5)+VLOOKUP($CU90-DZ$103+1,Männer!$AZ$9:$BD$102,5)),RundDx)))</f>
        <v/>
      </c>
      <c r="EA90" s="43" t="str">
        <f>IF($CU90&gt;=RAF,"",IF($CU90-EA$103&lt;BeginnAlter,"",ROUND((SUM(CV$56:CV90)+SUM(FN$9:FN$56))/VLOOKUP($CU90,$AH$9:$AI$102,2)/VLOOKUP($CU90-EA$103,Männer!$G$9:$J$102,4),Rundäx)))</f>
        <v/>
      </c>
      <c r="EB90" s="43" t="str">
        <f>IF($CU90&gt;=RAF,"",IF($CU90-EB$103&lt;BeginnAlter,"",ROUND((SUM(CW$56:CW90)+SUM(FO$9:FO$56))/VLOOKUP($CU90,$AH$9:$AI$102,2)/VLOOKUP($CU90-EB$103,Männer!$G$9:$J$102,4),Rundäx)))</f>
        <v/>
      </c>
      <c r="EC90" s="43" t="str">
        <f>IF($CU90&gt;=RAF,"",IF($CU90-EC$103&lt;BeginnAlter,"",ROUND((SUM(CX$56:CX90)+SUM(FP$9:FP$56))/VLOOKUP($CU90,$AH$9:$AI$102,2)/VLOOKUP($CU90-EC$103,Männer!$G$9:$J$102,4),Rundäx)))</f>
        <v/>
      </c>
      <c r="ED90" s="43" t="str">
        <f>IF($CU90&gt;=RAF,"",IF($CU90-ED$103&lt;BeginnAlter,"",ROUND((SUM(CY$56:CY90)+SUM(FQ$9:FQ$56))/VLOOKUP($CU90,$AH$9:$AI$102,2)/VLOOKUP($CU90-ED$103,Männer!$G$9:$J$102,4),Rundäx)))</f>
        <v/>
      </c>
      <c r="EE90" s="43" t="str">
        <f>IF($CU90&gt;=RAF,"",IF($CU90-EE$103&lt;BeginnAlter,"",ROUND((SUM(CZ$56:CZ90)+SUM(FR$9:FR$56))/VLOOKUP($CU90,$AH$9:$AI$102,2)/VLOOKUP($CU90-EE$103,Männer!$G$9:$J$102,4),Rundäx)))</f>
        <v/>
      </c>
      <c r="EF90" s="43" t="str">
        <f>IF($CU90&gt;=RAF,"",IF($CU90-EF$103&lt;BeginnAlter,"",ROUND((SUM(DA$56:DA90)+SUM(FS$9:FS$56))/VLOOKUP($CU90,$AH$9:$AI$102,2)/VLOOKUP($CU90-EF$103,Männer!$G$9:$J$102,4),Rundäx)))</f>
        <v/>
      </c>
      <c r="EG90" s="43" t="str">
        <f>IF($CU90&gt;=RAF,"",IF($CU90-EG$103&lt;BeginnAlter,"",ROUND((SUM(DB$56:DB90)+SUM(FT$9:FT$56))/VLOOKUP($CU90,$AH$9:$AI$102,2)/VLOOKUP($CU90-EG$103,Männer!$G$9:$J$102,4),Rundäx)))</f>
        <v/>
      </c>
      <c r="EH90" s="43" t="str">
        <f>IF($CU90&gt;=RAF,"",IF($CU90-EH$103&lt;BeginnAlter,"",ROUND((SUM(DC$56:DC90)+SUM(FU$9:FU$56))/VLOOKUP($CU90,$AH$9:$AI$102,2)/VLOOKUP($CU90-EH$103,Männer!$G$9:$J$102,4),Rundäx)))</f>
        <v/>
      </c>
      <c r="EI90" s="89"/>
      <c r="EJ90" s="35">
        <f t="shared" si="138"/>
        <v>98</v>
      </c>
      <c r="EK90" s="43" t="str">
        <f>IF($CU90&gt;=RAF,"",IF($CU90-EK$103&lt;BeginnAlter,"",ROUND((SUM(DD$56:DD90)+SUM(FV$9:FV$56))/VLOOKUP($CU90,$AH$9:$AI$102,2)/VLOOKUP($CU90-EK$103,Männer!$G$9:$J$102,4),Rundäx)))</f>
        <v/>
      </c>
      <c r="EL90" s="43" t="str">
        <f>IF($CU90&gt;=RAF,"",IF($CU90-EL$103&lt;BeginnAlter,"",ROUND((SUM(DE$56:DE90)+SUM(FW$9:FW$56))/VLOOKUP($CU90,$AH$9:$AI$102,2)/VLOOKUP($CU90-EL$103,Männer!$G$9:$J$102,4),Rundäx)))</f>
        <v/>
      </c>
      <c r="EM90" s="43" t="str">
        <f>IF($CU90&gt;=RAF,"",IF($CU90-EM$103&lt;BeginnAlter,"",ROUND((SUM(DF$56:DF90)+SUM(FX$9:FX$56))/VLOOKUP($CU90,$AH$9:$AI$102,2)/VLOOKUP($CU90-EM$103,Männer!$G$9:$J$102,4),Rundäx)))</f>
        <v/>
      </c>
      <c r="EN90" s="43" t="str">
        <f>IF($CU90&gt;=RAF,"",IF($CU90-EN$103&lt;BeginnAlter,"",ROUND((SUM(DG$56:DG90)+SUM(FY$9:FY$56))/VLOOKUP($CU90,$AH$9:$AI$102,2)/VLOOKUP($CU90-EN$103,Männer!$G$9:$J$102,4),Rundäx)))</f>
        <v/>
      </c>
      <c r="EO90" s="43" t="str">
        <f>IF($CU90&gt;=RAF,"",IF($CU90-EO$103&lt;BeginnAlter,"",ROUND((SUM(DH$56:DH90)+SUM(FZ$9:FZ$56))/VLOOKUP($CU90,$AH$9:$AI$102,2)/VLOOKUP($CU90-EO$103,Männer!$G$9:$J$102,4),Rundäx)))</f>
        <v/>
      </c>
      <c r="EP90" s="43" t="str">
        <f>IF($CU90&gt;=RAF,"",IF($CU90-EP$103&lt;BeginnAlter,"",ROUND((SUM(DI$56:DI90)+SUM(GA$9:GA$56))/VLOOKUP($CU90,$AH$9:$AI$102,2)/VLOOKUP($CU90-EP$103,Männer!$G$9:$J$102,4),Rundäx)))</f>
        <v/>
      </c>
      <c r="EQ90" s="43" t="str">
        <f>IF($CU90&gt;=RAF,"",IF($CU90-EQ$103&lt;BeginnAlter,"",ROUND((SUM(DJ$56:DJ90)+SUM(GB$9:GB$56))/VLOOKUP($CU90,$AH$9:$AI$102,2)/VLOOKUP($CU90-EQ$103,Männer!$G$9:$J$102,4),Rundäx)))</f>
        <v/>
      </c>
      <c r="ER90" s="43" t="str">
        <f>IF($CU90&gt;=RAF,"",IF($CU90-ER$103&lt;BeginnAlter,"",ROUND((SUM(DK$56:DK90)+SUM(GC$9:GC$56))/VLOOKUP($CU90,$AH$9:$AI$102,2)/VLOOKUP($CU90-ER$103,Männer!$G$9:$J$102,4),Rundäx)))</f>
        <v/>
      </c>
      <c r="ES90" s="89"/>
      <c r="ET90" s="35">
        <f t="shared" si="139"/>
        <v>98</v>
      </c>
      <c r="EU90" s="43" t="str">
        <f>IF($CU90&gt;=RAF,"",IF($CU90-EU$103&lt;BeginnAlter,"",ROUND((SUM(DL$56:DL90)+SUM(GD$9:GD$56))/VLOOKUP($CU90,$AH$9:$AI$102,2)/VLOOKUP($CU90-EU$103,Männer!$G$9:$J$102,4),Rundäx)))</f>
        <v/>
      </c>
      <c r="EV90" s="43" t="str">
        <f>IF($CU90&gt;=RAF,"",IF($CU90-EV$103&lt;BeginnAlter,"",ROUND((SUM(DM$56:DM90)+SUM(GE$9:GE$56))/VLOOKUP($CU90,$AH$9:$AI$102,2)/VLOOKUP($CU90-EV$103,Männer!$G$9:$J$102,4),Rundäx)))</f>
        <v/>
      </c>
      <c r="EW90" s="43" t="str">
        <f>IF($CU90&gt;=RAF,"",IF($CU90-EW$103&lt;BeginnAlter,"",ROUND((SUM(DN$56:DN90)+SUM(GF$9:GF$56))/VLOOKUP($CU90,$AH$9:$AI$102,2)/VLOOKUP($CU90-EW$103,Männer!$G$9:$J$102,4),Rundäx)))</f>
        <v/>
      </c>
      <c r="EX90" s="43" t="str">
        <f>IF($CU90&gt;=RAF,"",IF($CU90-EX$103&lt;BeginnAlter,"",ROUND((SUM(DO$56:DO90)+SUM(GG$9:GG$56))/VLOOKUP($CU90,$AH$9:$AI$102,2)/VLOOKUP($CU90-EX$103,Männer!$G$9:$J$102,4),Rundäx)))</f>
        <v/>
      </c>
      <c r="EY90" s="43" t="str">
        <f>IF($CU90&gt;=RAF,"",IF($CU90-EY$103&lt;BeginnAlter,"",ROUND((SUM(DP$56:DP90)+SUM(GH$9:GH$56))/VLOOKUP($CU90,$AH$9:$AI$102,2)/VLOOKUP($CU90-EY$103,Männer!$G$9:$J$102,4),Rundäx)))</f>
        <v/>
      </c>
      <c r="EZ90" s="43" t="str">
        <f>IF($CU90&gt;=RAF,"",IF($CU90-EZ$103&lt;BeginnAlter,"",ROUND((SUM(DQ$56:DQ90)+SUM(GI$9:GI$56))/VLOOKUP($CU90,$AH$9:$AI$102,2)/VLOOKUP($CU90-EZ$103,Männer!$G$9:$J$102,4),Rundäx)))</f>
        <v/>
      </c>
      <c r="FA90" s="43" t="str">
        <f>IF($CU90&gt;=RAF,"",IF($CU90-FA$103&lt;BeginnAlter,"",ROUND((SUM(DR$56:DR90)+SUM(GJ$9:GJ$56))/VLOOKUP($CU90,$AH$9:$AI$102,2)/VLOOKUP($CU90-FA$103,Männer!$G$9:$J$102,4),Rundäx)))</f>
        <v/>
      </c>
      <c r="FB90" s="43" t="str">
        <f>IF($CU90&gt;=RAF,"",IF($CU90-FB$103&lt;BeginnAlter,"",ROUND((SUM(DS$56:DS90)+SUM(GK$9:GK$56))/VLOOKUP($CU90,$AH$9:$AI$102,2)/VLOOKUP($CU90-FB$103,Männer!$G$9:$J$102,4),Rundäx)))</f>
        <v/>
      </c>
      <c r="FC90" s="89"/>
      <c r="FD90" s="35">
        <f t="shared" si="140"/>
        <v>98</v>
      </c>
      <c r="FE90" s="43" t="str">
        <f>IF($CU90&gt;=RAF,"",IF($CU90-FE$103&lt;BeginnAlter,"",ROUND((SUM(DT$56:DT90)+SUM(GL$9:GL$56))/VLOOKUP($CU90,$AH$9:$AI$102,2)/VLOOKUP($CU90-FE$103,Männer!$G$9:$J$102,4),Rundäx)))</f>
        <v/>
      </c>
      <c r="FF90" s="43" t="str">
        <f>IF($CU90&gt;=RAF,"",IF($CU90-FF$103&lt;BeginnAlter,"",ROUND((SUM(DU$56:DU90)+SUM(GM$9:GM$56))/VLOOKUP($CU90,$AH$9:$AI$102,2)/VLOOKUP($CU90-FF$103,Männer!$G$9:$J$102,4),Rundäx)))</f>
        <v/>
      </c>
      <c r="FG90" s="43" t="str">
        <f>IF($CU90&gt;=RAF,"",IF($CU90-FG$103&lt;BeginnAlter,"",ROUND((SUM(DV$56:DV90)+SUM(GN$9:GN$56))/VLOOKUP($CU90,$AH$9:$AI$102,2)/VLOOKUP($CU90-FG$103,Männer!$G$9:$J$102,4),Rundäx)))</f>
        <v/>
      </c>
      <c r="FH90" s="43" t="str">
        <f>IF($CU90&gt;=RAF,"",IF($CU90-FH$103&lt;BeginnAlter,"",ROUND((SUM(DW$56:DW90)+SUM(GO$9:GO$56))/VLOOKUP($CU90,$AH$9:$AI$102,2)/VLOOKUP($CU90-FH$103,Männer!$G$9:$J$102,4),Rundäx)))</f>
        <v/>
      </c>
      <c r="FI90" s="43" t="str">
        <f>IF($CU90&gt;=RAF,"",IF($CU90-FI$103&lt;BeginnAlter,"",ROUND((SUM(DX$56:DX90)+SUM(GP$9:GP$56))/VLOOKUP($CU90,$AH$9:$AI$102,2)/VLOOKUP($CU90-FI$103,Männer!$G$9:$J$102,4),Rundäx)))</f>
        <v/>
      </c>
      <c r="FJ90" s="43" t="str">
        <f>IF($CU90&gt;=RAF,"",IF($CU90-FJ$103&lt;BeginnAlter,"",ROUND((SUM(DY$56:DY90)+SUM(GQ$9:GQ$56))/VLOOKUP($CU90,$AH$9:$AI$102,2)/VLOOKUP($CU90-FJ$103,Männer!$G$9:$J$102,4),Rundäx)))</f>
        <v/>
      </c>
      <c r="FK90" s="43" t="str">
        <f>IF($CU90&gt;=RAF,"",IF($CU90-FK$103&lt;BeginnAlter,"",ROUND((SUM(DZ$56:DZ90)+SUM(GR$9:GR$56))/VLOOKUP($CU90,$AH$9:$AI$102,2)/VLOOKUP($CU90-FK$103,Männer!$G$9:$J$102,4),Rundäx)))</f>
        <v/>
      </c>
      <c r="FL90" s="89"/>
      <c r="FM90" s="35">
        <f t="shared" si="141"/>
        <v>145</v>
      </c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4"/>
      <c r="GT90" s="24"/>
      <c r="GU90" s="24" t="str">
        <f>IF(FM90&gt;=RAF," ",#REF!/$AI90/Frauen!$J78)</f>
        <v xml:space="preserve"> </v>
      </c>
      <c r="GV90" s="24" t="str">
        <f>IF(FM90&gt;=RAF," ",#REF!/$AI90/Frauen!$J81)</f>
        <v xml:space="preserve"> </v>
      </c>
      <c r="GW90" s="24" t="str">
        <f>IF(FM90&gt;=RAF," ",#REF!/$AI90/Frauen!$J84)</f>
        <v xml:space="preserve"> </v>
      </c>
      <c r="GX90" s="24" t="str">
        <f>IF(FM90&gt;=RAF," ",#REF!/$AI90/Frauen!$J87)</f>
        <v xml:space="preserve"> </v>
      </c>
      <c r="GY90" s="24" t="str">
        <f>IF(FM90&gt;=RAF," ",#REF!/$AI90/Frauen!$J90)</f>
        <v xml:space="preserve"> </v>
      </c>
      <c r="GZ90" s="24" t="str">
        <f>IF(FM90&gt;=RAF," ",#REF!/$AI90/Frauen!$J93)</f>
        <v xml:space="preserve"> </v>
      </c>
      <c r="HA90" s="89"/>
      <c r="HB90" s="35">
        <f t="shared" si="142"/>
        <v>145</v>
      </c>
      <c r="HC90" s="24"/>
      <c r="HD90" s="24"/>
      <c r="HE90" s="24"/>
      <c r="HF90" s="24"/>
      <c r="HG90" s="24"/>
      <c r="HH90" s="24"/>
      <c r="HI90" s="24"/>
      <c r="HJ90" s="24"/>
      <c r="HK90" s="89"/>
      <c r="HL90" s="35">
        <f t="shared" si="143"/>
        <v>145</v>
      </c>
      <c r="HM90" s="24"/>
      <c r="HN90" s="24"/>
      <c r="HO90" s="24"/>
      <c r="HP90" s="24"/>
      <c r="HQ90" s="24"/>
      <c r="HR90" s="24"/>
      <c r="HS90" s="24"/>
      <c r="HT90" s="24"/>
      <c r="HU90" s="89"/>
      <c r="HV90" s="35">
        <f t="shared" si="144"/>
        <v>145</v>
      </c>
      <c r="HW90" s="24"/>
      <c r="HX90" s="24"/>
      <c r="HY90" s="24"/>
      <c r="HZ90" s="24"/>
      <c r="IA90" s="24"/>
      <c r="IB90" s="24"/>
      <c r="IC90" s="24"/>
      <c r="ID90" s="89"/>
      <c r="IE90" s="9">
        <f t="shared" si="145"/>
        <v>98</v>
      </c>
      <c r="IF90" s="11" t="str">
        <f t="shared" si="101"/>
        <v/>
      </c>
      <c r="IG90" s="11" t="str">
        <f>IF($IE90&lt;RAF,IF(S91&lt;=RAK,ROUND(SUM(IF90:INDEX(Daky,RAF-BeginnAlter))+INDEX(Day,RAF-BeginnAlter+1)*INDEX(äky,1),RundDx),0),"")</f>
        <v/>
      </c>
      <c r="IH90" s="11" t="str">
        <f>IF($IE90&lt;RAF,IF(S91&lt;=RAK,ROUND(SUM(IG90:INDEX(Naky,RAF-BeginnAlter))+INDEX(Day,RAF-BeginnAlter+1)*INDEX(äky,1),RundDx),0),"")</f>
        <v/>
      </c>
      <c r="II90" s="10" t="str">
        <f t="shared" si="102"/>
        <v/>
      </c>
      <c r="IJ90" s="11" t="str">
        <f t="shared" si="103"/>
        <v/>
      </c>
      <c r="IK90" s="11" t="str">
        <f>IF($IE90&lt;RAF,IF(S91&lt;=RAK,SUM(IJ90:INDEX(Diky,RAF-BeginnAlter))+INDEX(Diy,RAF-BeginnAlter+1)*INDEX(äky,1),0),"")</f>
        <v/>
      </c>
      <c r="IL90" s="10" t="str">
        <f t="shared" si="104"/>
        <v/>
      </c>
      <c r="IM90" s="89"/>
      <c r="IN90" s="9">
        <f t="shared" si="105"/>
        <v>145</v>
      </c>
      <c r="IO90" s="11"/>
      <c r="IP90" s="11"/>
      <c r="IQ90" s="10"/>
      <c r="IR90" s="86"/>
    </row>
    <row r="91" spans="1:252" ht="15.75" customHeight="1" x14ac:dyDescent="0.25">
      <c r="A91" s="9">
        <f t="shared" si="125"/>
        <v>99</v>
      </c>
      <c r="B91" s="93"/>
      <c r="C91" s="93"/>
      <c r="D91" s="93"/>
      <c r="E91" s="93">
        <v>0.39889909866803974</v>
      </c>
      <c r="F91" s="89"/>
      <c r="G91" s="9">
        <f t="shared" si="126"/>
        <v>99</v>
      </c>
      <c r="H91" s="11" t="str">
        <f t="shared" si="106"/>
        <v/>
      </c>
      <c r="I91" s="25" t="str">
        <f t="shared" si="107"/>
        <v/>
      </c>
      <c r="J91" s="25">
        <f t="shared" si="108"/>
        <v>2389</v>
      </c>
      <c r="K91" s="30">
        <f>IF(J91&gt;0,ROUND(SUM(J91:J$102)/J91-0.5,Rundex),"")</f>
        <v>1.67</v>
      </c>
      <c r="L91" s="25">
        <f t="shared" si="83"/>
        <v>2389</v>
      </c>
      <c r="M91" s="30">
        <f>IF(L91&gt;0,ROUND(SUM(L91:L$102)/L91-0.5,Rundex),"")</f>
        <v>1.67</v>
      </c>
      <c r="N91" s="89"/>
      <c r="O91" s="9">
        <f t="shared" si="127"/>
        <v>99</v>
      </c>
      <c r="P91" s="94">
        <v>2.6853992068153164E-3</v>
      </c>
      <c r="Q91" s="95">
        <v>98.519173966103793</v>
      </c>
      <c r="R91" s="94"/>
      <c r="S91" s="95"/>
      <c r="T91" s="28">
        <v>0.41393383077127321</v>
      </c>
      <c r="U91" s="11">
        <f t="shared" si="109"/>
        <v>2742</v>
      </c>
      <c r="V91" s="30">
        <f>IF(U91&gt;0,ROUND(SUM(U91:U$102)/U91-0.5,Rundex),"")</f>
        <v>1.66</v>
      </c>
      <c r="W91" s="89"/>
      <c r="X91" s="9">
        <f t="shared" si="128"/>
        <v>99</v>
      </c>
      <c r="Y91" s="11" t="str">
        <f t="shared" si="110"/>
        <v xml:space="preserve"> </v>
      </c>
      <c r="Z91" s="11" t="str">
        <f>IF($X91&lt;RAF,SUM(Y91:INDEX(Day,RAF-BeginnAlter))," ")</f>
        <v xml:space="preserve"> </v>
      </c>
      <c r="AA91" s="11" t="str">
        <f t="shared" si="81"/>
        <v xml:space="preserve"> </v>
      </c>
      <c r="AB91" s="11" t="str">
        <f>IF($X91&lt;RAF,SUM(AA91:INDEX(Cay,RAF-BeginnAlter))," ")</f>
        <v xml:space="preserve"> </v>
      </c>
      <c r="AC91" s="11" t="str">
        <f t="shared" si="82"/>
        <v xml:space="preserve"> </v>
      </c>
      <c r="AD91" s="11" t="str">
        <f>IF($X91&lt;RAF,SUM(AC91:INDEX(Caiy,RAF-BeginnAlter))," ")</f>
        <v xml:space="preserve"> </v>
      </c>
      <c r="AE91" s="10" t="str">
        <f t="shared" si="111"/>
        <v xml:space="preserve"> </v>
      </c>
      <c r="AF91" s="10" t="str">
        <f t="shared" si="112"/>
        <v xml:space="preserve"> </v>
      </c>
      <c r="AG91" s="89"/>
      <c r="AH91" s="9">
        <f t="shared" si="129"/>
        <v>99</v>
      </c>
      <c r="AI91" s="11" t="str">
        <f t="shared" si="113"/>
        <v xml:space="preserve"> </v>
      </c>
      <c r="AJ91" s="11" t="str">
        <f>IF($AH91&gt;RAF," ",IF($AH91&lt;RAF,SUM(AI91:INDEX(Diy,RAF-BeginnAlter))+INDEX(Ny,RAF-BeginnAlter+1),INDEX(Ny,RAF-BeginnAlter+1)))</f>
        <v xml:space="preserve"> </v>
      </c>
      <c r="AK91" s="11" t="str">
        <f>IF($AH91&lt;RAF,SUM(AI91:INDEX(Diy,RAF-BeginnAlter))," ")</f>
        <v xml:space="preserve"> </v>
      </c>
      <c r="AL91" s="10" t="str">
        <f t="shared" si="114"/>
        <v xml:space="preserve"> </v>
      </c>
      <c r="AM91" s="10" t="str">
        <f t="shared" si="115"/>
        <v xml:space="preserve"> </v>
      </c>
      <c r="AN91" s="10" t="str">
        <f t="shared" si="116"/>
        <v xml:space="preserve"> </v>
      </c>
      <c r="AO91" s="10" t="str">
        <f t="shared" si="117"/>
        <v xml:space="preserve"> </v>
      </c>
      <c r="AP91" s="89"/>
      <c r="AQ91" s="9">
        <f t="shared" si="130"/>
        <v>99</v>
      </c>
      <c r="AR91" s="11">
        <f t="shared" si="118"/>
        <v>264</v>
      </c>
      <c r="AS91" s="11">
        <f>SUM(AR91:AR$96)</f>
        <v>560</v>
      </c>
      <c r="AT91" s="25" t="str">
        <f>IF($AQ91&lt;RAF,SUM(AR91:INDEX(Dy,RAF-BeginnAlter))," ")</f>
        <v xml:space="preserve"> </v>
      </c>
      <c r="AU91" s="24">
        <f t="shared" si="119"/>
        <v>2.121</v>
      </c>
      <c r="AV91" s="24">
        <f t="shared" si="120"/>
        <v>1.663</v>
      </c>
      <c r="AW91" s="24" t="str">
        <f t="shared" si="121"/>
        <v xml:space="preserve"> </v>
      </c>
      <c r="AX91" s="24" t="str">
        <f t="shared" si="122"/>
        <v xml:space="preserve"> </v>
      </c>
      <c r="AY91" s="89"/>
      <c r="AZ91" s="9">
        <f t="shared" si="131"/>
        <v>99</v>
      </c>
      <c r="BA91" s="11">
        <f t="shared" si="123"/>
        <v>303</v>
      </c>
      <c r="BB91" s="11">
        <f>SUM(BA91:BA$96)</f>
        <v>637</v>
      </c>
      <c r="BC91" s="10">
        <f t="shared" si="124"/>
        <v>2.1019999999999999</v>
      </c>
      <c r="BD91" s="10">
        <f t="shared" si="84"/>
        <v>1.6439999999999999</v>
      </c>
      <c r="BE91" s="89"/>
      <c r="BF91" s="9">
        <f t="shared" si="132"/>
        <v>82</v>
      </c>
      <c r="BG91" s="10" t="str">
        <f t="shared" si="85"/>
        <v/>
      </c>
      <c r="BH91" s="10" t="str">
        <f t="shared" si="86"/>
        <v/>
      </c>
      <c r="BI91" s="89"/>
      <c r="BJ91" s="9">
        <f t="shared" si="133"/>
        <v>99</v>
      </c>
      <c r="BK91" s="11" t="str">
        <f t="shared" si="87"/>
        <v xml:space="preserve"> </v>
      </c>
      <c r="BL91" s="11" t="str">
        <f>IF(BJ91&lt;RAF,SUM(BK91:INDEX(Daiy,RAF-BeginnAlter))," ")</f>
        <v xml:space="preserve"> </v>
      </c>
      <c r="BM91" s="11" t="str">
        <f>IF(BJ91&lt;RAF,SUM(BL91:INDEX(Naiy,RAF-BeginnAlter))," ")</f>
        <v xml:space="preserve"> </v>
      </c>
      <c r="BN91" s="10" t="str">
        <f t="shared" si="88"/>
        <v xml:space="preserve"> </v>
      </c>
      <c r="BO91" s="10" t="str">
        <f t="shared" si="89"/>
        <v xml:space="preserve"> </v>
      </c>
      <c r="BP91" s="89"/>
      <c r="BQ91" s="9">
        <f t="shared" si="134"/>
        <v>99</v>
      </c>
      <c r="BR91" s="11" t="str">
        <f t="shared" si="90"/>
        <v xml:space="preserve"> </v>
      </c>
      <c r="BS91" s="11" t="str">
        <f>IF(BQ91&lt;RAF,SUM(BR91:INDEX(Daiys,RAF-BeginnAlter))," ")</f>
        <v xml:space="preserve"> </v>
      </c>
      <c r="BT91" s="11" t="str">
        <f>IF(BQ91&lt;RAF,SUM(BS91:INDEX(Naiys,RAF-BeginnAlter))," ")</f>
        <v xml:space="preserve"> </v>
      </c>
      <c r="BU91" s="10" t="str">
        <f t="shared" si="91"/>
        <v xml:space="preserve"> </v>
      </c>
      <c r="BV91" s="10" t="str">
        <f t="shared" si="92"/>
        <v xml:space="preserve"> </v>
      </c>
      <c r="BW91" s="89"/>
      <c r="BX91" s="9">
        <f t="shared" si="135"/>
        <v>99</v>
      </c>
      <c r="BY91" s="10" t="str">
        <f t="shared" si="93"/>
        <v/>
      </c>
      <c r="BZ91" s="11" t="str">
        <f t="shared" si="94"/>
        <v/>
      </c>
      <c r="CA91" s="11" t="str">
        <f>IF(S92&lt;=RAK,IF($BX91&lt;RAF,SUM(BZ91:INDEX(Dazy,RAF-BeginnAlter)),""),"")</f>
        <v/>
      </c>
      <c r="CB91" s="10" t="str">
        <f t="shared" si="95"/>
        <v/>
      </c>
      <c r="CC91" s="11">
        <f t="shared" si="96"/>
        <v>0</v>
      </c>
      <c r="CD91" s="10">
        <f t="shared" si="97"/>
        <v>0</v>
      </c>
      <c r="CE91" s="10" t="str">
        <f t="shared" si="98"/>
        <v/>
      </c>
      <c r="CF91" s="89"/>
      <c r="CG91" s="9">
        <f t="shared" si="136"/>
        <v>99</v>
      </c>
      <c r="CH91" s="11" t="str">
        <f>IF(CG91&lt;RAF,ROUND(v^($CG91+FaktorAlter)*$H91*($B91*0.5*($P91+$P92)*(VLOOKUP(TRUNC(0.5*($Q91+$Q92),0),Männer!$AZ$9:$BD$95,5)+(0.5*($Q91+$Q92)-TRUNC(0.5*($Q91+$Q92),0))*(VLOOKUP(TRUNC(0.5*($Q91+$Q92)+1,0),Männer!$AZ$9:$BD$95,5)-VLOOKUP(TRUNC(0.5*($Q91+$Q92),0),Männer!$AZ$9:$BD$95,5)))+$C91*0.5*($CN91+$CN92)),RundDx),"")</f>
        <v/>
      </c>
      <c r="CI91" s="11" t="str">
        <f>IF(CG91&lt;RAF,ROUND(SUM(CH91:INDEX(Dawy,RAF-BeginnAlter))+INDEX(Day,RAF-BeginnAlter+1)*INDEX(äwy,1),RundDx),"")</f>
        <v/>
      </c>
      <c r="CJ91" s="11" t="str">
        <f>IF(CG91&lt;RAF,ROUND(SUM(CI91:INDEX(Nawy,RAF-BeginnAlter))+INDEX(Day,RAF-BeginnAlter+1)*INDEX(äwy,1),RundDx),"")</f>
        <v/>
      </c>
      <c r="CK91" s="10" t="str">
        <f t="shared" si="99"/>
        <v/>
      </c>
      <c r="CL91" s="11" t="str">
        <f>IF(CG91&lt;RAF,ROUND(v^($CG91+FaktorAlter)*$L91*$D91*0.5*($P91+$P92)*(VLOOKUP(TRUNC(0.5*($Q91+$Q92),0),Männer!$AZ$9:$BD$95,5)+(0.5*($Q91+$Q92)-TRUNC(0.5*($Q91+$Q92),0))*(VLOOKUP(TRUNC(0.5*($Q91+$Q92)+1,0),Männer!$AZ$9:$BD$95,5)-VLOOKUP(TRUNC(0.5*($Q91+$Q92),0),Männer!$AZ$9:$BD$95,5))),RundDx),"")</f>
        <v/>
      </c>
      <c r="CM91" s="11" t="str">
        <f>IF(CG91&lt;RAF,SUM(CL91:INDEX(Diwy,RAF-BeginnAlter))+INDEX(Diy,RAF-BeginnAlter+1)*INDEX(äwy,1),"")</f>
        <v/>
      </c>
      <c r="CN91" s="10" t="str">
        <f t="shared" si="100"/>
        <v/>
      </c>
      <c r="CO91" s="89"/>
      <c r="CP91" s="9">
        <f t="shared" si="146"/>
        <v>146</v>
      </c>
      <c r="CQ91" s="11"/>
      <c r="CR91" s="11"/>
      <c r="CS91" s="10"/>
      <c r="CT91" s="89"/>
      <c r="CU91" s="35">
        <f t="shared" si="137"/>
        <v>99</v>
      </c>
      <c r="CV91" s="25" t="str">
        <f>IF($CU91&gt;=RAF,"",IF($CU91-CV$103&lt;BeginnAlter,"",ROUND(v^($CU91+FaktorAlter)*$L91*$D91*0.5*(VLOOKUP($CU91-CV$103,Männer!$G$9:$J$102,4)+VLOOKUP($CU91-CV$103+1,Männer!$G$9:$J$102,4))*0.5*(VLOOKUP($CU91-CV$103,Männer!$AZ$9:$BD$102,5)+VLOOKUP($CU91-CV$103+1,Männer!$AZ$9:$BD$102,5)),RundDx)))</f>
        <v/>
      </c>
      <c r="CW91" s="25" t="str">
        <f>IF($CU91&gt;=RAF,"",IF($CU91-CW$103&lt;BeginnAlter,"",ROUND(v^($CU91+FaktorAlter)*$L91*$D91*0.5*(VLOOKUP($CU91-CW$103,Männer!$G$9:$J$102,4)+VLOOKUP($CU91-CW$103+1,Männer!$G$9:$J$102,4))*0.5*(VLOOKUP($CU91-CW$103,Männer!$AZ$9:$BD$102,5)+VLOOKUP($CU91-CW$103+1,Männer!$AZ$9:$BD$102,5)),RundDx)))</f>
        <v/>
      </c>
      <c r="CX91" s="25" t="str">
        <f>IF($CU91&gt;=RAF,"",IF($CU91-CX$103&lt;BeginnAlter,"",ROUND(v^($CU91+FaktorAlter)*$L91*$D91*0.5*(VLOOKUP($CU91-CX$103,Männer!$G$9:$J$102,4)+VLOOKUP($CU91-CX$103+1,Männer!$G$9:$J$102,4))*0.5*(VLOOKUP($CU91-CX$103,Männer!$AZ$9:$BD$102,5)+VLOOKUP($CU91-CX$103+1,Männer!$AZ$9:$BD$102,5)),RundDx)))</f>
        <v/>
      </c>
      <c r="CY91" s="25" t="str">
        <f>IF($CU91&gt;=RAF,"",IF($CU91-CY$103&lt;BeginnAlter,"",ROUND(v^($CU91+FaktorAlter)*$L91*$D91*0.5*(VLOOKUP($CU91-CY$103,Männer!$G$9:$J$102,4)+VLOOKUP($CU91-CY$103+1,Männer!$G$9:$J$102,4))*0.5*(VLOOKUP($CU91-CY$103,Männer!$AZ$9:$BD$102,5)+VLOOKUP($CU91-CY$103+1,Männer!$AZ$9:$BD$102,5)),RundDx)))</f>
        <v/>
      </c>
      <c r="CZ91" s="25" t="str">
        <f>IF($CU91&gt;=RAF,"",IF($CU91-CZ$103&lt;BeginnAlter,"",ROUND(v^($CU91+FaktorAlter)*$L91*$D91*0.5*(VLOOKUP($CU91-CZ$103,Männer!$G$9:$J$102,4)+VLOOKUP($CU91-CZ$103+1,Männer!$G$9:$J$102,4))*0.5*(VLOOKUP($CU91-CZ$103,Männer!$AZ$9:$BD$102,5)+VLOOKUP($CU91-CZ$103+1,Männer!$AZ$9:$BD$102,5)),RundDx)))</f>
        <v/>
      </c>
      <c r="DA91" s="25" t="str">
        <f>IF($CU91&gt;=RAF,"",IF($CU91-DA$103&lt;BeginnAlter,"",ROUND(v^($CU91+FaktorAlter)*$L91*$D91*0.5*(VLOOKUP($CU91-DA$103,Männer!$G$9:$J$102,4)+VLOOKUP($CU91-DA$103+1,Männer!$G$9:$J$102,4))*0.5*(VLOOKUP($CU91-DA$103,Männer!$AZ$9:$BD$102,5)+VLOOKUP($CU91-DA$103+1,Männer!$AZ$9:$BD$102,5)),RundDx)))</f>
        <v/>
      </c>
      <c r="DB91" s="25" t="str">
        <f>IF($CU91&gt;=RAF,"",IF($CU91-DB$103&lt;BeginnAlter,"",ROUND(v^($CU91+FaktorAlter)*$L91*$D91*0.5*(VLOOKUP($CU91-DB$103,Männer!$G$9:$J$102,4)+VLOOKUP($CU91-DB$103+1,Männer!$G$9:$J$102,4))*0.5*(VLOOKUP($CU91-DB$103,Männer!$AZ$9:$BD$102,5)+VLOOKUP($CU91-DB$103+1,Männer!$AZ$9:$BD$102,5)),RundDx)))</f>
        <v/>
      </c>
      <c r="DC91" s="25" t="str">
        <f>IF($CU91&gt;=RAF,"",IF($CU91-DC$103&lt;BeginnAlter,"",ROUND(v^($CU91+FaktorAlter)*$L91*$D91*0.5*(VLOOKUP($CU91-DC$103,Männer!$G$9:$J$102,4)+VLOOKUP($CU91-DC$103+1,Männer!$G$9:$J$102,4))*0.5*(VLOOKUP($CU91-DC$103,Männer!$AZ$9:$BD$102,5)+VLOOKUP($CU91-DC$103+1,Männer!$AZ$9:$BD$102,5)),RundDx)))</f>
        <v/>
      </c>
      <c r="DD91" s="25" t="str">
        <f>IF($CU91&gt;=RAF,"",IF($CU91-DD$103&lt;BeginnAlter,"",ROUND(v^($CU91+FaktorAlter)*$L91*$D91*0.5*(VLOOKUP($CU91-DD$103,Männer!$G$9:$J$102,4)+VLOOKUP($CU91-DD$103+1,Männer!$G$9:$J$102,4))*0.5*(VLOOKUP($CU91-DD$103,Männer!$AZ$9:$BD$102,5)+VLOOKUP($CU91-DD$103+1,Männer!$AZ$9:$BD$102,5)),RundDx)))</f>
        <v/>
      </c>
      <c r="DE91" s="25" t="str">
        <f>IF($CU91&gt;=RAF,"",IF($CU91-DE$103&lt;BeginnAlter,"",ROUND(v^($CU91+FaktorAlter)*$L91*$D91*0.5*(VLOOKUP($CU91-DE$103,Männer!$G$9:$J$102,4)+VLOOKUP($CU91-DE$103+1,Männer!$G$9:$J$102,4))*0.5*(VLOOKUP($CU91-DE$103,Männer!$AZ$9:$BD$102,5)+VLOOKUP($CU91-DE$103+1,Männer!$AZ$9:$BD$102,5)),RundDx)))</f>
        <v/>
      </c>
      <c r="DF91" s="25" t="str">
        <f>IF($CU91&gt;=RAF,"",IF($CU91-DF$103&lt;BeginnAlter,"",ROUND(v^($CU91+FaktorAlter)*$L91*$D91*0.5*(VLOOKUP($CU91-DF$103,Männer!$G$9:$J$102,4)+VLOOKUP($CU91-DF$103+1,Männer!$G$9:$J$102,4))*0.5*(VLOOKUP($CU91-DF$103,Männer!$AZ$9:$BD$102,5)+VLOOKUP($CU91-DF$103+1,Männer!$AZ$9:$BD$102,5)),RundDx)))</f>
        <v/>
      </c>
      <c r="DG91" s="25" t="str">
        <f>IF($CU91&gt;=RAF,"",IF($CU91-DG$103&lt;BeginnAlter,"",ROUND(v^($CU91+FaktorAlter)*$L91*$D91*0.5*(VLOOKUP($CU91-DG$103,Männer!$G$9:$J$102,4)+VLOOKUP($CU91-DG$103+1,Männer!$G$9:$J$102,4))*0.5*(VLOOKUP($CU91-DG$103,Männer!$AZ$9:$BD$102,5)+VLOOKUP($CU91-DG$103+1,Männer!$AZ$9:$BD$102,5)),RundDx)))</f>
        <v/>
      </c>
      <c r="DH91" s="25" t="str">
        <f>IF($CU91&gt;=RAF,"",IF($CU91-DH$103&lt;BeginnAlter,"",ROUND(v^($CU91+FaktorAlter)*$L91*$D91*0.5*(VLOOKUP($CU91-DH$103,Männer!$G$9:$J$102,4)+VLOOKUP($CU91-DH$103+1,Männer!$G$9:$J$102,4))*0.5*(VLOOKUP($CU91-DH$103,Männer!$AZ$9:$BD$102,5)+VLOOKUP($CU91-DH$103+1,Männer!$AZ$9:$BD$102,5)),RundDx)))</f>
        <v/>
      </c>
      <c r="DI91" s="25" t="str">
        <f>IF($CU91&gt;=RAF,"",IF($CU91-DI$103&lt;BeginnAlter,"",ROUND(v^($CU91+FaktorAlter)*$L91*$D91*0.5*(VLOOKUP($CU91-DI$103,Männer!$G$9:$J$102,4)+VLOOKUP($CU91-DI$103+1,Männer!$G$9:$J$102,4))*0.5*(VLOOKUP($CU91-DI$103,Männer!$AZ$9:$BD$102,5)+VLOOKUP($CU91-DI$103+1,Männer!$AZ$9:$BD$102,5)),RundDx)))</f>
        <v/>
      </c>
      <c r="DJ91" s="25" t="str">
        <f>IF($CU91&gt;=RAF,"",IF($CU91-DJ$103&lt;BeginnAlter,"",ROUND(v^($CU91+FaktorAlter)*$L91*$D91*0.5*(VLOOKUP($CU91-DJ$103,Männer!$G$9:$J$102,4)+VLOOKUP($CU91-DJ$103+1,Männer!$G$9:$J$102,4))*0.5*(VLOOKUP($CU91-DJ$103,Männer!$AZ$9:$BD$102,5)+VLOOKUP($CU91-DJ$103+1,Männer!$AZ$9:$BD$102,5)),RundDx)))</f>
        <v/>
      </c>
      <c r="DK91" s="25" t="str">
        <f>IF($CU91&gt;=RAF,"",IF($CU91-DK$103&lt;BeginnAlter,"",ROUND(v^($CU91+FaktorAlter)*$L91*$D91*0.5*(VLOOKUP($CU91-DK$103,Männer!$G$9:$J$102,4)+VLOOKUP($CU91-DK$103+1,Männer!$G$9:$J$102,4))*0.5*(VLOOKUP($CU91-DK$103,Männer!$AZ$9:$BD$102,5)+VLOOKUP($CU91-DK$103+1,Männer!$AZ$9:$BD$102,5)),RundDx)))</f>
        <v/>
      </c>
      <c r="DL91" s="25" t="str">
        <f>IF($CU91&gt;=RAF,"",IF($CU91-DL$103&lt;BeginnAlter,"",ROUND(v^($CU91+FaktorAlter)*$L91*$D91*0.5*(VLOOKUP($CU91-DL$103,Männer!$G$9:$J$102,4)+VLOOKUP($CU91-DL$103+1,Männer!$G$9:$J$102,4))*0.5*(VLOOKUP($CU91-DL$103,Männer!$AZ$9:$BD$102,5)+VLOOKUP($CU91-DL$103+1,Männer!$AZ$9:$BD$102,5)),RundDx)))</f>
        <v/>
      </c>
      <c r="DM91" s="25" t="str">
        <f>IF($CU91&gt;=RAF,"",IF($CU91-DM$103&lt;BeginnAlter,"",ROUND(v^($CU91+FaktorAlter)*$L91*$D91*0.5*(VLOOKUP($CU91-DM$103,Männer!$G$9:$J$102,4)+VLOOKUP($CU91-DM$103+1,Männer!$G$9:$J$102,4))*0.5*(VLOOKUP($CU91-DM$103,Männer!$AZ$9:$BD$102,5)+VLOOKUP($CU91-DM$103+1,Männer!$AZ$9:$BD$102,5)),RundDx)))</f>
        <v/>
      </c>
      <c r="DN91" s="25" t="str">
        <f>IF($CU91&gt;=RAF,"",IF($CU91-DN$103&lt;BeginnAlter,"",ROUND(v^($CU91+FaktorAlter)*$L91*$D91*0.5*(VLOOKUP($CU91-DN$103,Männer!$G$9:$J$102,4)+VLOOKUP($CU91-DN$103+1,Männer!$G$9:$J$102,4))*0.5*(VLOOKUP($CU91-DN$103,Männer!$AZ$9:$BD$102,5)+VLOOKUP($CU91-DN$103+1,Männer!$AZ$9:$BD$102,5)),RundDx)))</f>
        <v/>
      </c>
      <c r="DO91" s="25" t="str">
        <f>IF($CU91&gt;=RAF,"",IF($CU91-DO$103&lt;BeginnAlter,"",ROUND(v^($CU91+FaktorAlter)*$L91*$D91*0.5*(VLOOKUP($CU91-DO$103,Männer!$G$9:$J$102,4)+VLOOKUP($CU91-DO$103+1,Männer!$G$9:$J$102,4))*0.5*(VLOOKUP($CU91-DO$103,Männer!$AZ$9:$BD$102,5)+VLOOKUP($CU91-DO$103+1,Männer!$AZ$9:$BD$102,5)),RundDx)))</f>
        <v/>
      </c>
      <c r="DP91" s="25" t="str">
        <f>IF($CU91&gt;=RAF,"",IF($CU91-DP$103&lt;BeginnAlter,"",ROUND(v^($CU91+FaktorAlter)*$L91*$D91*0.5*(VLOOKUP($CU91-DP$103,Männer!$G$9:$J$102,4)+VLOOKUP($CU91-DP$103+1,Männer!$G$9:$J$102,4))*0.5*(VLOOKUP($CU91-DP$103,Männer!$AZ$9:$BD$102,5)+VLOOKUP($CU91-DP$103+1,Männer!$AZ$9:$BD$102,5)),RundDx)))</f>
        <v/>
      </c>
      <c r="DQ91" s="25" t="str">
        <f>IF($CU91&gt;=RAF,"",IF($CU91-DQ$103&lt;BeginnAlter,"",ROUND(v^($CU91+FaktorAlter)*$L91*$D91*0.5*(VLOOKUP($CU91-DQ$103,Männer!$G$9:$J$102,4)+VLOOKUP($CU91-DQ$103+1,Männer!$G$9:$J$102,4))*0.5*(VLOOKUP($CU91-DQ$103,Männer!$AZ$9:$BD$102,5)+VLOOKUP($CU91-DQ$103+1,Männer!$AZ$9:$BD$102,5)),RundDx)))</f>
        <v/>
      </c>
      <c r="DR91" s="25" t="str">
        <f>IF($CU91&gt;=RAF,"",IF($CU91-DR$103&lt;BeginnAlter,"",ROUND(v^($CU91+FaktorAlter)*$L91*$D91*0.5*(VLOOKUP($CU91-DR$103,Männer!$G$9:$J$102,4)+VLOOKUP($CU91-DR$103+1,Männer!$G$9:$J$102,4))*0.5*(VLOOKUP($CU91-DR$103,Männer!$AZ$9:$BD$102,5)+VLOOKUP($CU91-DR$103+1,Männer!$AZ$9:$BD$102,5)),RundDx)))</f>
        <v/>
      </c>
      <c r="DS91" s="25" t="str">
        <f>IF($CU91&gt;=RAF,"",IF($CU91-DS$103&lt;BeginnAlter,"",ROUND(v^($CU91+FaktorAlter)*$L91*$D91*0.5*(VLOOKUP($CU91-DS$103,Männer!$G$9:$J$102,4)+VLOOKUP($CU91-DS$103+1,Männer!$G$9:$J$102,4))*0.5*(VLOOKUP($CU91-DS$103,Männer!$AZ$9:$BD$102,5)+VLOOKUP($CU91-DS$103+1,Männer!$AZ$9:$BD$102,5)),RundDx)))</f>
        <v/>
      </c>
      <c r="DT91" s="25" t="str">
        <f>IF($CU91&gt;=RAF,"",IF($CU91-DT$103&lt;BeginnAlter,"",ROUND(v^($CU91+FaktorAlter)*$L91*$D91*0.5*(VLOOKUP($CU91-DT$103,Männer!$G$9:$J$102,4)+VLOOKUP($CU91-DT$103+1,Männer!$G$9:$J$102,4))*0.5*(VLOOKUP($CU91-DT$103,Männer!$AZ$9:$BD$102,5)+VLOOKUP($CU91-DT$103+1,Männer!$AZ$9:$BD$102,5)),RundDx)))</f>
        <v/>
      </c>
      <c r="DU91" s="25" t="str">
        <f>IF($CU91&gt;=RAF,"",IF($CU91-DU$103&lt;BeginnAlter,"",ROUND(v^($CU91+FaktorAlter)*$L91*$D91*0.5*(VLOOKUP($CU91-DU$103,Männer!$G$9:$J$102,4)+VLOOKUP($CU91-DU$103+1,Männer!$G$9:$J$102,4))*0.5*(VLOOKUP($CU91-DU$103,Männer!$AZ$9:$BD$102,5)+VLOOKUP($CU91-DU$103+1,Männer!$AZ$9:$BD$102,5)),RundDx)))</f>
        <v/>
      </c>
      <c r="DV91" s="25" t="str">
        <f>IF($CU91&gt;=RAF,"",IF($CU91-DV$103&lt;BeginnAlter,"",ROUND(v^($CU91+FaktorAlter)*$L91*$D91*0.5*(VLOOKUP($CU91-DV$103,Männer!$G$9:$J$102,4)+VLOOKUP($CU91-DV$103+1,Männer!$G$9:$J$102,4))*0.5*(VLOOKUP($CU91-DV$103,Männer!$AZ$9:$BD$102,5)+VLOOKUP($CU91-DV$103+1,Männer!$AZ$9:$BD$102,5)),RundDx)))</f>
        <v/>
      </c>
      <c r="DW91" s="25" t="str">
        <f>IF($CU91&gt;=RAF,"",IF($CU91-DW$103&lt;BeginnAlter,"",ROUND(v^($CU91+FaktorAlter)*$L91*$D91*0.5*(VLOOKUP($CU91-DW$103,Männer!$G$9:$J$102,4)+VLOOKUP($CU91-DW$103+1,Männer!$G$9:$J$102,4))*0.5*(VLOOKUP($CU91-DW$103,Männer!$AZ$9:$BD$102,5)+VLOOKUP($CU91-DW$103+1,Männer!$AZ$9:$BD$102,5)),RundDx)))</f>
        <v/>
      </c>
      <c r="DX91" s="25" t="str">
        <f>IF($CU91&gt;=RAF,"",IF($CU91-DX$103&lt;BeginnAlter,"",ROUND(v^($CU91+FaktorAlter)*$L91*$D91*0.5*(VLOOKUP($CU91-DX$103,Männer!$G$9:$J$102,4)+VLOOKUP($CU91-DX$103+1,Männer!$G$9:$J$102,4))*0.5*(VLOOKUP($CU91-DX$103,Männer!$AZ$9:$BD$102,5)+VLOOKUP($CU91-DX$103+1,Männer!$AZ$9:$BD$102,5)),RundDx)))</f>
        <v/>
      </c>
      <c r="DY91" s="25" t="str">
        <f>IF($CU91&gt;=RAF,"",IF($CU91-DY$103&lt;BeginnAlter,"",ROUND(v^($CU91+FaktorAlter)*$L91*$D91*0.5*(VLOOKUP($CU91-DY$103,Männer!$G$9:$J$102,4)+VLOOKUP($CU91-DY$103+1,Männer!$G$9:$J$102,4))*0.5*(VLOOKUP($CU91-DY$103,Männer!$AZ$9:$BD$102,5)+VLOOKUP($CU91-DY$103+1,Männer!$AZ$9:$BD$102,5)),RundDx)))</f>
        <v/>
      </c>
      <c r="DZ91" s="25" t="str">
        <f>IF($CU91&gt;=RAF,"",IF($CU91-DZ$103&lt;BeginnAlter,"",ROUND(v^($CU91+FaktorAlter)*$L91*$D91*0.5*(VLOOKUP($CU91-DZ$103,Männer!$G$9:$J$102,4)+VLOOKUP($CU91-DZ$103+1,Männer!$G$9:$J$102,4))*0.5*(VLOOKUP($CU91-DZ$103,Männer!$AZ$9:$BD$102,5)+VLOOKUP($CU91-DZ$103+1,Männer!$AZ$9:$BD$102,5)),RundDx)))</f>
        <v/>
      </c>
      <c r="EA91" s="43" t="str">
        <f>IF($CU91&gt;=RAF,"",IF($CU91-EA$103&lt;BeginnAlter,"",ROUND((SUM(CV$56:CV91)+SUM(FN$9:FN$56))/VLOOKUP($CU91,$AH$9:$AI$102,2)/VLOOKUP($CU91-EA$103,Männer!$G$9:$J$102,4),Rundäx)))</f>
        <v/>
      </c>
      <c r="EB91" s="43" t="str">
        <f>IF($CU91&gt;=RAF,"",IF($CU91-EB$103&lt;BeginnAlter,"",ROUND((SUM(CW$56:CW91)+SUM(FO$9:FO$56))/VLOOKUP($CU91,$AH$9:$AI$102,2)/VLOOKUP($CU91-EB$103,Männer!$G$9:$J$102,4),Rundäx)))</f>
        <v/>
      </c>
      <c r="EC91" s="43" t="str">
        <f>IF($CU91&gt;=RAF,"",IF($CU91-EC$103&lt;BeginnAlter,"",ROUND((SUM(CX$56:CX91)+SUM(FP$9:FP$56))/VLOOKUP($CU91,$AH$9:$AI$102,2)/VLOOKUP($CU91-EC$103,Männer!$G$9:$J$102,4),Rundäx)))</f>
        <v/>
      </c>
      <c r="ED91" s="43" t="str">
        <f>IF($CU91&gt;=RAF,"",IF($CU91-ED$103&lt;BeginnAlter,"",ROUND((SUM(CY$56:CY91)+SUM(FQ$9:FQ$56))/VLOOKUP($CU91,$AH$9:$AI$102,2)/VLOOKUP($CU91-ED$103,Männer!$G$9:$J$102,4),Rundäx)))</f>
        <v/>
      </c>
      <c r="EE91" s="43" t="str">
        <f>IF($CU91&gt;=RAF,"",IF($CU91-EE$103&lt;BeginnAlter,"",ROUND((SUM(CZ$56:CZ91)+SUM(FR$9:FR$56))/VLOOKUP($CU91,$AH$9:$AI$102,2)/VLOOKUP($CU91-EE$103,Männer!$G$9:$J$102,4),Rundäx)))</f>
        <v/>
      </c>
      <c r="EF91" s="43" t="str">
        <f>IF($CU91&gt;=RAF,"",IF($CU91-EF$103&lt;BeginnAlter,"",ROUND((SUM(DA$56:DA91)+SUM(FS$9:FS$56))/VLOOKUP($CU91,$AH$9:$AI$102,2)/VLOOKUP($CU91-EF$103,Männer!$G$9:$J$102,4),Rundäx)))</f>
        <v/>
      </c>
      <c r="EG91" s="43" t="str">
        <f>IF($CU91&gt;=RAF,"",IF($CU91-EG$103&lt;BeginnAlter,"",ROUND((SUM(DB$56:DB91)+SUM(FT$9:FT$56))/VLOOKUP($CU91,$AH$9:$AI$102,2)/VLOOKUP($CU91-EG$103,Männer!$G$9:$J$102,4),Rundäx)))</f>
        <v/>
      </c>
      <c r="EH91" s="43" t="str">
        <f>IF($CU91&gt;=RAF,"",IF($CU91-EH$103&lt;BeginnAlter,"",ROUND((SUM(DC$56:DC91)+SUM(FU$9:FU$56))/VLOOKUP($CU91,$AH$9:$AI$102,2)/VLOOKUP($CU91-EH$103,Männer!$G$9:$J$102,4),Rundäx)))</f>
        <v/>
      </c>
      <c r="EI91" s="89"/>
      <c r="EJ91" s="35">
        <f t="shared" si="138"/>
        <v>99</v>
      </c>
      <c r="EK91" s="43" t="str">
        <f>IF($CU91&gt;=RAF,"",IF($CU91-EK$103&lt;BeginnAlter,"",ROUND((SUM(DD$56:DD91)+SUM(FV$9:FV$56))/VLOOKUP($CU91,$AH$9:$AI$102,2)/VLOOKUP($CU91-EK$103,Männer!$G$9:$J$102,4),Rundäx)))</f>
        <v/>
      </c>
      <c r="EL91" s="43" t="str">
        <f>IF($CU91&gt;=RAF,"",IF($CU91-EL$103&lt;BeginnAlter,"",ROUND((SUM(DE$56:DE91)+SUM(FW$9:FW$56))/VLOOKUP($CU91,$AH$9:$AI$102,2)/VLOOKUP($CU91-EL$103,Männer!$G$9:$J$102,4),Rundäx)))</f>
        <v/>
      </c>
      <c r="EM91" s="43" t="str">
        <f>IF($CU91&gt;=RAF,"",IF($CU91-EM$103&lt;BeginnAlter,"",ROUND((SUM(DF$56:DF91)+SUM(FX$9:FX$56))/VLOOKUP($CU91,$AH$9:$AI$102,2)/VLOOKUP($CU91-EM$103,Männer!$G$9:$J$102,4),Rundäx)))</f>
        <v/>
      </c>
      <c r="EN91" s="43" t="str">
        <f>IF($CU91&gt;=RAF,"",IF($CU91-EN$103&lt;BeginnAlter,"",ROUND((SUM(DG$56:DG91)+SUM(FY$9:FY$56))/VLOOKUP($CU91,$AH$9:$AI$102,2)/VLOOKUP($CU91-EN$103,Männer!$G$9:$J$102,4),Rundäx)))</f>
        <v/>
      </c>
      <c r="EO91" s="43" t="str">
        <f>IF($CU91&gt;=RAF,"",IF($CU91-EO$103&lt;BeginnAlter,"",ROUND((SUM(DH$56:DH91)+SUM(FZ$9:FZ$56))/VLOOKUP($CU91,$AH$9:$AI$102,2)/VLOOKUP($CU91-EO$103,Männer!$G$9:$J$102,4),Rundäx)))</f>
        <v/>
      </c>
      <c r="EP91" s="43" t="str">
        <f>IF($CU91&gt;=RAF,"",IF($CU91-EP$103&lt;BeginnAlter,"",ROUND((SUM(DI$56:DI91)+SUM(GA$9:GA$56))/VLOOKUP($CU91,$AH$9:$AI$102,2)/VLOOKUP($CU91-EP$103,Männer!$G$9:$J$102,4),Rundäx)))</f>
        <v/>
      </c>
      <c r="EQ91" s="43" t="str">
        <f>IF($CU91&gt;=RAF,"",IF($CU91-EQ$103&lt;BeginnAlter,"",ROUND((SUM(DJ$56:DJ91)+SUM(GB$9:GB$56))/VLOOKUP($CU91,$AH$9:$AI$102,2)/VLOOKUP($CU91-EQ$103,Männer!$G$9:$J$102,4),Rundäx)))</f>
        <v/>
      </c>
      <c r="ER91" s="43" t="str">
        <f>IF($CU91&gt;=RAF,"",IF($CU91-ER$103&lt;BeginnAlter,"",ROUND((SUM(DK$56:DK91)+SUM(GC$9:GC$56))/VLOOKUP($CU91,$AH$9:$AI$102,2)/VLOOKUP($CU91-ER$103,Männer!$G$9:$J$102,4),Rundäx)))</f>
        <v/>
      </c>
      <c r="ES91" s="89"/>
      <c r="ET91" s="35">
        <f t="shared" si="139"/>
        <v>99</v>
      </c>
      <c r="EU91" s="43" t="str">
        <f>IF($CU91&gt;=RAF,"",IF($CU91-EU$103&lt;BeginnAlter,"",ROUND((SUM(DL$56:DL91)+SUM(GD$9:GD$56))/VLOOKUP($CU91,$AH$9:$AI$102,2)/VLOOKUP($CU91-EU$103,Männer!$G$9:$J$102,4),Rundäx)))</f>
        <v/>
      </c>
      <c r="EV91" s="43" t="str">
        <f>IF($CU91&gt;=RAF,"",IF($CU91-EV$103&lt;BeginnAlter,"",ROUND((SUM(DM$56:DM91)+SUM(GE$9:GE$56))/VLOOKUP($CU91,$AH$9:$AI$102,2)/VLOOKUP($CU91-EV$103,Männer!$G$9:$J$102,4),Rundäx)))</f>
        <v/>
      </c>
      <c r="EW91" s="43" t="str">
        <f>IF($CU91&gt;=RAF,"",IF($CU91-EW$103&lt;BeginnAlter,"",ROUND((SUM(DN$56:DN91)+SUM(GF$9:GF$56))/VLOOKUP($CU91,$AH$9:$AI$102,2)/VLOOKUP($CU91-EW$103,Männer!$G$9:$J$102,4),Rundäx)))</f>
        <v/>
      </c>
      <c r="EX91" s="43" t="str">
        <f>IF($CU91&gt;=RAF,"",IF($CU91-EX$103&lt;BeginnAlter,"",ROUND((SUM(DO$56:DO91)+SUM(GG$9:GG$56))/VLOOKUP($CU91,$AH$9:$AI$102,2)/VLOOKUP($CU91-EX$103,Männer!$G$9:$J$102,4),Rundäx)))</f>
        <v/>
      </c>
      <c r="EY91" s="43" t="str">
        <f>IF($CU91&gt;=RAF,"",IF($CU91-EY$103&lt;BeginnAlter,"",ROUND((SUM(DP$56:DP91)+SUM(GH$9:GH$56))/VLOOKUP($CU91,$AH$9:$AI$102,2)/VLOOKUP($CU91-EY$103,Männer!$G$9:$J$102,4),Rundäx)))</f>
        <v/>
      </c>
      <c r="EZ91" s="43" t="str">
        <f>IF($CU91&gt;=RAF,"",IF($CU91-EZ$103&lt;BeginnAlter,"",ROUND((SUM(DQ$56:DQ91)+SUM(GI$9:GI$56))/VLOOKUP($CU91,$AH$9:$AI$102,2)/VLOOKUP($CU91-EZ$103,Männer!$G$9:$J$102,4),Rundäx)))</f>
        <v/>
      </c>
      <c r="FA91" s="43" t="str">
        <f>IF($CU91&gt;=RAF,"",IF($CU91-FA$103&lt;BeginnAlter,"",ROUND((SUM(DR$56:DR91)+SUM(GJ$9:GJ$56))/VLOOKUP($CU91,$AH$9:$AI$102,2)/VLOOKUP($CU91-FA$103,Männer!$G$9:$J$102,4),Rundäx)))</f>
        <v/>
      </c>
      <c r="FB91" s="43" t="str">
        <f>IF($CU91&gt;=RAF,"",IF($CU91-FB$103&lt;BeginnAlter,"",ROUND((SUM(DS$56:DS91)+SUM(GK$9:GK$56))/VLOOKUP($CU91,$AH$9:$AI$102,2)/VLOOKUP($CU91-FB$103,Männer!$G$9:$J$102,4),Rundäx)))</f>
        <v/>
      </c>
      <c r="FC91" s="89"/>
      <c r="FD91" s="35">
        <f t="shared" si="140"/>
        <v>99</v>
      </c>
      <c r="FE91" s="43" t="str">
        <f>IF($CU91&gt;=RAF,"",IF($CU91-FE$103&lt;BeginnAlter,"",ROUND((SUM(DT$56:DT91)+SUM(GL$9:GL$56))/VLOOKUP($CU91,$AH$9:$AI$102,2)/VLOOKUP($CU91-FE$103,Männer!$G$9:$J$102,4),Rundäx)))</f>
        <v/>
      </c>
      <c r="FF91" s="43" t="str">
        <f>IF($CU91&gt;=RAF,"",IF($CU91-FF$103&lt;BeginnAlter,"",ROUND((SUM(DU$56:DU91)+SUM(GM$9:GM$56))/VLOOKUP($CU91,$AH$9:$AI$102,2)/VLOOKUP($CU91-FF$103,Männer!$G$9:$J$102,4),Rundäx)))</f>
        <v/>
      </c>
      <c r="FG91" s="43" t="str">
        <f>IF($CU91&gt;=RAF,"",IF($CU91-FG$103&lt;BeginnAlter,"",ROUND((SUM(DV$56:DV91)+SUM(GN$9:GN$56))/VLOOKUP($CU91,$AH$9:$AI$102,2)/VLOOKUP($CU91-FG$103,Männer!$G$9:$J$102,4),Rundäx)))</f>
        <v/>
      </c>
      <c r="FH91" s="43" t="str">
        <f>IF($CU91&gt;=RAF,"",IF($CU91-FH$103&lt;BeginnAlter,"",ROUND((SUM(DW$56:DW91)+SUM(GO$9:GO$56))/VLOOKUP($CU91,$AH$9:$AI$102,2)/VLOOKUP($CU91-FH$103,Männer!$G$9:$J$102,4),Rundäx)))</f>
        <v/>
      </c>
      <c r="FI91" s="43" t="str">
        <f>IF($CU91&gt;=RAF,"",IF($CU91-FI$103&lt;BeginnAlter,"",ROUND((SUM(DX$56:DX91)+SUM(GP$9:GP$56))/VLOOKUP($CU91,$AH$9:$AI$102,2)/VLOOKUP($CU91-FI$103,Männer!$G$9:$J$102,4),Rundäx)))</f>
        <v/>
      </c>
      <c r="FJ91" s="43" t="str">
        <f>IF($CU91&gt;=RAF,"",IF($CU91-FJ$103&lt;BeginnAlter,"",ROUND((SUM(DY$56:DY91)+SUM(GQ$9:GQ$56))/VLOOKUP($CU91,$AH$9:$AI$102,2)/VLOOKUP($CU91-FJ$103,Männer!$G$9:$J$102,4),Rundäx)))</f>
        <v/>
      </c>
      <c r="FK91" s="43" t="str">
        <f>IF($CU91&gt;=RAF,"",IF($CU91-FK$103&lt;BeginnAlter,"",ROUND((SUM(DZ$56:DZ91)+SUM(GR$9:GR$56))/VLOOKUP($CU91,$AH$9:$AI$102,2)/VLOOKUP($CU91-FK$103,Männer!$G$9:$J$102,4),Rundäx)))</f>
        <v/>
      </c>
      <c r="FL91" s="89"/>
      <c r="FM91" s="35">
        <f t="shared" si="141"/>
        <v>146</v>
      </c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4"/>
      <c r="GT91" s="24"/>
      <c r="GU91" s="24" t="str">
        <f>IF(FM91&gt;=RAF," ",#REF!/$AI91/Frauen!$J79)</f>
        <v xml:space="preserve"> </v>
      </c>
      <c r="GV91" s="24" t="str">
        <f>IF(FM91&gt;=RAF," ",#REF!/$AI91/Frauen!$J82)</f>
        <v xml:space="preserve"> </v>
      </c>
      <c r="GW91" s="24" t="str">
        <f>IF(FM91&gt;=RAF," ",#REF!/$AI91/Frauen!$J85)</f>
        <v xml:space="preserve"> </v>
      </c>
      <c r="GX91" s="24" t="str">
        <f>IF(FM91&gt;=RAF," ",#REF!/$AI91/Frauen!$J88)</f>
        <v xml:space="preserve"> </v>
      </c>
      <c r="GY91" s="24" t="str">
        <f>IF(FM91&gt;=RAF," ",#REF!/$AI91/Frauen!$J91)</f>
        <v xml:space="preserve"> </v>
      </c>
      <c r="GZ91" s="24" t="str">
        <f>IF(FM91&gt;=RAF," ",#REF!/$AI91/Frauen!$J94)</f>
        <v xml:space="preserve"> </v>
      </c>
      <c r="HA91" s="89"/>
      <c r="HB91" s="35">
        <f t="shared" si="142"/>
        <v>146</v>
      </c>
      <c r="HC91" s="24"/>
      <c r="HD91" s="24"/>
      <c r="HE91" s="24"/>
      <c r="HF91" s="24"/>
      <c r="HG91" s="24"/>
      <c r="HH91" s="24"/>
      <c r="HI91" s="24"/>
      <c r="HJ91" s="24"/>
      <c r="HK91" s="89"/>
      <c r="HL91" s="35">
        <f t="shared" si="143"/>
        <v>146</v>
      </c>
      <c r="HM91" s="24"/>
      <c r="HN91" s="24"/>
      <c r="HO91" s="24"/>
      <c r="HP91" s="24"/>
      <c r="HQ91" s="24"/>
      <c r="HR91" s="24"/>
      <c r="HS91" s="24"/>
      <c r="HT91" s="24"/>
      <c r="HU91" s="89"/>
      <c r="HV91" s="35">
        <f t="shared" si="144"/>
        <v>146</v>
      </c>
      <c r="HW91" s="24"/>
      <c r="HX91" s="24"/>
      <c r="HY91" s="24"/>
      <c r="HZ91" s="24"/>
      <c r="IA91" s="24"/>
      <c r="IB91" s="24"/>
      <c r="IC91" s="24"/>
      <c r="ID91" s="89"/>
      <c r="IE91" s="9">
        <f t="shared" si="145"/>
        <v>99</v>
      </c>
      <c r="IF91" s="11" t="str">
        <f t="shared" si="101"/>
        <v/>
      </c>
      <c r="IG91" s="11" t="str">
        <f>IF($IE91&lt;RAF,IF(S92&lt;=RAK,ROUND(SUM(IF91:INDEX(Daky,RAF-BeginnAlter))+INDEX(Day,RAF-BeginnAlter+1)*INDEX(äky,1),RundDx),0),"")</f>
        <v/>
      </c>
      <c r="IH91" s="11" t="str">
        <f>IF($IE91&lt;RAF,IF(S92&lt;=RAK,ROUND(SUM(IG91:INDEX(Naky,RAF-BeginnAlter))+INDEX(Day,RAF-BeginnAlter+1)*INDEX(äky,1),RundDx),0),"")</f>
        <v/>
      </c>
      <c r="II91" s="10" t="str">
        <f t="shared" si="102"/>
        <v/>
      </c>
      <c r="IJ91" s="11" t="str">
        <f t="shared" si="103"/>
        <v/>
      </c>
      <c r="IK91" s="11" t="str">
        <f>IF($IE91&lt;RAF,IF(S92&lt;=RAK,SUM(IJ91:INDEX(Diky,RAF-BeginnAlter))+INDEX(Diy,RAF-BeginnAlter+1)*INDEX(äky,1),0),"")</f>
        <v/>
      </c>
      <c r="IL91" s="10" t="str">
        <f t="shared" si="104"/>
        <v/>
      </c>
      <c r="IM91" s="89"/>
      <c r="IN91" s="9">
        <f t="shared" si="105"/>
        <v>146</v>
      </c>
      <c r="IO91" s="11"/>
      <c r="IP91" s="11"/>
      <c r="IQ91" s="10"/>
      <c r="IR91" s="86"/>
    </row>
    <row r="92" spans="1:252" ht="15.75" customHeight="1" x14ac:dyDescent="0.25">
      <c r="A92" s="9">
        <f t="shared" si="125"/>
        <v>100</v>
      </c>
      <c r="B92" s="93"/>
      <c r="C92" s="93"/>
      <c r="D92" s="93"/>
      <c r="E92" s="93">
        <v>0.45455978880263315</v>
      </c>
      <c r="F92" s="89"/>
      <c r="G92" s="9">
        <f t="shared" si="126"/>
        <v>100</v>
      </c>
      <c r="H92" s="11" t="str">
        <f t="shared" si="106"/>
        <v/>
      </c>
      <c r="I92" s="25" t="str">
        <f t="shared" si="107"/>
        <v/>
      </c>
      <c r="J92" s="25">
        <f t="shared" si="108"/>
        <v>1436</v>
      </c>
      <c r="K92" s="30">
        <f>IF(J92&gt;0,ROUND(SUM(J92:J$102)/J92-0.5,Rundex),"")</f>
        <v>1.44</v>
      </c>
      <c r="L92" s="25">
        <f t="shared" si="83"/>
        <v>1436</v>
      </c>
      <c r="M92" s="30">
        <f>IF(L92&gt;0,ROUND(SUM(L92:L$102)/L92-0.5,Rundex),"")</f>
        <v>1.44</v>
      </c>
      <c r="N92" s="89"/>
      <c r="O92" s="9">
        <f t="shared" si="127"/>
        <v>100</v>
      </c>
      <c r="P92" s="94">
        <v>2.4453992068153162E-3</v>
      </c>
      <c r="Q92" s="95">
        <v>99.456705046843666</v>
      </c>
      <c r="R92" s="94"/>
      <c r="S92" s="95"/>
      <c r="T92" s="28">
        <v>0.46183575705695068</v>
      </c>
      <c r="U92" s="11">
        <f t="shared" si="109"/>
        <v>1607</v>
      </c>
      <c r="V92" s="30">
        <f>IF(U92&gt;0,ROUND(SUM(U92:U$102)/U92-0.5,Rundex),"")</f>
        <v>1.47</v>
      </c>
      <c r="W92" s="89"/>
      <c r="X92" s="9">
        <f t="shared" si="128"/>
        <v>100</v>
      </c>
      <c r="Y92" s="11" t="str">
        <f t="shared" si="110"/>
        <v xml:space="preserve"> </v>
      </c>
      <c r="Z92" s="11" t="str">
        <f>IF($X92&lt;RAF,SUM(Y92:INDEX(Day,RAF-BeginnAlter))," ")</f>
        <v xml:space="preserve"> </v>
      </c>
      <c r="AA92" s="11" t="str">
        <f t="shared" si="81"/>
        <v xml:space="preserve"> </v>
      </c>
      <c r="AB92" s="11" t="str">
        <f>IF($X92&lt;RAF,SUM(AA92:INDEX(Cay,RAF-BeginnAlter))," ")</f>
        <v xml:space="preserve"> </v>
      </c>
      <c r="AC92" s="11" t="str">
        <f t="shared" si="82"/>
        <v xml:space="preserve"> </v>
      </c>
      <c r="AD92" s="11" t="str">
        <f>IF($X92&lt;RAF,SUM(AC92:INDEX(Caiy,RAF-BeginnAlter))," ")</f>
        <v xml:space="preserve"> </v>
      </c>
      <c r="AE92" s="10" t="str">
        <f t="shared" si="111"/>
        <v xml:space="preserve"> </v>
      </c>
      <c r="AF92" s="10" t="str">
        <f t="shared" si="112"/>
        <v xml:space="preserve"> </v>
      </c>
      <c r="AG92" s="89"/>
      <c r="AH92" s="9">
        <f t="shared" si="129"/>
        <v>100</v>
      </c>
      <c r="AI92" s="11" t="str">
        <f t="shared" si="113"/>
        <v xml:space="preserve"> </v>
      </c>
      <c r="AJ92" s="11" t="str">
        <f>IF($AH92&gt;RAF," ",IF($AH92&lt;RAF,SUM(AI92:INDEX(Diy,RAF-BeginnAlter))+INDEX(Ny,RAF-BeginnAlter+1),INDEX(Ny,RAF-BeginnAlter+1)))</f>
        <v xml:space="preserve"> </v>
      </c>
      <c r="AK92" s="11" t="str">
        <f>IF($AH92&lt;RAF,SUM(AI92:INDEX(Diy,RAF-BeginnAlter))," ")</f>
        <v xml:space="preserve"> </v>
      </c>
      <c r="AL92" s="10" t="str">
        <f t="shared" si="114"/>
        <v xml:space="preserve"> </v>
      </c>
      <c r="AM92" s="10" t="str">
        <f t="shared" si="115"/>
        <v xml:space="preserve"> </v>
      </c>
      <c r="AN92" s="10" t="str">
        <f t="shared" si="116"/>
        <v xml:space="preserve"> </v>
      </c>
      <c r="AO92" s="10" t="str">
        <f t="shared" si="117"/>
        <v xml:space="preserve"> </v>
      </c>
      <c r="AP92" s="89"/>
      <c r="AQ92" s="9">
        <f t="shared" si="130"/>
        <v>100</v>
      </c>
      <c r="AR92" s="11">
        <f t="shared" si="118"/>
        <v>155</v>
      </c>
      <c r="AS92" s="11">
        <f>SUM(AR92:AR$96)</f>
        <v>296</v>
      </c>
      <c r="AT92" s="25" t="str">
        <f>IF($AQ92&lt;RAF,SUM(AR92:INDEX(Dy,RAF-BeginnAlter))," ")</f>
        <v xml:space="preserve"> </v>
      </c>
      <c r="AU92" s="24">
        <f t="shared" si="119"/>
        <v>1.91</v>
      </c>
      <c r="AV92" s="24">
        <f t="shared" si="120"/>
        <v>1.4510000000000001</v>
      </c>
      <c r="AW92" s="24" t="str">
        <f t="shared" si="121"/>
        <v xml:space="preserve"> </v>
      </c>
      <c r="AX92" s="24" t="str">
        <f t="shared" si="122"/>
        <v xml:space="preserve"> </v>
      </c>
      <c r="AY92" s="89"/>
      <c r="AZ92" s="9">
        <f t="shared" si="131"/>
        <v>100</v>
      </c>
      <c r="BA92" s="11">
        <f t="shared" si="123"/>
        <v>174</v>
      </c>
      <c r="BB92" s="11">
        <f>SUM(BA92:BA$96)</f>
        <v>334</v>
      </c>
      <c r="BC92" s="10">
        <f t="shared" si="124"/>
        <v>1.92</v>
      </c>
      <c r="BD92" s="10">
        <f t="shared" si="84"/>
        <v>1.4610000000000001</v>
      </c>
      <c r="BE92" s="89"/>
      <c r="BF92" s="9">
        <f t="shared" si="132"/>
        <v>83</v>
      </c>
      <c r="BG92" s="10" t="str">
        <f t="shared" si="85"/>
        <v/>
      </c>
      <c r="BH92" s="10" t="str">
        <f t="shared" si="86"/>
        <v/>
      </c>
      <c r="BI92" s="89"/>
      <c r="BJ92" s="9">
        <f t="shared" si="133"/>
        <v>100</v>
      </c>
      <c r="BK92" s="11" t="str">
        <f t="shared" si="87"/>
        <v xml:space="preserve"> </v>
      </c>
      <c r="BL92" s="11" t="str">
        <f>IF(BJ92&lt;RAF,SUM(BK92:INDEX(Daiy,RAF-BeginnAlter))," ")</f>
        <v xml:space="preserve"> </v>
      </c>
      <c r="BM92" s="11" t="str">
        <f>IF(BJ92&lt;RAF,SUM(BL92:INDEX(Naiy,RAF-BeginnAlter))," ")</f>
        <v xml:space="preserve"> </v>
      </c>
      <c r="BN92" s="10" t="str">
        <f t="shared" si="88"/>
        <v xml:space="preserve"> </v>
      </c>
      <c r="BO92" s="10" t="str">
        <f t="shared" si="89"/>
        <v xml:space="preserve"> </v>
      </c>
      <c r="BP92" s="89"/>
      <c r="BQ92" s="9">
        <f t="shared" si="134"/>
        <v>100</v>
      </c>
      <c r="BR92" s="11" t="str">
        <f t="shared" si="90"/>
        <v xml:space="preserve"> </v>
      </c>
      <c r="BS92" s="11" t="str">
        <f>IF(BQ92&lt;RAF,SUM(BR92:INDEX(Daiys,RAF-BeginnAlter))," ")</f>
        <v xml:space="preserve"> </v>
      </c>
      <c r="BT92" s="11" t="str">
        <f>IF(BQ92&lt;RAF,SUM(BS92:INDEX(Naiys,RAF-BeginnAlter))," ")</f>
        <v xml:space="preserve"> </v>
      </c>
      <c r="BU92" s="10" t="str">
        <f t="shared" si="91"/>
        <v xml:space="preserve"> </v>
      </c>
      <c r="BV92" s="10" t="str">
        <f t="shared" si="92"/>
        <v xml:space="preserve"> </v>
      </c>
      <c r="BW92" s="89"/>
      <c r="BX92" s="9">
        <f t="shared" si="135"/>
        <v>100</v>
      </c>
      <c r="BY92" s="10" t="str">
        <f t="shared" si="93"/>
        <v/>
      </c>
      <c r="BZ92" s="11" t="str">
        <f t="shared" si="94"/>
        <v/>
      </c>
      <c r="CA92" s="11" t="str">
        <f>IF(S93&lt;=RAK,IF($BX92&lt;RAF,SUM(BZ92:INDEX(Dazy,RAF-BeginnAlter)),""),"")</f>
        <v/>
      </c>
      <c r="CB92" s="10" t="str">
        <f t="shared" si="95"/>
        <v/>
      </c>
      <c r="CC92" s="11">
        <f t="shared" si="96"/>
        <v>0</v>
      </c>
      <c r="CD92" s="10">
        <f t="shared" si="97"/>
        <v>0</v>
      </c>
      <c r="CE92" s="10" t="str">
        <f t="shared" si="98"/>
        <v/>
      </c>
      <c r="CF92" s="89"/>
      <c r="CG92" s="9">
        <f t="shared" si="136"/>
        <v>100</v>
      </c>
      <c r="CH92" s="11" t="str">
        <f>IF(CG92&lt;RAF,ROUND(v^($CG92+FaktorAlter)*$H92*($B92*0.5*($P92+$P93)*(VLOOKUP(TRUNC(0.5*($Q92+$Q93),0),Männer!$AZ$9:$BD$95,5)+(0.5*($Q92+$Q93)-TRUNC(0.5*($Q92+$Q93),0))*(VLOOKUP(TRUNC(0.5*($Q92+$Q93)+1,0),Männer!$AZ$9:$BD$95,5)-VLOOKUP(TRUNC(0.5*($Q92+$Q93),0),Männer!$AZ$9:$BD$95,5)))+$C92*0.5*($CN92+$CN93)),RundDx),"")</f>
        <v/>
      </c>
      <c r="CI92" s="11" t="str">
        <f>IF(CG92&lt;RAF,ROUND(SUM(CH92:INDEX(Dawy,RAF-BeginnAlter))+INDEX(Day,RAF-BeginnAlter+1)*INDEX(äwy,1),RundDx),"")</f>
        <v/>
      </c>
      <c r="CJ92" s="11" t="str">
        <f>IF(CG92&lt;RAF,ROUND(SUM(CI92:INDEX(Nawy,RAF-BeginnAlter))+INDEX(Day,RAF-BeginnAlter+1)*INDEX(äwy,1),RundDx),"")</f>
        <v/>
      </c>
      <c r="CK92" s="10" t="str">
        <f t="shared" si="99"/>
        <v/>
      </c>
      <c r="CL92" s="11" t="str">
        <f>IF(CG92&lt;RAF,ROUND(v^($CG92+FaktorAlter)*$L92*$D92*0.5*($P92+$P93)*(VLOOKUP(TRUNC(0.5*($Q92+$Q93),0),Männer!$AZ$9:$BD$95,5)+(0.5*($Q92+$Q93)-TRUNC(0.5*($Q92+$Q93),0))*(VLOOKUP(TRUNC(0.5*($Q92+$Q93)+1,0),Männer!$AZ$9:$BD$95,5)-VLOOKUP(TRUNC(0.5*($Q92+$Q93),0),Männer!$AZ$9:$BD$95,5))),RundDx),"")</f>
        <v/>
      </c>
      <c r="CM92" s="11" t="str">
        <f>IF(CG92&lt;RAF,SUM(CL92:INDEX(Diwy,RAF-BeginnAlter))+INDEX(Diy,RAF-BeginnAlter+1)*INDEX(äwy,1),"")</f>
        <v/>
      </c>
      <c r="CN92" s="10" t="str">
        <f t="shared" si="100"/>
        <v/>
      </c>
      <c r="CO92" s="89"/>
      <c r="CP92" s="9">
        <f t="shared" si="146"/>
        <v>147</v>
      </c>
      <c r="CQ92" s="11"/>
      <c r="CR92" s="11"/>
      <c r="CS92" s="10"/>
      <c r="CT92" s="89"/>
      <c r="CU92" s="35">
        <f t="shared" si="137"/>
        <v>100</v>
      </c>
      <c r="CV92" s="25" t="str">
        <f>IF($CU92&gt;=RAF,"",IF($CU92-CV$103&lt;BeginnAlter,"",ROUND(v^($CU92+FaktorAlter)*$L92*$D92*0.5*(VLOOKUP($CU92-CV$103,Männer!$G$9:$J$102,4)+VLOOKUP($CU92-CV$103+1,Männer!$G$9:$J$102,4))*0.5*(VLOOKUP($CU92-CV$103,Männer!$AZ$9:$BD$102,5)+VLOOKUP($CU92-CV$103+1,Männer!$AZ$9:$BD$102,5)),RundDx)))</f>
        <v/>
      </c>
      <c r="CW92" s="25" t="str">
        <f>IF($CU92&gt;=RAF,"",IF($CU92-CW$103&lt;BeginnAlter,"",ROUND(v^($CU92+FaktorAlter)*$L92*$D92*0.5*(VLOOKUP($CU92-CW$103,Männer!$G$9:$J$102,4)+VLOOKUP($CU92-CW$103+1,Männer!$G$9:$J$102,4))*0.5*(VLOOKUP($CU92-CW$103,Männer!$AZ$9:$BD$102,5)+VLOOKUP($CU92-CW$103+1,Männer!$AZ$9:$BD$102,5)),RundDx)))</f>
        <v/>
      </c>
      <c r="CX92" s="25" t="str">
        <f>IF($CU92&gt;=RAF,"",IF($CU92-CX$103&lt;BeginnAlter,"",ROUND(v^($CU92+FaktorAlter)*$L92*$D92*0.5*(VLOOKUP($CU92-CX$103,Männer!$G$9:$J$102,4)+VLOOKUP($CU92-CX$103+1,Männer!$G$9:$J$102,4))*0.5*(VLOOKUP($CU92-CX$103,Männer!$AZ$9:$BD$102,5)+VLOOKUP($CU92-CX$103+1,Männer!$AZ$9:$BD$102,5)),RundDx)))</f>
        <v/>
      </c>
      <c r="CY92" s="25" t="str">
        <f>IF($CU92&gt;=RAF,"",IF($CU92-CY$103&lt;BeginnAlter,"",ROUND(v^($CU92+FaktorAlter)*$L92*$D92*0.5*(VLOOKUP($CU92-CY$103,Männer!$G$9:$J$102,4)+VLOOKUP($CU92-CY$103+1,Männer!$G$9:$J$102,4))*0.5*(VLOOKUP($CU92-CY$103,Männer!$AZ$9:$BD$102,5)+VLOOKUP($CU92-CY$103+1,Männer!$AZ$9:$BD$102,5)),RundDx)))</f>
        <v/>
      </c>
      <c r="CZ92" s="25" t="str">
        <f>IF($CU92&gt;=RAF,"",IF($CU92-CZ$103&lt;BeginnAlter,"",ROUND(v^($CU92+FaktorAlter)*$L92*$D92*0.5*(VLOOKUP($CU92-CZ$103,Männer!$G$9:$J$102,4)+VLOOKUP($CU92-CZ$103+1,Männer!$G$9:$J$102,4))*0.5*(VLOOKUP($CU92-CZ$103,Männer!$AZ$9:$BD$102,5)+VLOOKUP($CU92-CZ$103+1,Männer!$AZ$9:$BD$102,5)),RundDx)))</f>
        <v/>
      </c>
      <c r="DA92" s="25" t="str">
        <f>IF($CU92&gt;=RAF,"",IF($CU92-DA$103&lt;BeginnAlter,"",ROUND(v^($CU92+FaktorAlter)*$L92*$D92*0.5*(VLOOKUP($CU92-DA$103,Männer!$G$9:$J$102,4)+VLOOKUP($CU92-DA$103+1,Männer!$G$9:$J$102,4))*0.5*(VLOOKUP($CU92-DA$103,Männer!$AZ$9:$BD$102,5)+VLOOKUP($CU92-DA$103+1,Männer!$AZ$9:$BD$102,5)),RundDx)))</f>
        <v/>
      </c>
      <c r="DB92" s="25" t="str">
        <f>IF($CU92&gt;=RAF,"",IF($CU92-DB$103&lt;BeginnAlter,"",ROUND(v^($CU92+FaktorAlter)*$L92*$D92*0.5*(VLOOKUP($CU92-DB$103,Männer!$G$9:$J$102,4)+VLOOKUP($CU92-DB$103+1,Männer!$G$9:$J$102,4))*0.5*(VLOOKUP($CU92-DB$103,Männer!$AZ$9:$BD$102,5)+VLOOKUP($CU92-DB$103+1,Männer!$AZ$9:$BD$102,5)),RundDx)))</f>
        <v/>
      </c>
      <c r="DC92" s="25" t="str">
        <f>IF($CU92&gt;=RAF,"",IF($CU92-DC$103&lt;BeginnAlter,"",ROUND(v^($CU92+FaktorAlter)*$L92*$D92*0.5*(VLOOKUP($CU92-DC$103,Männer!$G$9:$J$102,4)+VLOOKUP($CU92-DC$103+1,Männer!$G$9:$J$102,4))*0.5*(VLOOKUP($CU92-DC$103,Männer!$AZ$9:$BD$102,5)+VLOOKUP($CU92-DC$103+1,Männer!$AZ$9:$BD$102,5)),RundDx)))</f>
        <v/>
      </c>
      <c r="DD92" s="25" t="str">
        <f>IF($CU92&gt;=RAF,"",IF($CU92-DD$103&lt;BeginnAlter,"",ROUND(v^($CU92+FaktorAlter)*$L92*$D92*0.5*(VLOOKUP($CU92-DD$103,Männer!$G$9:$J$102,4)+VLOOKUP($CU92-DD$103+1,Männer!$G$9:$J$102,4))*0.5*(VLOOKUP($CU92-DD$103,Männer!$AZ$9:$BD$102,5)+VLOOKUP($CU92-DD$103+1,Männer!$AZ$9:$BD$102,5)),RundDx)))</f>
        <v/>
      </c>
      <c r="DE92" s="25" t="str">
        <f>IF($CU92&gt;=RAF,"",IF($CU92-DE$103&lt;BeginnAlter,"",ROUND(v^($CU92+FaktorAlter)*$L92*$D92*0.5*(VLOOKUP($CU92-DE$103,Männer!$G$9:$J$102,4)+VLOOKUP($CU92-DE$103+1,Männer!$G$9:$J$102,4))*0.5*(VLOOKUP($CU92-DE$103,Männer!$AZ$9:$BD$102,5)+VLOOKUP($CU92-DE$103+1,Männer!$AZ$9:$BD$102,5)),RundDx)))</f>
        <v/>
      </c>
      <c r="DF92" s="25" t="str">
        <f>IF($CU92&gt;=RAF,"",IF($CU92-DF$103&lt;BeginnAlter,"",ROUND(v^($CU92+FaktorAlter)*$L92*$D92*0.5*(VLOOKUP($CU92-DF$103,Männer!$G$9:$J$102,4)+VLOOKUP($CU92-DF$103+1,Männer!$G$9:$J$102,4))*0.5*(VLOOKUP($CU92-DF$103,Männer!$AZ$9:$BD$102,5)+VLOOKUP($CU92-DF$103+1,Männer!$AZ$9:$BD$102,5)),RundDx)))</f>
        <v/>
      </c>
      <c r="DG92" s="25" t="str">
        <f>IF($CU92&gt;=RAF,"",IF($CU92-DG$103&lt;BeginnAlter,"",ROUND(v^($CU92+FaktorAlter)*$L92*$D92*0.5*(VLOOKUP($CU92-DG$103,Männer!$G$9:$J$102,4)+VLOOKUP($CU92-DG$103+1,Männer!$G$9:$J$102,4))*0.5*(VLOOKUP($CU92-DG$103,Männer!$AZ$9:$BD$102,5)+VLOOKUP($CU92-DG$103+1,Männer!$AZ$9:$BD$102,5)),RundDx)))</f>
        <v/>
      </c>
      <c r="DH92" s="25" t="str">
        <f>IF($CU92&gt;=RAF,"",IF($CU92-DH$103&lt;BeginnAlter,"",ROUND(v^($CU92+FaktorAlter)*$L92*$D92*0.5*(VLOOKUP($CU92-DH$103,Männer!$G$9:$J$102,4)+VLOOKUP($CU92-DH$103+1,Männer!$G$9:$J$102,4))*0.5*(VLOOKUP($CU92-DH$103,Männer!$AZ$9:$BD$102,5)+VLOOKUP($CU92-DH$103+1,Männer!$AZ$9:$BD$102,5)),RundDx)))</f>
        <v/>
      </c>
      <c r="DI92" s="25" t="str">
        <f>IF($CU92&gt;=RAF,"",IF($CU92-DI$103&lt;BeginnAlter,"",ROUND(v^($CU92+FaktorAlter)*$L92*$D92*0.5*(VLOOKUP($CU92-DI$103,Männer!$G$9:$J$102,4)+VLOOKUP($CU92-DI$103+1,Männer!$G$9:$J$102,4))*0.5*(VLOOKUP($CU92-DI$103,Männer!$AZ$9:$BD$102,5)+VLOOKUP($CU92-DI$103+1,Männer!$AZ$9:$BD$102,5)),RundDx)))</f>
        <v/>
      </c>
      <c r="DJ92" s="25" t="str">
        <f>IF($CU92&gt;=RAF,"",IF($CU92-DJ$103&lt;BeginnAlter,"",ROUND(v^($CU92+FaktorAlter)*$L92*$D92*0.5*(VLOOKUP($CU92-DJ$103,Männer!$G$9:$J$102,4)+VLOOKUP($CU92-DJ$103+1,Männer!$G$9:$J$102,4))*0.5*(VLOOKUP($CU92-DJ$103,Männer!$AZ$9:$BD$102,5)+VLOOKUP($CU92-DJ$103+1,Männer!$AZ$9:$BD$102,5)),RundDx)))</f>
        <v/>
      </c>
      <c r="DK92" s="25" t="str">
        <f>IF($CU92&gt;=RAF,"",IF($CU92-DK$103&lt;BeginnAlter,"",ROUND(v^($CU92+FaktorAlter)*$L92*$D92*0.5*(VLOOKUP($CU92-DK$103,Männer!$G$9:$J$102,4)+VLOOKUP($CU92-DK$103+1,Männer!$G$9:$J$102,4))*0.5*(VLOOKUP($CU92-DK$103,Männer!$AZ$9:$BD$102,5)+VLOOKUP($CU92-DK$103+1,Männer!$AZ$9:$BD$102,5)),RundDx)))</f>
        <v/>
      </c>
      <c r="DL92" s="25" t="str">
        <f>IF($CU92&gt;=RAF,"",IF($CU92-DL$103&lt;BeginnAlter,"",ROUND(v^($CU92+FaktorAlter)*$L92*$D92*0.5*(VLOOKUP($CU92-DL$103,Männer!$G$9:$J$102,4)+VLOOKUP($CU92-DL$103+1,Männer!$G$9:$J$102,4))*0.5*(VLOOKUP($CU92-DL$103,Männer!$AZ$9:$BD$102,5)+VLOOKUP($CU92-DL$103+1,Männer!$AZ$9:$BD$102,5)),RundDx)))</f>
        <v/>
      </c>
      <c r="DM92" s="25" t="str">
        <f>IF($CU92&gt;=RAF,"",IF($CU92-DM$103&lt;BeginnAlter,"",ROUND(v^($CU92+FaktorAlter)*$L92*$D92*0.5*(VLOOKUP($CU92-DM$103,Männer!$G$9:$J$102,4)+VLOOKUP($CU92-DM$103+1,Männer!$G$9:$J$102,4))*0.5*(VLOOKUP($CU92-DM$103,Männer!$AZ$9:$BD$102,5)+VLOOKUP($CU92-DM$103+1,Männer!$AZ$9:$BD$102,5)),RundDx)))</f>
        <v/>
      </c>
      <c r="DN92" s="25" t="str">
        <f>IF($CU92&gt;=RAF,"",IF($CU92-DN$103&lt;BeginnAlter,"",ROUND(v^($CU92+FaktorAlter)*$L92*$D92*0.5*(VLOOKUP($CU92-DN$103,Männer!$G$9:$J$102,4)+VLOOKUP($CU92-DN$103+1,Männer!$G$9:$J$102,4))*0.5*(VLOOKUP($CU92-DN$103,Männer!$AZ$9:$BD$102,5)+VLOOKUP($CU92-DN$103+1,Männer!$AZ$9:$BD$102,5)),RundDx)))</f>
        <v/>
      </c>
      <c r="DO92" s="25" t="str">
        <f>IF($CU92&gt;=RAF,"",IF($CU92-DO$103&lt;BeginnAlter,"",ROUND(v^($CU92+FaktorAlter)*$L92*$D92*0.5*(VLOOKUP($CU92-DO$103,Männer!$G$9:$J$102,4)+VLOOKUP($CU92-DO$103+1,Männer!$G$9:$J$102,4))*0.5*(VLOOKUP($CU92-DO$103,Männer!$AZ$9:$BD$102,5)+VLOOKUP($CU92-DO$103+1,Männer!$AZ$9:$BD$102,5)),RundDx)))</f>
        <v/>
      </c>
      <c r="DP92" s="25" t="str">
        <f>IF($CU92&gt;=RAF,"",IF($CU92-DP$103&lt;BeginnAlter,"",ROUND(v^($CU92+FaktorAlter)*$L92*$D92*0.5*(VLOOKUP($CU92-DP$103,Männer!$G$9:$J$102,4)+VLOOKUP($CU92-DP$103+1,Männer!$G$9:$J$102,4))*0.5*(VLOOKUP($CU92-DP$103,Männer!$AZ$9:$BD$102,5)+VLOOKUP($CU92-DP$103+1,Männer!$AZ$9:$BD$102,5)),RundDx)))</f>
        <v/>
      </c>
      <c r="DQ92" s="25" t="str">
        <f>IF($CU92&gt;=RAF,"",IF($CU92-DQ$103&lt;BeginnAlter,"",ROUND(v^($CU92+FaktorAlter)*$L92*$D92*0.5*(VLOOKUP($CU92-DQ$103,Männer!$G$9:$J$102,4)+VLOOKUP($CU92-DQ$103+1,Männer!$G$9:$J$102,4))*0.5*(VLOOKUP($CU92-DQ$103,Männer!$AZ$9:$BD$102,5)+VLOOKUP($CU92-DQ$103+1,Männer!$AZ$9:$BD$102,5)),RundDx)))</f>
        <v/>
      </c>
      <c r="DR92" s="25" t="str">
        <f>IF($CU92&gt;=RAF,"",IF($CU92-DR$103&lt;BeginnAlter,"",ROUND(v^($CU92+FaktorAlter)*$L92*$D92*0.5*(VLOOKUP($CU92-DR$103,Männer!$G$9:$J$102,4)+VLOOKUP($CU92-DR$103+1,Männer!$G$9:$J$102,4))*0.5*(VLOOKUP($CU92-DR$103,Männer!$AZ$9:$BD$102,5)+VLOOKUP($CU92-DR$103+1,Männer!$AZ$9:$BD$102,5)),RundDx)))</f>
        <v/>
      </c>
      <c r="DS92" s="25" t="str">
        <f>IF($CU92&gt;=RAF,"",IF($CU92-DS$103&lt;BeginnAlter,"",ROUND(v^($CU92+FaktorAlter)*$L92*$D92*0.5*(VLOOKUP($CU92-DS$103,Männer!$G$9:$J$102,4)+VLOOKUP($CU92-DS$103+1,Männer!$G$9:$J$102,4))*0.5*(VLOOKUP($CU92-DS$103,Männer!$AZ$9:$BD$102,5)+VLOOKUP($CU92-DS$103+1,Männer!$AZ$9:$BD$102,5)),RundDx)))</f>
        <v/>
      </c>
      <c r="DT92" s="25" t="str">
        <f>IF($CU92&gt;=RAF,"",IF($CU92-DT$103&lt;BeginnAlter,"",ROUND(v^($CU92+FaktorAlter)*$L92*$D92*0.5*(VLOOKUP($CU92-DT$103,Männer!$G$9:$J$102,4)+VLOOKUP($CU92-DT$103+1,Männer!$G$9:$J$102,4))*0.5*(VLOOKUP($CU92-DT$103,Männer!$AZ$9:$BD$102,5)+VLOOKUP($CU92-DT$103+1,Männer!$AZ$9:$BD$102,5)),RundDx)))</f>
        <v/>
      </c>
      <c r="DU92" s="25" t="str">
        <f>IF($CU92&gt;=RAF,"",IF($CU92-DU$103&lt;BeginnAlter,"",ROUND(v^($CU92+FaktorAlter)*$L92*$D92*0.5*(VLOOKUP($CU92-DU$103,Männer!$G$9:$J$102,4)+VLOOKUP($CU92-DU$103+1,Männer!$G$9:$J$102,4))*0.5*(VLOOKUP($CU92-DU$103,Männer!$AZ$9:$BD$102,5)+VLOOKUP($CU92-DU$103+1,Männer!$AZ$9:$BD$102,5)),RundDx)))</f>
        <v/>
      </c>
      <c r="DV92" s="25" t="str">
        <f>IF($CU92&gt;=RAF,"",IF($CU92-DV$103&lt;BeginnAlter,"",ROUND(v^($CU92+FaktorAlter)*$L92*$D92*0.5*(VLOOKUP($CU92-DV$103,Männer!$G$9:$J$102,4)+VLOOKUP($CU92-DV$103+1,Männer!$G$9:$J$102,4))*0.5*(VLOOKUP($CU92-DV$103,Männer!$AZ$9:$BD$102,5)+VLOOKUP($CU92-DV$103+1,Männer!$AZ$9:$BD$102,5)),RundDx)))</f>
        <v/>
      </c>
      <c r="DW92" s="25" t="str">
        <f>IF($CU92&gt;=RAF,"",IF($CU92-DW$103&lt;BeginnAlter,"",ROUND(v^($CU92+FaktorAlter)*$L92*$D92*0.5*(VLOOKUP($CU92-DW$103,Männer!$G$9:$J$102,4)+VLOOKUP($CU92-DW$103+1,Männer!$G$9:$J$102,4))*0.5*(VLOOKUP($CU92-DW$103,Männer!$AZ$9:$BD$102,5)+VLOOKUP($CU92-DW$103+1,Männer!$AZ$9:$BD$102,5)),RundDx)))</f>
        <v/>
      </c>
      <c r="DX92" s="25" t="str">
        <f>IF($CU92&gt;=RAF,"",IF($CU92-DX$103&lt;BeginnAlter,"",ROUND(v^($CU92+FaktorAlter)*$L92*$D92*0.5*(VLOOKUP($CU92-DX$103,Männer!$G$9:$J$102,4)+VLOOKUP($CU92-DX$103+1,Männer!$G$9:$J$102,4))*0.5*(VLOOKUP($CU92-DX$103,Männer!$AZ$9:$BD$102,5)+VLOOKUP($CU92-DX$103+1,Männer!$AZ$9:$BD$102,5)),RundDx)))</f>
        <v/>
      </c>
      <c r="DY92" s="25" t="str">
        <f>IF($CU92&gt;=RAF,"",IF($CU92-DY$103&lt;BeginnAlter,"",ROUND(v^($CU92+FaktorAlter)*$L92*$D92*0.5*(VLOOKUP($CU92-DY$103,Männer!$G$9:$J$102,4)+VLOOKUP($CU92-DY$103+1,Männer!$G$9:$J$102,4))*0.5*(VLOOKUP($CU92-DY$103,Männer!$AZ$9:$BD$102,5)+VLOOKUP($CU92-DY$103+1,Männer!$AZ$9:$BD$102,5)),RundDx)))</f>
        <v/>
      </c>
      <c r="DZ92" s="25" t="str">
        <f>IF($CU92&gt;=RAF,"",IF($CU92-DZ$103&lt;BeginnAlter,"",ROUND(v^($CU92+FaktorAlter)*$L92*$D92*0.5*(VLOOKUP($CU92-DZ$103,Männer!$G$9:$J$102,4)+VLOOKUP($CU92-DZ$103+1,Männer!$G$9:$J$102,4))*0.5*(VLOOKUP($CU92-DZ$103,Männer!$AZ$9:$BD$102,5)+VLOOKUP($CU92-DZ$103+1,Männer!$AZ$9:$BD$102,5)),RundDx)))</f>
        <v/>
      </c>
      <c r="EA92" s="43" t="str">
        <f>IF($CU92&gt;=RAF,"",IF($CU92-EA$103&lt;BeginnAlter,"",ROUND((SUM(CV$56:CV92)+SUM(FN$9:FN$56))/VLOOKUP($CU92,$AH$9:$AI$102,2)/VLOOKUP($CU92-EA$103,Männer!$G$9:$J$102,4),Rundäx)))</f>
        <v/>
      </c>
      <c r="EB92" s="43" t="str">
        <f>IF($CU92&gt;=RAF,"",IF($CU92-EB$103&lt;BeginnAlter,"",ROUND((SUM(CW$56:CW92)+SUM(FO$9:FO$56))/VLOOKUP($CU92,$AH$9:$AI$102,2)/VLOOKUP($CU92-EB$103,Männer!$G$9:$J$102,4),Rundäx)))</f>
        <v/>
      </c>
      <c r="EC92" s="43" t="str">
        <f>IF($CU92&gt;=RAF,"",IF($CU92-EC$103&lt;BeginnAlter,"",ROUND((SUM(CX$56:CX92)+SUM(FP$9:FP$56))/VLOOKUP($CU92,$AH$9:$AI$102,2)/VLOOKUP($CU92-EC$103,Männer!$G$9:$J$102,4),Rundäx)))</f>
        <v/>
      </c>
      <c r="ED92" s="43" t="str">
        <f>IF($CU92&gt;=RAF,"",IF($CU92-ED$103&lt;BeginnAlter,"",ROUND((SUM(CY$56:CY92)+SUM(FQ$9:FQ$56))/VLOOKUP($CU92,$AH$9:$AI$102,2)/VLOOKUP($CU92-ED$103,Männer!$G$9:$J$102,4),Rundäx)))</f>
        <v/>
      </c>
      <c r="EE92" s="43" t="str">
        <f>IF($CU92&gt;=RAF,"",IF($CU92-EE$103&lt;BeginnAlter,"",ROUND((SUM(CZ$56:CZ92)+SUM(FR$9:FR$56))/VLOOKUP($CU92,$AH$9:$AI$102,2)/VLOOKUP($CU92-EE$103,Männer!$G$9:$J$102,4),Rundäx)))</f>
        <v/>
      </c>
      <c r="EF92" s="43" t="str">
        <f>IF($CU92&gt;=RAF,"",IF($CU92-EF$103&lt;BeginnAlter,"",ROUND((SUM(DA$56:DA92)+SUM(FS$9:FS$56))/VLOOKUP($CU92,$AH$9:$AI$102,2)/VLOOKUP($CU92-EF$103,Männer!$G$9:$J$102,4),Rundäx)))</f>
        <v/>
      </c>
      <c r="EG92" s="43" t="str">
        <f>IF($CU92&gt;=RAF,"",IF($CU92-EG$103&lt;BeginnAlter,"",ROUND((SUM(DB$56:DB92)+SUM(FT$9:FT$56))/VLOOKUP($CU92,$AH$9:$AI$102,2)/VLOOKUP($CU92-EG$103,Männer!$G$9:$J$102,4),Rundäx)))</f>
        <v/>
      </c>
      <c r="EH92" s="43" t="str">
        <f>IF($CU92&gt;=RAF,"",IF($CU92-EH$103&lt;BeginnAlter,"",ROUND((SUM(DC$56:DC92)+SUM(FU$9:FU$56))/VLOOKUP($CU92,$AH$9:$AI$102,2)/VLOOKUP($CU92-EH$103,Männer!$G$9:$J$102,4),Rundäx)))</f>
        <v/>
      </c>
      <c r="EI92" s="89"/>
      <c r="EJ92" s="35">
        <f t="shared" si="138"/>
        <v>100</v>
      </c>
      <c r="EK92" s="43" t="str">
        <f>IF($CU92&gt;=RAF,"",IF($CU92-EK$103&lt;BeginnAlter,"",ROUND((SUM(DD$56:DD92)+SUM(FV$9:FV$56))/VLOOKUP($CU92,$AH$9:$AI$102,2)/VLOOKUP($CU92-EK$103,Männer!$G$9:$J$102,4),Rundäx)))</f>
        <v/>
      </c>
      <c r="EL92" s="43" t="str">
        <f>IF($CU92&gt;=RAF,"",IF($CU92-EL$103&lt;BeginnAlter,"",ROUND((SUM(DE$56:DE92)+SUM(FW$9:FW$56))/VLOOKUP($CU92,$AH$9:$AI$102,2)/VLOOKUP($CU92-EL$103,Männer!$G$9:$J$102,4),Rundäx)))</f>
        <v/>
      </c>
      <c r="EM92" s="43" t="str">
        <f>IF($CU92&gt;=RAF,"",IF($CU92-EM$103&lt;BeginnAlter,"",ROUND((SUM(DF$56:DF92)+SUM(FX$9:FX$56))/VLOOKUP($CU92,$AH$9:$AI$102,2)/VLOOKUP($CU92-EM$103,Männer!$G$9:$J$102,4),Rundäx)))</f>
        <v/>
      </c>
      <c r="EN92" s="43" t="str">
        <f>IF($CU92&gt;=RAF,"",IF($CU92-EN$103&lt;BeginnAlter,"",ROUND((SUM(DG$56:DG92)+SUM(FY$9:FY$56))/VLOOKUP($CU92,$AH$9:$AI$102,2)/VLOOKUP($CU92-EN$103,Männer!$G$9:$J$102,4),Rundäx)))</f>
        <v/>
      </c>
      <c r="EO92" s="43" t="str">
        <f>IF($CU92&gt;=RAF,"",IF($CU92-EO$103&lt;BeginnAlter,"",ROUND((SUM(DH$56:DH92)+SUM(FZ$9:FZ$56))/VLOOKUP($CU92,$AH$9:$AI$102,2)/VLOOKUP($CU92-EO$103,Männer!$G$9:$J$102,4),Rundäx)))</f>
        <v/>
      </c>
      <c r="EP92" s="43" t="str">
        <f>IF($CU92&gt;=RAF,"",IF($CU92-EP$103&lt;BeginnAlter,"",ROUND((SUM(DI$56:DI92)+SUM(GA$9:GA$56))/VLOOKUP($CU92,$AH$9:$AI$102,2)/VLOOKUP($CU92-EP$103,Männer!$G$9:$J$102,4),Rundäx)))</f>
        <v/>
      </c>
      <c r="EQ92" s="43" t="str">
        <f>IF($CU92&gt;=RAF,"",IF($CU92-EQ$103&lt;BeginnAlter,"",ROUND((SUM(DJ$56:DJ92)+SUM(GB$9:GB$56))/VLOOKUP($CU92,$AH$9:$AI$102,2)/VLOOKUP($CU92-EQ$103,Männer!$G$9:$J$102,4),Rundäx)))</f>
        <v/>
      </c>
      <c r="ER92" s="43" t="str">
        <f>IF($CU92&gt;=RAF,"",IF($CU92-ER$103&lt;BeginnAlter,"",ROUND((SUM(DK$56:DK92)+SUM(GC$9:GC$56))/VLOOKUP($CU92,$AH$9:$AI$102,2)/VLOOKUP($CU92-ER$103,Männer!$G$9:$J$102,4),Rundäx)))</f>
        <v/>
      </c>
      <c r="ES92" s="89"/>
      <c r="ET92" s="35">
        <f t="shared" si="139"/>
        <v>100</v>
      </c>
      <c r="EU92" s="43" t="str">
        <f>IF($CU92&gt;=RAF,"",IF($CU92-EU$103&lt;BeginnAlter,"",ROUND((SUM(DL$56:DL92)+SUM(GD$9:GD$56))/VLOOKUP($CU92,$AH$9:$AI$102,2)/VLOOKUP($CU92-EU$103,Männer!$G$9:$J$102,4),Rundäx)))</f>
        <v/>
      </c>
      <c r="EV92" s="43" t="str">
        <f>IF($CU92&gt;=RAF,"",IF($CU92-EV$103&lt;BeginnAlter,"",ROUND((SUM(DM$56:DM92)+SUM(GE$9:GE$56))/VLOOKUP($CU92,$AH$9:$AI$102,2)/VLOOKUP($CU92-EV$103,Männer!$G$9:$J$102,4),Rundäx)))</f>
        <v/>
      </c>
      <c r="EW92" s="43" t="str">
        <f>IF($CU92&gt;=RAF,"",IF($CU92-EW$103&lt;BeginnAlter,"",ROUND((SUM(DN$56:DN92)+SUM(GF$9:GF$56))/VLOOKUP($CU92,$AH$9:$AI$102,2)/VLOOKUP($CU92-EW$103,Männer!$G$9:$J$102,4),Rundäx)))</f>
        <v/>
      </c>
      <c r="EX92" s="43" t="str">
        <f>IF($CU92&gt;=RAF,"",IF($CU92-EX$103&lt;BeginnAlter,"",ROUND((SUM(DO$56:DO92)+SUM(GG$9:GG$56))/VLOOKUP($CU92,$AH$9:$AI$102,2)/VLOOKUP($CU92-EX$103,Männer!$G$9:$J$102,4),Rundäx)))</f>
        <v/>
      </c>
      <c r="EY92" s="43" t="str">
        <f>IF($CU92&gt;=RAF,"",IF($CU92-EY$103&lt;BeginnAlter,"",ROUND((SUM(DP$56:DP92)+SUM(GH$9:GH$56))/VLOOKUP($CU92,$AH$9:$AI$102,2)/VLOOKUP($CU92-EY$103,Männer!$G$9:$J$102,4),Rundäx)))</f>
        <v/>
      </c>
      <c r="EZ92" s="43" t="str">
        <f>IF($CU92&gt;=RAF,"",IF($CU92-EZ$103&lt;BeginnAlter,"",ROUND((SUM(DQ$56:DQ92)+SUM(GI$9:GI$56))/VLOOKUP($CU92,$AH$9:$AI$102,2)/VLOOKUP($CU92-EZ$103,Männer!$G$9:$J$102,4),Rundäx)))</f>
        <v/>
      </c>
      <c r="FA92" s="43" t="str">
        <f>IF($CU92&gt;=RAF,"",IF($CU92-FA$103&lt;BeginnAlter,"",ROUND((SUM(DR$56:DR92)+SUM(GJ$9:GJ$56))/VLOOKUP($CU92,$AH$9:$AI$102,2)/VLOOKUP($CU92-FA$103,Männer!$G$9:$J$102,4),Rundäx)))</f>
        <v/>
      </c>
      <c r="FB92" s="43" t="str">
        <f>IF($CU92&gt;=RAF,"",IF($CU92-FB$103&lt;BeginnAlter,"",ROUND((SUM(DS$56:DS92)+SUM(GK$9:GK$56))/VLOOKUP($CU92,$AH$9:$AI$102,2)/VLOOKUP($CU92-FB$103,Männer!$G$9:$J$102,4),Rundäx)))</f>
        <v/>
      </c>
      <c r="FC92" s="89"/>
      <c r="FD92" s="35">
        <f t="shared" si="140"/>
        <v>100</v>
      </c>
      <c r="FE92" s="43" t="str">
        <f>IF($CU92&gt;=RAF,"",IF($CU92-FE$103&lt;BeginnAlter,"",ROUND((SUM(DT$56:DT92)+SUM(GL$9:GL$56))/VLOOKUP($CU92,$AH$9:$AI$102,2)/VLOOKUP($CU92-FE$103,Männer!$G$9:$J$102,4),Rundäx)))</f>
        <v/>
      </c>
      <c r="FF92" s="43" t="str">
        <f>IF($CU92&gt;=RAF,"",IF($CU92-FF$103&lt;BeginnAlter,"",ROUND((SUM(DU$56:DU92)+SUM(GM$9:GM$56))/VLOOKUP($CU92,$AH$9:$AI$102,2)/VLOOKUP($CU92-FF$103,Männer!$G$9:$J$102,4),Rundäx)))</f>
        <v/>
      </c>
      <c r="FG92" s="43" t="str">
        <f>IF($CU92&gt;=RAF,"",IF($CU92-FG$103&lt;BeginnAlter,"",ROUND((SUM(DV$56:DV92)+SUM(GN$9:GN$56))/VLOOKUP($CU92,$AH$9:$AI$102,2)/VLOOKUP($CU92-FG$103,Männer!$G$9:$J$102,4),Rundäx)))</f>
        <v/>
      </c>
      <c r="FH92" s="43" t="str">
        <f>IF($CU92&gt;=RAF,"",IF($CU92-FH$103&lt;BeginnAlter,"",ROUND((SUM(DW$56:DW92)+SUM(GO$9:GO$56))/VLOOKUP($CU92,$AH$9:$AI$102,2)/VLOOKUP($CU92-FH$103,Männer!$G$9:$J$102,4),Rundäx)))</f>
        <v/>
      </c>
      <c r="FI92" s="43" t="str">
        <f>IF($CU92&gt;=RAF,"",IF($CU92-FI$103&lt;BeginnAlter,"",ROUND((SUM(DX$56:DX92)+SUM(GP$9:GP$56))/VLOOKUP($CU92,$AH$9:$AI$102,2)/VLOOKUP($CU92-FI$103,Männer!$G$9:$J$102,4),Rundäx)))</f>
        <v/>
      </c>
      <c r="FJ92" s="43" t="str">
        <f>IF($CU92&gt;=RAF,"",IF($CU92-FJ$103&lt;BeginnAlter,"",ROUND((SUM(DY$56:DY92)+SUM(GQ$9:GQ$56))/VLOOKUP($CU92,$AH$9:$AI$102,2)/VLOOKUP($CU92-FJ$103,Männer!$G$9:$J$102,4),Rundäx)))</f>
        <v/>
      </c>
      <c r="FK92" s="43" t="str">
        <f>IF($CU92&gt;=RAF,"",IF($CU92-FK$103&lt;BeginnAlter,"",ROUND((SUM(DZ$56:DZ92)+SUM(GR$9:GR$56))/VLOOKUP($CU92,$AH$9:$AI$102,2)/VLOOKUP($CU92-FK$103,Männer!$G$9:$J$102,4),Rundäx)))</f>
        <v/>
      </c>
      <c r="FL92" s="89"/>
      <c r="FM92" s="35">
        <f t="shared" si="141"/>
        <v>147</v>
      </c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4"/>
      <c r="GT92" s="24"/>
      <c r="GU92" s="24" t="str">
        <f>IF(FM92&gt;=RAF," ",#REF!/$AI92/Frauen!$J80)</f>
        <v xml:space="preserve"> </v>
      </c>
      <c r="GV92" s="24" t="str">
        <f>IF(FM92&gt;=RAF," ",#REF!/$AI92/Frauen!$J83)</f>
        <v xml:space="preserve"> </v>
      </c>
      <c r="GW92" s="24" t="str">
        <f>IF(FM92&gt;=RAF," ",#REF!/$AI92/Frauen!$J86)</f>
        <v xml:space="preserve"> </v>
      </c>
      <c r="GX92" s="24" t="str">
        <f>IF(FM92&gt;=RAF," ",#REF!/$AI92/Frauen!$J89)</f>
        <v xml:space="preserve"> </v>
      </c>
      <c r="GY92" s="24" t="str">
        <f>IF(FM92&gt;=RAF," ",#REF!/$AI92/Frauen!$J92)</f>
        <v xml:space="preserve"> </v>
      </c>
      <c r="GZ92" s="24" t="str">
        <f>IF(FM92&gt;=RAF," ",#REF!/$AI92/Frauen!$J95)</f>
        <v xml:space="preserve"> </v>
      </c>
      <c r="HA92" s="89"/>
      <c r="HB92" s="35">
        <f t="shared" si="142"/>
        <v>147</v>
      </c>
      <c r="HC92" s="24"/>
      <c r="HD92" s="24"/>
      <c r="HE92" s="24"/>
      <c r="HF92" s="24"/>
      <c r="HG92" s="24"/>
      <c r="HH92" s="24"/>
      <c r="HI92" s="24"/>
      <c r="HJ92" s="24"/>
      <c r="HK92" s="89"/>
      <c r="HL92" s="35">
        <f t="shared" si="143"/>
        <v>147</v>
      </c>
      <c r="HM92" s="24"/>
      <c r="HN92" s="24"/>
      <c r="HO92" s="24"/>
      <c r="HP92" s="24"/>
      <c r="HQ92" s="24"/>
      <c r="HR92" s="24"/>
      <c r="HS92" s="24"/>
      <c r="HT92" s="24"/>
      <c r="HU92" s="89"/>
      <c r="HV92" s="35">
        <f t="shared" si="144"/>
        <v>147</v>
      </c>
      <c r="HW92" s="24"/>
      <c r="HX92" s="24"/>
      <c r="HY92" s="24"/>
      <c r="HZ92" s="24"/>
      <c r="IA92" s="24"/>
      <c r="IB92" s="24"/>
      <c r="IC92" s="24"/>
      <c r="ID92" s="89"/>
      <c r="IE92" s="9">
        <f t="shared" si="145"/>
        <v>100</v>
      </c>
      <c r="IF92" s="11" t="str">
        <f t="shared" si="101"/>
        <v/>
      </c>
      <c r="IG92" s="11" t="str">
        <f>IF($IE92&lt;RAF,IF(S93&lt;=RAK,ROUND(SUM(IF92:INDEX(Daky,RAF-BeginnAlter))+INDEX(Day,RAF-BeginnAlter+1)*INDEX(äky,1),RundDx),0),"")</f>
        <v/>
      </c>
      <c r="IH92" s="11" t="str">
        <f>IF($IE92&lt;RAF,IF(S93&lt;=RAK,ROUND(SUM(IG92:INDEX(Naky,RAF-BeginnAlter))+INDEX(Day,RAF-BeginnAlter+1)*INDEX(äky,1),RundDx),0),"")</f>
        <v/>
      </c>
      <c r="II92" s="10" t="str">
        <f t="shared" si="102"/>
        <v/>
      </c>
      <c r="IJ92" s="11" t="str">
        <f t="shared" si="103"/>
        <v/>
      </c>
      <c r="IK92" s="11" t="str">
        <f>IF($IE92&lt;RAF,IF(S93&lt;=RAK,SUM(IJ92:INDEX(Diky,RAF-BeginnAlter))+INDEX(Diy,RAF-BeginnAlter+1)*INDEX(äky,1),0),"")</f>
        <v/>
      </c>
      <c r="IL92" s="10" t="str">
        <f t="shared" si="104"/>
        <v/>
      </c>
      <c r="IM92" s="89"/>
      <c r="IN92" s="9">
        <f t="shared" si="105"/>
        <v>147</v>
      </c>
      <c r="IO92" s="11"/>
      <c r="IP92" s="11"/>
      <c r="IQ92" s="10"/>
      <c r="IR92" s="86"/>
    </row>
    <row r="93" spans="1:252" ht="15.75" customHeight="1" x14ac:dyDescent="0.25">
      <c r="A93" s="9">
        <f t="shared" si="125"/>
        <v>101</v>
      </c>
      <c r="B93" s="93"/>
      <c r="C93" s="93"/>
      <c r="D93" s="93"/>
      <c r="E93" s="93">
        <v>0.52226461341092145</v>
      </c>
      <c r="F93" s="89"/>
      <c r="G93" s="9">
        <f t="shared" si="126"/>
        <v>101</v>
      </c>
      <c r="H93" s="11" t="str">
        <f t="shared" si="106"/>
        <v/>
      </c>
      <c r="I93" s="25" t="str">
        <f t="shared" si="107"/>
        <v/>
      </c>
      <c r="J93" s="25">
        <f t="shared" si="108"/>
        <v>783</v>
      </c>
      <c r="K93" s="30">
        <f>IF(J93&gt;0,ROUND(SUM(J93:J$102)/J93-0.5,Rundex),"")</f>
        <v>1.23</v>
      </c>
      <c r="L93" s="25">
        <f t="shared" si="83"/>
        <v>783</v>
      </c>
      <c r="M93" s="30">
        <f>IF(L93&gt;0,ROUND(SUM(L93:L$102)/L93-0.5,Rundex),"")</f>
        <v>1.23</v>
      </c>
      <c r="N93" s="89"/>
      <c r="O93" s="9">
        <f t="shared" si="127"/>
        <v>101</v>
      </c>
      <c r="P93" s="94">
        <v>2.205399206815316E-3</v>
      </c>
      <c r="Q93" s="95">
        <v>100.39423612758354</v>
      </c>
      <c r="R93" s="94"/>
      <c r="S93" s="95"/>
      <c r="T93" s="28">
        <v>0.51350961442522836</v>
      </c>
      <c r="U93" s="11">
        <f t="shared" si="109"/>
        <v>865</v>
      </c>
      <c r="V93" s="30">
        <f>IF(U93&gt;0,ROUND(SUM(U93:U$102)/U93-0.5,Rundex),"")</f>
        <v>1.3</v>
      </c>
      <c r="W93" s="89"/>
      <c r="X93" s="9">
        <f t="shared" ref="X93:X102" si="147">1+X92</f>
        <v>101</v>
      </c>
      <c r="Y93" s="11" t="str">
        <f t="shared" ref="Y93:Y102" si="148">IF($X93&lt;=RAF,ROUND(v^X93*H93,RundDx)," ")</f>
        <v xml:space="preserve"> </v>
      </c>
      <c r="Z93" s="11" t="str">
        <f>IF($X93&lt;RAF,SUM(Y93:INDEX(Day,RAF-BeginnAlter))," ")</f>
        <v xml:space="preserve"> </v>
      </c>
      <c r="AA93" s="11" t="str">
        <f t="shared" si="81"/>
        <v xml:space="preserve"> </v>
      </c>
      <c r="AB93" s="11" t="str">
        <f>IF($X93&lt;RAF,SUM(AA93:INDEX(Cay,RAF-BeginnAlter))," ")</f>
        <v xml:space="preserve"> </v>
      </c>
      <c r="AC93" s="11" t="str">
        <f t="shared" si="82"/>
        <v xml:space="preserve"> </v>
      </c>
      <c r="AD93" s="11" t="str">
        <f>IF($X93&lt;RAF,SUM(AC93:INDEX(Caiy,RAF-BeginnAlter))," ")</f>
        <v xml:space="preserve"> </v>
      </c>
      <c r="AE93" s="10" t="str">
        <f t="shared" ref="AE93:AE102" si="149">IF($X93&lt;RAF,ROUND(Z93/Y93,Rundäx)," ")</f>
        <v xml:space="preserve"> </v>
      </c>
      <c r="AF93" s="10" t="str">
        <f t="shared" ref="AF93:AF102" si="150">IF($X93&lt;RAF,ROUND(AE93-(m-1)/(2*m)*((Y93-INDEX(Day,RAF-BeginnAlter+1))/Y93),Rundäx)," ")</f>
        <v xml:space="preserve"> </v>
      </c>
      <c r="AG93" s="89"/>
      <c r="AH93" s="9">
        <f t="shared" ref="AH93:AH102" si="151">1+AH92</f>
        <v>101</v>
      </c>
      <c r="AI93" s="11" t="str">
        <f t="shared" ref="AI93:AI102" si="152">IF($AH93&lt;=RAF,ROUND(v^AH93*L93,RundDx)," ")</f>
        <v xml:space="preserve"> </v>
      </c>
      <c r="AJ93" s="11" t="str">
        <f>IF($AH93&gt;RAF," ",IF($AH93&lt;RAF,SUM(AI93:INDEX(Diy,RAF-BeginnAlter))+INDEX(Ny,RAF-BeginnAlter+1),INDEX(Ny,RAF-BeginnAlter+1)))</f>
        <v xml:space="preserve"> </v>
      </c>
      <c r="AK93" s="11" t="str">
        <f>IF($AH93&lt;RAF,SUM(AI93:INDEX(Diy,RAF-BeginnAlter))," ")</f>
        <v xml:space="preserve"> </v>
      </c>
      <c r="AL93" s="10" t="str">
        <f t="shared" ref="AL93:AL102" si="153">IF($AH93&gt;RAF," ",ROUND(AJ93/AI93,Rundäx))</f>
        <v xml:space="preserve"> </v>
      </c>
      <c r="AM93" s="10" t="str">
        <f t="shared" ref="AM93:AM102" si="154">IF($AH93&gt;RAF," ",ROUND(AJ93/AI93-(m-1)/(2*m),Rundäx))</f>
        <v xml:space="preserve"> </v>
      </c>
      <c r="AN93" s="10" t="str">
        <f t="shared" ref="AN93:AN102" si="155">IF($AH93&lt;RAF,ROUND(AK93/AI93,Rundäx)," ")</f>
        <v xml:space="preserve"> </v>
      </c>
      <c r="AO93" s="10" t="str">
        <f t="shared" ref="AO93:AO102" si="156">IF($AH93&lt;RAF,ROUND(AK93/AI93-(m-1)/(2*m)*(AI93-INDEX(Diy,RAF-BeginnAlter+1))/AI93,Rundäx)," ")</f>
        <v xml:space="preserve"> </v>
      </c>
      <c r="AP93" s="89"/>
      <c r="AQ93" s="9">
        <f t="shared" ref="AQ93:AQ102" si="157">1+AQ92</f>
        <v>101</v>
      </c>
      <c r="AR93" s="11">
        <f>ROUND(v^AQ93*J93,RundDx)</f>
        <v>83</v>
      </c>
      <c r="AS93" s="11">
        <f>SUM(AR93:AR$96)</f>
        <v>141</v>
      </c>
      <c r="AT93" s="25" t="str">
        <f>IF($AQ93&lt;RAF,SUM(AR93:INDEX(Dy,RAF-BeginnAlter))," ")</f>
        <v xml:space="preserve"> </v>
      </c>
      <c r="AU93" s="24">
        <f t="shared" ref="AU93:AU102" si="158">IF(AR93&gt;0,ROUND(AS93/AR93,Rundäx)," ")</f>
        <v>1.6990000000000001</v>
      </c>
      <c r="AV93" s="24">
        <f t="shared" ref="AV93:AV102" si="159">IF(AR93&gt;0,ROUND(AS93/AR93-(m-1)/(2*m),Rundäx)," ")</f>
        <v>1.24</v>
      </c>
      <c r="AW93" s="24" t="str">
        <f t="shared" ref="AW93:AW102" si="160">IF($AQ93&lt;RAF,ROUND(AT93/AR93,Rundäx)," ")</f>
        <v xml:space="preserve"> </v>
      </c>
      <c r="AX93" s="24" t="str">
        <f t="shared" ref="AX93:AX102" si="161">IF($AQ93&lt;RAF,ROUND(AT93/AR93-(m-1)/(2*m)*(AR93-INDEX(Dy,RAF-BeginnAlter+1))/AR93,Rundäx)," ")</f>
        <v xml:space="preserve"> </v>
      </c>
      <c r="AY93" s="89"/>
      <c r="AZ93" s="9">
        <f t="shared" ref="AZ93:AZ102" si="162">1+AZ92</f>
        <v>101</v>
      </c>
      <c r="BA93" s="11">
        <f>ROUND(v^AZ93*U93,0)</f>
        <v>91</v>
      </c>
      <c r="BB93" s="11">
        <f>SUM(BA93:BA$96)</f>
        <v>160</v>
      </c>
      <c r="BC93" s="10">
        <f t="shared" ref="BC93:BC102" si="163">IF(BA93&gt;0,ROUND(BB93/BA93,Rundäx)," ")</f>
        <v>1.758</v>
      </c>
      <c r="BD93" s="10">
        <f t="shared" si="84"/>
        <v>1.3</v>
      </c>
      <c r="BE93" s="89"/>
      <c r="BF93" s="9">
        <f t="shared" ref="BF93:BF102" si="164">1+BF92</f>
        <v>84</v>
      </c>
      <c r="BG93" s="10" t="str">
        <f t="shared" si="85"/>
        <v/>
      </c>
      <c r="BH93" s="10" t="str">
        <f t="shared" si="86"/>
        <v/>
      </c>
      <c r="BI93" s="89"/>
      <c r="BJ93" s="9">
        <f t="shared" ref="BJ93:BJ102" si="165">1+BJ92</f>
        <v>101</v>
      </c>
      <c r="BK93" s="11" t="str">
        <f t="shared" ref="BK93:BK102" si="166">IF(BJ93&lt;RAF,ROUND(v^(BJ93+FaktorAlter)*$H93*$C93*0.5*(AM93+AM94),RundDx)," ")</f>
        <v xml:space="preserve"> </v>
      </c>
      <c r="BL93" s="11" t="str">
        <f>IF(BJ93&lt;RAF,SUM(BK93:INDEX(Daiy,RAF-BeginnAlter))," ")</f>
        <v xml:space="preserve"> </v>
      </c>
      <c r="BM93" s="11" t="str">
        <f>IF(BJ93&lt;RAF,SUM(BL93:INDEX(Naiy,RAF-BeginnAlter))," ")</f>
        <v xml:space="preserve"> </v>
      </c>
      <c r="BN93" s="10" t="str">
        <f t="shared" ref="BN93:BN102" si="167">IF(BJ93&lt;RAF,ROUND(INDEX(Day,RAF-BeginnAlter+1)/Y93*INDEX(ämy,RAF-BeginnAlter+1),Rundäx)," ")</f>
        <v xml:space="preserve"> </v>
      </c>
      <c r="BO93" s="10" t="str">
        <f t="shared" ref="BO93:BO102" si="168">IF(BJ93&lt;RAF,ROUND(BL93/Y93,Rundäx)," ")</f>
        <v xml:space="preserve"> </v>
      </c>
      <c r="BP93" s="89"/>
      <c r="BQ93" s="9">
        <f t="shared" ref="BQ93:BQ102" si="169">1+BQ92</f>
        <v>101</v>
      </c>
      <c r="BR93" s="11" t="str">
        <f t="shared" ref="BR93:BR102" si="170">IF(BQ93&lt;RAF,ROUND(v^(BQ93+FaktorAlter)*C93*H93*(0.5*(AM93+AM94)-v^FaktorAlter*(1-D93)/(1-0.5*D93)*INDEX(Diy,RAF-BeginnAlter+1)/AI94*INDEX(äimy,RAF-BeginnAlter+1)),RundDx)," ")</f>
        <v xml:space="preserve"> </v>
      </c>
      <c r="BS93" s="11" t="str">
        <f>IF(BQ93&lt;RAF,SUM(BR93:INDEX(Daiys,RAF-BeginnAlter))," ")</f>
        <v xml:space="preserve"> </v>
      </c>
      <c r="BT93" s="11" t="str">
        <f>IF(BQ93&lt;RAF,SUM(BS93:INDEX(Naiys,RAF-BeginnAlter))," ")</f>
        <v xml:space="preserve"> </v>
      </c>
      <c r="BU93" s="10" t="str">
        <f t="shared" ref="BU93:BU102" si="171">IF(BQ93&lt;RAF,ROUND((1-I93/L93)*INDEX(ämy,RAF-BeginnAlter+1)/Y93*INDEX(Dy,RAF-BeginnAlter+1),Rundäx)," ")</f>
        <v xml:space="preserve"> </v>
      </c>
      <c r="BV93" s="10" t="str">
        <f t="shared" ref="BV93:BV102" si="172">IF(BQ93&lt;RAF,ROUND(BS93/Y93,Rundäx)," ")</f>
        <v xml:space="preserve"> </v>
      </c>
      <c r="BW93" s="89"/>
      <c r="BX93" s="9">
        <f t="shared" ref="BX93:BX102" si="173">1+BX92</f>
        <v>101</v>
      </c>
      <c r="BY93" s="10" t="str">
        <f t="shared" si="93"/>
        <v/>
      </c>
      <c r="BZ93" s="11" t="str">
        <f t="shared" si="94"/>
        <v/>
      </c>
      <c r="CA93" s="11" t="str">
        <f>IF(S94&lt;=RAK,IF($BX93&lt;RAF,SUM(BZ93:INDEX(Dazy,RAF-BeginnAlter)),""),"")</f>
        <v/>
      </c>
      <c r="CB93" s="10" t="str">
        <f t="shared" si="95"/>
        <v/>
      </c>
      <c r="CC93" s="11">
        <f t="shared" si="96"/>
        <v>0</v>
      </c>
      <c r="CD93" s="10">
        <f t="shared" si="97"/>
        <v>0</v>
      </c>
      <c r="CE93" s="10" t="str">
        <f t="shared" si="98"/>
        <v/>
      </c>
      <c r="CF93" s="89"/>
      <c r="CG93" s="9">
        <f t="shared" ref="CG93:CG102" si="174">1+CG92</f>
        <v>101</v>
      </c>
      <c r="CH93" s="11" t="str">
        <f>IF(CG93&lt;RAF,ROUND(v^($CG93+FaktorAlter)*$H93*($B93*0.5*($P93+$P94)*(VLOOKUP(TRUNC(0.5*($Q93+$Q94),0),Männer!$AZ$9:$BD$95,5)+(0.5*($Q93+$Q94)-TRUNC(0.5*($Q93+$Q94),0))*(VLOOKUP(TRUNC(0.5*($Q93+$Q94)+1,0),Männer!$AZ$9:$BD$95,5)-VLOOKUP(TRUNC(0.5*($Q93+$Q94),0),Männer!$AZ$9:$BD$95,5)))+$C93*0.5*($CN93+$CN94)),RundDx),"")</f>
        <v/>
      </c>
      <c r="CI93" s="11" t="str">
        <f>IF(CG93&lt;RAF,ROUND(SUM(CH93:INDEX(Dawy,RAF-BeginnAlter))+INDEX(Day,RAF-BeginnAlter+1)*INDEX(äwy,1),RundDx),"")</f>
        <v/>
      </c>
      <c r="CJ93" s="11" t="str">
        <f>IF(CG93&lt;RAF,ROUND(SUM(CI93:INDEX(Nawy,RAF-BeginnAlter))+INDEX(Day,RAF-BeginnAlter+1)*INDEX(äwy,1),RundDx),"")</f>
        <v/>
      </c>
      <c r="CK93" s="10" t="str">
        <f t="shared" ref="CK93:CK102" si="175">IF(CG93&lt;RAF,ROUND(CI93/$Y93,Rundäx),"")</f>
        <v/>
      </c>
      <c r="CL93" s="11" t="str">
        <f>IF(CG93&lt;RAF,ROUND(v^($CG93+FaktorAlter)*$L93*$D93*0.5*($P93+$P94)*(VLOOKUP(TRUNC(0.5*($Q93+$Q94),0),Männer!$AZ$9:$BD$95,5)+(0.5*($Q93+$Q94)-TRUNC(0.5*($Q93+$Q94),0))*(VLOOKUP(TRUNC(0.5*($Q93+$Q94)+1,0),Männer!$AZ$9:$BD$95,5)-VLOOKUP(TRUNC(0.5*($Q93+$Q94),0),Männer!$AZ$9:$BD$95,5))),RundDx),"")</f>
        <v/>
      </c>
      <c r="CM93" s="11" t="str">
        <f>IF(CG93&lt;RAF,SUM(CL93:INDEX(Diwy,RAF-BeginnAlter))+INDEX(Diy,RAF-BeginnAlter+1)*INDEX(äwy,1),"")</f>
        <v/>
      </c>
      <c r="CN93" s="10" t="str">
        <f t="shared" ref="CN93:CN102" si="176">IF(CG93&lt;RAF,ROUND(CM93/$AI93,Rundäx),IF(CG93&gt;RAF,"",INDEX(äwy,1)))</f>
        <v/>
      </c>
      <c r="CO93" s="89"/>
      <c r="CP93" s="9">
        <f t="shared" si="146"/>
        <v>148</v>
      </c>
      <c r="CQ93" s="11"/>
      <c r="CR93" s="11"/>
      <c r="CS93" s="10"/>
      <c r="CT93" s="89"/>
      <c r="CU93" s="35">
        <f t="shared" ref="CU93:CU102" si="177">1+CU92</f>
        <v>101</v>
      </c>
      <c r="CV93" s="25" t="str">
        <f>IF($CU93&gt;=RAF,"",IF($CU93-CV$103&lt;BeginnAlter,"",ROUND(v^($CU93+FaktorAlter)*$L93*$D93*0.5*(VLOOKUP($CU93-CV$103,Männer!$G$9:$J$102,4)+VLOOKUP($CU93-CV$103+1,Männer!$G$9:$J$102,4))*0.5*(VLOOKUP($CU93-CV$103,Männer!$AZ$9:$BD$102,5)+VLOOKUP($CU93-CV$103+1,Männer!$AZ$9:$BD$102,5)),RundDx)))</f>
        <v/>
      </c>
      <c r="CW93" s="25" t="str">
        <f>IF($CU93&gt;=RAF,"",IF($CU93-CW$103&lt;BeginnAlter,"",ROUND(v^($CU93+FaktorAlter)*$L93*$D93*0.5*(VLOOKUP($CU93-CW$103,Männer!$G$9:$J$102,4)+VLOOKUP($CU93-CW$103+1,Männer!$G$9:$J$102,4))*0.5*(VLOOKUP($CU93-CW$103,Männer!$AZ$9:$BD$102,5)+VLOOKUP($CU93-CW$103+1,Männer!$AZ$9:$BD$102,5)),RundDx)))</f>
        <v/>
      </c>
      <c r="CX93" s="25" t="str">
        <f>IF($CU93&gt;=RAF,"",IF($CU93-CX$103&lt;BeginnAlter,"",ROUND(v^($CU93+FaktorAlter)*$L93*$D93*0.5*(VLOOKUP($CU93-CX$103,Männer!$G$9:$J$102,4)+VLOOKUP($CU93-CX$103+1,Männer!$G$9:$J$102,4))*0.5*(VLOOKUP($CU93-CX$103,Männer!$AZ$9:$BD$102,5)+VLOOKUP($CU93-CX$103+1,Männer!$AZ$9:$BD$102,5)),RundDx)))</f>
        <v/>
      </c>
      <c r="CY93" s="25" t="str">
        <f>IF($CU93&gt;=RAF,"",IF($CU93-CY$103&lt;BeginnAlter,"",ROUND(v^($CU93+FaktorAlter)*$L93*$D93*0.5*(VLOOKUP($CU93-CY$103,Männer!$G$9:$J$102,4)+VLOOKUP($CU93-CY$103+1,Männer!$G$9:$J$102,4))*0.5*(VLOOKUP($CU93-CY$103,Männer!$AZ$9:$BD$102,5)+VLOOKUP($CU93-CY$103+1,Männer!$AZ$9:$BD$102,5)),RundDx)))</f>
        <v/>
      </c>
      <c r="CZ93" s="25" t="str">
        <f>IF($CU93&gt;=RAF,"",IF($CU93-CZ$103&lt;BeginnAlter,"",ROUND(v^($CU93+FaktorAlter)*$L93*$D93*0.5*(VLOOKUP($CU93-CZ$103,Männer!$G$9:$J$102,4)+VLOOKUP($CU93-CZ$103+1,Männer!$G$9:$J$102,4))*0.5*(VLOOKUP($CU93-CZ$103,Männer!$AZ$9:$BD$102,5)+VLOOKUP($CU93-CZ$103+1,Männer!$AZ$9:$BD$102,5)),RundDx)))</f>
        <v/>
      </c>
      <c r="DA93" s="25" t="str">
        <f>IF($CU93&gt;=RAF,"",IF($CU93-DA$103&lt;BeginnAlter,"",ROUND(v^($CU93+FaktorAlter)*$L93*$D93*0.5*(VLOOKUP($CU93-DA$103,Männer!$G$9:$J$102,4)+VLOOKUP($CU93-DA$103+1,Männer!$G$9:$J$102,4))*0.5*(VLOOKUP($CU93-DA$103,Männer!$AZ$9:$BD$102,5)+VLOOKUP($CU93-DA$103+1,Männer!$AZ$9:$BD$102,5)),RundDx)))</f>
        <v/>
      </c>
      <c r="DB93" s="25" t="str">
        <f>IF($CU93&gt;=RAF,"",IF($CU93-DB$103&lt;BeginnAlter,"",ROUND(v^($CU93+FaktorAlter)*$L93*$D93*0.5*(VLOOKUP($CU93-DB$103,Männer!$G$9:$J$102,4)+VLOOKUP($CU93-DB$103+1,Männer!$G$9:$J$102,4))*0.5*(VLOOKUP($CU93-DB$103,Männer!$AZ$9:$BD$102,5)+VLOOKUP($CU93-DB$103+1,Männer!$AZ$9:$BD$102,5)),RundDx)))</f>
        <v/>
      </c>
      <c r="DC93" s="25" t="str">
        <f>IF($CU93&gt;=RAF,"",IF($CU93-DC$103&lt;BeginnAlter,"",ROUND(v^($CU93+FaktorAlter)*$L93*$D93*0.5*(VLOOKUP($CU93-DC$103,Männer!$G$9:$J$102,4)+VLOOKUP($CU93-DC$103+1,Männer!$G$9:$J$102,4))*0.5*(VLOOKUP($CU93-DC$103,Männer!$AZ$9:$BD$102,5)+VLOOKUP($CU93-DC$103+1,Männer!$AZ$9:$BD$102,5)),RundDx)))</f>
        <v/>
      </c>
      <c r="DD93" s="25" t="str">
        <f>IF($CU93&gt;=RAF,"",IF($CU93-DD$103&lt;BeginnAlter,"",ROUND(v^($CU93+FaktorAlter)*$L93*$D93*0.5*(VLOOKUP($CU93-DD$103,Männer!$G$9:$J$102,4)+VLOOKUP($CU93-DD$103+1,Männer!$G$9:$J$102,4))*0.5*(VLOOKUP($CU93-DD$103,Männer!$AZ$9:$BD$102,5)+VLOOKUP($CU93-DD$103+1,Männer!$AZ$9:$BD$102,5)),RundDx)))</f>
        <v/>
      </c>
      <c r="DE93" s="25" t="str">
        <f>IF($CU93&gt;=RAF,"",IF($CU93-DE$103&lt;BeginnAlter,"",ROUND(v^($CU93+FaktorAlter)*$L93*$D93*0.5*(VLOOKUP($CU93-DE$103,Männer!$G$9:$J$102,4)+VLOOKUP($CU93-DE$103+1,Männer!$G$9:$J$102,4))*0.5*(VLOOKUP($CU93-DE$103,Männer!$AZ$9:$BD$102,5)+VLOOKUP($CU93-DE$103+1,Männer!$AZ$9:$BD$102,5)),RundDx)))</f>
        <v/>
      </c>
      <c r="DF93" s="25" t="str">
        <f>IF($CU93&gt;=RAF,"",IF($CU93-DF$103&lt;BeginnAlter,"",ROUND(v^($CU93+FaktorAlter)*$L93*$D93*0.5*(VLOOKUP($CU93-DF$103,Männer!$G$9:$J$102,4)+VLOOKUP($CU93-DF$103+1,Männer!$G$9:$J$102,4))*0.5*(VLOOKUP($CU93-DF$103,Männer!$AZ$9:$BD$102,5)+VLOOKUP($CU93-DF$103+1,Männer!$AZ$9:$BD$102,5)),RundDx)))</f>
        <v/>
      </c>
      <c r="DG93" s="25" t="str">
        <f>IF($CU93&gt;=RAF,"",IF($CU93-DG$103&lt;BeginnAlter,"",ROUND(v^($CU93+FaktorAlter)*$L93*$D93*0.5*(VLOOKUP($CU93-DG$103,Männer!$G$9:$J$102,4)+VLOOKUP($CU93-DG$103+1,Männer!$G$9:$J$102,4))*0.5*(VLOOKUP($CU93-DG$103,Männer!$AZ$9:$BD$102,5)+VLOOKUP($CU93-DG$103+1,Männer!$AZ$9:$BD$102,5)),RundDx)))</f>
        <v/>
      </c>
      <c r="DH93" s="25" t="str">
        <f>IF($CU93&gt;=RAF,"",IF($CU93-DH$103&lt;BeginnAlter,"",ROUND(v^($CU93+FaktorAlter)*$L93*$D93*0.5*(VLOOKUP($CU93-DH$103,Männer!$G$9:$J$102,4)+VLOOKUP($CU93-DH$103+1,Männer!$G$9:$J$102,4))*0.5*(VLOOKUP($CU93-DH$103,Männer!$AZ$9:$BD$102,5)+VLOOKUP($CU93-DH$103+1,Männer!$AZ$9:$BD$102,5)),RundDx)))</f>
        <v/>
      </c>
      <c r="DI93" s="25" t="str">
        <f>IF($CU93&gt;=RAF,"",IF($CU93-DI$103&lt;BeginnAlter,"",ROUND(v^($CU93+FaktorAlter)*$L93*$D93*0.5*(VLOOKUP($CU93-DI$103,Männer!$G$9:$J$102,4)+VLOOKUP($CU93-DI$103+1,Männer!$G$9:$J$102,4))*0.5*(VLOOKUP($CU93-DI$103,Männer!$AZ$9:$BD$102,5)+VLOOKUP($CU93-DI$103+1,Männer!$AZ$9:$BD$102,5)),RundDx)))</f>
        <v/>
      </c>
      <c r="DJ93" s="25" t="str">
        <f>IF($CU93&gt;=RAF,"",IF($CU93-DJ$103&lt;BeginnAlter,"",ROUND(v^($CU93+FaktorAlter)*$L93*$D93*0.5*(VLOOKUP($CU93-DJ$103,Männer!$G$9:$J$102,4)+VLOOKUP($CU93-DJ$103+1,Männer!$G$9:$J$102,4))*0.5*(VLOOKUP($CU93-DJ$103,Männer!$AZ$9:$BD$102,5)+VLOOKUP($CU93-DJ$103+1,Männer!$AZ$9:$BD$102,5)),RundDx)))</f>
        <v/>
      </c>
      <c r="DK93" s="25" t="str">
        <f>IF($CU93&gt;=RAF,"",IF($CU93-DK$103&lt;BeginnAlter,"",ROUND(v^($CU93+FaktorAlter)*$L93*$D93*0.5*(VLOOKUP($CU93-DK$103,Männer!$G$9:$J$102,4)+VLOOKUP($CU93-DK$103+1,Männer!$G$9:$J$102,4))*0.5*(VLOOKUP($CU93-DK$103,Männer!$AZ$9:$BD$102,5)+VLOOKUP($CU93-DK$103+1,Männer!$AZ$9:$BD$102,5)),RundDx)))</f>
        <v/>
      </c>
      <c r="DL93" s="25" t="str">
        <f>IF($CU93&gt;=RAF,"",IF($CU93-DL$103&lt;BeginnAlter,"",ROUND(v^($CU93+FaktorAlter)*$L93*$D93*0.5*(VLOOKUP($CU93-DL$103,Männer!$G$9:$J$102,4)+VLOOKUP($CU93-DL$103+1,Männer!$G$9:$J$102,4))*0.5*(VLOOKUP($CU93-DL$103,Männer!$AZ$9:$BD$102,5)+VLOOKUP($CU93-DL$103+1,Männer!$AZ$9:$BD$102,5)),RundDx)))</f>
        <v/>
      </c>
      <c r="DM93" s="25" t="str">
        <f>IF($CU93&gt;=RAF,"",IF($CU93-DM$103&lt;BeginnAlter,"",ROUND(v^($CU93+FaktorAlter)*$L93*$D93*0.5*(VLOOKUP($CU93-DM$103,Männer!$G$9:$J$102,4)+VLOOKUP($CU93-DM$103+1,Männer!$G$9:$J$102,4))*0.5*(VLOOKUP($CU93-DM$103,Männer!$AZ$9:$BD$102,5)+VLOOKUP($CU93-DM$103+1,Männer!$AZ$9:$BD$102,5)),RundDx)))</f>
        <v/>
      </c>
      <c r="DN93" s="25" t="str">
        <f>IF($CU93&gt;=RAF,"",IF($CU93-DN$103&lt;BeginnAlter,"",ROUND(v^($CU93+FaktorAlter)*$L93*$D93*0.5*(VLOOKUP($CU93-DN$103,Männer!$G$9:$J$102,4)+VLOOKUP($CU93-DN$103+1,Männer!$G$9:$J$102,4))*0.5*(VLOOKUP($CU93-DN$103,Männer!$AZ$9:$BD$102,5)+VLOOKUP($CU93-DN$103+1,Männer!$AZ$9:$BD$102,5)),RundDx)))</f>
        <v/>
      </c>
      <c r="DO93" s="25" t="str">
        <f>IF($CU93&gt;=RAF,"",IF($CU93-DO$103&lt;BeginnAlter,"",ROUND(v^($CU93+FaktorAlter)*$L93*$D93*0.5*(VLOOKUP($CU93-DO$103,Männer!$G$9:$J$102,4)+VLOOKUP($CU93-DO$103+1,Männer!$G$9:$J$102,4))*0.5*(VLOOKUP($CU93-DO$103,Männer!$AZ$9:$BD$102,5)+VLOOKUP($CU93-DO$103+1,Männer!$AZ$9:$BD$102,5)),RundDx)))</f>
        <v/>
      </c>
      <c r="DP93" s="25" t="str">
        <f>IF($CU93&gt;=RAF,"",IF($CU93-DP$103&lt;BeginnAlter,"",ROUND(v^($CU93+FaktorAlter)*$L93*$D93*0.5*(VLOOKUP($CU93-DP$103,Männer!$G$9:$J$102,4)+VLOOKUP($CU93-DP$103+1,Männer!$G$9:$J$102,4))*0.5*(VLOOKUP($CU93-DP$103,Männer!$AZ$9:$BD$102,5)+VLOOKUP($CU93-DP$103+1,Männer!$AZ$9:$BD$102,5)),RundDx)))</f>
        <v/>
      </c>
      <c r="DQ93" s="25" t="str">
        <f>IF($CU93&gt;=RAF,"",IF($CU93-DQ$103&lt;BeginnAlter,"",ROUND(v^($CU93+FaktorAlter)*$L93*$D93*0.5*(VLOOKUP($CU93-DQ$103,Männer!$G$9:$J$102,4)+VLOOKUP($CU93-DQ$103+1,Männer!$G$9:$J$102,4))*0.5*(VLOOKUP($CU93-DQ$103,Männer!$AZ$9:$BD$102,5)+VLOOKUP($CU93-DQ$103+1,Männer!$AZ$9:$BD$102,5)),RundDx)))</f>
        <v/>
      </c>
      <c r="DR93" s="25" t="str">
        <f>IF($CU93&gt;=RAF,"",IF($CU93-DR$103&lt;BeginnAlter,"",ROUND(v^($CU93+FaktorAlter)*$L93*$D93*0.5*(VLOOKUP($CU93-DR$103,Männer!$G$9:$J$102,4)+VLOOKUP($CU93-DR$103+1,Männer!$G$9:$J$102,4))*0.5*(VLOOKUP($CU93-DR$103,Männer!$AZ$9:$BD$102,5)+VLOOKUP($CU93-DR$103+1,Männer!$AZ$9:$BD$102,5)),RundDx)))</f>
        <v/>
      </c>
      <c r="DS93" s="25" t="str">
        <f>IF($CU93&gt;=RAF,"",IF($CU93-DS$103&lt;BeginnAlter,"",ROUND(v^($CU93+FaktorAlter)*$L93*$D93*0.5*(VLOOKUP($CU93-DS$103,Männer!$G$9:$J$102,4)+VLOOKUP($CU93-DS$103+1,Männer!$G$9:$J$102,4))*0.5*(VLOOKUP($CU93-DS$103,Männer!$AZ$9:$BD$102,5)+VLOOKUP($CU93-DS$103+1,Männer!$AZ$9:$BD$102,5)),RundDx)))</f>
        <v/>
      </c>
      <c r="DT93" s="25" t="str">
        <f>IF($CU93&gt;=RAF,"",IF($CU93-DT$103&lt;BeginnAlter,"",ROUND(v^($CU93+FaktorAlter)*$L93*$D93*0.5*(VLOOKUP($CU93-DT$103,Männer!$G$9:$J$102,4)+VLOOKUP($CU93-DT$103+1,Männer!$G$9:$J$102,4))*0.5*(VLOOKUP($CU93-DT$103,Männer!$AZ$9:$BD$102,5)+VLOOKUP($CU93-DT$103+1,Männer!$AZ$9:$BD$102,5)),RundDx)))</f>
        <v/>
      </c>
      <c r="DU93" s="25" t="str">
        <f>IF($CU93&gt;=RAF,"",IF($CU93-DU$103&lt;BeginnAlter,"",ROUND(v^($CU93+FaktorAlter)*$L93*$D93*0.5*(VLOOKUP($CU93-DU$103,Männer!$G$9:$J$102,4)+VLOOKUP($CU93-DU$103+1,Männer!$G$9:$J$102,4))*0.5*(VLOOKUP($CU93-DU$103,Männer!$AZ$9:$BD$102,5)+VLOOKUP($CU93-DU$103+1,Männer!$AZ$9:$BD$102,5)),RundDx)))</f>
        <v/>
      </c>
      <c r="DV93" s="25" t="str">
        <f>IF($CU93&gt;=RAF,"",IF($CU93-DV$103&lt;BeginnAlter,"",ROUND(v^($CU93+FaktorAlter)*$L93*$D93*0.5*(VLOOKUP($CU93-DV$103,Männer!$G$9:$J$102,4)+VLOOKUP($CU93-DV$103+1,Männer!$G$9:$J$102,4))*0.5*(VLOOKUP($CU93-DV$103,Männer!$AZ$9:$BD$102,5)+VLOOKUP($CU93-DV$103+1,Männer!$AZ$9:$BD$102,5)),RundDx)))</f>
        <v/>
      </c>
      <c r="DW93" s="25" t="str">
        <f>IF($CU93&gt;=RAF,"",IF($CU93-DW$103&lt;BeginnAlter,"",ROUND(v^($CU93+FaktorAlter)*$L93*$D93*0.5*(VLOOKUP($CU93-DW$103,Männer!$G$9:$J$102,4)+VLOOKUP($CU93-DW$103+1,Männer!$G$9:$J$102,4))*0.5*(VLOOKUP($CU93-DW$103,Männer!$AZ$9:$BD$102,5)+VLOOKUP($CU93-DW$103+1,Männer!$AZ$9:$BD$102,5)),RundDx)))</f>
        <v/>
      </c>
      <c r="DX93" s="25" t="str">
        <f>IF($CU93&gt;=RAF,"",IF($CU93-DX$103&lt;BeginnAlter,"",ROUND(v^($CU93+FaktorAlter)*$L93*$D93*0.5*(VLOOKUP($CU93-DX$103,Männer!$G$9:$J$102,4)+VLOOKUP($CU93-DX$103+1,Männer!$G$9:$J$102,4))*0.5*(VLOOKUP($CU93-DX$103,Männer!$AZ$9:$BD$102,5)+VLOOKUP($CU93-DX$103+1,Männer!$AZ$9:$BD$102,5)),RundDx)))</f>
        <v/>
      </c>
      <c r="DY93" s="25" t="str">
        <f>IF($CU93&gt;=RAF,"",IF($CU93-DY$103&lt;BeginnAlter,"",ROUND(v^($CU93+FaktorAlter)*$L93*$D93*0.5*(VLOOKUP($CU93-DY$103,Männer!$G$9:$J$102,4)+VLOOKUP($CU93-DY$103+1,Männer!$G$9:$J$102,4))*0.5*(VLOOKUP($CU93-DY$103,Männer!$AZ$9:$BD$102,5)+VLOOKUP($CU93-DY$103+1,Männer!$AZ$9:$BD$102,5)),RundDx)))</f>
        <v/>
      </c>
      <c r="DZ93" s="25" t="str">
        <f>IF($CU93&gt;=RAF,"",IF($CU93-DZ$103&lt;BeginnAlter,"",ROUND(v^($CU93+FaktorAlter)*$L93*$D93*0.5*(VLOOKUP($CU93-DZ$103,Männer!$G$9:$J$102,4)+VLOOKUP($CU93-DZ$103+1,Männer!$G$9:$J$102,4))*0.5*(VLOOKUP($CU93-DZ$103,Männer!$AZ$9:$BD$102,5)+VLOOKUP($CU93-DZ$103+1,Männer!$AZ$9:$BD$102,5)),RundDx)))</f>
        <v/>
      </c>
      <c r="EA93" s="43" t="str">
        <f>IF($CU93&gt;=RAF,"",IF($CU93-EA$103&lt;BeginnAlter,"",ROUND((SUM(CV$56:CV93)+SUM(FN$9:FN$56))/VLOOKUP($CU93,$AH$9:$AI$102,2)/VLOOKUP($CU93-EA$103,Männer!$G$9:$J$102,4),Rundäx)))</f>
        <v/>
      </c>
      <c r="EB93" s="43" t="str">
        <f>IF($CU93&gt;=RAF,"",IF($CU93-EB$103&lt;BeginnAlter,"",ROUND((SUM(CW$56:CW93)+SUM(FO$9:FO$56))/VLOOKUP($CU93,$AH$9:$AI$102,2)/VLOOKUP($CU93-EB$103,Männer!$G$9:$J$102,4),Rundäx)))</f>
        <v/>
      </c>
      <c r="EC93" s="43" t="str">
        <f>IF($CU93&gt;=RAF,"",IF($CU93-EC$103&lt;BeginnAlter,"",ROUND((SUM(CX$56:CX93)+SUM(FP$9:FP$56))/VLOOKUP($CU93,$AH$9:$AI$102,2)/VLOOKUP($CU93-EC$103,Männer!$G$9:$J$102,4),Rundäx)))</f>
        <v/>
      </c>
      <c r="ED93" s="43" t="str">
        <f>IF($CU93&gt;=RAF,"",IF($CU93-ED$103&lt;BeginnAlter,"",ROUND((SUM(CY$56:CY93)+SUM(FQ$9:FQ$56))/VLOOKUP($CU93,$AH$9:$AI$102,2)/VLOOKUP($CU93-ED$103,Männer!$G$9:$J$102,4),Rundäx)))</f>
        <v/>
      </c>
      <c r="EE93" s="43" t="str">
        <f>IF($CU93&gt;=RAF,"",IF($CU93-EE$103&lt;BeginnAlter,"",ROUND((SUM(CZ$56:CZ93)+SUM(FR$9:FR$56))/VLOOKUP($CU93,$AH$9:$AI$102,2)/VLOOKUP($CU93-EE$103,Männer!$G$9:$J$102,4),Rundäx)))</f>
        <v/>
      </c>
      <c r="EF93" s="43" t="str">
        <f>IF($CU93&gt;=RAF,"",IF($CU93-EF$103&lt;BeginnAlter,"",ROUND((SUM(DA$56:DA93)+SUM(FS$9:FS$56))/VLOOKUP($CU93,$AH$9:$AI$102,2)/VLOOKUP($CU93-EF$103,Männer!$G$9:$J$102,4),Rundäx)))</f>
        <v/>
      </c>
      <c r="EG93" s="43" t="str">
        <f>IF($CU93&gt;=RAF,"",IF($CU93-EG$103&lt;BeginnAlter,"",ROUND((SUM(DB$56:DB93)+SUM(FT$9:FT$56))/VLOOKUP($CU93,$AH$9:$AI$102,2)/VLOOKUP($CU93-EG$103,Männer!$G$9:$J$102,4),Rundäx)))</f>
        <v/>
      </c>
      <c r="EH93" s="43" t="str">
        <f>IF($CU93&gt;=RAF,"",IF($CU93-EH$103&lt;BeginnAlter,"",ROUND((SUM(DC$56:DC93)+SUM(FU$9:FU$56))/VLOOKUP($CU93,$AH$9:$AI$102,2)/VLOOKUP($CU93-EH$103,Männer!$G$9:$J$102,4),Rundäx)))</f>
        <v/>
      </c>
      <c r="EI93" s="89"/>
      <c r="EJ93" s="35">
        <f t="shared" ref="EJ93:EJ102" si="178">1+EJ92</f>
        <v>101</v>
      </c>
      <c r="EK93" s="43" t="str">
        <f>IF($CU93&gt;=RAF,"",IF($CU93-EK$103&lt;BeginnAlter,"",ROUND((SUM(DD$56:DD93)+SUM(FV$9:FV$56))/VLOOKUP($CU93,$AH$9:$AI$102,2)/VLOOKUP($CU93-EK$103,Männer!$G$9:$J$102,4),Rundäx)))</f>
        <v/>
      </c>
      <c r="EL93" s="43" t="str">
        <f>IF($CU93&gt;=RAF,"",IF($CU93-EL$103&lt;BeginnAlter,"",ROUND((SUM(DE$56:DE93)+SUM(FW$9:FW$56))/VLOOKUP($CU93,$AH$9:$AI$102,2)/VLOOKUP($CU93-EL$103,Männer!$G$9:$J$102,4),Rundäx)))</f>
        <v/>
      </c>
      <c r="EM93" s="43" t="str">
        <f>IF($CU93&gt;=RAF,"",IF($CU93-EM$103&lt;BeginnAlter,"",ROUND((SUM(DF$56:DF93)+SUM(FX$9:FX$56))/VLOOKUP($CU93,$AH$9:$AI$102,2)/VLOOKUP($CU93-EM$103,Männer!$G$9:$J$102,4),Rundäx)))</f>
        <v/>
      </c>
      <c r="EN93" s="43" t="str">
        <f>IF($CU93&gt;=RAF,"",IF($CU93-EN$103&lt;BeginnAlter,"",ROUND((SUM(DG$56:DG93)+SUM(FY$9:FY$56))/VLOOKUP($CU93,$AH$9:$AI$102,2)/VLOOKUP($CU93-EN$103,Männer!$G$9:$J$102,4),Rundäx)))</f>
        <v/>
      </c>
      <c r="EO93" s="43" t="str">
        <f>IF($CU93&gt;=RAF,"",IF($CU93-EO$103&lt;BeginnAlter,"",ROUND((SUM(DH$56:DH93)+SUM(FZ$9:FZ$56))/VLOOKUP($CU93,$AH$9:$AI$102,2)/VLOOKUP($CU93-EO$103,Männer!$G$9:$J$102,4),Rundäx)))</f>
        <v/>
      </c>
      <c r="EP93" s="43" t="str">
        <f>IF($CU93&gt;=RAF,"",IF($CU93-EP$103&lt;BeginnAlter,"",ROUND((SUM(DI$56:DI93)+SUM(GA$9:GA$56))/VLOOKUP($CU93,$AH$9:$AI$102,2)/VLOOKUP($CU93-EP$103,Männer!$G$9:$J$102,4),Rundäx)))</f>
        <v/>
      </c>
      <c r="EQ93" s="43" t="str">
        <f>IF($CU93&gt;=RAF,"",IF($CU93-EQ$103&lt;BeginnAlter,"",ROUND((SUM(DJ$56:DJ93)+SUM(GB$9:GB$56))/VLOOKUP($CU93,$AH$9:$AI$102,2)/VLOOKUP($CU93-EQ$103,Männer!$G$9:$J$102,4),Rundäx)))</f>
        <v/>
      </c>
      <c r="ER93" s="43" t="str">
        <f>IF($CU93&gt;=RAF,"",IF($CU93-ER$103&lt;BeginnAlter,"",ROUND((SUM(DK$56:DK93)+SUM(GC$9:GC$56))/VLOOKUP($CU93,$AH$9:$AI$102,2)/VLOOKUP($CU93-ER$103,Männer!$G$9:$J$102,4),Rundäx)))</f>
        <v/>
      </c>
      <c r="ES93" s="89"/>
      <c r="ET93" s="35">
        <f t="shared" ref="ET93:ET102" si="179">1+ET92</f>
        <v>101</v>
      </c>
      <c r="EU93" s="43" t="str">
        <f>IF($CU93&gt;=RAF,"",IF($CU93-EU$103&lt;BeginnAlter,"",ROUND((SUM(DL$56:DL93)+SUM(GD$9:GD$56))/VLOOKUP($CU93,$AH$9:$AI$102,2)/VLOOKUP($CU93-EU$103,Männer!$G$9:$J$102,4),Rundäx)))</f>
        <v/>
      </c>
      <c r="EV93" s="43" t="str">
        <f>IF($CU93&gt;=RAF,"",IF($CU93-EV$103&lt;BeginnAlter,"",ROUND((SUM(DM$56:DM93)+SUM(GE$9:GE$56))/VLOOKUP($CU93,$AH$9:$AI$102,2)/VLOOKUP($CU93-EV$103,Männer!$G$9:$J$102,4),Rundäx)))</f>
        <v/>
      </c>
      <c r="EW93" s="43" t="str">
        <f>IF($CU93&gt;=RAF,"",IF($CU93-EW$103&lt;BeginnAlter,"",ROUND((SUM(DN$56:DN93)+SUM(GF$9:GF$56))/VLOOKUP($CU93,$AH$9:$AI$102,2)/VLOOKUP($CU93-EW$103,Männer!$G$9:$J$102,4),Rundäx)))</f>
        <v/>
      </c>
      <c r="EX93" s="43" t="str">
        <f>IF($CU93&gt;=RAF,"",IF($CU93-EX$103&lt;BeginnAlter,"",ROUND((SUM(DO$56:DO93)+SUM(GG$9:GG$56))/VLOOKUP($CU93,$AH$9:$AI$102,2)/VLOOKUP($CU93-EX$103,Männer!$G$9:$J$102,4),Rundäx)))</f>
        <v/>
      </c>
      <c r="EY93" s="43" t="str">
        <f>IF($CU93&gt;=RAF,"",IF($CU93-EY$103&lt;BeginnAlter,"",ROUND((SUM(DP$56:DP93)+SUM(GH$9:GH$56))/VLOOKUP($CU93,$AH$9:$AI$102,2)/VLOOKUP($CU93-EY$103,Männer!$G$9:$J$102,4),Rundäx)))</f>
        <v/>
      </c>
      <c r="EZ93" s="43" t="str">
        <f>IF($CU93&gt;=RAF,"",IF($CU93-EZ$103&lt;BeginnAlter,"",ROUND((SUM(DQ$56:DQ93)+SUM(GI$9:GI$56))/VLOOKUP($CU93,$AH$9:$AI$102,2)/VLOOKUP($CU93-EZ$103,Männer!$G$9:$J$102,4),Rundäx)))</f>
        <v/>
      </c>
      <c r="FA93" s="43" t="str">
        <f>IF($CU93&gt;=RAF,"",IF($CU93-FA$103&lt;BeginnAlter,"",ROUND((SUM(DR$56:DR93)+SUM(GJ$9:GJ$56))/VLOOKUP($CU93,$AH$9:$AI$102,2)/VLOOKUP($CU93-FA$103,Männer!$G$9:$J$102,4),Rundäx)))</f>
        <v/>
      </c>
      <c r="FB93" s="43" t="str">
        <f>IF($CU93&gt;=RAF,"",IF($CU93-FB$103&lt;BeginnAlter,"",ROUND((SUM(DS$56:DS93)+SUM(GK$9:GK$56))/VLOOKUP($CU93,$AH$9:$AI$102,2)/VLOOKUP($CU93-FB$103,Männer!$G$9:$J$102,4),Rundäx)))</f>
        <v/>
      </c>
      <c r="FC93" s="89"/>
      <c r="FD93" s="35">
        <f t="shared" ref="FD93:FD102" si="180">1+FD92</f>
        <v>101</v>
      </c>
      <c r="FE93" s="43" t="str">
        <f>IF($CU93&gt;=RAF,"",IF($CU93-FE$103&lt;BeginnAlter,"",ROUND((SUM(DT$56:DT93)+SUM(GL$9:GL$56))/VLOOKUP($CU93,$AH$9:$AI$102,2)/VLOOKUP($CU93-FE$103,Männer!$G$9:$J$102,4),Rundäx)))</f>
        <v/>
      </c>
      <c r="FF93" s="43" t="str">
        <f>IF($CU93&gt;=RAF,"",IF($CU93-FF$103&lt;BeginnAlter,"",ROUND((SUM(DU$56:DU93)+SUM(GM$9:GM$56))/VLOOKUP($CU93,$AH$9:$AI$102,2)/VLOOKUP($CU93-FF$103,Männer!$G$9:$J$102,4),Rundäx)))</f>
        <v/>
      </c>
      <c r="FG93" s="43" t="str">
        <f>IF($CU93&gt;=RAF,"",IF($CU93-FG$103&lt;BeginnAlter,"",ROUND((SUM(DV$56:DV93)+SUM(GN$9:GN$56))/VLOOKUP($CU93,$AH$9:$AI$102,2)/VLOOKUP($CU93-FG$103,Männer!$G$9:$J$102,4),Rundäx)))</f>
        <v/>
      </c>
      <c r="FH93" s="43" t="str">
        <f>IF($CU93&gt;=RAF,"",IF($CU93-FH$103&lt;BeginnAlter,"",ROUND((SUM(DW$56:DW93)+SUM(GO$9:GO$56))/VLOOKUP($CU93,$AH$9:$AI$102,2)/VLOOKUP($CU93-FH$103,Männer!$G$9:$J$102,4),Rundäx)))</f>
        <v/>
      </c>
      <c r="FI93" s="43" t="str">
        <f>IF($CU93&gt;=RAF,"",IF($CU93-FI$103&lt;BeginnAlter,"",ROUND((SUM(DX$56:DX93)+SUM(GP$9:GP$56))/VLOOKUP($CU93,$AH$9:$AI$102,2)/VLOOKUP($CU93-FI$103,Männer!$G$9:$J$102,4),Rundäx)))</f>
        <v/>
      </c>
      <c r="FJ93" s="43" t="str">
        <f>IF($CU93&gt;=RAF,"",IF($CU93-FJ$103&lt;BeginnAlter,"",ROUND((SUM(DY$56:DY93)+SUM(GQ$9:GQ$56))/VLOOKUP($CU93,$AH$9:$AI$102,2)/VLOOKUP($CU93-FJ$103,Männer!$G$9:$J$102,4),Rundäx)))</f>
        <v/>
      </c>
      <c r="FK93" s="43" t="str">
        <f>IF($CU93&gt;=RAF,"",IF($CU93-FK$103&lt;BeginnAlter,"",ROUND((SUM(DZ$56:DZ93)+SUM(GR$9:GR$56))/VLOOKUP($CU93,$AH$9:$AI$102,2)/VLOOKUP($CU93-FK$103,Männer!$G$9:$J$102,4),Rundäx)))</f>
        <v/>
      </c>
      <c r="FL93" s="89"/>
      <c r="FM93" s="35">
        <f t="shared" ref="FM93:FM102" si="181">1+FM92</f>
        <v>148</v>
      </c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  <c r="GM93" s="25"/>
      <c r="GN93" s="25"/>
      <c r="GO93" s="25"/>
      <c r="GP93" s="25"/>
      <c r="GQ93" s="25"/>
      <c r="GR93" s="25"/>
      <c r="GS93" s="24"/>
      <c r="GT93" s="24"/>
      <c r="GU93" s="24" t="str">
        <f>IF(FM93&gt;=RAF," ",#REF!/$AI93/Frauen!$J81)</f>
        <v xml:space="preserve"> </v>
      </c>
      <c r="GV93" s="24" t="str">
        <f>IF(FM93&gt;=RAF," ",#REF!/$AI93/Frauen!$J84)</f>
        <v xml:space="preserve"> </v>
      </c>
      <c r="GW93" s="24" t="str">
        <f>IF(FM93&gt;=RAF," ",#REF!/$AI93/Frauen!$J87)</f>
        <v xml:space="preserve"> </v>
      </c>
      <c r="GX93" s="24" t="str">
        <f>IF(FM93&gt;=RAF," ",#REF!/$AI93/Frauen!$J90)</f>
        <v xml:space="preserve"> </v>
      </c>
      <c r="GY93" s="24" t="str">
        <f>IF(FM93&gt;=RAF," ",#REF!/$AI93/Frauen!$J93)</f>
        <v xml:space="preserve"> </v>
      </c>
      <c r="GZ93" s="24" t="str">
        <f>IF(FM93&gt;=RAF," ",#REF!/$AI93/Frauen!$J96)</f>
        <v xml:space="preserve"> </v>
      </c>
      <c r="HA93" s="89"/>
      <c r="HB93" s="35">
        <f t="shared" ref="HB93:HB102" si="182">1+HB92</f>
        <v>148</v>
      </c>
      <c r="HC93" s="24"/>
      <c r="HD93" s="24"/>
      <c r="HE93" s="24"/>
      <c r="HF93" s="24"/>
      <c r="HG93" s="24"/>
      <c r="HH93" s="24"/>
      <c r="HI93" s="24"/>
      <c r="HJ93" s="24"/>
      <c r="HK93" s="89"/>
      <c r="HL93" s="35">
        <f t="shared" ref="HL93:HL102" si="183">1+HL92</f>
        <v>148</v>
      </c>
      <c r="HM93" s="24"/>
      <c r="HN93" s="24"/>
      <c r="HO93" s="24"/>
      <c r="HP93" s="24"/>
      <c r="HQ93" s="24"/>
      <c r="HR93" s="24"/>
      <c r="HS93" s="24"/>
      <c r="HT93" s="24"/>
      <c r="HU93" s="89"/>
      <c r="HV93" s="35">
        <f t="shared" ref="HV93:HV102" si="184">1+HV92</f>
        <v>148</v>
      </c>
      <c r="HW93" s="24"/>
      <c r="HX93" s="24"/>
      <c r="HY93" s="24"/>
      <c r="HZ93" s="24"/>
      <c r="IA93" s="24"/>
      <c r="IB93" s="24"/>
      <c r="IC93" s="24"/>
      <c r="ID93" s="89"/>
      <c r="IE93" s="9">
        <f t="shared" ref="IE93:IE102" si="185">1+IE92</f>
        <v>101</v>
      </c>
      <c r="IF93" s="11" t="str">
        <f t="shared" si="101"/>
        <v/>
      </c>
      <c r="IG93" s="11" t="str">
        <f>IF($IE93&lt;RAF,IF(S94&lt;=RAK,ROUND(SUM(IF93:INDEX(Daky,RAF-BeginnAlter))+INDEX(Day,RAF-BeginnAlter+1)*INDEX(äky,1),RundDx),0),"")</f>
        <v/>
      </c>
      <c r="IH93" s="11" t="str">
        <f>IF($IE93&lt;RAF,IF(S94&lt;=RAK,ROUND(SUM(IG93:INDEX(Naky,RAF-BeginnAlter))+INDEX(Day,RAF-BeginnAlter+1)*INDEX(äky,1),RundDx),0),"")</f>
        <v/>
      </c>
      <c r="II93" s="10" t="str">
        <f t="shared" si="102"/>
        <v/>
      </c>
      <c r="IJ93" s="11" t="str">
        <f t="shared" si="103"/>
        <v/>
      </c>
      <c r="IK93" s="11" t="str">
        <f>IF($IE93&lt;RAF,IF(S94&lt;=RAK,SUM(IJ93:INDEX(Diky,RAF-BeginnAlter))+INDEX(Diy,RAF-BeginnAlter+1)*INDEX(äky,1),0),"")</f>
        <v/>
      </c>
      <c r="IL93" s="10" t="str">
        <f t="shared" si="104"/>
        <v/>
      </c>
      <c r="IM93" s="89"/>
      <c r="IN93" s="9">
        <f t="shared" ref="IN93:IN102" si="186">1+IN92</f>
        <v>148</v>
      </c>
      <c r="IO93" s="11"/>
      <c r="IP93" s="11"/>
      <c r="IQ93" s="10"/>
      <c r="IR93" s="86"/>
    </row>
    <row r="94" spans="1:252" ht="15.75" customHeight="1" x14ac:dyDescent="0.25">
      <c r="A94" s="9">
        <f t="shared" si="125"/>
        <v>102</v>
      </c>
      <c r="B94" s="93"/>
      <c r="C94" s="93"/>
      <c r="D94" s="93"/>
      <c r="E94" s="93">
        <v>0.60486217473258064</v>
      </c>
      <c r="F94" s="89"/>
      <c r="G94" s="9">
        <f t="shared" si="126"/>
        <v>102</v>
      </c>
      <c r="H94" s="11" t="str">
        <f t="shared" si="106"/>
        <v/>
      </c>
      <c r="I94" s="25" t="str">
        <f t="shared" si="107"/>
        <v/>
      </c>
      <c r="J94" s="25">
        <f t="shared" si="108"/>
        <v>374</v>
      </c>
      <c r="K94" s="30">
        <f>IF(J94&gt;0,ROUND(SUM(J94:J$102)/J94-0.5,Rundex),"")</f>
        <v>1.03</v>
      </c>
      <c r="L94" s="25">
        <f t="shared" si="83"/>
        <v>374</v>
      </c>
      <c r="M94" s="30">
        <f>IF(L94&gt;0,ROUND(SUM(L94:L$102)/L94-0.5,Rundex),"")</f>
        <v>1.03</v>
      </c>
      <c r="N94" s="89"/>
      <c r="O94" s="9">
        <f t="shared" si="127"/>
        <v>102</v>
      </c>
      <c r="P94" s="94">
        <v>1.9653992068153158E-3</v>
      </c>
      <c r="Q94" s="95">
        <v>101.33176720832341</v>
      </c>
      <c r="R94" s="94"/>
      <c r="S94" s="95"/>
      <c r="T94" s="28">
        <v>0.56909707343056459</v>
      </c>
      <c r="U94" s="11">
        <f t="shared" si="109"/>
        <v>421</v>
      </c>
      <c r="V94" s="30">
        <f>IF(U94&gt;0,ROUND(SUM(U94:U$102)/U94-0.5,Rundex),"")</f>
        <v>1.1499999999999999</v>
      </c>
      <c r="W94" s="89"/>
      <c r="X94" s="9">
        <f t="shared" si="147"/>
        <v>102</v>
      </c>
      <c r="Y94" s="11" t="str">
        <f t="shared" si="148"/>
        <v xml:space="preserve"> </v>
      </c>
      <c r="Z94" s="11" t="str">
        <f>IF($X94&lt;RAF,SUM(Y94:INDEX(Day,RAF-BeginnAlter))," ")</f>
        <v xml:space="preserve"> </v>
      </c>
      <c r="AA94" s="11" t="str">
        <f t="shared" si="81"/>
        <v xml:space="preserve"> </v>
      </c>
      <c r="AB94" s="11" t="str">
        <f>IF($X94&lt;RAF,SUM(AA94:INDEX(Cay,RAF-BeginnAlter))," ")</f>
        <v xml:space="preserve"> </v>
      </c>
      <c r="AC94" s="11" t="str">
        <f t="shared" si="82"/>
        <v xml:space="preserve"> </v>
      </c>
      <c r="AD94" s="11" t="str">
        <f>IF($X94&lt;RAF,SUM(AC94:INDEX(Caiy,RAF-BeginnAlter))," ")</f>
        <v xml:space="preserve"> </v>
      </c>
      <c r="AE94" s="10" t="str">
        <f t="shared" si="149"/>
        <v xml:space="preserve"> </v>
      </c>
      <c r="AF94" s="10" t="str">
        <f t="shared" si="150"/>
        <v xml:space="preserve"> </v>
      </c>
      <c r="AG94" s="89"/>
      <c r="AH94" s="9">
        <f t="shared" si="151"/>
        <v>102</v>
      </c>
      <c r="AI94" s="11" t="str">
        <f t="shared" si="152"/>
        <v xml:space="preserve"> </v>
      </c>
      <c r="AJ94" s="11" t="str">
        <f>IF($AH94&gt;RAF," ",IF($AH94&lt;RAF,SUM(AI94:INDEX(Diy,RAF-BeginnAlter))+INDEX(Ny,RAF-BeginnAlter+1),INDEX(Ny,RAF-BeginnAlter+1)))</f>
        <v xml:space="preserve"> </v>
      </c>
      <c r="AK94" s="11" t="str">
        <f>IF($AH94&lt;RAF,SUM(AI94:INDEX(Diy,RAF-BeginnAlter))," ")</f>
        <v xml:space="preserve"> </v>
      </c>
      <c r="AL94" s="10" t="str">
        <f t="shared" si="153"/>
        <v xml:space="preserve"> </v>
      </c>
      <c r="AM94" s="10" t="str">
        <f t="shared" si="154"/>
        <v xml:space="preserve"> </v>
      </c>
      <c r="AN94" s="10" t="str">
        <f t="shared" si="155"/>
        <v xml:space="preserve"> </v>
      </c>
      <c r="AO94" s="10" t="str">
        <f t="shared" si="156"/>
        <v xml:space="preserve"> </v>
      </c>
      <c r="AP94" s="89"/>
      <c r="AQ94" s="9">
        <f t="shared" si="157"/>
        <v>102</v>
      </c>
      <c r="AR94" s="11">
        <f>ROUND(v^AQ94*J94,RundDx)</f>
        <v>39</v>
      </c>
      <c r="AS94" s="11">
        <f>SUM(AR94:AR$96)</f>
        <v>58</v>
      </c>
      <c r="AT94" s="25" t="str">
        <f>IF($AQ94&lt;RAF,SUM(AR94:INDEX(Dy,RAF-BeginnAlter))," ")</f>
        <v xml:space="preserve"> </v>
      </c>
      <c r="AU94" s="24">
        <f t="shared" si="158"/>
        <v>1.4870000000000001</v>
      </c>
      <c r="AV94" s="24">
        <f t="shared" si="159"/>
        <v>1.0289999999999999</v>
      </c>
      <c r="AW94" s="24" t="str">
        <f t="shared" si="160"/>
        <v xml:space="preserve"> </v>
      </c>
      <c r="AX94" s="24" t="str">
        <f t="shared" si="161"/>
        <v xml:space="preserve"> </v>
      </c>
      <c r="AY94" s="89"/>
      <c r="AZ94" s="9">
        <f t="shared" si="162"/>
        <v>102</v>
      </c>
      <c r="BA94" s="11">
        <f>ROUND(v^AZ94*U94,0)</f>
        <v>44</v>
      </c>
      <c r="BB94" s="11">
        <f>SUM(BA94:BA$96)</f>
        <v>69</v>
      </c>
      <c r="BC94" s="10">
        <f t="shared" si="163"/>
        <v>1.5680000000000001</v>
      </c>
      <c r="BD94" s="10">
        <f t="shared" si="84"/>
        <v>1.1100000000000001</v>
      </c>
      <c r="BE94" s="89"/>
      <c r="BF94" s="9">
        <f t="shared" si="164"/>
        <v>85</v>
      </c>
      <c r="BG94" s="10" t="str">
        <f t="shared" si="85"/>
        <v/>
      </c>
      <c r="BH94" s="10" t="str">
        <f t="shared" si="86"/>
        <v/>
      </c>
      <c r="BI94" s="89"/>
      <c r="BJ94" s="9">
        <f t="shared" si="165"/>
        <v>102</v>
      </c>
      <c r="BK94" s="11" t="str">
        <f t="shared" si="166"/>
        <v xml:space="preserve"> </v>
      </c>
      <c r="BL94" s="11" t="str">
        <f>IF(BJ94&lt;RAF,SUM(BK94:INDEX(Daiy,RAF-BeginnAlter))," ")</f>
        <v xml:space="preserve"> </v>
      </c>
      <c r="BM94" s="11" t="str">
        <f>IF(BJ94&lt;RAF,SUM(BL94:INDEX(Naiy,RAF-BeginnAlter))," ")</f>
        <v xml:space="preserve"> </v>
      </c>
      <c r="BN94" s="10" t="str">
        <f t="shared" si="167"/>
        <v xml:space="preserve"> </v>
      </c>
      <c r="BO94" s="10" t="str">
        <f t="shared" si="168"/>
        <v xml:space="preserve"> </v>
      </c>
      <c r="BP94" s="89"/>
      <c r="BQ94" s="9">
        <f t="shared" si="169"/>
        <v>102</v>
      </c>
      <c r="BR94" s="11" t="str">
        <f t="shared" si="170"/>
        <v xml:space="preserve"> </v>
      </c>
      <c r="BS94" s="11" t="str">
        <f>IF(BQ94&lt;RAF,SUM(BR94:INDEX(Daiys,RAF-BeginnAlter))," ")</f>
        <v xml:space="preserve"> </v>
      </c>
      <c r="BT94" s="11" t="str">
        <f>IF(BQ94&lt;RAF,SUM(BS94:INDEX(Naiys,RAF-BeginnAlter))," ")</f>
        <v xml:space="preserve"> </v>
      </c>
      <c r="BU94" s="10" t="str">
        <f t="shared" si="171"/>
        <v xml:space="preserve"> </v>
      </c>
      <c r="BV94" s="10" t="str">
        <f t="shared" si="172"/>
        <v xml:space="preserve"> </v>
      </c>
      <c r="BW94" s="89"/>
      <c r="BX94" s="9">
        <f t="shared" si="173"/>
        <v>102</v>
      </c>
      <c r="BY94" s="10" t="str">
        <f t="shared" si="93"/>
        <v/>
      </c>
      <c r="BZ94" s="11" t="str">
        <f t="shared" si="94"/>
        <v/>
      </c>
      <c r="CA94" s="11" t="str">
        <f>IF(S95&lt;=RAK,IF($BX94&lt;RAF,SUM(BZ94:INDEX(Dazy,RAF-BeginnAlter)),""),"")</f>
        <v/>
      </c>
      <c r="CB94" s="10" t="str">
        <f t="shared" si="95"/>
        <v/>
      </c>
      <c r="CC94" s="11">
        <f t="shared" si="96"/>
        <v>0</v>
      </c>
      <c r="CD94" s="10">
        <f t="shared" si="97"/>
        <v>0</v>
      </c>
      <c r="CE94" s="10" t="str">
        <f t="shared" si="98"/>
        <v/>
      </c>
      <c r="CF94" s="89"/>
      <c r="CG94" s="9">
        <f t="shared" si="174"/>
        <v>102</v>
      </c>
      <c r="CH94" s="11" t="str">
        <f>IF(CG94&lt;RAF,ROUND(v^($CG94+FaktorAlter)*$H94*($B94*0.5*($P94+$P95)*(VLOOKUP(TRUNC(0.5*($Q94+$Q95),0),Männer!$AZ$9:$BD$95,5)+(0.5*($Q94+$Q95)-TRUNC(0.5*($Q94+$Q95),0))*(VLOOKUP(TRUNC(0.5*($Q94+$Q95)+1,0),Männer!$AZ$9:$BD$95,5)-VLOOKUP(TRUNC(0.5*($Q94+$Q95),0),Männer!$AZ$9:$BD$95,5)))+$C94*0.5*($CN94+$CN95)),RundDx),"")</f>
        <v/>
      </c>
      <c r="CI94" s="11" t="str">
        <f>IF(CG94&lt;RAF,ROUND(SUM(CH94:INDEX(Dawy,RAF-BeginnAlter))+INDEX(Day,RAF-BeginnAlter+1)*INDEX(äwy,1),RundDx),"")</f>
        <v/>
      </c>
      <c r="CJ94" s="11" t="str">
        <f>IF(CG94&lt;RAF,ROUND(SUM(CI94:INDEX(Nawy,RAF-BeginnAlter))+INDEX(Day,RAF-BeginnAlter+1)*INDEX(äwy,1),RundDx),"")</f>
        <v/>
      </c>
      <c r="CK94" s="10" t="str">
        <f t="shared" si="175"/>
        <v/>
      </c>
      <c r="CL94" s="11" t="str">
        <f>IF(CG94&lt;RAF,ROUND(v^($CG94+FaktorAlter)*$L94*$D94*0.5*($P94+$P95)*(VLOOKUP(TRUNC(0.5*($Q94+$Q95),0),Männer!$AZ$9:$BD$95,5)+(0.5*($Q94+$Q95)-TRUNC(0.5*($Q94+$Q95),0))*(VLOOKUP(TRUNC(0.5*($Q94+$Q95)+1,0),Männer!$AZ$9:$BD$95,5)-VLOOKUP(TRUNC(0.5*($Q94+$Q95),0),Männer!$AZ$9:$BD$95,5))),RundDx),"")</f>
        <v/>
      </c>
      <c r="CM94" s="11" t="str">
        <f>IF(CG94&lt;RAF,SUM(CL94:INDEX(Diwy,RAF-BeginnAlter))+INDEX(Diy,RAF-BeginnAlter+1)*INDEX(äwy,1),"")</f>
        <v/>
      </c>
      <c r="CN94" s="10" t="str">
        <f t="shared" si="176"/>
        <v/>
      </c>
      <c r="CO94" s="89"/>
      <c r="CP94" s="9">
        <f t="shared" si="146"/>
        <v>149</v>
      </c>
      <c r="CQ94" s="11"/>
      <c r="CR94" s="11"/>
      <c r="CS94" s="10"/>
      <c r="CT94" s="89"/>
      <c r="CU94" s="35">
        <f t="shared" si="177"/>
        <v>102</v>
      </c>
      <c r="CV94" s="25" t="str">
        <f>IF($CU94&gt;=RAF,"",IF($CU94-CV$103&lt;BeginnAlter,"",ROUND(v^($CU94+FaktorAlter)*$L94*$D94*0.5*(VLOOKUP($CU94-CV$103,Männer!$G$9:$J$102,4)+VLOOKUP($CU94-CV$103+1,Männer!$G$9:$J$102,4))*0.5*(VLOOKUP($CU94-CV$103,Männer!$AZ$9:$BD$102,5)+VLOOKUP($CU94-CV$103+1,Männer!$AZ$9:$BD$102,5)),RundDx)))</f>
        <v/>
      </c>
      <c r="CW94" s="25" t="str">
        <f>IF($CU94&gt;=RAF,"",IF($CU94-CW$103&lt;BeginnAlter,"",ROUND(v^($CU94+FaktorAlter)*$L94*$D94*0.5*(VLOOKUP($CU94-CW$103,Männer!$G$9:$J$102,4)+VLOOKUP($CU94-CW$103+1,Männer!$G$9:$J$102,4))*0.5*(VLOOKUP($CU94-CW$103,Männer!$AZ$9:$BD$102,5)+VLOOKUP($CU94-CW$103+1,Männer!$AZ$9:$BD$102,5)),RundDx)))</f>
        <v/>
      </c>
      <c r="CX94" s="25" t="str">
        <f>IF($CU94&gt;=RAF,"",IF($CU94-CX$103&lt;BeginnAlter,"",ROUND(v^($CU94+FaktorAlter)*$L94*$D94*0.5*(VLOOKUP($CU94-CX$103,Männer!$G$9:$J$102,4)+VLOOKUP($CU94-CX$103+1,Männer!$G$9:$J$102,4))*0.5*(VLOOKUP($CU94-CX$103,Männer!$AZ$9:$BD$102,5)+VLOOKUP($CU94-CX$103+1,Männer!$AZ$9:$BD$102,5)),RundDx)))</f>
        <v/>
      </c>
      <c r="CY94" s="25" t="str">
        <f>IF($CU94&gt;=RAF,"",IF($CU94-CY$103&lt;BeginnAlter,"",ROUND(v^($CU94+FaktorAlter)*$L94*$D94*0.5*(VLOOKUP($CU94-CY$103,Männer!$G$9:$J$102,4)+VLOOKUP($CU94-CY$103+1,Männer!$G$9:$J$102,4))*0.5*(VLOOKUP($CU94-CY$103,Männer!$AZ$9:$BD$102,5)+VLOOKUP($CU94-CY$103+1,Männer!$AZ$9:$BD$102,5)),RundDx)))</f>
        <v/>
      </c>
      <c r="CZ94" s="25" t="str">
        <f>IF($CU94&gt;=RAF,"",IF($CU94-CZ$103&lt;BeginnAlter,"",ROUND(v^($CU94+FaktorAlter)*$L94*$D94*0.5*(VLOOKUP($CU94-CZ$103,Männer!$G$9:$J$102,4)+VLOOKUP($CU94-CZ$103+1,Männer!$G$9:$J$102,4))*0.5*(VLOOKUP($CU94-CZ$103,Männer!$AZ$9:$BD$102,5)+VLOOKUP($CU94-CZ$103+1,Männer!$AZ$9:$BD$102,5)),RundDx)))</f>
        <v/>
      </c>
      <c r="DA94" s="25" t="str">
        <f>IF($CU94&gt;=RAF,"",IF($CU94-DA$103&lt;BeginnAlter,"",ROUND(v^($CU94+FaktorAlter)*$L94*$D94*0.5*(VLOOKUP($CU94-DA$103,Männer!$G$9:$J$102,4)+VLOOKUP($CU94-DA$103+1,Männer!$G$9:$J$102,4))*0.5*(VLOOKUP($CU94-DA$103,Männer!$AZ$9:$BD$102,5)+VLOOKUP($CU94-DA$103+1,Männer!$AZ$9:$BD$102,5)),RundDx)))</f>
        <v/>
      </c>
      <c r="DB94" s="25" t="str">
        <f>IF($CU94&gt;=RAF,"",IF($CU94-DB$103&lt;BeginnAlter,"",ROUND(v^($CU94+FaktorAlter)*$L94*$D94*0.5*(VLOOKUP($CU94-DB$103,Männer!$G$9:$J$102,4)+VLOOKUP($CU94-DB$103+1,Männer!$G$9:$J$102,4))*0.5*(VLOOKUP($CU94-DB$103,Männer!$AZ$9:$BD$102,5)+VLOOKUP($CU94-DB$103+1,Männer!$AZ$9:$BD$102,5)),RundDx)))</f>
        <v/>
      </c>
      <c r="DC94" s="25" t="str">
        <f>IF($CU94&gt;=RAF,"",IF($CU94-DC$103&lt;BeginnAlter,"",ROUND(v^($CU94+FaktorAlter)*$L94*$D94*0.5*(VLOOKUP($CU94-DC$103,Männer!$G$9:$J$102,4)+VLOOKUP($CU94-DC$103+1,Männer!$G$9:$J$102,4))*0.5*(VLOOKUP($CU94-DC$103,Männer!$AZ$9:$BD$102,5)+VLOOKUP($CU94-DC$103+1,Männer!$AZ$9:$BD$102,5)),RundDx)))</f>
        <v/>
      </c>
      <c r="DD94" s="25" t="str">
        <f>IF($CU94&gt;=RAF,"",IF($CU94-DD$103&lt;BeginnAlter,"",ROUND(v^($CU94+FaktorAlter)*$L94*$D94*0.5*(VLOOKUP($CU94-DD$103,Männer!$G$9:$J$102,4)+VLOOKUP($CU94-DD$103+1,Männer!$G$9:$J$102,4))*0.5*(VLOOKUP($CU94-DD$103,Männer!$AZ$9:$BD$102,5)+VLOOKUP($CU94-DD$103+1,Männer!$AZ$9:$BD$102,5)),RundDx)))</f>
        <v/>
      </c>
      <c r="DE94" s="25" t="str">
        <f>IF($CU94&gt;=RAF,"",IF($CU94-DE$103&lt;BeginnAlter,"",ROUND(v^($CU94+FaktorAlter)*$L94*$D94*0.5*(VLOOKUP($CU94-DE$103,Männer!$G$9:$J$102,4)+VLOOKUP($CU94-DE$103+1,Männer!$G$9:$J$102,4))*0.5*(VLOOKUP($CU94-DE$103,Männer!$AZ$9:$BD$102,5)+VLOOKUP($CU94-DE$103+1,Männer!$AZ$9:$BD$102,5)),RundDx)))</f>
        <v/>
      </c>
      <c r="DF94" s="25" t="str">
        <f>IF($CU94&gt;=RAF,"",IF($CU94-DF$103&lt;BeginnAlter,"",ROUND(v^($CU94+FaktorAlter)*$L94*$D94*0.5*(VLOOKUP($CU94-DF$103,Männer!$G$9:$J$102,4)+VLOOKUP($CU94-DF$103+1,Männer!$G$9:$J$102,4))*0.5*(VLOOKUP($CU94-DF$103,Männer!$AZ$9:$BD$102,5)+VLOOKUP($CU94-DF$103+1,Männer!$AZ$9:$BD$102,5)),RundDx)))</f>
        <v/>
      </c>
      <c r="DG94" s="25" t="str">
        <f>IF($CU94&gt;=RAF,"",IF($CU94-DG$103&lt;BeginnAlter,"",ROUND(v^($CU94+FaktorAlter)*$L94*$D94*0.5*(VLOOKUP($CU94-DG$103,Männer!$G$9:$J$102,4)+VLOOKUP($CU94-DG$103+1,Männer!$G$9:$J$102,4))*0.5*(VLOOKUP($CU94-DG$103,Männer!$AZ$9:$BD$102,5)+VLOOKUP($CU94-DG$103+1,Männer!$AZ$9:$BD$102,5)),RundDx)))</f>
        <v/>
      </c>
      <c r="DH94" s="25" t="str">
        <f>IF($CU94&gt;=RAF,"",IF($CU94-DH$103&lt;BeginnAlter,"",ROUND(v^($CU94+FaktorAlter)*$L94*$D94*0.5*(VLOOKUP($CU94-DH$103,Männer!$G$9:$J$102,4)+VLOOKUP($CU94-DH$103+1,Männer!$G$9:$J$102,4))*0.5*(VLOOKUP($CU94-DH$103,Männer!$AZ$9:$BD$102,5)+VLOOKUP($CU94-DH$103+1,Männer!$AZ$9:$BD$102,5)),RundDx)))</f>
        <v/>
      </c>
      <c r="DI94" s="25" t="str">
        <f>IF($CU94&gt;=RAF,"",IF($CU94-DI$103&lt;BeginnAlter,"",ROUND(v^($CU94+FaktorAlter)*$L94*$D94*0.5*(VLOOKUP($CU94-DI$103,Männer!$G$9:$J$102,4)+VLOOKUP($CU94-DI$103+1,Männer!$G$9:$J$102,4))*0.5*(VLOOKUP($CU94-DI$103,Männer!$AZ$9:$BD$102,5)+VLOOKUP($CU94-DI$103+1,Männer!$AZ$9:$BD$102,5)),RundDx)))</f>
        <v/>
      </c>
      <c r="DJ94" s="25" t="str">
        <f>IF($CU94&gt;=RAF,"",IF($CU94-DJ$103&lt;BeginnAlter,"",ROUND(v^($CU94+FaktorAlter)*$L94*$D94*0.5*(VLOOKUP($CU94-DJ$103,Männer!$G$9:$J$102,4)+VLOOKUP($CU94-DJ$103+1,Männer!$G$9:$J$102,4))*0.5*(VLOOKUP($CU94-DJ$103,Männer!$AZ$9:$BD$102,5)+VLOOKUP($CU94-DJ$103+1,Männer!$AZ$9:$BD$102,5)),RundDx)))</f>
        <v/>
      </c>
      <c r="DK94" s="25" t="str">
        <f>IF($CU94&gt;=RAF,"",IF($CU94-DK$103&lt;BeginnAlter,"",ROUND(v^($CU94+FaktorAlter)*$L94*$D94*0.5*(VLOOKUP($CU94-DK$103,Männer!$G$9:$J$102,4)+VLOOKUP($CU94-DK$103+1,Männer!$G$9:$J$102,4))*0.5*(VLOOKUP($CU94-DK$103,Männer!$AZ$9:$BD$102,5)+VLOOKUP($CU94-DK$103+1,Männer!$AZ$9:$BD$102,5)),RundDx)))</f>
        <v/>
      </c>
      <c r="DL94" s="25" t="str">
        <f>IF($CU94&gt;=RAF,"",IF($CU94-DL$103&lt;BeginnAlter,"",ROUND(v^($CU94+FaktorAlter)*$L94*$D94*0.5*(VLOOKUP($CU94-DL$103,Männer!$G$9:$J$102,4)+VLOOKUP($CU94-DL$103+1,Männer!$G$9:$J$102,4))*0.5*(VLOOKUP($CU94-DL$103,Männer!$AZ$9:$BD$102,5)+VLOOKUP($CU94-DL$103+1,Männer!$AZ$9:$BD$102,5)),RundDx)))</f>
        <v/>
      </c>
      <c r="DM94" s="25" t="str">
        <f>IF($CU94&gt;=RAF,"",IF($CU94-DM$103&lt;BeginnAlter,"",ROUND(v^($CU94+FaktorAlter)*$L94*$D94*0.5*(VLOOKUP($CU94-DM$103,Männer!$G$9:$J$102,4)+VLOOKUP($CU94-DM$103+1,Männer!$G$9:$J$102,4))*0.5*(VLOOKUP($CU94-DM$103,Männer!$AZ$9:$BD$102,5)+VLOOKUP($CU94-DM$103+1,Männer!$AZ$9:$BD$102,5)),RundDx)))</f>
        <v/>
      </c>
      <c r="DN94" s="25" t="str">
        <f>IF($CU94&gt;=RAF,"",IF($CU94-DN$103&lt;BeginnAlter,"",ROUND(v^($CU94+FaktorAlter)*$L94*$D94*0.5*(VLOOKUP($CU94-DN$103,Männer!$G$9:$J$102,4)+VLOOKUP($CU94-DN$103+1,Männer!$G$9:$J$102,4))*0.5*(VLOOKUP($CU94-DN$103,Männer!$AZ$9:$BD$102,5)+VLOOKUP($CU94-DN$103+1,Männer!$AZ$9:$BD$102,5)),RundDx)))</f>
        <v/>
      </c>
      <c r="DO94" s="25" t="str">
        <f>IF($CU94&gt;=RAF,"",IF($CU94-DO$103&lt;BeginnAlter,"",ROUND(v^($CU94+FaktorAlter)*$L94*$D94*0.5*(VLOOKUP($CU94-DO$103,Männer!$G$9:$J$102,4)+VLOOKUP($CU94-DO$103+1,Männer!$G$9:$J$102,4))*0.5*(VLOOKUP($CU94-DO$103,Männer!$AZ$9:$BD$102,5)+VLOOKUP($CU94-DO$103+1,Männer!$AZ$9:$BD$102,5)),RundDx)))</f>
        <v/>
      </c>
      <c r="DP94" s="25" t="str">
        <f>IF($CU94&gt;=RAF,"",IF($CU94-DP$103&lt;BeginnAlter,"",ROUND(v^($CU94+FaktorAlter)*$L94*$D94*0.5*(VLOOKUP($CU94-DP$103,Männer!$G$9:$J$102,4)+VLOOKUP($CU94-DP$103+1,Männer!$G$9:$J$102,4))*0.5*(VLOOKUP($CU94-DP$103,Männer!$AZ$9:$BD$102,5)+VLOOKUP($CU94-DP$103+1,Männer!$AZ$9:$BD$102,5)),RundDx)))</f>
        <v/>
      </c>
      <c r="DQ94" s="25" t="str">
        <f>IF($CU94&gt;=RAF,"",IF($CU94-DQ$103&lt;BeginnAlter,"",ROUND(v^($CU94+FaktorAlter)*$L94*$D94*0.5*(VLOOKUP($CU94-DQ$103,Männer!$G$9:$J$102,4)+VLOOKUP($CU94-DQ$103+1,Männer!$G$9:$J$102,4))*0.5*(VLOOKUP($CU94-DQ$103,Männer!$AZ$9:$BD$102,5)+VLOOKUP($CU94-DQ$103+1,Männer!$AZ$9:$BD$102,5)),RundDx)))</f>
        <v/>
      </c>
      <c r="DR94" s="25" t="str">
        <f>IF($CU94&gt;=RAF,"",IF($CU94-DR$103&lt;BeginnAlter,"",ROUND(v^($CU94+FaktorAlter)*$L94*$D94*0.5*(VLOOKUP($CU94-DR$103,Männer!$G$9:$J$102,4)+VLOOKUP($CU94-DR$103+1,Männer!$G$9:$J$102,4))*0.5*(VLOOKUP($CU94-DR$103,Männer!$AZ$9:$BD$102,5)+VLOOKUP($CU94-DR$103+1,Männer!$AZ$9:$BD$102,5)),RundDx)))</f>
        <v/>
      </c>
      <c r="DS94" s="25" t="str">
        <f>IF($CU94&gt;=RAF,"",IF($CU94-DS$103&lt;BeginnAlter,"",ROUND(v^($CU94+FaktorAlter)*$L94*$D94*0.5*(VLOOKUP($CU94-DS$103,Männer!$G$9:$J$102,4)+VLOOKUP($CU94-DS$103+1,Männer!$G$9:$J$102,4))*0.5*(VLOOKUP($CU94-DS$103,Männer!$AZ$9:$BD$102,5)+VLOOKUP($CU94-DS$103+1,Männer!$AZ$9:$BD$102,5)),RundDx)))</f>
        <v/>
      </c>
      <c r="DT94" s="25" t="str">
        <f>IF($CU94&gt;=RAF,"",IF($CU94-DT$103&lt;BeginnAlter,"",ROUND(v^($CU94+FaktorAlter)*$L94*$D94*0.5*(VLOOKUP($CU94-DT$103,Männer!$G$9:$J$102,4)+VLOOKUP($CU94-DT$103+1,Männer!$G$9:$J$102,4))*0.5*(VLOOKUP($CU94-DT$103,Männer!$AZ$9:$BD$102,5)+VLOOKUP($CU94-DT$103+1,Männer!$AZ$9:$BD$102,5)),RundDx)))</f>
        <v/>
      </c>
      <c r="DU94" s="25" t="str">
        <f>IF($CU94&gt;=RAF,"",IF($CU94-DU$103&lt;BeginnAlter,"",ROUND(v^($CU94+FaktorAlter)*$L94*$D94*0.5*(VLOOKUP($CU94-DU$103,Männer!$G$9:$J$102,4)+VLOOKUP($CU94-DU$103+1,Männer!$G$9:$J$102,4))*0.5*(VLOOKUP($CU94-DU$103,Männer!$AZ$9:$BD$102,5)+VLOOKUP($CU94-DU$103+1,Männer!$AZ$9:$BD$102,5)),RundDx)))</f>
        <v/>
      </c>
      <c r="DV94" s="25" t="str">
        <f>IF($CU94&gt;=RAF,"",IF($CU94-DV$103&lt;BeginnAlter,"",ROUND(v^($CU94+FaktorAlter)*$L94*$D94*0.5*(VLOOKUP($CU94-DV$103,Männer!$G$9:$J$102,4)+VLOOKUP($CU94-DV$103+1,Männer!$G$9:$J$102,4))*0.5*(VLOOKUP($CU94-DV$103,Männer!$AZ$9:$BD$102,5)+VLOOKUP($CU94-DV$103+1,Männer!$AZ$9:$BD$102,5)),RundDx)))</f>
        <v/>
      </c>
      <c r="DW94" s="25" t="str">
        <f>IF($CU94&gt;=RAF,"",IF($CU94-DW$103&lt;BeginnAlter,"",ROUND(v^($CU94+FaktorAlter)*$L94*$D94*0.5*(VLOOKUP($CU94-DW$103,Männer!$G$9:$J$102,4)+VLOOKUP($CU94-DW$103+1,Männer!$G$9:$J$102,4))*0.5*(VLOOKUP($CU94-DW$103,Männer!$AZ$9:$BD$102,5)+VLOOKUP($CU94-DW$103+1,Männer!$AZ$9:$BD$102,5)),RundDx)))</f>
        <v/>
      </c>
      <c r="DX94" s="25" t="str">
        <f>IF($CU94&gt;=RAF,"",IF($CU94-DX$103&lt;BeginnAlter,"",ROUND(v^($CU94+FaktorAlter)*$L94*$D94*0.5*(VLOOKUP($CU94-DX$103,Männer!$G$9:$J$102,4)+VLOOKUP($CU94-DX$103+1,Männer!$G$9:$J$102,4))*0.5*(VLOOKUP($CU94-DX$103,Männer!$AZ$9:$BD$102,5)+VLOOKUP($CU94-DX$103+1,Männer!$AZ$9:$BD$102,5)),RundDx)))</f>
        <v/>
      </c>
      <c r="DY94" s="25" t="str">
        <f>IF($CU94&gt;=RAF,"",IF($CU94-DY$103&lt;BeginnAlter,"",ROUND(v^($CU94+FaktorAlter)*$L94*$D94*0.5*(VLOOKUP($CU94-DY$103,Männer!$G$9:$J$102,4)+VLOOKUP($CU94-DY$103+1,Männer!$G$9:$J$102,4))*0.5*(VLOOKUP($CU94-DY$103,Männer!$AZ$9:$BD$102,5)+VLOOKUP($CU94-DY$103+1,Männer!$AZ$9:$BD$102,5)),RundDx)))</f>
        <v/>
      </c>
      <c r="DZ94" s="25" t="str">
        <f>IF($CU94&gt;=RAF,"",IF($CU94-DZ$103&lt;BeginnAlter,"",ROUND(v^($CU94+FaktorAlter)*$L94*$D94*0.5*(VLOOKUP($CU94-DZ$103,Männer!$G$9:$J$102,4)+VLOOKUP($CU94-DZ$103+1,Männer!$G$9:$J$102,4))*0.5*(VLOOKUP($CU94-DZ$103,Männer!$AZ$9:$BD$102,5)+VLOOKUP($CU94-DZ$103+1,Männer!$AZ$9:$BD$102,5)),RundDx)))</f>
        <v/>
      </c>
      <c r="EA94" s="43" t="str">
        <f>IF($CU94&gt;=RAF,"",IF($CU94-EA$103&lt;BeginnAlter,"",ROUND((SUM(CV$56:CV94)+SUM(FN$9:FN$56))/VLOOKUP($CU94,$AH$9:$AI$102,2)/VLOOKUP($CU94-EA$103,Männer!$G$9:$J$102,4),Rundäx)))</f>
        <v/>
      </c>
      <c r="EB94" s="43" t="str">
        <f>IF($CU94&gt;=RAF,"",IF($CU94-EB$103&lt;BeginnAlter,"",ROUND((SUM(CW$56:CW94)+SUM(FO$9:FO$56))/VLOOKUP($CU94,$AH$9:$AI$102,2)/VLOOKUP($CU94-EB$103,Männer!$G$9:$J$102,4),Rundäx)))</f>
        <v/>
      </c>
      <c r="EC94" s="43" t="str">
        <f>IF($CU94&gt;=RAF,"",IF($CU94-EC$103&lt;BeginnAlter,"",ROUND((SUM(CX$56:CX94)+SUM(FP$9:FP$56))/VLOOKUP($CU94,$AH$9:$AI$102,2)/VLOOKUP($CU94-EC$103,Männer!$G$9:$J$102,4),Rundäx)))</f>
        <v/>
      </c>
      <c r="ED94" s="43" t="str">
        <f>IF($CU94&gt;=RAF,"",IF($CU94-ED$103&lt;BeginnAlter,"",ROUND((SUM(CY$56:CY94)+SUM(FQ$9:FQ$56))/VLOOKUP($CU94,$AH$9:$AI$102,2)/VLOOKUP($CU94-ED$103,Männer!$G$9:$J$102,4),Rundäx)))</f>
        <v/>
      </c>
      <c r="EE94" s="43" t="str">
        <f>IF($CU94&gt;=RAF,"",IF($CU94-EE$103&lt;BeginnAlter,"",ROUND((SUM(CZ$56:CZ94)+SUM(FR$9:FR$56))/VLOOKUP($CU94,$AH$9:$AI$102,2)/VLOOKUP($CU94-EE$103,Männer!$G$9:$J$102,4),Rundäx)))</f>
        <v/>
      </c>
      <c r="EF94" s="43" t="str">
        <f>IF($CU94&gt;=RAF,"",IF($CU94-EF$103&lt;BeginnAlter,"",ROUND((SUM(DA$56:DA94)+SUM(FS$9:FS$56))/VLOOKUP($CU94,$AH$9:$AI$102,2)/VLOOKUP($CU94-EF$103,Männer!$G$9:$J$102,4),Rundäx)))</f>
        <v/>
      </c>
      <c r="EG94" s="43" t="str">
        <f>IF($CU94&gt;=RAF,"",IF($CU94-EG$103&lt;BeginnAlter,"",ROUND((SUM(DB$56:DB94)+SUM(FT$9:FT$56))/VLOOKUP($CU94,$AH$9:$AI$102,2)/VLOOKUP($CU94-EG$103,Männer!$G$9:$J$102,4),Rundäx)))</f>
        <v/>
      </c>
      <c r="EH94" s="43" t="str">
        <f>IF($CU94&gt;=RAF,"",IF($CU94-EH$103&lt;BeginnAlter,"",ROUND((SUM(DC$56:DC94)+SUM(FU$9:FU$56))/VLOOKUP($CU94,$AH$9:$AI$102,2)/VLOOKUP($CU94-EH$103,Männer!$G$9:$J$102,4),Rundäx)))</f>
        <v/>
      </c>
      <c r="EI94" s="89"/>
      <c r="EJ94" s="35">
        <f t="shared" si="178"/>
        <v>102</v>
      </c>
      <c r="EK94" s="43" t="str">
        <f>IF($CU94&gt;=RAF,"",IF($CU94-EK$103&lt;BeginnAlter,"",ROUND((SUM(DD$56:DD94)+SUM(FV$9:FV$56))/VLOOKUP($CU94,$AH$9:$AI$102,2)/VLOOKUP($CU94-EK$103,Männer!$G$9:$J$102,4),Rundäx)))</f>
        <v/>
      </c>
      <c r="EL94" s="43" t="str">
        <f>IF($CU94&gt;=RAF,"",IF($CU94-EL$103&lt;BeginnAlter,"",ROUND((SUM(DE$56:DE94)+SUM(FW$9:FW$56))/VLOOKUP($CU94,$AH$9:$AI$102,2)/VLOOKUP($CU94-EL$103,Männer!$G$9:$J$102,4),Rundäx)))</f>
        <v/>
      </c>
      <c r="EM94" s="43" t="str">
        <f>IF($CU94&gt;=RAF,"",IF($CU94-EM$103&lt;BeginnAlter,"",ROUND((SUM(DF$56:DF94)+SUM(FX$9:FX$56))/VLOOKUP($CU94,$AH$9:$AI$102,2)/VLOOKUP($CU94-EM$103,Männer!$G$9:$J$102,4),Rundäx)))</f>
        <v/>
      </c>
      <c r="EN94" s="43" t="str">
        <f>IF($CU94&gt;=RAF,"",IF($CU94-EN$103&lt;BeginnAlter,"",ROUND((SUM(DG$56:DG94)+SUM(FY$9:FY$56))/VLOOKUP($CU94,$AH$9:$AI$102,2)/VLOOKUP($CU94-EN$103,Männer!$G$9:$J$102,4),Rundäx)))</f>
        <v/>
      </c>
      <c r="EO94" s="43" t="str">
        <f>IF($CU94&gt;=RAF,"",IF($CU94-EO$103&lt;BeginnAlter,"",ROUND((SUM(DH$56:DH94)+SUM(FZ$9:FZ$56))/VLOOKUP($CU94,$AH$9:$AI$102,2)/VLOOKUP($CU94-EO$103,Männer!$G$9:$J$102,4),Rundäx)))</f>
        <v/>
      </c>
      <c r="EP94" s="43" t="str">
        <f>IF($CU94&gt;=RAF,"",IF($CU94-EP$103&lt;BeginnAlter,"",ROUND((SUM(DI$56:DI94)+SUM(GA$9:GA$56))/VLOOKUP($CU94,$AH$9:$AI$102,2)/VLOOKUP($CU94-EP$103,Männer!$G$9:$J$102,4),Rundäx)))</f>
        <v/>
      </c>
      <c r="EQ94" s="43" t="str">
        <f>IF($CU94&gt;=RAF,"",IF($CU94-EQ$103&lt;BeginnAlter,"",ROUND((SUM(DJ$56:DJ94)+SUM(GB$9:GB$56))/VLOOKUP($CU94,$AH$9:$AI$102,2)/VLOOKUP($CU94-EQ$103,Männer!$G$9:$J$102,4),Rundäx)))</f>
        <v/>
      </c>
      <c r="ER94" s="43" t="str">
        <f>IF($CU94&gt;=RAF,"",IF($CU94-ER$103&lt;BeginnAlter,"",ROUND((SUM(DK$56:DK94)+SUM(GC$9:GC$56))/VLOOKUP($CU94,$AH$9:$AI$102,2)/VLOOKUP($CU94-ER$103,Männer!$G$9:$J$102,4),Rundäx)))</f>
        <v/>
      </c>
      <c r="ES94" s="89"/>
      <c r="ET94" s="35">
        <f t="shared" si="179"/>
        <v>102</v>
      </c>
      <c r="EU94" s="43" t="str">
        <f>IF($CU94&gt;=RAF,"",IF($CU94-EU$103&lt;BeginnAlter,"",ROUND((SUM(DL$56:DL94)+SUM(GD$9:GD$56))/VLOOKUP($CU94,$AH$9:$AI$102,2)/VLOOKUP($CU94-EU$103,Männer!$G$9:$J$102,4),Rundäx)))</f>
        <v/>
      </c>
      <c r="EV94" s="43" t="str">
        <f>IF($CU94&gt;=RAF,"",IF($CU94-EV$103&lt;BeginnAlter,"",ROUND((SUM(DM$56:DM94)+SUM(GE$9:GE$56))/VLOOKUP($CU94,$AH$9:$AI$102,2)/VLOOKUP($CU94-EV$103,Männer!$G$9:$J$102,4),Rundäx)))</f>
        <v/>
      </c>
      <c r="EW94" s="43" t="str">
        <f>IF($CU94&gt;=RAF,"",IF($CU94-EW$103&lt;BeginnAlter,"",ROUND((SUM(DN$56:DN94)+SUM(GF$9:GF$56))/VLOOKUP($CU94,$AH$9:$AI$102,2)/VLOOKUP($CU94-EW$103,Männer!$G$9:$J$102,4),Rundäx)))</f>
        <v/>
      </c>
      <c r="EX94" s="43" t="str">
        <f>IF($CU94&gt;=RAF,"",IF($CU94-EX$103&lt;BeginnAlter,"",ROUND((SUM(DO$56:DO94)+SUM(GG$9:GG$56))/VLOOKUP($CU94,$AH$9:$AI$102,2)/VLOOKUP($CU94-EX$103,Männer!$G$9:$J$102,4),Rundäx)))</f>
        <v/>
      </c>
      <c r="EY94" s="43" t="str">
        <f>IF($CU94&gt;=RAF,"",IF($CU94-EY$103&lt;BeginnAlter,"",ROUND((SUM(DP$56:DP94)+SUM(GH$9:GH$56))/VLOOKUP($CU94,$AH$9:$AI$102,2)/VLOOKUP($CU94-EY$103,Männer!$G$9:$J$102,4),Rundäx)))</f>
        <v/>
      </c>
      <c r="EZ94" s="43" t="str">
        <f>IF($CU94&gt;=RAF,"",IF($CU94-EZ$103&lt;BeginnAlter,"",ROUND((SUM(DQ$56:DQ94)+SUM(GI$9:GI$56))/VLOOKUP($CU94,$AH$9:$AI$102,2)/VLOOKUP($CU94-EZ$103,Männer!$G$9:$J$102,4),Rundäx)))</f>
        <v/>
      </c>
      <c r="FA94" s="43" t="str">
        <f>IF($CU94&gt;=RAF,"",IF($CU94-FA$103&lt;BeginnAlter,"",ROUND((SUM(DR$56:DR94)+SUM(GJ$9:GJ$56))/VLOOKUP($CU94,$AH$9:$AI$102,2)/VLOOKUP($CU94-FA$103,Männer!$G$9:$J$102,4),Rundäx)))</f>
        <v/>
      </c>
      <c r="FB94" s="43" t="str">
        <f>IF($CU94&gt;=RAF,"",IF($CU94-FB$103&lt;BeginnAlter,"",ROUND((SUM(DS$56:DS94)+SUM(GK$9:GK$56))/VLOOKUP($CU94,$AH$9:$AI$102,2)/VLOOKUP($CU94-FB$103,Männer!$G$9:$J$102,4),Rundäx)))</f>
        <v/>
      </c>
      <c r="FC94" s="89"/>
      <c r="FD94" s="35">
        <f t="shared" si="180"/>
        <v>102</v>
      </c>
      <c r="FE94" s="43" t="str">
        <f>IF($CU94&gt;=RAF,"",IF($CU94-FE$103&lt;BeginnAlter,"",ROUND((SUM(DT$56:DT94)+SUM(GL$9:GL$56))/VLOOKUP($CU94,$AH$9:$AI$102,2)/VLOOKUP($CU94-FE$103,Männer!$G$9:$J$102,4),Rundäx)))</f>
        <v/>
      </c>
      <c r="FF94" s="43" t="str">
        <f>IF($CU94&gt;=RAF,"",IF($CU94-FF$103&lt;BeginnAlter,"",ROUND((SUM(DU$56:DU94)+SUM(GM$9:GM$56))/VLOOKUP($CU94,$AH$9:$AI$102,2)/VLOOKUP($CU94-FF$103,Männer!$G$9:$J$102,4),Rundäx)))</f>
        <v/>
      </c>
      <c r="FG94" s="43" t="str">
        <f>IF($CU94&gt;=RAF,"",IF($CU94-FG$103&lt;BeginnAlter,"",ROUND((SUM(DV$56:DV94)+SUM(GN$9:GN$56))/VLOOKUP($CU94,$AH$9:$AI$102,2)/VLOOKUP($CU94-FG$103,Männer!$G$9:$J$102,4),Rundäx)))</f>
        <v/>
      </c>
      <c r="FH94" s="43" t="str">
        <f>IF($CU94&gt;=RAF,"",IF($CU94-FH$103&lt;BeginnAlter,"",ROUND((SUM(DW$56:DW94)+SUM(GO$9:GO$56))/VLOOKUP($CU94,$AH$9:$AI$102,2)/VLOOKUP($CU94-FH$103,Männer!$G$9:$J$102,4),Rundäx)))</f>
        <v/>
      </c>
      <c r="FI94" s="43" t="str">
        <f>IF($CU94&gt;=RAF,"",IF($CU94-FI$103&lt;BeginnAlter,"",ROUND((SUM(DX$56:DX94)+SUM(GP$9:GP$56))/VLOOKUP($CU94,$AH$9:$AI$102,2)/VLOOKUP($CU94-FI$103,Männer!$G$9:$J$102,4),Rundäx)))</f>
        <v/>
      </c>
      <c r="FJ94" s="43" t="str">
        <f>IF($CU94&gt;=RAF,"",IF($CU94-FJ$103&lt;BeginnAlter,"",ROUND((SUM(DY$56:DY94)+SUM(GQ$9:GQ$56))/VLOOKUP($CU94,$AH$9:$AI$102,2)/VLOOKUP($CU94-FJ$103,Männer!$G$9:$J$102,4),Rundäx)))</f>
        <v/>
      </c>
      <c r="FK94" s="43" t="str">
        <f>IF($CU94&gt;=RAF,"",IF($CU94-FK$103&lt;BeginnAlter,"",ROUND((SUM(DZ$56:DZ94)+SUM(GR$9:GR$56))/VLOOKUP($CU94,$AH$9:$AI$102,2)/VLOOKUP($CU94-FK$103,Männer!$G$9:$J$102,4),Rundäx)))</f>
        <v/>
      </c>
      <c r="FL94" s="89"/>
      <c r="FM94" s="35">
        <f t="shared" si="181"/>
        <v>149</v>
      </c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4"/>
      <c r="GT94" s="24"/>
      <c r="GU94" s="24" t="str">
        <f>IF(FM94&gt;=RAF," ",#REF!/$AI94/Frauen!$J82)</f>
        <v xml:space="preserve"> </v>
      </c>
      <c r="GV94" s="24" t="str">
        <f>IF(FM94&gt;=RAF," ",#REF!/$AI94/Frauen!$J85)</f>
        <v xml:space="preserve"> </v>
      </c>
      <c r="GW94" s="24" t="str">
        <f>IF(FM94&gt;=RAF," ",#REF!/$AI94/Frauen!$J88)</f>
        <v xml:space="preserve"> </v>
      </c>
      <c r="GX94" s="24" t="str">
        <f>IF(FM94&gt;=RAF," ",#REF!/$AI94/Frauen!$J91)</f>
        <v xml:space="preserve"> </v>
      </c>
      <c r="GY94" s="24" t="str">
        <f>IF(FM94&gt;=RAF," ",#REF!/$AI94/Frauen!$J94)</f>
        <v xml:space="preserve"> </v>
      </c>
      <c r="GZ94" s="24" t="str">
        <f>IF(FM94&gt;=RAF," ",#REF!/$AI94/Frauen!$J97)</f>
        <v xml:space="preserve"> </v>
      </c>
      <c r="HA94" s="89"/>
      <c r="HB94" s="35">
        <f t="shared" si="182"/>
        <v>149</v>
      </c>
      <c r="HC94" s="24"/>
      <c r="HD94" s="24"/>
      <c r="HE94" s="24"/>
      <c r="HF94" s="24"/>
      <c r="HG94" s="24"/>
      <c r="HH94" s="24"/>
      <c r="HI94" s="24"/>
      <c r="HJ94" s="24"/>
      <c r="HK94" s="89"/>
      <c r="HL94" s="35">
        <f t="shared" si="183"/>
        <v>149</v>
      </c>
      <c r="HM94" s="24"/>
      <c r="HN94" s="24"/>
      <c r="HO94" s="24"/>
      <c r="HP94" s="24"/>
      <c r="HQ94" s="24"/>
      <c r="HR94" s="24"/>
      <c r="HS94" s="24"/>
      <c r="HT94" s="24"/>
      <c r="HU94" s="89"/>
      <c r="HV94" s="35">
        <f t="shared" si="184"/>
        <v>149</v>
      </c>
      <c r="HW94" s="24"/>
      <c r="HX94" s="24"/>
      <c r="HY94" s="24"/>
      <c r="HZ94" s="24"/>
      <c r="IA94" s="24"/>
      <c r="IB94" s="24"/>
      <c r="IC94" s="24"/>
      <c r="ID94" s="89"/>
      <c r="IE94" s="9">
        <f t="shared" si="185"/>
        <v>102</v>
      </c>
      <c r="IF94" s="11" t="str">
        <f t="shared" si="101"/>
        <v/>
      </c>
      <c r="IG94" s="11" t="str">
        <f>IF($IE94&lt;RAF,IF(S95&lt;=RAK,ROUND(SUM(IF94:INDEX(Daky,RAF-BeginnAlter))+INDEX(Day,RAF-BeginnAlter+1)*INDEX(äky,1),RundDx),0),"")</f>
        <v/>
      </c>
      <c r="IH94" s="11" t="str">
        <f>IF($IE94&lt;RAF,IF(S95&lt;=RAK,ROUND(SUM(IG94:INDEX(Naky,RAF-BeginnAlter))+INDEX(Day,RAF-BeginnAlter+1)*INDEX(äky,1),RundDx),0),"")</f>
        <v/>
      </c>
      <c r="II94" s="10" t="str">
        <f t="shared" si="102"/>
        <v/>
      </c>
      <c r="IJ94" s="11" t="str">
        <f t="shared" si="103"/>
        <v/>
      </c>
      <c r="IK94" s="11" t="str">
        <f>IF($IE94&lt;RAF,IF(S95&lt;=RAK,SUM(IJ94:INDEX(Diky,RAF-BeginnAlter))+INDEX(Diy,RAF-BeginnAlter+1)*INDEX(äky,1),0),"")</f>
        <v/>
      </c>
      <c r="IL94" s="10" t="str">
        <f t="shared" si="104"/>
        <v/>
      </c>
      <c r="IM94" s="89"/>
      <c r="IN94" s="9">
        <f t="shared" si="186"/>
        <v>149</v>
      </c>
      <c r="IO94" s="11"/>
      <c r="IP94" s="11"/>
      <c r="IQ94" s="10"/>
      <c r="IR94" s="86"/>
    </row>
    <row r="95" spans="1:252" ht="15.75" customHeight="1" x14ac:dyDescent="0.25">
      <c r="A95" s="9">
        <f t="shared" si="125"/>
        <v>103</v>
      </c>
      <c r="B95" s="93"/>
      <c r="C95" s="93"/>
      <c r="D95" s="93"/>
      <c r="E95" s="93">
        <v>0.70568324652528114</v>
      </c>
      <c r="F95" s="89"/>
      <c r="G95" s="9">
        <f t="shared" si="126"/>
        <v>103</v>
      </c>
      <c r="H95" s="11" t="str">
        <f t="shared" si="106"/>
        <v/>
      </c>
      <c r="I95" s="25" t="str">
        <f t="shared" si="107"/>
        <v/>
      </c>
      <c r="J95" s="25">
        <f t="shared" si="108"/>
        <v>148</v>
      </c>
      <c r="K95" s="30">
        <f>IF(J95&gt;0,ROUND(SUM(J95:J$102)/J95-0.5,Rundex),"")</f>
        <v>0.85</v>
      </c>
      <c r="L95" s="25">
        <f t="shared" si="83"/>
        <v>148</v>
      </c>
      <c r="M95" s="30">
        <f>IF(L95&gt;0,ROUND(SUM(L95:L$102)/L95-0.5,Rundex),"")</f>
        <v>0.85</v>
      </c>
      <c r="N95" s="89"/>
      <c r="O95" s="9">
        <f t="shared" si="127"/>
        <v>103</v>
      </c>
      <c r="P95" s="94">
        <v>1.7253992068153158E-3</v>
      </c>
      <c r="Q95" s="95">
        <v>102.26929828906329</v>
      </c>
      <c r="R95" s="94"/>
      <c r="S95" s="95"/>
      <c r="T95" s="28">
        <v>0.62873980462741852</v>
      </c>
      <c r="U95" s="11">
        <f t="shared" si="109"/>
        <v>181</v>
      </c>
      <c r="V95" s="30">
        <f>IF(U95&gt;0,ROUND(SUM(U95:U$102)/U95-0.5,Rundex),"")</f>
        <v>1.02</v>
      </c>
      <c r="W95" s="89"/>
      <c r="X95" s="9">
        <f t="shared" si="147"/>
        <v>103</v>
      </c>
      <c r="Y95" s="11" t="str">
        <f t="shared" si="148"/>
        <v xml:space="preserve"> </v>
      </c>
      <c r="Z95" s="11" t="str">
        <f>IF($X95&lt;RAF,SUM(Y95:INDEX(Day,RAF-BeginnAlter))," ")</f>
        <v xml:space="preserve"> </v>
      </c>
      <c r="AA95" s="11" t="str">
        <f t="shared" si="81"/>
        <v xml:space="preserve"> </v>
      </c>
      <c r="AB95" s="11" t="str">
        <f>IF($X95&lt;RAF,SUM(AA95:INDEX(Cay,RAF-BeginnAlter))," ")</f>
        <v xml:space="preserve"> </v>
      </c>
      <c r="AC95" s="11" t="str">
        <f t="shared" si="82"/>
        <v xml:space="preserve"> </v>
      </c>
      <c r="AD95" s="11" t="str">
        <f>IF($X95&lt;RAF,SUM(AC95:INDEX(Caiy,RAF-BeginnAlter))," ")</f>
        <v xml:space="preserve"> </v>
      </c>
      <c r="AE95" s="10" t="str">
        <f t="shared" si="149"/>
        <v xml:space="preserve"> </v>
      </c>
      <c r="AF95" s="10" t="str">
        <f t="shared" si="150"/>
        <v xml:space="preserve"> </v>
      </c>
      <c r="AG95" s="89"/>
      <c r="AH95" s="9">
        <f t="shared" si="151"/>
        <v>103</v>
      </c>
      <c r="AI95" s="11" t="str">
        <f t="shared" si="152"/>
        <v xml:space="preserve"> </v>
      </c>
      <c r="AJ95" s="11" t="str">
        <f>IF($AH95&gt;RAF," ",IF($AH95&lt;RAF,SUM(AI95:INDEX(Diy,RAF-BeginnAlter))+INDEX(Ny,RAF-BeginnAlter+1),INDEX(Ny,RAF-BeginnAlter+1)))</f>
        <v xml:space="preserve"> </v>
      </c>
      <c r="AK95" s="11" t="str">
        <f>IF($AH95&lt;RAF,SUM(AI95:INDEX(Diy,RAF-BeginnAlter))," ")</f>
        <v xml:space="preserve"> </v>
      </c>
      <c r="AL95" s="10" t="str">
        <f t="shared" si="153"/>
        <v xml:space="preserve"> </v>
      </c>
      <c r="AM95" s="10" t="str">
        <f t="shared" si="154"/>
        <v xml:space="preserve"> </v>
      </c>
      <c r="AN95" s="10" t="str">
        <f t="shared" si="155"/>
        <v xml:space="preserve"> </v>
      </c>
      <c r="AO95" s="10" t="str">
        <f t="shared" si="156"/>
        <v xml:space="preserve"> </v>
      </c>
      <c r="AP95" s="89"/>
      <c r="AQ95" s="9">
        <f t="shared" si="157"/>
        <v>103</v>
      </c>
      <c r="AR95" s="11">
        <f>ROUND(v^AQ95*J95,RundDx)</f>
        <v>15</v>
      </c>
      <c r="AS95" s="11">
        <f>SUM(AR95:AR$96)</f>
        <v>19</v>
      </c>
      <c r="AT95" s="25" t="str">
        <f>IF($AQ95&lt;RAF,SUM(AR95:INDEX(Dy,RAF-BeginnAlter))," ")</f>
        <v xml:space="preserve"> </v>
      </c>
      <c r="AU95" s="24">
        <f t="shared" si="158"/>
        <v>1.2669999999999999</v>
      </c>
      <c r="AV95" s="24">
        <f t="shared" si="159"/>
        <v>0.80800000000000005</v>
      </c>
      <c r="AW95" s="24" t="str">
        <f t="shared" si="160"/>
        <v xml:space="preserve"> </v>
      </c>
      <c r="AX95" s="24" t="str">
        <f t="shared" si="161"/>
        <v xml:space="preserve"> </v>
      </c>
      <c r="AY95" s="89"/>
      <c r="AZ95" s="9">
        <f t="shared" si="162"/>
        <v>103</v>
      </c>
      <c r="BA95" s="11">
        <f>ROUND(v^AZ95*U95,0)</f>
        <v>18</v>
      </c>
      <c r="BB95" s="11">
        <f>SUM(BA95:BA$96)</f>
        <v>25</v>
      </c>
      <c r="BC95" s="10">
        <f t="shared" si="163"/>
        <v>1.389</v>
      </c>
      <c r="BD95" s="10">
        <f t="shared" si="84"/>
        <v>0.93100000000000005</v>
      </c>
      <c r="BE95" s="89"/>
      <c r="BF95" s="9">
        <f t="shared" si="164"/>
        <v>86</v>
      </c>
      <c r="BG95" s="10" t="str">
        <f t="shared" si="85"/>
        <v/>
      </c>
      <c r="BH95" s="10" t="str">
        <f t="shared" si="86"/>
        <v/>
      </c>
      <c r="BI95" s="89"/>
      <c r="BJ95" s="9">
        <f t="shared" si="165"/>
        <v>103</v>
      </c>
      <c r="BK95" s="11" t="str">
        <f t="shared" si="166"/>
        <v xml:space="preserve"> </v>
      </c>
      <c r="BL95" s="11" t="str">
        <f>IF(BJ95&lt;RAF,SUM(BK95:INDEX(Daiy,RAF-BeginnAlter))," ")</f>
        <v xml:space="preserve"> </v>
      </c>
      <c r="BM95" s="11" t="str">
        <f>IF(BJ95&lt;RAF,SUM(BL95:INDEX(Naiy,RAF-BeginnAlter))," ")</f>
        <v xml:space="preserve"> </v>
      </c>
      <c r="BN95" s="10" t="str">
        <f t="shared" si="167"/>
        <v xml:space="preserve"> </v>
      </c>
      <c r="BO95" s="10" t="str">
        <f t="shared" si="168"/>
        <v xml:space="preserve"> </v>
      </c>
      <c r="BP95" s="89"/>
      <c r="BQ95" s="9">
        <f t="shared" si="169"/>
        <v>103</v>
      </c>
      <c r="BR95" s="11" t="str">
        <f t="shared" si="170"/>
        <v xml:space="preserve"> </v>
      </c>
      <c r="BS95" s="11" t="str">
        <f>IF(BQ95&lt;RAF,SUM(BR95:INDEX(Daiys,RAF-BeginnAlter))," ")</f>
        <v xml:space="preserve"> </v>
      </c>
      <c r="BT95" s="11" t="str">
        <f>IF(BQ95&lt;RAF,SUM(BS95:INDEX(Naiys,RAF-BeginnAlter))," ")</f>
        <v xml:space="preserve"> </v>
      </c>
      <c r="BU95" s="10" t="str">
        <f t="shared" si="171"/>
        <v xml:space="preserve"> </v>
      </c>
      <c r="BV95" s="10" t="str">
        <f t="shared" si="172"/>
        <v xml:space="preserve"> </v>
      </c>
      <c r="BW95" s="89"/>
      <c r="BX95" s="9">
        <f t="shared" si="173"/>
        <v>103</v>
      </c>
      <c r="BY95" s="10" t="str">
        <f t="shared" si="93"/>
        <v/>
      </c>
      <c r="BZ95" s="11" t="str">
        <f t="shared" si="94"/>
        <v/>
      </c>
      <c r="CA95" s="11" t="str">
        <f>IF(S96&lt;=RAK,IF($BX95&lt;RAF,SUM(BZ95:INDEX(Dazy,RAF-BeginnAlter)),""),"")</f>
        <v/>
      </c>
      <c r="CB95" s="10" t="str">
        <f t="shared" si="95"/>
        <v/>
      </c>
      <c r="CC95" s="11">
        <f t="shared" si="96"/>
        <v>0</v>
      </c>
      <c r="CD95" s="10">
        <f t="shared" si="97"/>
        <v>0</v>
      </c>
      <c r="CE95" s="10" t="str">
        <f t="shared" si="98"/>
        <v/>
      </c>
      <c r="CF95" s="89"/>
      <c r="CG95" s="9">
        <f t="shared" si="174"/>
        <v>103</v>
      </c>
      <c r="CH95" s="11" t="str">
        <f>IF(CG95&lt;RAF,ROUND(v^($CG95+FaktorAlter)*$H95*($B95*0.5*($P95+$P96)*(VLOOKUP(TRUNC(0.5*($Q95+$Q96),0),Männer!$AZ$9:$BD$95,5)+(0.5*($Q95+$Q96)-TRUNC(0.5*($Q95+$Q96),0))*(VLOOKUP(TRUNC(0.5*($Q95+$Q96)+1,0),Männer!$AZ$9:$BD$95,5)-VLOOKUP(TRUNC(0.5*($Q95+$Q96),0),Männer!$AZ$9:$BD$95,5)))+$C95*0.5*($CN95+$CN96)),RundDx),"")</f>
        <v/>
      </c>
      <c r="CI95" s="11" t="str">
        <f>IF(CG95&lt;RAF,ROUND(SUM(CH95:INDEX(Dawy,RAF-BeginnAlter))+INDEX(Day,RAF-BeginnAlter+1)*INDEX(äwy,1),RundDx),"")</f>
        <v/>
      </c>
      <c r="CJ95" s="11" t="str">
        <f>IF(CG95&lt;RAF,ROUND(SUM(CI95:INDEX(Nawy,RAF-BeginnAlter))+INDEX(Day,RAF-BeginnAlter+1)*INDEX(äwy,1),RundDx),"")</f>
        <v/>
      </c>
      <c r="CK95" s="10" t="str">
        <f t="shared" si="175"/>
        <v/>
      </c>
      <c r="CL95" s="11" t="str">
        <f>IF(CG95&lt;RAF,ROUND(v^($CG95+FaktorAlter)*$L95*$D95*0.5*($P95+$P96)*(VLOOKUP(TRUNC(0.5*($Q95+$Q96),0),Männer!$AZ$9:$BD$95,5)+(0.5*($Q95+$Q96)-TRUNC(0.5*($Q95+$Q96),0))*(VLOOKUP(TRUNC(0.5*($Q95+$Q96)+1,0),Männer!$AZ$9:$BD$95,5)-VLOOKUP(TRUNC(0.5*($Q95+$Q96),0),Männer!$AZ$9:$BD$95,5))),RundDx),"")</f>
        <v/>
      </c>
      <c r="CM95" s="11" t="str">
        <f>IF(CG95&lt;RAF,SUM(CL95:INDEX(Diwy,RAF-BeginnAlter))+INDEX(Diy,RAF-BeginnAlter+1)*INDEX(äwy,1),"")</f>
        <v/>
      </c>
      <c r="CN95" s="10" t="str">
        <f t="shared" si="176"/>
        <v/>
      </c>
      <c r="CO95" s="89"/>
      <c r="CP95" s="9">
        <f t="shared" si="146"/>
        <v>150</v>
      </c>
      <c r="CQ95" s="11"/>
      <c r="CR95" s="11"/>
      <c r="CS95" s="10"/>
      <c r="CT95" s="89"/>
      <c r="CU95" s="35">
        <f t="shared" si="177"/>
        <v>103</v>
      </c>
      <c r="CV95" s="25" t="str">
        <f>IF($CU95&gt;=RAF,"",IF($CU95-CV$103&lt;BeginnAlter,"",ROUND(v^($CU95+FaktorAlter)*$L95*$D95*0.5*(VLOOKUP($CU95-CV$103,Männer!$G$9:$J$102,4)+VLOOKUP($CU95-CV$103+1,Männer!$G$9:$J$102,4))*0.5*(VLOOKUP($CU95-CV$103,Männer!$AZ$9:$BD$102,5)+VLOOKUP($CU95-CV$103+1,Männer!$AZ$9:$BD$102,5)),RundDx)))</f>
        <v/>
      </c>
      <c r="CW95" s="25" t="str">
        <f>IF($CU95&gt;=RAF,"",IF($CU95-CW$103&lt;BeginnAlter,"",ROUND(v^($CU95+FaktorAlter)*$L95*$D95*0.5*(VLOOKUP($CU95-CW$103,Männer!$G$9:$J$102,4)+VLOOKUP($CU95-CW$103+1,Männer!$G$9:$J$102,4))*0.5*(VLOOKUP($CU95-CW$103,Männer!$AZ$9:$BD$102,5)+VLOOKUP($CU95-CW$103+1,Männer!$AZ$9:$BD$102,5)),RundDx)))</f>
        <v/>
      </c>
      <c r="CX95" s="25" t="str">
        <f>IF($CU95&gt;=RAF,"",IF($CU95-CX$103&lt;BeginnAlter,"",ROUND(v^($CU95+FaktorAlter)*$L95*$D95*0.5*(VLOOKUP($CU95-CX$103,Männer!$G$9:$J$102,4)+VLOOKUP($CU95-CX$103+1,Männer!$G$9:$J$102,4))*0.5*(VLOOKUP($CU95-CX$103,Männer!$AZ$9:$BD$102,5)+VLOOKUP($CU95-CX$103+1,Männer!$AZ$9:$BD$102,5)),RundDx)))</f>
        <v/>
      </c>
      <c r="CY95" s="25" t="str">
        <f>IF($CU95&gt;=RAF,"",IF($CU95-CY$103&lt;BeginnAlter,"",ROUND(v^($CU95+FaktorAlter)*$L95*$D95*0.5*(VLOOKUP($CU95-CY$103,Männer!$G$9:$J$102,4)+VLOOKUP($CU95-CY$103+1,Männer!$G$9:$J$102,4))*0.5*(VLOOKUP($CU95-CY$103,Männer!$AZ$9:$BD$102,5)+VLOOKUP($CU95-CY$103+1,Männer!$AZ$9:$BD$102,5)),RundDx)))</f>
        <v/>
      </c>
      <c r="CZ95" s="25" t="str">
        <f>IF($CU95&gt;=RAF,"",IF($CU95-CZ$103&lt;BeginnAlter,"",ROUND(v^($CU95+FaktorAlter)*$L95*$D95*0.5*(VLOOKUP($CU95-CZ$103,Männer!$G$9:$J$102,4)+VLOOKUP($CU95-CZ$103+1,Männer!$G$9:$J$102,4))*0.5*(VLOOKUP($CU95-CZ$103,Männer!$AZ$9:$BD$102,5)+VLOOKUP($CU95-CZ$103+1,Männer!$AZ$9:$BD$102,5)),RundDx)))</f>
        <v/>
      </c>
      <c r="DA95" s="25" t="str">
        <f>IF($CU95&gt;=RAF,"",IF($CU95-DA$103&lt;BeginnAlter,"",ROUND(v^($CU95+FaktorAlter)*$L95*$D95*0.5*(VLOOKUP($CU95-DA$103,Männer!$G$9:$J$102,4)+VLOOKUP($CU95-DA$103+1,Männer!$G$9:$J$102,4))*0.5*(VLOOKUP($CU95-DA$103,Männer!$AZ$9:$BD$102,5)+VLOOKUP($CU95-DA$103+1,Männer!$AZ$9:$BD$102,5)),RundDx)))</f>
        <v/>
      </c>
      <c r="DB95" s="25" t="str">
        <f>IF($CU95&gt;=RAF,"",IF($CU95-DB$103&lt;BeginnAlter,"",ROUND(v^($CU95+FaktorAlter)*$L95*$D95*0.5*(VLOOKUP($CU95-DB$103,Männer!$G$9:$J$102,4)+VLOOKUP($CU95-DB$103+1,Männer!$G$9:$J$102,4))*0.5*(VLOOKUP($CU95-DB$103,Männer!$AZ$9:$BD$102,5)+VLOOKUP($CU95-DB$103+1,Männer!$AZ$9:$BD$102,5)),RundDx)))</f>
        <v/>
      </c>
      <c r="DC95" s="25" t="str">
        <f>IF($CU95&gt;=RAF,"",IF($CU95-DC$103&lt;BeginnAlter,"",ROUND(v^($CU95+FaktorAlter)*$L95*$D95*0.5*(VLOOKUP($CU95-DC$103,Männer!$G$9:$J$102,4)+VLOOKUP($CU95-DC$103+1,Männer!$G$9:$J$102,4))*0.5*(VLOOKUP($CU95-DC$103,Männer!$AZ$9:$BD$102,5)+VLOOKUP($CU95-DC$103+1,Männer!$AZ$9:$BD$102,5)),RundDx)))</f>
        <v/>
      </c>
      <c r="DD95" s="25" t="str">
        <f>IF($CU95&gt;=RAF,"",IF($CU95-DD$103&lt;BeginnAlter,"",ROUND(v^($CU95+FaktorAlter)*$L95*$D95*0.5*(VLOOKUP($CU95-DD$103,Männer!$G$9:$J$102,4)+VLOOKUP($CU95-DD$103+1,Männer!$G$9:$J$102,4))*0.5*(VLOOKUP($CU95-DD$103,Männer!$AZ$9:$BD$102,5)+VLOOKUP($CU95-DD$103+1,Männer!$AZ$9:$BD$102,5)),RundDx)))</f>
        <v/>
      </c>
      <c r="DE95" s="25" t="str">
        <f>IF($CU95&gt;=RAF,"",IF($CU95-DE$103&lt;BeginnAlter,"",ROUND(v^($CU95+FaktorAlter)*$L95*$D95*0.5*(VLOOKUP($CU95-DE$103,Männer!$G$9:$J$102,4)+VLOOKUP($CU95-DE$103+1,Männer!$G$9:$J$102,4))*0.5*(VLOOKUP($CU95-DE$103,Männer!$AZ$9:$BD$102,5)+VLOOKUP($CU95-DE$103+1,Männer!$AZ$9:$BD$102,5)),RundDx)))</f>
        <v/>
      </c>
      <c r="DF95" s="25" t="str">
        <f>IF($CU95&gt;=RAF,"",IF($CU95-DF$103&lt;BeginnAlter,"",ROUND(v^($CU95+FaktorAlter)*$L95*$D95*0.5*(VLOOKUP($CU95-DF$103,Männer!$G$9:$J$102,4)+VLOOKUP($CU95-DF$103+1,Männer!$G$9:$J$102,4))*0.5*(VLOOKUP($CU95-DF$103,Männer!$AZ$9:$BD$102,5)+VLOOKUP($CU95-DF$103+1,Männer!$AZ$9:$BD$102,5)),RundDx)))</f>
        <v/>
      </c>
      <c r="DG95" s="25" t="str">
        <f>IF($CU95&gt;=RAF,"",IF($CU95-DG$103&lt;BeginnAlter,"",ROUND(v^($CU95+FaktorAlter)*$L95*$D95*0.5*(VLOOKUP($CU95-DG$103,Männer!$G$9:$J$102,4)+VLOOKUP($CU95-DG$103+1,Männer!$G$9:$J$102,4))*0.5*(VLOOKUP($CU95-DG$103,Männer!$AZ$9:$BD$102,5)+VLOOKUP($CU95-DG$103+1,Männer!$AZ$9:$BD$102,5)),RundDx)))</f>
        <v/>
      </c>
      <c r="DH95" s="25" t="str">
        <f>IF($CU95&gt;=RAF,"",IF($CU95-DH$103&lt;BeginnAlter,"",ROUND(v^($CU95+FaktorAlter)*$L95*$D95*0.5*(VLOOKUP($CU95-DH$103,Männer!$G$9:$J$102,4)+VLOOKUP($CU95-DH$103+1,Männer!$G$9:$J$102,4))*0.5*(VLOOKUP($CU95-DH$103,Männer!$AZ$9:$BD$102,5)+VLOOKUP($CU95-DH$103+1,Männer!$AZ$9:$BD$102,5)),RundDx)))</f>
        <v/>
      </c>
      <c r="DI95" s="25" t="str">
        <f>IF($CU95&gt;=RAF,"",IF($CU95-DI$103&lt;BeginnAlter,"",ROUND(v^($CU95+FaktorAlter)*$L95*$D95*0.5*(VLOOKUP($CU95-DI$103,Männer!$G$9:$J$102,4)+VLOOKUP($CU95-DI$103+1,Männer!$G$9:$J$102,4))*0.5*(VLOOKUP($CU95-DI$103,Männer!$AZ$9:$BD$102,5)+VLOOKUP($CU95-DI$103+1,Männer!$AZ$9:$BD$102,5)),RundDx)))</f>
        <v/>
      </c>
      <c r="DJ95" s="25" t="str">
        <f>IF($CU95&gt;=RAF,"",IF($CU95-DJ$103&lt;BeginnAlter,"",ROUND(v^($CU95+FaktorAlter)*$L95*$D95*0.5*(VLOOKUP($CU95-DJ$103,Männer!$G$9:$J$102,4)+VLOOKUP($CU95-DJ$103+1,Männer!$G$9:$J$102,4))*0.5*(VLOOKUP($CU95-DJ$103,Männer!$AZ$9:$BD$102,5)+VLOOKUP($CU95-DJ$103+1,Männer!$AZ$9:$BD$102,5)),RundDx)))</f>
        <v/>
      </c>
      <c r="DK95" s="25" t="str">
        <f>IF($CU95&gt;=RAF,"",IF($CU95-DK$103&lt;BeginnAlter,"",ROUND(v^($CU95+FaktorAlter)*$L95*$D95*0.5*(VLOOKUP($CU95-DK$103,Männer!$G$9:$J$102,4)+VLOOKUP($CU95-DK$103+1,Männer!$G$9:$J$102,4))*0.5*(VLOOKUP($CU95-DK$103,Männer!$AZ$9:$BD$102,5)+VLOOKUP($CU95-DK$103+1,Männer!$AZ$9:$BD$102,5)),RundDx)))</f>
        <v/>
      </c>
      <c r="DL95" s="25" t="str">
        <f>IF($CU95&gt;=RAF,"",IF($CU95-DL$103&lt;BeginnAlter,"",ROUND(v^($CU95+FaktorAlter)*$L95*$D95*0.5*(VLOOKUP($CU95-DL$103,Männer!$G$9:$J$102,4)+VLOOKUP($CU95-DL$103+1,Männer!$G$9:$J$102,4))*0.5*(VLOOKUP($CU95-DL$103,Männer!$AZ$9:$BD$102,5)+VLOOKUP($CU95-DL$103+1,Männer!$AZ$9:$BD$102,5)),RundDx)))</f>
        <v/>
      </c>
      <c r="DM95" s="25" t="str">
        <f>IF($CU95&gt;=RAF,"",IF($CU95-DM$103&lt;BeginnAlter,"",ROUND(v^($CU95+FaktorAlter)*$L95*$D95*0.5*(VLOOKUP($CU95-DM$103,Männer!$G$9:$J$102,4)+VLOOKUP($CU95-DM$103+1,Männer!$G$9:$J$102,4))*0.5*(VLOOKUP($CU95-DM$103,Männer!$AZ$9:$BD$102,5)+VLOOKUP($CU95-DM$103+1,Männer!$AZ$9:$BD$102,5)),RundDx)))</f>
        <v/>
      </c>
      <c r="DN95" s="25" t="str">
        <f>IF($CU95&gt;=RAF,"",IF($CU95-DN$103&lt;BeginnAlter,"",ROUND(v^($CU95+FaktorAlter)*$L95*$D95*0.5*(VLOOKUP($CU95-DN$103,Männer!$G$9:$J$102,4)+VLOOKUP($CU95-DN$103+1,Männer!$G$9:$J$102,4))*0.5*(VLOOKUP($CU95-DN$103,Männer!$AZ$9:$BD$102,5)+VLOOKUP($CU95-DN$103+1,Männer!$AZ$9:$BD$102,5)),RundDx)))</f>
        <v/>
      </c>
      <c r="DO95" s="25" t="str">
        <f>IF($CU95&gt;=RAF,"",IF($CU95-DO$103&lt;BeginnAlter,"",ROUND(v^($CU95+FaktorAlter)*$L95*$D95*0.5*(VLOOKUP($CU95-DO$103,Männer!$G$9:$J$102,4)+VLOOKUP($CU95-DO$103+1,Männer!$G$9:$J$102,4))*0.5*(VLOOKUP($CU95-DO$103,Männer!$AZ$9:$BD$102,5)+VLOOKUP($CU95-DO$103+1,Männer!$AZ$9:$BD$102,5)),RundDx)))</f>
        <v/>
      </c>
      <c r="DP95" s="25" t="str">
        <f>IF($CU95&gt;=RAF,"",IF($CU95-DP$103&lt;BeginnAlter,"",ROUND(v^($CU95+FaktorAlter)*$L95*$D95*0.5*(VLOOKUP($CU95-DP$103,Männer!$G$9:$J$102,4)+VLOOKUP($CU95-DP$103+1,Männer!$G$9:$J$102,4))*0.5*(VLOOKUP($CU95-DP$103,Männer!$AZ$9:$BD$102,5)+VLOOKUP($CU95-DP$103+1,Männer!$AZ$9:$BD$102,5)),RundDx)))</f>
        <v/>
      </c>
      <c r="DQ95" s="25" t="str">
        <f>IF($CU95&gt;=RAF,"",IF($CU95-DQ$103&lt;BeginnAlter,"",ROUND(v^($CU95+FaktorAlter)*$L95*$D95*0.5*(VLOOKUP($CU95-DQ$103,Männer!$G$9:$J$102,4)+VLOOKUP($CU95-DQ$103+1,Männer!$G$9:$J$102,4))*0.5*(VLOOKUP($CU95-DQ$103,Männer!$AZ$9:$BD$102,5)+VLOOKUP($CU95-DQ$103+1,Männer!$AZ$9:$BD$102,5)),RundDx)))</f>
        <v/>
      </c>
      <c r="DR95" s="25" t="str">
        <f>IF($CU95&gt;=RAF,"",IF($CU95-DR$103&lt;BeginnAlter,"",ROUND(v^($CU95+FaktorAlter)*$L95*$D95*0.5*(VLOOKUP($CU95-DR$103,Männer!$G$9:$J$102,4)+VLOOKUP($CU95-DR$103+1,Männer!$G$9:$J$102,4))*0.5*(VLOOKUP($CU95-DR$103,Männer!$AZ$9:$BD$102,5)+VLOOKUP($CU95-DR$103+1,Männer!$AZ$9:$BD$102,5)),RundDx)))</f>
        <v/>
      </c>
      <c r="DS95" s="25" t="str">
        <f>IF($CU95&gt;=RAF,"",IF($CU95-DS$103&lt;BeginnAlter,"",ROUND(v^($CU95+FaktorAlter)*$L95*$D95*0.5*(VLOOKUP($CU95-DS$103,Männer!$G$9:$J$102,4)+VLOOKUP($CU95-DS$103+1,Männer!$G$9:$J$102,4))*0.5*(VLOOKUP($CU95-DS$103,Männer!$AZ$9:$BD$102,5)+VLOOKUP($CU95-DS$103+1,Männer!$AZ$9:$BD$102,5)),RundDx)))</f>
        <v/>
      </c>
      <c r="DT95" s="25" t="str">
        <f>IF($CU95&gt;=RAF,"",IF($CU95-DT$103&lt;BeginnAlter,"",ROUND(v^($CU95+FaktorAlter)*$L95*$D95*0.5*(VLOOKUP($CU95-DT$103,Männer!$G$9:$J$102,4)+VLOOKUP($CU95-DT$103+1,Männer!$G$9:$J$102,4))*0.5*(VLOOKUP($CU95-DT$103,Männer!$AZ$9:$BD$102,5)+VLOOKUP($CU95-DT$103+1,Männer!$AZ$9:$BD$102,5)),RundDx)))</f>
        <v/>
      </c>
      <c r="DU95" s="25" t="str">
        <f>IF($CU95&gt;=RAF,"",IF($CU95-DU$103&lt;BeginnAlter,"",ROUND(v^($CU95+FaktorAlter)*$L95*$D95*0.5*(VLOOKUP($CU95-DU$103,Männer!$G$9:$J$102,4)+VLOOKUP($CU95-DU$103+1,Männer!$G$9:$J$102,4))*0.5*(VLOOKUP($CU95-DU$103,Männer!$AZ$9:$BD$102,5)+VLOOKUP($CU95-DU$103+1,Männer!$AZ$9:$BD$102,5)),RundDx)))</f>
        <v/>
      </c>
      <c r="DV95" s="25" t="str">
        <f>IF($CU95&gt;=RAF,"",IF($CU95-DV$103&lt;BeginnAlter,"",ROUND(v^($CU95+FaktorAlter)*$L95*$D95*0.5*(VLOOKUP($CU95-DV$103,Männer!$G$9:$J$102,4)+VLOOKUP($CU95-DV$103+1,Männer!$G$9:$J$102,4))*0.5*(VLOOKUP($CU95-DV$103,Männer!$AZ$9:$BD$102,5)+VLOOKUP($CU95-DV$103+1,Männer!$AZ$9:$BD$102,5)),RundDx)))</f>
        <v/>
      </c>
      <c r="DW95" s="25" t="str">
        <f>IF($CU95&gt;=RAF,"",IF($CU95-DW$103&lt;BeginnAlter,"",ROUND(v^($CU95+FaktorAlter)*$L95*$D95*0.5*(VLOOKUP($CU95-DW$103,Männer!$G$9:$J$102,4)+VLOOKUP($CU95-DW$103+1,Männer!$G$9:$J$102,4))*0.5*(VLOOKUP($CU95-DW$103,Männer!$AZ$9:$BD$102,5)+VLOOKUP($CU95-DW$103+1,Männer!$AZ$9:$BD$102,5)),RundDx)))</f>
        <v/>
      </c>
      <c r="DX95" s="25" t="str">
        <f>IF($CU95&gt;=RAF,"",IF($CU95-DX$103&lt;BeginnAlter,"",ROUND(v^($CU95+FaktorAlter)*$L95*$D95*0.5*(VLOOKUP($CU95-DX$103,Männer!$G$9:$J$102,4)+VLOOKUP($CU95-DX$103+1,Männer!$G$9:$J$102,4))*0.5*(VLOOKUP($CU95-DX$103,Männer!$AZ$9:$BD$102,5)+VLOOKUP($CU95-DX$103+1,Männer!$AZ$9:$BD$102,5)),RundDx)))</f>
        <v/>
      </c>
      <c r="DY95" s="25" t="str">
        <f>IF($CU95&gt;=RAF,"",IF($CU95-DY$103&lt;BeginnAlter,"",ROUND(v^($CU95+FaktorAlter)*$L95*$D95*0.5*(VLOOKUP($CU95-DY$103,Männer!$G$9:$J$102,4)+VLOOKUP($CU95-DY$103+1,Männer!$G$9:$J$102,4))*0.5*(VLOOKUP($CU95-DY$103,Männer!$AZ$9:$BD$102,5)+VLOOKUP($CU95-DY$103+1,Männer!$AZ$9:$BD$102,5)),RundDx)))</f>
        <v/>
      </c>
      <c r="DZ95" s="25" t="str">
        <f>IF($CU95&gt;=RAF,"",IF($CU95-DZ$103&lt;BeginnAlter,"",ROUND(v^($CU95+FaktorAlter)*$L95*$D95*0.5*(VLOOKUP($CU95-DZ$103,Männer!$G$9:$J$102,4)+VLOOKUP($CU95-DZ$103+1,Männer!$G$9:$J$102,4))*0.5*(VLOOKUP($CU95-DZ$103,Männer!$AZ$9:$BD$102,5)+VLOOKUP($CU95-DZ$103+1,Männer!$AZ$9:$BD$102,5)),RundDx)))</f>
        <v/>
      </c>
      <c r="EA95" s="43" t="str">
        <f>IF($CU95&gt;=RAF,"",IF($CU95-EA$103&lt;BeginnAlter,"",ROUND((SUM(CV$56:CV95)+SUM(FN$9:FN$56))/VLOOKUP($CU95,$AH$9:$AI$102,2)/VLOOKUP($CU95-EA$103,Männer!$G$9:$J$102,4),Rundäx)))</f>
        <v/>
      </c>
      <c r="EB95" s="43" t="str">
        <f>IF($CU95&gt;=RAF,"",IF($CU95-EB$103&lt;BeginnAlter,"",ROUND((SUM(CW$56:CW95)+SUM(FO$9:FO$56))/VLOOKUP($CU95,$AH$9:$AI$102,2)/VLOOKUP($CU95-EB$103,Männer!$G$9:$J$102,4),Rundäx)))</f>
        <v/>
      </c>
      <c r="EC95" s="43" t="str">
        <f>IF($CU95&gt;=RAF,"",IF($CU95-EC$103&lt;BeginnAlter,"",ROUND((SUM(CX$56:CX95)+SUM(FP$9:FP$56))/VLOOKUP($CU95,$AH$9:$AI$102,2)/VLOOKUP($CU95-EC$103,Männer!$G$9:$J$102,4),Rundäx)))</f>
        <v/>
      </c>
      <c r="ED95" s="43" t="str">
        <f>IF($CU95&gt;=RAF,"",IF($CU95-ED$103&lt;BeginnAlter,"",ROUND((SUM(CY$56:CY95)+SUM(FQ$9:FQ$56))/VLOOKUP($CU95,$AH$9:$AI$102,2)/VLOOKUP($CU95-ED$103,Männer!$G$9:$J$102,4),Rundäx)))</f>
        <v/>
      </c>
      <c r="EE95" s="43" t="str">
        <f>IF($CU95&gt;=RAF,"",IF($CU95-EE$103&lt;BeginnAlter,"",ROUND((SUM(CZ$56:CZ95)+SUM(FR$9:FR$56))/VLOOKUP($CU95,$AH$9:$AI$102,2)/VLOOKUP($CU95-EE$103,Männer!$G$9:$J$102,4),Rundäx)))</f>
        <v/>
      </c>
      <c r="EF95" s="43" t="str">
        <f>IF($CU95&gt;=RAF,"",IF($CU95-EF$103&lt;BeginnAlter,"",ROUND((SUM(DA$56:DA95)+SUM(FS$9:FS$56))/VLOOKUP($CU95,$AH$9:$AI$102,2)/VLOOKUP($CU95-EF$103,Männer!$G$9:$J$102,4),Rundäx)))</f>
        <v/>
      </c>
      <c r="EG95" s="43" t="str">
        <f>IF($CU95&gt;=RAF,"",IF($CU95-EG$103&lt;BeginnAlter,"",ROUND((SUM(DB$56:DB95)+SUM(FT$9:FT$56))/VLOOKUP($CU95,$AH$9:$AI$102,2)/VLOOKUP($CU95-EG$103,Männer!$G$9:$J$102,4),Rundäx)))</f>
        <v/>
      </c>
      <c r="EH95" s="43" t="str">
        <f>IF($CU95&gt;=RAF,"",IF($CU95-EH$103&lt;BeginnAlter,"",ROUND((SUM(DC$56:DC95)+SUM(FU$9:FU$56))/VLOOKUP($CU95,$AH$9:$AI$102,2)/VLOOKUP($CU95-EH$103,Männer!$G$9:$J$102,4),Rundäx)))</f>
        <v/>
      </c>
      <c r="EI95" s="89"/>
      <c r="EJ95" s="35">
        <f t="shared" si="178"/>
        <v>103</v>
      </c>
      <c r="EK95" s="43" t="str">
        <f>IF($CU95&gt;=RAF,"",IF($CU95-EK$103&lt;BeginnAlter,"",ROUND((SUM(DD$56:DD95)+SUM(FV$9:FV$56))/VLOOKUP($CU95,$AH$9:$AI$102,2)/VLOOKUP($CU95-EK$103,Männer!$G$9:$J$102,4),Rundäx)))</f>
        <v/>
      </c>
      <c r="EL95" s="43" t="str">
        <f>IF($CU95&gt;=RAF,"",IF($CU95-EL$103&lt;BeginnAlter,"",ROUND((SUM(DE$56:DE95)+SUM(FW$9:FW$56))/VLOOKUP($CU95,$AH$9:$AI$102,2)/VLOOKUP($CU95-EL$103,Männer!$G$9:$J$102,4),Rundäx)))</f>
        <v/>
      </c>
      <c r="EM95" s="43" t="str">
        <f>IF($CU95&gt;=RAF,"",IF($CU95-EM$103&lt;BeginnAlter,"",ROUND((SUM(DF$56:DF95)+SUM(FX$9:FX$56))/VLOOKUP($CU95,$AH$9:$AI$102,2)/VLOOKUP($CU95-EM$103,Männer!$G$9:$J$102,4),Rundäx)))</f>
        <v/>
      </c>
      <c r="EN95" s="43" t="str">
        <f>IF($CU95&gt;=RAF,"",IF($CU95-EN$103&lt;BeginnAlter,"",ROUND((SUM(DG$56:DG95)+SUM(FY$9:FY$56))/VLOOKUP($CU95,$AH$9:$AI$102,2)/VLOOKUP($CU95-EN$103,Männer!$G$9:$J$102,4),Rundäx)))</f>
        <v/>
      </c>
      <c r="EO95" s="43" t="str">
        <f>IF($CU95&gt;=RAF,"",IF($CU95-EO$103&lt;BeginnAlter,"",ROUND((SUM(DH$56:DH95)+SUM(FZ$9:FZ$56))/VLOOKUP($CU95,$AH$9:$AI$102,2)/VLOOKUP($CU95-EO$103,Männer!$G$9:$J$102,4),Rundäx)))</f>
        <v/>
      </c>
      <c r="EP95" s="43" t="str">
        <f>IF($CU95&gt;=RAF,"",IF($CU95-EP$103&lt;BeginnAlter,"",ROUND((SUM(DI$56:DI95)+SUM(GA$9:GA$56))/VLOOKUP($CU95,$AH$9:$AI$102,2)/VLOOKUP($CU95-EP$103,Männer!$G$9:$J$102,4),Rundäx)))</f>
        <v/>
      </c>
      <c r="EQ95" s="43" t="str">
        <f>IF($CU95&gt;=RAF,"",IF($CU95-EQ$103&lt;BeginnAlter,"",ROUND((SUM(DJ$56:DJ95)+SUM(GB$9:GB$56))/VLOOKUP($CU95,$AH$9:$AI$102,2)/VLOOKUP($CU95-EQ$103,Männer!$G$9:$J$102,4),Rundäx)))</f>
        <v/>
      </c>
      <c r="ER95" s="43" t="str">
        <f>IF($CU95&gt;=RAF,"",IF($CU95-ER$103&lt;BeginnAlter,"",ROUND((SUM(DK$56:DK95)+SUM(GC$9:GC$56))/VLOOKUP($CU95,$AH$9:$AI$102,2)/VLOOKUP($CU95-ER$103,Männer!$G$9:$J$102,4),Rundäx)))</f>
        <v/>
      </c>
      <c r="ES95" s="89"/>
      <c r="ET95" s="35">
        <f t="shared" si="179"/>
        <v>103</v>
      </c>
      <c r="EU95" s="43" t="str">
        <f>IF($CU95&gt;=RAF,"",IF($CU95-EU$103&lt;BeginnAlter,"",ROUND((SUM(DL$56:DL95)+SUM(GD$9:GD$56))/VLOOKUP($CU95,$AH$9:$AI$102,2)/VLOOKUP($CU95-EU$103,Männer!$G$9:$J$102,4),Rundäx)))</f>
        <v/>
      </c>
      <c r="EV95" s="43" t="str">
        <f>IF($CU95&gt;=RAF,"",IF($CU95-EV$103&lt;BeginnAlter,"",ROUND((SUM(DM$56:DM95)+SUM(GE$9:GE$56))/VLOOKUP($CU95,$AH$9:$AI$102,2)/VLOOKUP($CU95-EV$103,Männer!$G$9:$J$102,4),Rundäx)))</f>
        <v/>
      </c>
      <c r="EW95" s="43" t="str">
        <f>IF($CU95&gt;=RAF,"",IF($CU95-EW$103&lt;BeginnAlter,"",ROUND((SUM(DN$56:DN95)+SUM(GF$9:GF$56))/VLOOKUP($CU95,$AH$9:$AI$102,2)/VLOOKUP($CU95-EW$103,Männer!$G$9:$J$102,4),Rundäx)))</f>
        <v/>
      </c>
      <c r="EX95" s="43" t="str">
        <f>IF($CU95&gt;=RAF,"",IF($CU95-EX$103&lt;BeginnAlter,"",ROUND((SUM(DO$56:DO95)+SUM(GG$9:GG$56))/VLOOKUP($CU95,$AH$9:$AI$102,2)/VLOOKUP($CU95-EX$103,Männer!$G$9:$J$102,4),Rundäx)))</f>
        <v/>
      </c>
      <c r="EY95" s="43" t="str">
        <f>IF($CU95&gt;=RAF,"",IF($CU95-EY$103&lt;BeginnAlter,"",ROUND((SUM(DP$56:DP95)+SUM(GH$9:GH$56))/VLOOKUP($CU95,$AH$9:$AI$102,2)/VLOOKUP($CU95-EY$103,Männer!$G$9:$J$102,4),Rundäx)))</f>
        <v/>
      </c>
      <c r="EZ95" s="43" t="str">
        <f>IF($CU95&gt;=RAF,"",IF($CU95-EZ$103&lt;BeginnAlter,"",ROUND((SUM(DQ$56:DQ95)+SUM(GI$9:GI$56))/VLOOKUP($CU95,$AH$9:$AI$102,2)/VLOOKUP($CU95-EZ$103,Männer!$G$9:$J$102,4),Rundäx)))</f>
        <v/>
      </c>
      <c r="FA95" s="43" t="str">
        <f>IF($CU95&gt;=RAF,"",IF($CU95-FA$103&lt;BeginnAlter,"",ROUND((SUM(DR$56:DR95)+SUM(GJ$9:GJ$56))/VLOOKUP($CU95,$AH$9:$AI$102,2)/VLOOKUP($CU95-FA$103,Männer!$G$9:$J$102,4),Rundäx)))</f>
        <v/>
      </c>
      <c r="FB95" s="43" t="str">
        <f>IF($CU95&gt;=RAF,"",IF($CU95-FB$103&lt;BeginnAlter,"",ROUND((SUM(DS$56:DS95)+SUM(GK$9:GK$56))/VLOOKUP($CU95,$AH$9:$AI$102,2)/VLOOKUP($CU95-FB$103,Männer!$G$9:$J$102,4),Rundäx)))</f>
        <v/>
      </c>
      <c r="FC95" s="89"/>
      <c r="FD95" s="35">
        <f t="shared" si="180"/>
        <v>103</v>
      </c>
      <c r="FE95" s="43" t="str">
        <f>IF($CU95&gt;=RAF,"",IF($CU95-FE$103&lt;BeginnAlter,"",ROUND((SUM(DT$56:DT95)+SUM(GL$9:GL$56))/VLOOKUP($CU95,$AH$9:$AI$102,2)/VLOOKUP($CU95-FE$103,Männer!$G$9:$J$102,4),Rundäx)))</f>
        <v/>
      </c>
      <c r="FF95" s="43" t="str">
        <f>IF($CU95&gt;=RAF,"",IF($CU95-FF$103&lt;BeginnAlter,"",ROUND((SUM(DU$56:DU95)+SUM(GM$9:GM$56))/VLOOKUP($CU95,$AH$9:$AI$102,2)/VLOOKUP($CU95-FF$103,Männer!$G$9:$J$102,4),Rundäx)))</f>
        <v/>
      </c>
      <c r="FG95" s="43" t="str">
        <f>IF($CU95&gt;=RAF,"",IF($CU95-FG$103&lt;BeginnAlter,"",ROUND((SUM(DV$56:DV95)+SUM(GN$9:GN$56))/VLOOKUP($CU95,$AH$9:$AI$102,2)/VLOOKUP($CU95-FG$103,Männer!$G$9:$J$102,4),Rundäx)))</f>
        <v/>
      </c>
      <c r="FH95" s="43" t="str">
        <f>IF($CU95&gt;=RAF,"",IF($CU95-FH$103&lt;BeginnAlter,"",ROUND((SUM(DW$56:DW95)+SUM(GO$9:GO$56))/VLOOKUP($CU95,$AH$9:$AI$102,2)/VLOOKUP($CU95-FH$103,Männer!$G$9:$J$102,4),Rundäx)))</f>
        <v/>
      </c>
      <c r="FI95" s="43" t="str">
        <f>IF($CU95&gt;=RAF,"",IF($CU95-FI$103&lt;BeginnAlter,"",ROUND((SUM(DX$56:DX95)+SUM(GP$9:GP$56))/VLOOKUP($CU95,$AH$9:$AI$102,2)/VLOOKUP($CU95-FI$103,Männer!$G$9:$J$102,4),Rundäx)))</f>
        <v/>
      </c>
      <c r="FJ95" s="43" t="str">
        <f>IF($CU95&gt;=RAF,"",IF($CU95-FJ$103&lt;BeginnAlter,"",ROUND((SUM(DY$56:DY95)+SUM(GQ$9:GQ$56))/VLOOKUP($CU95,$AH$9:$AI$102,2)/VLOOKUP($CU95-FJ$103,Männer!$G$9:$J$102,4),Rundäx)))</f>
        <v/>
      </c>
      <c r="FK95" s="43" t="str">
        <f>IF($CU95&gt;=RAF,"",IF($CU95-FK$103&lt;BeginnAlter,"",ROUND((SUM(DZ$56:DZ95)+SUM(GR$9:GR$56))/VLOOKUP($CU95,$AH$9:$AI$102,2)/VLOOKUP($CU95-FK$103,Männer!$G$9:$J$102,4),Rundäx)))</f>
        <v/>
      </c>
      <c r="FL95" s="89"/>
      <c r="FM95" s="35">
        <f t="shared" si="181"/>
        <v>150</v>
      </c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4"/>
      <c r="GT95" s="24"/>
      <c r="GU95" s="24" t="str">
        <f>IF(FM95&gt;=RAF," ",#REF!/$AI95/Frauen!$J83)</f>
        <v xml:space="preserve"> </v>
      </c>
      <c r="GV95" s="24" t="str">
        <f>IF(FM95&gt;=RAF," ",#REF!/$AI95/Frauen!$J86)</f>
        <v xml:space="preserve"> </v>
      </c>
      <c r="GW95" s="24" t="str">
        <f>IF(FM95&gt;=RAF," ",#REF!/$AI95/Frauen!$J89)</f>
        <v xml:space="preserve"> </v>
      </c>
      <c r="GX95" s="24" t="str">
        <f>IF(FM95&gt;=RAF," ",#REF!/$AI95/Frauen!$J92)</f>
        <v xml:space="preserve"> </v>
      </c>
      <c r="GY95" s="24" t="str">
        <f>IF(FM95&gt;=RAF," ",#REF!/$AI95/Frauen!$J95)</f>
        <v xml:space="preserve"> </v>
      </c>
      <c r="GZ95" s="24" t="str">
        <f>IF(FM95&gt;=RAF," ",#REF!/$AI95/Frauen!$J98)</f>
        <v xml:space="preserve"> </v>
      </c>
      <c r="HA95" s="89"/>
      <c r="HB95" s="35">
        <f t="shared" si="182"/>
        <v>150</v>
      </c>
      <c r="HC95" s="24"/>
      <c r="HD95" s="24"/>
      <c r="HE95" s="24"/>
      <c r="HF95" s="24"/>
      <c r="HG95" s="24"/>
      <c r="HH95" s="24"/>
      <c r="HI95" s="24"/>
      <c r="HJ95" s="24"/>
      <c r="HK95" s="89"/>
      <c r="HL95" s="35">
        <f t="shared" si="183"/>
        <v>150</v>
      </c>
      <c r="HM95" s="24"/>
      <c r="HN95" s="24"/>
      <c r="HO95" s="24"/>
      <c r="HP95" s="24"/>
      <c r="HQ95" s="24"/>
      <c r="HR95" s="24"/>
      <c r="HS95" s="24"/>
      <c r="HT95" s="24"/>
      <c r="HU95" s="89"/>
      <c r="HV95" s="35">
        <f t="shared" si="184"/>
        <v>150</v>
      </c>
      <c r="HW95" s="24"/>
      <c r="HX95" s="24"/>
      <c r="HY95" s="24"/>
      <c r="HZ95" s="24"/>
      <c r="IA95" s="24"/>
      <c r="IB95" s="24"/>
      <c r="IC95" s="24"/>
      <c r="ID95" s="89"/>
      <c r="IE95" s="9">
        <f t="shared" si="185"/>
        <v>103</v>
      </c>
      <c r="IF95" s="11" t="str">
        <f t="shared" si="101"/>
        <v/>
      </c>
      <c r="IG95" s="11" t="str">
        <f>IF($IE95&lt;RAF,IF(S96&lt;=RAK,ROUND(SUM(IF95:INDEX(Daky,RAF-BeginnAlter))+INDEX(Day,RAF-BeginnAlter+1)*INDEX(äky,1),RundDx),0),"")</f>
        <v/>
      </c>
      <c r="IH95" s="11" t="str">
        <f>IF($IE95&lt;RAF,IF(S96&lt;=RAK,ROUND(SUM(IG95:INDEX(Naky,RAF-BeginnAlter))+INDEX(Day,RAF-BeginnAlter+1)*INDEX(äky,1),RundDx),0),"")</f>
        <v/>
      </c>
      <c r="II95" s="10" t="str">
        <f t="shared" si="102"/>
        <v/>
      </c>
      <c r="IJ95" s="11" t="str">
        <f t="shared" si="103"/>
        <v/>
      </c>
      <c r="IK95" s="11" t="str">
        <f>IF($IE95&lt;RAF,IF(S96&lt;=RAK,SUM(IJ95:INDEX(Diky,RAF-BeginnAlter))+INDEX(Diy,RAF-BeginnAlter+1)*INDEX(äky,1),0),"")</f>
        <v/>
      </c>
      <c r="IL95" s="10" t="str">
        <f t="shared" si="104"/>
        <v/>
      </c>
      <c r="IM95" s="89"/>
      <c r="IN95" s="9">
        <f t="shared" si="186"/>
        <v>150</v>
      </c>
      <c r="IO95" s="11"/>
      <c r="IP95" s="11"/>
      <c r="IQ95" s="10"/>
      <c r="IR95" s="86"/>
    </row>
    <row r="96" spans="1:252" ht="15.75" customHeight="1" x14ac:dyDescent="0.25">
      <c r="A96" s="9">
        <f t="shared" si="125"/>
        <v>104</v>
      </c>
      <c r="B96" s="93"/>
      <c r="C96" s="93"/>
      <c r="D96" s="93"/>
      <c r="E96" s="93">
        <v>0.82858887528409608</v>
      </c>
      <c r="F96" s="89"/>
      <c r="G96" s="9">
        <f t="shared" si="126"/>
        <v>104</v>
      </c>
      <c r="H96" s="11" t="str">
        <f t="shared" si="106"/>
        <v/>
      </c>
      <c r="I96" s="25" t="str">
        <f t="shared" si="107"/>
        <v/>
      </c>
      <c r="J96" s="25">
        <f t="shared" si="108"/>
        <v>44</v>
      </c>
      <c r="K96" s="30">
        <f>IF(J96&gt;0,ROUND(SUM(J96:J$102)/J96-0.5,Rundex),"")</f>
        <v>0.68</v>
      </c>
      <c r="L96" s="25">
        <f t="shared" si="83"/>
        <v>44</v>
      </c>
      <c r="M96" s="30">
        <f>IF(L96&gt;0,ROUND(SUM(L96:L$102)/L96-0.5,Rundex),"")</f>
        <v>0.68</v>
      </c>
      <c r="N96" s="89"/>
      <c r="O96" s="9">
        <f t="shared" si="127"/>
        <v>104</v>
      </c>
      <c r="P96" s="94">
        <v>1.4853992068153158E-3</v>
      </c>
      <c r="Q96" s="95">
        <v>103.20682936980316</v>
      </c>
      <c r="R96" s="94"/>
      <c r="S96" s="95"/>
      <c r="T96" s="28">
        <v>0.69257947857024826</v>
      </c>
      <c r="U96" s="11">
        <f t="shared" si="109"/>
        <v>67</v>
      </c>
      <c r="V96" s="30">
        <f>IF(U96&gt;0,ROUND(SUM(U96:U$102)/U96-0.5,Rundex),"")</f>
        <v>0.9</v>
      </c>
      <c r="W96" s="89"/>
      <c r="X96" s="9">
        <f t="shared" si="147"/>
        <v>104</v>
      </c>
      <c r="Y96" s="11" t="str">
        <f t="shared" si="148"/>
        <v xml:space="preserve"> </v>
      </c>
      <c r="Z96" s="11" t="str">
        <f>IF($X96&lt;RAF,SUM(Y96:INDEX(Day,RAF-BeginnAlter))," ")</f>
        <v xml:space="preserve"> </v>
      </c>
      <c r="AA96" s="11" t="str">
        <f t="shared" si="81"/>
        <v xml:space="preserve"> </v>
      </c>
      <c r="AB96" s="11" t="str">
        <f>IF($X96&lt;RAF,SUM(AA96:INDEX(Cay,RAF-BeginnAlter))," ")</f>
        <v xml:space="preserve"> </v>
      </c>
      <c r="AC96" s="11" t="str">
        <f t="shared" si="82"/>
        <v xml:space="preserve"> </v>
      </c>
      <c r="AD96" s="11" t="str">
        <f>IF($X96&lt;RAF,SUM(AC96:INDEX(Caiy,RAF-BeginnAlter))," ")</f>
        <v xml:space="preserve"> </v>
      </c>
      <c r="AE96" s="10" t="str">
        <f t="shared" si="149"/>
        <v xml:space="preserve"> </v>
      </c>
      <c r="AF96" s="10" t="str">
        <f t="shared" si="150"/>
        <v xml:space="preserve"> </v>
      </c>
      <c r="AG96" s="89"/>
      <c r="AH96" s="9">
        <f t="shared" si="151"/>
        <v>104</v>
      </c>
      <c r="AI96" s="11" t="str">
        <f t="shared" si="152"/>
        <v xml:space="preserve"> </v>
      </c>
      <c r="AJ96" s="11" t="str">
        <f>IF($AH96&gt;RAF," ",IF($AH96&lt;RAF,SUM(AI96:INDEX(Diy,RAF-BeginnAlter))+INDEX(Ny,RAF-BeginnAlter+1),INDEX(Ny,RAF-BeginnAlter+1)))</f>
        <v xml:space="preserve"> </v>
      </c>
      <c r="AK96" s="11" t="str">
        <f>IF($AH96&lt;RAF,SUM(AI96:INDEX(Diy,RAF-BeginnAlter))," ")</f>
        <v xml:space="preserve"> </v>
      </c>
      <c r="AL96" s="10" t="str">
        <f t="shared" si="153"/>
        <v xml:space="preserve"> </v>
      </c>
      <c r="AM96" s="10" t="str">
        <f t="shared" si="154"/>
        <v xml:space="preserve"> </v>
      </c>
      <c r="AN96" s="10" t="str">
        <f t="shared" si="155"/>
        <v xml:space="preserve"> </v>
      </c>
      <c r="AO96" s="10" t="str">
        <f t="shared" si="156"/>
        <v xml:space="preserve"> </v>
      </c>
      <c r="AP96" s="89"/>
      <c r="AQ96" s="9">
        <f t="shared" si="157"/>
        <v>104</v>
      </c>
      <c r="AR96" s="11">
        <f>ROUND(v^AQ96*J96,RundDx)</f>
        <v>4</v>
      </c>
      <c r="AS96" s="11">
        <f>SUM(AR96:AR$96)</f>
        <v>4</v>
      </c>
      <c r="AT96" s="25" t="str">
        <f>IF($AQ96&lt;RAF,SUM(AR96:INDEX(Dy,RAF-BeginnAlter))," ")</f>
        <v xml:space="preserve"> </v>
      </c>
      <c r="AU96" s="24">
        <f t="shared" si="158"/>
        <v>1</v>
      </c>
      <c r="AV96" s="24">
        <f t="shared" si="159"/>
        <v>0.54200000000000004</v>
      </c>
      <c r="AW96" s="24" t="str">
        <f t="shared" si="160"/>
        <v xml:space="preserve"> </v>
      </c>
      <c r="AX96" s="24" t="str">
        <f t="shared" si="161"/>
        <v xml:space="preserve"> </v>
      </c>
      <c r="AY96" s="89"/>
      <c r="AZ96" s="9">
        <f t="shared" si="162"/>
        <v>104</v>
      </c>
      <c r="BA96" s="11">
        <f>ROUND(v^AZ96*U96,0)</f>
        <v>7</v>
      </c>
      <c r="BB96" s="11">
        <f>SUM(BA96:BA$96)</f>
        <v>7</v>
      </c>
      <c r="BC96" s="10">
        <f t="shared" si="163"/>
        <v>1</v>
      </c>
      <c r="BD96" s="10">
        <f t="shared" si="84"/>
        <v>0.54200000000000004</v>
      </c>
      <c r="BE96" s="89"/>
      <c r="BF96" s="9">
        <f t="shared" si="164"/>
        <v>87</v>
      </c>
      <c r="BG96" s="10" t="str">
        <f t="shared" si="85"/>
        <v/>
      </c>
      <c r="BH96" s="10" t="str">
        <f t="shared" si="86"/>
        <v/>
      </c>
      <c r="BI96" s="89"/>
      <c r="BJ96" s="9">
        <f t="shared" si="165"/>
        <v>104</v>
      </c>
      <c r="BK96" s="11" t="str">
        <f t="shared" si="166"/>
        <v xml:space="preserve"> </v>
      </c>
      <c r="BL96" s="11" t="str">
        <f>IF(BJ96&lt;RAF,SUM(BK96:INDEX(Daiy,RAF-BeginnAlter))," ")</f>
        <v xml:space="preserve"> </v>
      </c>
      <c r="BM96" s="11" t="str">
        <f>IF(BJ96&lt;RAF,SUM(BL96:INDEX(Naiy,RAF-BeginnAlter))," ")</f>
        <v xml:space="preserve"> </v>
      </c>
      <c r="BN96" s="10" t="str">
        <f t="shared" si="167"/>
        <v xml:space="preserve"> </v>
      </c>
      <c r="BO96" s="10" t="str">
        <f t="shared" si="168"/>
        <v xml:space="preserve"> </v>
      </c>
      <c r="BP96" s="89"/>
      <c r="BQ96" s="9">
        <f t="shared" si="169"/>
        <v>104</v>
      </c>
      <c r="BR96" s="11" t="str">
        <f t="shared" si="170"/>
        <v xml:space="preserve"> </v>
      </c>
      <c r="BS96" s="11" t="str">
        <f>IF(BQ96&lt;RAF,SUM(BR96:INDEX(Daiys,RAF-BeginnAlter))," ")</f>
        <v xml:space="preserve"> </v>
      </c>
      <c r="BT96" s="11" t="str">
        <f>IF(BQ96&lt;RAF,SUM(BS96:INDEX(Naiys,RAF-BeginnAlter))," ")</f>
        <v xml:space="preserve"> </v>
      </c>
      <c r="BU96" s="10" t="str">
        <f t="shared" si="171"/>
        <v xml:space="preserve"> </v>
      </c>
      <c r="BV96" s="10" t="str">
        <f t="shared" si="172"/>
        <v xml:space="preserve"> </v>
      </c>
      <c r="BW96" s="89"/>
      <c r="BX96" s="9">
        <f t="shared" si="173"/>
        <v>104</v>
      </c>
      <c r="BY96" s="10" t="str">
        <f t="shared" si="93"/>
        <v/>
      </c>
      <c r="BZ96" s="11" t="str">
        <f t="shared" si="94"/>
        <v/>
      </c>
      <c r="CA96" s="11" t="str">
        <f>IF(S97&lt;=RAK,IF($BX96&lt;RAF,SUM(BZ96:INDEX(Dazy,RAF-BeginnAlter)),""),"")</f>
        <v/>
      </c>
      <c r="CB96" s="10" t="str">
        <f t="shared" si="95"/>
        <v/>
      </c>
      <c r="CC96" s="11">
        <f t="shared" si="96"/>
        <v>0</v>
      </c>
      <c r="CD96" s="10">
        <f t="shared" si="97"/>
        <v>0</v>
      </c>
      <c r="CE96" s="10" t="str">
        <f t="shared" si="98"/>
        <v/>
      </c>
      <c r="CF96" s="89"/>
      <c r="CG96" s="9">
        <f t="shared" si="174"/>
        <v>104</v>
      </c>
      <c r="CH96" s="11" t="str">
        <f>IF(CG96&lt;RAF,ROUND(v^($CG96+FaktorAlter)*$H96*($B96*0.5*($P96+$P97)*(VLOOKUP(TRUNC(0.5*($Q96+$Q97),0),Männer!$AZ$9:$BD$95,5)+(0.5*($Q96+$Q97)-TRUNC(0.5*($Q96+$Q97),0))*(VLOOKUP(TRUNC(0.5*($Q96+$Q97)+1,0),Männer!$AZ$9:$BD$95,5)-VLOOKUP(TRUNC(0.5*($Q96+$Q97),0),Männer!$AZ$9:$BD$95,5)))+$C96*0.5*($CN96+$CN97)),RundDx),"")</f>
        <v/>
      </c>
      <c r="CI96" s="11" t="str">
        <f>IF(CG96&lt;RAF,ROUND(SUM(CH96:INDEX(Dawy,RAF-BeginnAlter))+INDEX(Day,RAF-BeginnAlter+1)*INDEX(äwy,1),RundDx),"")</f>
        <v/>
      </c>
      <c r="CJ96" s="11" t="str">
        <f>IF(CG96&lt;RAF,ROUND(SUM(CI96:INDEX(Nawy,RAF-BeginnAlter))+INDEX(Day,RAF-BeginnAlter+1)*INDEX(äwy,1),RundDx),"")</f>
        <v/>
      </c>
      <c r="CK96" s="10" t="str">
        <f t="shared" si="175"/>
        <v/>
      </c>
      <c r="CL96" s="11" t="str">
        <f>IF(CG96&lt;RAF,ROUND(v^($CG96+FaktorAlter)*$L96*$D96*0.5*($P96+$P97)*(VLOOKUP(TRUNC(0.5*($Q96+$Q97),0),Männer!$AZ$9:$BD$95,5)+(0.5*($Q96+$Q97)-TRUNC(0.5*($Q96+$Q97),0))*(VLOOKUP(TRUNC(0.5*($Q96+$Q97)+1,0),Männer!$AZ$9:$BD$95,5)-VLOOKUP(TRUNC(0.5*($Q96+$Q97),0),Männer!$AZ$9:$BD$95,5))),RundDx),"")</f>
        <v/>
      </c>
      <c r="CM96" s="11" t="str">
        <f>IF(CG96&lt;RAF,SUM(CL96:INDEX(Diwy,RAF-BeginnAlter))+INDEX(Diy,RAF-BeginnAlter+1)*INDEX(äwy,1),"")</f>
        <v/>
      </c>
      <c r="CN96" s="10" t="str">
        <f t="shared" si="176"/>
        <v/>
      </c>
      <c r="CO96" s="89"/>
      <c r="CP96" s="9">
        <f t="shared" si="146"/>
        <v>151</v>
      </c>
      <c r="CQ96" s="11"/>
      <c r="CR96" s="11"/>
      <c r="CS96" s="10"/>
      <c r="CT96" s="89"/>
      <c r="CU96" s="35">
        <f t="shared" si="177"/>
        <v>104</v>
      </c>
      <c r="CV96" s="25" t="str">
        <f>IF($CU96&gt;=RAF,"",IF($CU96-CV$103&lt;BeginnAlter,"",ROUND(v^($CU96+FaktorAlter)*$L96*$D96*0.5*(VLOOKUP($CU96-CV$103,Männer!$G$9:$J$102,4)+VLOOKUP($CU96-CV$103+1,Männer!$G$9:$J$102,4))*0.5*(VLOOKUP($CU96-CV$103,Männer!$AZ$9:$BD$102,5)+VLOOKUP($CU96-CV$103+1,Männer!$AZ$9:$BD$102,5)),RundDx)))</f>
        <v/>
      </c>
      <c r="CW96" s="25" t="str">
        <f>IF($CU96&gt;=RAF,"",IF($CU96-CW$103&lt;BeginnAlter,"",ROUND(v^($CU96+FaktorAlter)*$L96*$D96*0.5*(VLOOKUP($CU96-CW$103,Männer!$G$9:$J$102,4)+VLOOKUP($CU96-CW$103+1,Männer!$G$9:$J$102,4))*0.5*(VLOOKUP($CU96-CW$103,Männer!$AZ$9:$BD$102,5)+VLOOKUP($CU96-CW$103+1,Männer!$AZ$9:$BD$102,5)),RundDx)))</f>
        <v/>
      </c>
      <c r="CX96" s="25" t="str">
        <f>IF($CU96&gt;=RAF,"",IF($CU96-CX$103&lt;BeginnAlter,"",ROUND(v^($CU96+FaktorAlter)*$L96*$D96*0.5*(VLOOKUP($CU96-CX$103,Männer!$G$9:$J$102,4)+VLOOKUP($CU96-CX$103+1,Männer!$G$9:$J$102,4))*0.5*(VLOOKUP($CU96-CX$103,Männer!$AZ$9:$BD$102,5)+VLOOKUP($CU96-CX$103+1,Männer!$AZ$9:$BD$102,5)),RundDx)))</f>
        <v/>
      </c>
      <c r="CY96" s="25" t="str">
        <f>IF($CU96&gt;=RAF,"",IF($CU96-CY$103&lt;BeginnAlter,"",ROUND(v^($CU96+FaktorAlter)*$L96*$D96*0.5*(VLOOKUP($CU96-CY$103,Männer!$G$9:$J$102,4)+VLOOKUP($CU96-CY$103+1,Männer!$G$9:$J$102,4))*0.5*(VLOOKUP($CU96-CY$103,Männer!$AZ$9:$BD$102,5)+VLOOKUP($CU96-CY$103+1,Männer!$AZ$9:$BD$102,5)),RundDx)))</f>
        <v/>
      </c>
      <c r="CZ96" s="25" t="str">
        <f>IF($CU96&gt;=RAF,"",IF($CU96-CZ$103&lt;BeginnAlter,"",ROUND(v^($CU96+FaktorAlter)*$L96*$D96*0.5*(VLOOKUP($CU96-CZ$103,Männer!$G$9:$J$102,4)+VLOOKUP($CU96-CZ$103+1,Männer!$G$9:$J$102,4))*0.5*(VLOOKUP($CU96-CZ$103,Männer!$AZ$9:$BD$102,5)+VLOOKUP($CU96-CZ$103+1,Männer!$AZ$9:$BD$102,5)),RundDx)))</f>
        <v/>
      </c>
      <c r="DA96" s="25" t="str">
        <f>IF($CU96&gt;=RAF,"",IF($CU96-DA$103&lt;BeginnAlter,"",ROUND(v^($CU96+FaktorAlter)*$L96*$D96*0.5*(VLOOKUP($CU96-DA$103,Männer!$G$9:$J$102,4)+VLOOKUP($CU96-DA$103+1,Männer!$G$9:$J$102,4))*0.5*(VLOOKUP($CU96-DA$103,Männer!$AZ$9:$BD$102,5)+VLOOKUP($CU96-DA$103+1,Männer!$AZ$9:$BD$102,5)),RundDx)))</f>
        <v/>
      </c>
      <c r="DB96" s="25" t="str">
        <f>IF($CU96&gt;=RAF,"",IF($CU96-DB$103&lt;BeginnAlter,"",ROUND(v^($CU96+FaktorAlter)*$L96*$D96*0.5*(VLOOKUP($CU96-DB$103,Männer!$G$9:$J$102,4)+VLOOKUP($CU96-DB$103+1,Männer!$G$9:$J$102,4))*0.5*(VLOOKUP($CU96-DB$103,Männer!$AZ$9:$BD$102,5)+VLOOKUP($CU96-DB$103+1,Männer!$AZ$9:$BD$102,5)),RundDx)))</f>
        <v/>
      </c>
      <c r="DC96" s="25" t="str">
        <f>IF($CU96&gt;=RAF,"",IF($CU96-DC$103&lt;BeginnAlter,"",ROUND(v^($CU96+FaktorAlter)*$L96*$D96*0.5*(VLOOKUP($CU96-DC$103,Männer!$G$9:$J$102,4)+VLOOKUP($CU96-DC$103+1,Männer!$G$9:$J$102,4))*0.5*(VLOOKUP($CU96-DC$103,Männer!$AZ$9:$BD$102,5)+VLOOKUP($CU96-DC$103+1,Männer!$AZ$9:$BD$102,5)),RundDx)))</f>
        <v/>
      </c>
      <c r="DD96" s="25" t="str">
        <f>IF($CU96&gt;=RAF,"",IF($CU96-DD$103&lt;BeginnAlter,"",ROUND(v^($CU96+FaktorAlter)*$L96*$D96*0.5*(VLOOKUP($CU96-DD$103,Männer!$G$9:$J$102,4)+VLOOKUP($CU96-DD$103+1,Männer!$G$9:$J$102,4))*0.5*(VLOOKUP($CU96-DD$103,Männer!$AZ$9:$BD$102,5)+VLOOKUP($CU96-DD$103+1,Männer!$AZ$9:$BD$102,5)),RundDx)))</f>
        <v/>
      </c>
      <c r="DE96" s="25" t="str">
        <f>IF($CU96&gt;=RAF,"",IF($CU96-DE$103&lt;BeginnAlter,"",ROUND(v^($CU96+FaktorAlter)*$L96*$D96*0.5*(VLOOKUP($CU96-DE$103,Männer!$G$9:$J$102,4)+VLOOKUP($CU96-DE$103+1,Männer!$G$9:$J$102,4))*0.5*(VLOOKUP($CU96-DE$103,Männer!$AZ$9:$BD$102,5)+VLOOKUP($CU96-DE$103+1,Männer!$AZ$9:$BD$102,5)),RundDx)))</f>
        <v/>
      </c>
      <c r="DF96" s="25" t="str">
        <f>IF($CU96&gt;=RAF,"",IF($CU96-DF$103&lt;BeginnAlter,"",ROUND(v^($CU96+FaktorAlter)*$L96*$D96*0.5*(VLOOKUP($CU96-DF$103,Männer!$G$9:$J$102,4)+VLOOKUP($CU96-DF$103+1,Männer!$G$9:$J$102,4))*0.5*(VLOOKUP($CU96-DF$103,Männer!$AZ$9:$BD$102,5)+VLOOKUP($CU96-DF$103+1,Männer!$AZ$9:$BD$102,5)),RundDx)))</f>
        <v/>
      </c>
      <c r="DG96" s="25" t="str">
        <f>IF($CU96&gt;=RAF,"",IF($CU96-DG$103&lt;BeginnAlter,"",ROUND(v^($CU96+FaktorAlter)*$L96*$D96*0.5*(VLOOKUP($CU96-DG$103,Männer!$G$9:$J$102,4)+VLOOKUP($CU96-DG$103+1,Männer!$G$9:$J$102,4))*0.5*(VLOOKUP($CU96-DG$103,Männer!$AZ$9:$BD$102,5)+VLOOKUP($CU96-DG$103+1,Männer!$AZ$9:$BD$102,5)),RundDx)))</f>
        <v/>
      </c>
      <c r="DH96" s="25" t="str">
        <f>IF($CU96&gt;=RAF,"",IF($CU96-DH$103&lt;BeginnAlter,"",ROUND(v^($CU96+FaktorAlter)*$L96*$D96*0.5*(VLOOKUP($CU96-DH$103,Männer!$G$9:$J$102,4)+VLOOKUP($CU96-DH$103+1,Männer!$G$9:$J$102,4))*0.5*(VLOOKUP($CU96-DH$103,Männer!$AZ$9:$BD$102,5)+VLOOKUP($CU96-DH$103+1,Männer!$AZ$9:$BD$102,5)),RundDx)))</f>
        <v/>
      </c>
      <c r="DI96" s="25" t="str">
        <f>IF($CU96&gt;=RAF,"",IF($CU96-DI$103&lt;BeginnAlter,"",ROUND(v^($CU96+FaktorAlter)*$L96*$D96*0.5*(VLOOKUP($CU96-DI$103,Männer!$G$9:$J$102,4)+VLOOKUP($CU96-DI$103+1,Männer!$G$9:$J$102,4))*0.5*(VLOOKUP($CU96-DI$103,Männer!$AZ$9:$BD$102,5)+VLOOKUP($CU96-DI$103+1,Männer!$AZ$9:$BD$102,5)),RundDx)))</f>
        <v/>
      </c>
      <c r="DJ96" s="25" t="str">
        <f>IF($CU96&gt;=RAF,"",IF($CU96-DJ$103&lt;BeginnAlter,"",ROUND(v^($CU96+FaktorAlter)*$L96*$D96*0.5*(VLOOKUP($CU96-DJ$103,Männer!$G$9:$J$102,4)+VLOOKUP($CU96-DJ$103+1,Männer!$G$9:$J$102,4))*0.5*(VLOOKUP($CU96-DJ$103,Männer!$AZ$9:$BD$102,5)+VLOOKUP($CU96-DJ$103+1,Männer!$AZ$9:$BD$102,5)),RundDx)))</f>
        <v/>
      </c>
      <c r="DK96" s="25" t="str">
        <f>IF($CU96&gt;=RAF,"",IF($CU96-DK$103&lt;BeginnAlter,"",ROUND(v^($CU96+FaktorAlter)*$L96*$D96*0.5*(VLOOKUP($CU96-DK$103,Männer!$G$9:$J$102,4)+VLOOKUP($CU96-DK$103+1,Männer!$G$9:$J$102,4))*0.5*(VLOOKUP($CU96-DK$103,Männer!$AZ$9:$BD$102,5)+VLOOKUP($CU96-DK$103+1,Männer!$AZ$9:$BD$102,5)),RundDx)))</f>
        <v/>
      </c>
      <c r="DL96" s="25" t="str">
        <f>IF($CU96&gt;=RAF,"",IF($CU96-DL$103&lt;BeginnAlter,"",ROUND(v^($CU96+FaktorAlter)*$L96*$D96*0.5*(VLOOKUP($CU96-DL$103,Männer!$G$9:$J$102,4)+VLOOKUP($CU96-DL$103+1,Männer!$G$9:$J$102,4))*0.5*(VLOOKUP($CU96-DL$103,Männer!$AZ$9:$BD$102,5)+VLOOKUP($CU96-DL$103+1,Männer!$AZ$9:$BD$102,5)),RundDx)))</f>
        <v/>
      </c>
      <c r="DM96" s="25" t="str">
        <f>IF($CU96&gt;=RAF,"",IF($CU96-DM$103&lt;BeginnAlter,"",ROUND(v^($CU96+FaktorAlter)*$L96*$D96*0.5*(VLOOKUP($CU96-DM$103,Männer!$G$9:$J$102,4)+VLOOKUP($CU96-DM$103+1,Männer!$G$9:$J$102,4))*0.5*(VLOOKUP($CU96-DM$103,Männer!$AZ$9:$BD$102,5)+VLOOKUP($CU96-DM$103+1,Männer!$AZ$9:$BD$102,5)),RundDx)))</f>
        <v/>
      </c>
      <c r="DN96" s="25" t="str">
        <f>IF($CU96&gt;=RAF,"",IF($CU96-DN$103&lt;BeginnAlter,"",ROUND(v^($CU96+FaktorAlter)*$L96*$D96*0.5*(VLOOKUP($CU96-DN$103,Männer!$G$9:$J$102,4)+VLOOKUP($CU96-DN$103+1,Männer!$G$9:$J$102,4))*0.5*(VLOOKUP($CU96-DN$103,Männer!$AZ$9:$BD$102,5)+VLOOKUP($CU96-DN$103+1,Männer!$AZ$9:$BD$102,5)),RundDx)))</f>
        <v/>
      </c>
      <c r="DO96" s="25" t="str">
        <f>IF($CU96&gt;=RAF,"",IF($CU96-DO$103&lt;BeginnAlter,"",ROUND(v^($CU96+FaktorAlter)*$L96*$D96*0.5*(VLOOKUP($CU96-DO$103,Männer!$G$9:$J$102,4)+VLOOKUP($CU96-DO$103+1,Männer!$G$9:$J$102,4))*0.5*(VLOOKUP($CU96-DO$103,Männer!$AZ$9:$BD$102,5)+VLOOKUP($CU96-DO$103+1,Männer!$AZ$9:$BD$102,5)),RundDx)))</f>
        <v/>
      </c>
      <c r="DP96" s="25" t="str">
        <f>IF($CU96&gt;=RAF,"",IF($CU96-DP$103&lt;BeginnAlter,"",ROUND(v^($CU96+FaktorAlter)*$L96*$D96*0.5*(VLOOKUP($CU96-DP$103,Männer!$G$9:$J$102,4)+VLOOKUP($CU96-DP$103+1,Männer!$G$9:$J$102,4))*0.5*(VLOOKUP($CU96-DP$103,Männer!$AZ$9:$BD$102,5)+VLOOKUP($CU96-DP$103+1,Männer!$AZ$9:$BD$102,5)),RundDx)))</f>
        <v/>
      </c>
      <c r="DQ96" s="25" t="str">
        <f>IF($CU96&gt;=RAF,"",IF($CU96-DQ$103&lt;BeginnAlter,"",ROUND(v^($CU96+FaktorAlter)*$L96*$D96*0.5*(VLOOKUP($CU96-DQ$103,Männer!$G$9:$J$102,4)+VLOOKUP($CU96-DQ$103+1,Männer!$G$9:$J$102,4))*0.5*(VLOOKUP($CU96-DQ$103,Männer!$AZ$9:$BD$102,5)+VLOOKUP($CU96-DQ$103+1,Männer!$AZ$9:$BD$102,5)),RundDx)))</f>
        <v/>
      </c>
      <c r="DR96" s="25" t="str">
        <f>IF($CU96&gt;=RAF,"",IF($CU96-DR$103&lt;BeginnAlter,"",ROUND(v^($CU96+FaktorAlter)*$L96*$D96*0.5*(VLOOKUP($CU96-DR$103,Männer!$G$9:$J$102,4)+VLOOKUP($CU96-DR$103+1,Männer!$G$9:$J$102,4))*0.5*(VLOOKUP($CU96-DR$103,Männer!$AZ$9:$BD$102,5)+VLOOKUP($CU96-DR$103+1,Männer!$AZ$9:$BD$102,5)),RundDx)))</f>
        <v/>
      </c>
      <c r="DS96" s="25" t="str">
        <f>IF($CU96&gt;=RAF,"",IF($CU96-DS$103&lt;BeginnAlter,"",ROUND(v^($CU96+FaktorAlter)*$L96*$D96*0.5*(VLOOKUP($CU96-DS$103,Männer!$G$9:$J$102,4)+VLOOKUP($CU96-DS$103+1,Männer!$G$9:$J$102,4))*0.5*(VLOOKUP($CU96-DS$103,Männer!$AZ$9:$BD$102,5)+VLOOKUP($CU96-DS$103+1,Männer!$AZ$9:$BD$102,5)),RundDx)))</f>
        <v/>
      </c>
      <c r="DT96" s="25" t="str">
        <f>IF($CU96&gt;=RAF,"",IF($CU96-DT$103&lt;BeginnAlter,"",ROUND(v^($CU96+FaktorAlter)*$L96*$D96*0.5*(VLOOKUP($CU96-DT$103,Männer!$G$9:$J$102,4)+VLOOKUP($CU96-DT$103+1,Männer!$G$9:$J$102,4))*0.5*(VLOOKUP($CU96-DT$103,Männer!$AZ$9:$BD$102,5)+VLOOKUP($CU96-DT$103+1,Männer!$AZ$9:$BD$102,5)),RundDx)))</f>
        <v/>
      </c>
      <c r="DU96" s="25" t="str">
        <f>IF($CU96&gt;=RAF,"",IF($CU96-DU$103&lt;BeginnAlter,"",ROUND(v^($CU96+FaktorAlter)*$L96*$D96*0.5*(VLOOKUP($CU96-DU$103,Männer!$G$9:$J$102,4)+VLOOKUP($CU96-DU$103+1,Männer!$G$9:$J$102,4))*0.5*(VLOOKUP($CU96-DU$103,Männer!$AZ$9:$BD$102,5)+VLOOKUP($CU96-DU$103+1,Männer!$AZ$9:$BD$102,5)),RundDx)))</f>
        <v/>
      </c>
      <c r="DV96" s="25" t="str">
        <f>IF($CU96&gt;=RAF,"",IF($CU96-DV$103&lt;BeginnAlter,"",ROUND(v^($CU96+FaktorAlter)*$L96*$D96*0.5*(VLOOKUP($CU96-DV$103,Männer!$G$9:$J$102,4)+VLOOKUP($CU96-DV$103+1,Männer!$G$9:$J$102,4))*0.5*(VLOOKUP($CU96-DV$103,Männer!$AZ$9:$BD$102,5)+VLOOKUP($CU96-DV$103+1,Männer!$AZ$9:$BD$102,5)),RundDx)))</f>
        <v/>
      </c>
      <c r="DW96" s="25" t="str">
        <f>IF($CU96&gt;=RAF,"",IF($CU96-DW$103&lt;BeginnAlter,"",ROUND(v^($CU96+FaktorAlter)*$L96*$D96*0.5*(VLOOKUP($CU96-DW$103,Männer!$G$9:$J$102,4)+VLOOKUP($CU96-DW$103+1,Männer!$G$9:$J$102,4))*0.5*(VLOOKUP($CU96-DW$103,Männer!$AZ$9:$BD$102,5)+VLOOKUP($CU96-DW$103+1,Männer!$AZ$9:$BD$102,5)),RundDx)))</f>
        <v/>
      </c>
      <c r="DX96" s="25" t="str">
        <f>IF($CU96&gt;=RAF,"",IF($CU96-DX$103&lt;BeginnAlter,"",ROUND(v^($CU96+FaktorAlter)*$L96*$D96*0.5*(VLOOKUP($CU96-DX$103,Männer!$G$9:$J$102,4)+VLOOKUP($CU96-DX$103+1,Männer!$G$9:$J$102,4))*0.5*(VLOOKUP($CU96-DX$103,Männer!$AZ$9:$BD$102,5)+VLOOKUP($CU96-DX$103+1,Männer!$AZ$9:$BD$102,5)),RundDx)))</f>
        <v/>
      </c>
      <c r="DY96" s="25" t="str">
        <f>IF($CU96&gt;=RAF,"",IF($CU96-DY$103&lt;BeginnAlter,"",ROUND(v^($CU96+FaktorAlter)*$L96*$D96*0.5*(VLOOKUP($CU96-DY$103,Männer!$G$9:$J$102,4)+VLOOKUP($CU96-DY$103+1,Männer!$G$9:$J$102,4))*0.5*(VLOOKUP($CU96-DY$103,Männer!$AZ$9:$BD$102,5)+VLOOKUP($CU96-DY$103+1,Männer!$AZ$9:$BD$102,5)),RundDx)))</f>
        <v/>
      </c>
      <c r="DZ96" s="25" t="str">
        <f>IF($CU96&gt;=RAF,"",IF($CU96-DZ$103&lt;BeginnAlter,"",ROUND(v^($CU96+FaktorAlter)*$L96*$D96*0.5*(VLOOKUP($CU96-DZ$103,Männer!$G$9:$J$102,4)+VLOOKUP($CU96-DZ$103+1,Männer!$G$9:$J$102,4))*0.5*(VLOOKUP($CU96-DZ$103,Männer!$AZ$9:$BD$102,5)+VLOOKUP($CU96-DZ$103+1,Männer!$AZ$9:$BD$102,5)),RundDx)))</f>
        <v/>
      </c>
      <c r="EA96" s="43" t="str">
        <f>IF($CU96&gt;=RAF,"",IF($CU96-EA$103&lt;BeginnAlter,"",ROUND((SUM(CV$56:CV96)+SUM(FN$9:FN$56))/VLOOKUP($CU96,$AH$9:$AI$102,2)/VLOOKUP($CU96-EA$103,Männer!$G$9:$J$102,4),Rundäx)))</f>
        <v/>
      </c>
      <c r="EB96" s="43" t="str">
        <f>IF($CU96&gt;=RAF,"",IF($CU96-EB$103&lt;BeginnAlter,"",ROUND((SUM(CW$56:CW96)+SUM(FO$9:FO$56))/VLOOKUP($CU96,$AH$9:$AI$102,2)/VLOOKUP($CU96-EB$103,Männer!$G$9:$J$102,4),Rundäx)))</f>
        <v/>
      </c>
      <c r="EC96" s="43" t="str">
        <f>IF($CU96&gt;=RAF,"",IF($CU96-EC$103&lt;BeginnAlter,"",ROUND((SUM(CX$56:CX96)+SUM(FP$9:FP$56))/VLOOKUP($CU96,$AH$9:$AI$102,2)/VLOOKUP($CU96-EC$103,Männer!$G$9:$J$102,4),Rundäx)))</f>
        <v/>
      </c>
      <c r="ED96" s="43" t="str">
        <f>IF($CU96&gt;=RAF,"",IF($CU96-ED$103&lt;BeginnAlter,"",ROUND((SUM(CY$56:CY96)+SUM(FQ$9:FQ$56))/VLOOKUP($CU96,$AH$9:$AI$102,2)/VLOOKUP($CU96-ED$103,Männer!$G$9:$J$102,4),Rundäx)))</f>
        <v/>
      </c>
      <c r="EE96" s="43" t="str">
        <f>IF($CU96&gt;=RAF,"",IF($CU96-EE$103&lt;BeginnAlter,"",ROUND((SUM(CZ$56:CZ96)+SUM(FR$9:FR$56))/VLOOKUP($CU96,$AH$9:$AI$102,2)/VLOOKUP($CU96-EE$103,Männer!$G$9:$J$102,4),Rundäx)))</f>
        <v/>
      </c>
      <c r="EF96" s="43" t="str">
        <f>IF($CU96&gt;=RAF,"",IF($CU96-EF$103&lt;BeginnAlter,"",ROUND((SUM(DA$56:DA96)+SUM(FS$9:FS$56))/VLOOKUP($CU96,$AH$9:$AI$102,2)/VLOOKUP($CU96-EF$103,Männer!$G$9:$J$102,4),Rundäx)))</f>
        <v/>
      </c>
      <c r="EG96" s="43" t="str">
        <f>IF($CU96&gt;=RAF,"",IF($CU96-EG$103&lt;BeginnAlter,"",ROUND((SUM(DB$56:DB96)+SUM(FT$9:FT$56))/VLOOKUP($CU96,$AH$9:$AI$102,2)/VLOOKUP($CU96-EG$103,Männer!$G$9:$J$102,4),Rundäx)))</f>
        <v/>
      </c>
      <c r="EH96" s="43" t="str">
        <f>IF($CU96&gt;=RAF,"",IF($CU96-EH$103&lt;BeginnAlter,"",ROUND((SUM(DC$56:DC96)+SUM(FU$9:FU$56))/VLOOKUP($CU96,$AH$9:$AI$102,2)/VLOOKUP($CU96-EH$103,Männer!$G$9:$J$102,4),Rundäx)))</f>
        <v/>
      </c>
      <c r="EI96" s="89"/>
      <c r="EJ96" s="35">
        <f t="shared" si="178"/>
        <v>104</v>
      </c>
      <c r="EK96" s="43" t="str">
        <f>IF($CU96&gt;=RAF,"",IF($CU96-EK$103&lt;BeginnAlter,"",ROUND((SUM(DD$56:DD96)+SUM(FV$9:FV$56))/VLOOKUP($CU96,$AH$9:$AI$102,2)/VLOOKUP($CU96-EK$103,Männer!$G$9:$J$102,4),Rundäx)))</f>
        <v/>
      </c>
      <c r="EL96" s="43" t="str">
        <f>IF($CU96&gt;=RAF,"",IF($CU96-EL$103&lt;BeginnAlter,"",ROUND((SUM(DE$56:DE96)+SUM(FW$9:FW$56))/VLOOKUP($CU96,$AH$9:$AI$102,2)/VLOOKUP($CU96-EL$103,Männer!$G$9:$J$102,4),Rundäx)))</f>
        <v/>
      </c>
      <c r="EM96" s="43" t="str">
        <f>IF($CU96&gt;=RAF,"",IF($CU96-EM$103&lt;BeginnAlter,"",ROUND((SUM(DF$56:DF96)+SUM(FX$9:FX$56))/VLOOKUP($CU96,$AH$9:$AI$102,2)/VLOOKUP($CU96-EM$103,Männer!$G$9:$J$102,4),Rundäx)))</f>
        <v/>
      </c>
      <c r="EN96" s="43" t="str">
        <f>IF($CU96&gt;=RAF,"",IF($CU96-EN$103&lt;BeginnAlter,"",ROUND((SUM(DG$56:DG96)+SUM(FY$9:FY$56))/VLOOKUP($CU96,$AH$9:$AI$102,2)/VLOOKUP($CU96-EN$103,Männer!$G$9:$J$102,4),Rundäx)))</f>
        <v/>
      </c>
      <c r="EO96" s="43" t="str">
        <f>IF($CU96&gt;=RAF,"",IF($CU96-EO$103&lt;BeginnAlter,"",ROUND((SUM(DH$56:DH96)+SUM(FZ$9:FZ$56))/VLOOKUP($CU96,$AH$9:$AI$102,2)/VLOOKUP($CU96-EO$103,Männer!$G$9:$J$102,4),Rundäx)))</f>
        <v/>
      </c>
      <c r="EP96" s="43" t="str">
        <f>IF($CU96&gt;=RAF,"",IF($CU96-EP$103&lt;BeginnAlter,"",ROUND((SUM(DI$56:DI96)+SUM(GA$9:GA$56))/VLOOKUP($CU96,$AH$9:$AI$102,2)/VLOOKUP($CU96-EP$103,Männer!$G$9:$J$102,4),Rundäx)))</f>
        <v/>
      </c>
      <c r="EQ96" s="43" t="str">
        <f>IF($CU96&gt;=RAF,"",IF($CU96-EQ$103&lt;BeginnAlter,"",ROUND((SUM(DJ$56:DJ96)+SUM(GB$9:GB$56))/VLOOKUP($CU96,$AH$9:$AI$102,2)/VLOOKUP($CU96-EQ$103,Männer!$G$9:$J$102,4),Rundäx)))</f>
        <v/>
      </c>
      <c r="ER96" s="43" t="str">
        <f>IF($CU96&gt;=RAF,"",IF($CU96-ER$103&lt;BeginnAlter,"",ROUND((SUM(DK$56:DK96)+SUM(GC$9:GC$56))/VLOOKUP($CU96,$AH$9:$AI$102,2)/VLOOKUP($CU96-ER$103,Männer!$G$9:$J$102,4),Rundäx)))</f>
        <v/>
      </c>
      <c r="ES96" s="89"/>
      <c r="ET96" s="35">
        <f t="shared" si="179"/>
        <v>104</v>
      </c>
      <c r="EU96" s="43" t="str">
        <f>IF($CU96&gt;=RAF,"",IF($CU96-EU$103&lt;BeginnAlter,"",ROUND((SUM(DL$56:DL96)+SUM(GD$9:GD$56))/VLOOKUP($CU96,$AH$9:$AI$102,2)/VLOOKUP($CU96-EU$103,Männer!$G$9:$J$102,4),Rundäx)))</f>
        <v/>
      </c>
      <c r="EV96" s="43" t="str">
        <f>IF($CU96&gt;=RAF,"",IF($CU96-EV$103&lt;BeginnAlter,"",ROUND((SUM(DM$56:DM96)+SUM(GE$9:GE$56))/VLOOKUP($CU96,$AH$9:$AI$102,2)/VLOOKUP($CU96-EV$103,Männer!$G$9:$J$102,4),Rundäx)))</f>
        <v/>
      </c>
      <c r="EW96" s="43" t="str">
        <f>IF($CU96&gt;=RAF,"",IF($CU96-EW$103&lt;BeginnAlter,"",ROUND((SUM(DN$56:DN96)+SUM(GF$9:GF$56))/VLOOKUP($CU96,$AH$9:$AI$102,2)/VLOOKUP($CU96-EW$103,Männer!$G$9:$J$102,4),Rundäx)))</f>
        <v/>
      </c>
      <c r="EX96" s="43" t="str">
        <f>IF($CU96&gt;=RAF,"",IF($CU96-EX$103&lt;BeginnAlter,"",ROUND((SUM(DO$56:DO96)+SUM(GG$9:GG$56))/VLOOKUP($CU96,$AH$9:$AI$102,2)/VLOOKUP($CU96-EX$103,Männer!$G$9:$J$102,4),Rundäx)))</f>
        <v/>
      </c>
      <c r="EY96" s="43" t="str">
        <f>IF($CU96&gt;=RAF,"",IF($CU96-EY$103&lt;BeginnAlter,"",ROUND((SUM(DP$56:DP96)+SUM(GH$9:GH$56))/VLOOKUP($CU96,$AH$9:$AI$102,2)/VLOOKUP($CU96-EY$103,Männer!$G$9:$J$102,4),Rundäx)))</f>
        <v/>
      </c>
      <c r="EZ96" s="43" t="str">
        <f>IF($CU96&gt;=RAF,"",IF($CU96-EZ$103&lt;BeginnAlter,"",ROUND((SUM(DQ$56:DQ96)+SUM(GI$9:GI$56))/VLOOKUP($CU96,$AH$9:$AI$102,2)/VLOOKUP($CU96-EZ$103,Männer!$G$9:$J$102,4),Rundäx)))</f>
        <v/>
      </c>
      <c r="FA96" s="43" t="str">
        <f>IF($CU96&gt;=RAF,"",IF($CU96-FA$103&lt;BeginnAlter,"",ROUND((SUM(DR$56:DR96)+SUM(GJ$9:GJ$56))/VLOOKUP($CU96,$AH$9:$AI$102,2)/VLOOKUP($CU96-FA$103,Männer!$G$9:$J$102,4),Rundäx)))</f>
        <v/>
      </c>
      <c r="FB96" s="43" t="str">
        <f>IF($CU96&gt;=RAF,"",IF($CU96-FB$103&lt;BeginnAlter,"",ROUND((SUM(DS$56:DS96)+SUM(GK$9:GK$56))/VLOOKUP($CU96,$AH$9:$AI$102,2)/VLOOKUP($CU96-FB$103,Männer!$G$9:$J$102,4),Rundäx)))</f>
        <v/>
      </c>
      <c r="FC96" s="89"/>
      <c r="FD96" s="35">
        <f t="shared" si="180"/>
        <v>104</v>
      </c>
      <c r="FE96" s="43" t="str">
        <f>IF($CU96&gt;=RAF,"",IF($CU96-FE$103&lt;BeginnAlter,"",ROUND((SUM(DT$56:DT96)+SUM(GL$9:GL$56))/VLOOKUP($CU96,$AH$9:$AI$102,2)/VLOOKUP($CU96-FE$103,Männer!$G$9:$J$102,4),Rundäx)))</f>
        <v/>
      </c>
      <c r="FF96" s="43" t="str">
        <f>IF($CU96&gt;=RAF,"",IF($CU96-FF$103&lt;BeginnAlter,"",ROUND((SUM(DU$56:DU96)+SUM(GM$9:GM$56))/VLOOKUP($CU96,$AH$9:$AI$102,2)/VLOOKUP($CU96-FF$103,Männer!$G$9:$J$102,4),Rundäx)))</f>
        <v/>
      </c>
      <c r="FG96" s="43" t="str">
        <f>IF($CU96&gt;=RAF,"",IF($CU96-FG$103&lt;BeginnAlter,"",ROUND((SUM(DV$56:DV96)+SUM(GN$9:GN$56))/VLOOKUP($CU96,$AH$9:$AI$102,2)/VLOOKUP($CU96-FG$103,Männer!$G$9:$J$102,4),Rundäx)))</f>
        <v/>
      </c>
      <c r="FH96" s="43" t="str">
        <f>IF($CU96&gt;=RAF,"",IF($CU96-FH$103&lt;BeginnAlter,"",ROUND((SUM(DW$56:DW96)+SUM(GO$9:GO$56))/VLOOKUP($CU96,$AH$9:$AI$102,2)/VLOOKUP($CU96-FH$103,Männer!$G$9:$J$102,4),Rundäx)))</f>
        <v/>
      </c>
      <c r="FI96" s="43" t="str">
        <f>IF($CU96&gt;=RAF,"",IF($CU96-FI$103&lt;BeginnAlter,"",ROUND((SUM(DX$56:DX96)+SUM(GP$9:GP$56))/VLOOKUP($CU96,$AH$9:$AI$102,2)/VLOOKUP($CU96-FI$103,Männer!$G$9:$J$102,4),Rundäx)))</f>
        <v/>
      </c>
      <c r="FJ96" s="43" t="str">
        <f>IF($CU96&gt;=RAF,"",IF($CU96-FJ$103&lt;BeginnAlter,"",ROUND((SUM(DY$56:DY96)+SUM(GQ$9:GQ$56))/VLOOKUP($CU96,$AH$9:$AI$102,2)/VLOOKUP($CU96-FJ$103,Männer!$G$9:$J$102,4),Rundäx)))</f>
        <v/>
      </c>
      <c r="FK96" s="43" t="str">
        <f>IF($CU96&gt;=RAF,"",IF($CU96-FK$103&lt;BeginnAlter,"",ROUND((SUM(DZ$56:DZ96)+SUM(GR$9:GR$56))/VLOOKUP($CU96,$AH$9:$AI$102,2)/VLOOKUP($CU96-FK$103,Männer!$G$9:$J$102,4),Rundäx)))</f>
        <v/>
      </c>
      <c r="FL96" s="89"/>
      <c r="FM96" s="35">
        <f t="shared" si="181"/>
        <v>151</v>
      </c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4"/>
      <c r="GT96" s="24"/>
      <c r="GU96" s="24" t="str">
        <f>IF(FM96&gt;=RAF," ",#REF!/$AI96/Frauen!$J84)</f>
        <v xml:space="preserve"> </v>
      </c>
      <c r="GV96" s="24" t="str">
        <f>IF(FM96&gt;=RAF," ",#REF!/$AI96/Frauen!$J87)</f>
        <v xml:space="preserve"> </v>
      </c>
      <c r="GW96" s="24" t="str">
        <f>IF(FM96&gt;=RAF," ",#REF!/$AI96/Frauen!$J90)</f>
        <v xml:space="preserve"> </v>
      </c>
      <c r="GX96" s="24" t="str">
        <f>IF(FM96&gt;=RAF," ",#REF!/$AI96/Frauen!$J93)</f>
        <v xml:space="preserve"> </v>
      </c>
      <c r="GY96" s="24" t="str">
        <f>IF(FM96&gt;=RAF," ",#REF!/$AI96/Frauen!$J96)</f>
        <v xml:space="preserve"> </v>
      </c>
      <c r="GZ96" s="24" t="str">
        <f>IF(FM96&gt;=RAF," ",#REF!/$AI96/Frauen!$J99)</f>
        <v xml:space="preserve"> </v>
      </c>
      <c r="HA96" s="89"/>
      <c r="HB96" s="35">
        <f t="shared" si="182"/>
        <v>151</v>
      </c>
      <c r="HC96" s="24"/>
      <c r="HD96" s="24"/>
      <c r="HE96" s="24"/>
      <c r="HF96" s="24"/>
      <c r="HG96" s="24"/>
      <c r="HH96" s="24"/>
      <c r="HI96" s="24"/>
      <c r="HJ96" s="24"/>
      <c r="HK96" s="89"/>
      <c r="HL96" s="35">
        <f t="shared" si="183"/>
        <v>151</v>
      </c>
      <c r="HM96" s="24"/>
      <c r="HN96" s="24"/>
      <c r="HO96" s="24"/>
      <c r="HP96" s="24"/>
      <c r="HQ96" s="24"/>
      <c r="HR96" s="24"/>
      <c r="HS96" s="24"/>
      <c r="HT96" s="24"/>
      <c r="HU96" s="89"/>
      <c r="HV96" s="35">
        <f t="shared" si="184"/>
        <v>151</v>
      </c>
      <c r="HW96" s="24"/>
      <c r="HX96" s="24"/>
      <c r="HY96" s="24"/>
      <c r="HZ96" s="24"/>
      <c r="IA96" s="24"/>
      <c r="IB96" s="24"/>
      <c r="IC96" s="24"/>
      <c r="ID96" s="89"/>
      <c r="IE96" s="9">
        <f t="shared" si="185"/>
        <v>104</v>
      </c>
      <c r="IF96" s="11" t="str">
        <f t="shared" si="101"/>
        <v/>
      </c>
      <c r="IG96" s="11" t="str">
        <f>IF($IE96&lt;RAF,IF(S97&lt;=RAK,ROUND(SUM(IF96:INDEX(Daky,RAF-BeginnAlter))+INDEX(Day,RAF-BeginnAlter+1)*INDEX(äky,1),RundDx),0),"")</f>
        <v/>
      </c>
      <c r="IH96" s="11" t="str">
        <f>IF($IE96&lt;RAF,IF(S97&lt;=RAK,ROUND(SUM(IG96:INDEX(Naky,RAF-BeginnAlter))+INDEX(Day,RAF-BeginnAlter+1)*INDEX(äky,1),RundDx),0),"")</f>
        <v/>
      </c>
      <c r="II96" s="10" t="str">
        <f t="shared" si="102"/>
        <v/>
      </c>
      <c r="IJ96" s="11" t="str">
        <f t="shared" si="103"/>
        <v/>
      </c>
      <c r="IK96" s="11" t="str">
        <f>IF($IE96&lt;RAF,IF(S97&lt;=RAK,SUM(IJ96:INDEX(Diky,RAF-BeginnAlter))+INDEX(Diy,RAF-BeginnAlter+1)*INDEX(äky,1),0),"")</f>
        <v/>
      </c>
      <c r="IL96" s="10" t="str">
        <f t="shared" si="104"/>
        <v/>
      </c>
      <c r="IM96" s="89"/>
      <c r="IN96" s="9">
        <f t="shared" si="186"/>
        <v>151</v>
      </c>
      <c r="IO96" s="11"/>
      <c r="IP96" s="11"/>
      <c r="IQ96" s="10"/>
      <c r="IR96" s="86"/>
    </row>
    <row r="97" spans="1:252" ht="15.75" customHeight="1" x14ac:dyDescent="0.25">
      <c r="A97" s="9">
        <f t="shared" si="125"/>
        <v>105</v>
      </c>
      <c r="B97" s="93"/>
      <c r="C97" s="93"/>
      <c r="D97" s="93"/>
      <c r="E97" s="93">
        <v>1</v>
      </c>
      <c r="F97" s="89"/>
      <c r="G97" s="9">
        <f t="shared" si="126"/>
        <v>105</v>
      </c>
      <c r="H97" s="11" t="str">
        <f t="shared" si="106"/>
        <v/>
      </c>
      <c r="I97" s="25" t="str">
        <f t="shared" si="107"/>
        <v/>
      </c>
      <c r="J97" s="25">
        <f t="shared" si="108"/>
        <v>8</v>
      </c>
      <c r="K97" s="30">
        <f>IF(J97&gt;0,ROUND(SUM(J97:J$102)/J97-0.5,Rundex),"")</f>
        <v>0.5</v>
      </c>
      <c r="L97" s="25">
        <f t="shared" si="83"/>
        <v>8</v>
      </c>
      <c r="M97" s="30">
        <f>IF(L97&gt;0,ROUND(SUM(L97:L$102)/L97-0.5,Rundex),"")</f>
        <v>0.5</v>
      </c>
      <c r="N97" s="89"/>
      <c r="O97" s="9">
        <f t="shared" si="127"/>
        <v>105</v>
      </c>
      <c r="P97" s="94">
        <v>1.2453992068153159E-3</v>
      </c>
      <c r="Q97" s="95">
        <v>104.14436045054305</v>
      </c>
      <c r="R97" s="94"/>
      <c r="S97" s="95"/>
      <c r="T97" s="28">
        <v>0.76075776581351351</v>
      </c>
      <c r="U97" s="11">
        <f t="shared" si="109"/>
        <v>21</v>
      </c>
      <c r="V97" s="30">
        <f>IF(U97&gt;0,ROUND(SUM(U97:U$102)/U97-0.5,Rundex),"")</f>
        <v>0.79</v>
      </c>
      <c r="W97" s="89"/>
      <c r="X97" s="9">
        <f t="shared" si="147"/>
        <v>105</v>
      </c>
      <c r="Y97" s="11" t="str">
        <f t="shared" si="148"/>
        <v xml:space="preserve"> </v>
      </c>
      <c r="Z97" s="11" t="str">
        <f>IF($X97&lt;RAF,SUM(Y97:INDEX(Day,RAF-BeginnAlter))," ")</f>
        <v xml:space="preserve"> </v>
      </c>
      <c r="AA97" s="11" t="str">
        <f t="shared" si="81"/>
        <v xml:space="preserve"> </v>
      </c>
      <c r="AB97" s="11" t="str">
        <f>IF($X97&lt;RAF,SUM(AA97:INDEX(Cay,RAF-BeginnAlter))," ")</f>
        <v xml:space="preserve"> </v>
      </c>
      <c r="AC97" s="11" t="str">
        <f t="shared" si="82"/>
        <v xml:space="preserve"> </v>
      </c>
      <c r="AD97" s="11" t="str">
        <f>IF($X97&lt;RAF,SUM(AC97:INDEX(Caiy,RAF-BeginnAlter))," ")</f>
        <v xml:space="preserve"> </v>
      </c>
      <c r="AE97" s="10" t="str">
        <f t="shared" si="149"/>
        <v xml:space="preserve"> </v>
      </c>
      <c r="AF97" s="10" t="str">
        <f t="shared" si="150"/>
        <v xml:space="preserve"> </v>
      </c>
      <c r="AG97" s="89"/>
      <c r="AH97" s="9">
        <f t="shared" si="151"/>
        <v>105</v>
      </c>
      <c r="AI97" s="11" t="str">
        <f t="shared" si="152"/>
        <v xml:space="preserve"> </v>
      </c>
      <c r="AJ97" s="11" t="str">
        <f>IF($AH97&gt;RAF," ",IF($AH97&lt;RAF,SUM(AI97:INDEX(Diy,RAF-BeginnAlter))+INDEX(Ny,RAF-BeginnAlter+1),INDEX(Ny,RAF-BeginnAlter+1)))</f>
        <v xml:space="preserve"> </v>
      </c>
      <c r="AK97" s="11" t="str">
        <f>IF($AH97&lt;RAF,SUM(AI97:INDEX(Diy,RAF-BeginnAlter))," ")</f>
        <v xml:space="preserve"> </v>
      </c>
      <c r="AL97" s="10" t="str">
        <f t="shared" si="153"/>
        <v xml:space="preserve"> </v>
      </c>
      <c r="AM97" s="10" t="str">
        <f t="shared" si="154"/>
        <v xml:space="preserve"> </v>
      </c>
      <c r="AN97" s="10" t="str">
        <f t="shared" si="155"/>
        <v xml:space="preserve"> </v>
      </c>
      <c r="AO97" s="10" t="str">
        <f t="shared" si="156"/>
        <v xml:space="preserve"> </v>
      </c>
      <c r="AP97" s="89"/>
      <c r="AQ97" s="9">
        <f t="shared" si="157"/>
        <v>105</v>
      </c>
      <c r="AR97" s="11"/>
      <c r="AS97" s="11"/>
      <c r="AT97" s="25" t="str">
        <f>IF($AQ97&lt;RAF,SUM(AR97:INDEX(Dy,RAF-BeginnAlter))," ")</f>
        <v xml:space="preserve"> </v>
      </c>
      <c r="AU97" s="24" t="str">
        <f t="shared" si="158"/>
        <v xml:space="preserve"> </v>
      </c>
      <c r="AV97" s="24" t="str">
        <f t="shared" si="159"/>
        <v xml:space="preserve"> </v>
      </c>
      <c r="AW97" s="24" t="str">
        <f t="shared" si="160"/>
        <v xml:space="preserve"> </v>
      </c>
      <c r="AX97" s="24" t="str">
        <f t="shared" si="161"/>
        <v xml:space="preserve"> </v>
      </c>
      <c r="AY97" s="89"/>
      <c r="AZ97" s="9">
        <f t="shared" si="162"/>
        <v>105</v>
      </c>
      <c r="BA97" s="11"/>
      <c r="BB97" s="11"/>
      <c r="BC97" s="10" t="str">
        <f t="shared" si="163"/>
        <v xml:space="preserve"> </v>
      </c>
      <c r="BD97" s="10">
        <f t="shared" si="84"/>
        <v>0</v>
      </c>
      <c r="BE97" s="89"/>
      <c r="BF97" s="9">
        <f t="shared" si="164"/>
        <v>88</v>
      </c>
      <c r="BG97" s="10" t="str">
        <f t="shared" si="85"/>
        <v/>
      </c>
      <c r="BH97" s="10" t="str">
        <f t="shared" si="86"/>
        <v/>
      </c>
      <c r="BI97" s="89"/>
      <c r="BJ97" s="9">
        <f t="shared" si="165"/>
        <v>105</v>
      </c>
      <c r="BK97" s="11" t="str">
        <f t="shared" si="166"/>
        <v xml:space="preserve"> </v>
      </c>
      <c r="BL97" s="11" t="str">
        <f>IF(BJ97&lt;RAF,SUM(BK97:INDEX(Daiy,RAF-BeginnAlter))," ")</f>
        <v xml:space="preserve"> </v>
      </c>
      <c r="BM97" s="11" t="str">
        <f>IF(BJ97&lt;RAF,SUM(BL97:INDEX(Naiy,RAF-BeginnAlter))," ")</f>
        <v xml:space="preserve"> </v>
      </c>
      <c r="BN97" s="10" t="str">
        <f t="shared" si="167"/>
        <v xml:space="preserve"> </v>
      </c>
      <c r="BO97" s="10" t="str">
        <f t="shared" si="168"/>
        <v xml:space="preserve"> </v>
      </c>
      <c r="BP97" s="89"/>
      <c r="BQ97" s="9">
        <f t="shared" si="169"/>
        <v>105</v>
      </c>
      <c r="BR97" s="11" t="str">
        <f t="shared" si="170"/>
        <v xml:space="preserve"> </v>
      </c>
      <c r="BS97" s="11" t="str">
        <f>IF(BQ97&lt;RAF,SUM(BR97:INDEX(Daiys,RAF-BeginnAlter))," ")</f>
        <v xml:space="preserve"> </v>
      </c>
      <c r="BT97" s="11" t="str">
        <f>IF(BQ97&lt;RAF,SUM(BS97:INDEX(Naiys,RAF-BeginnAlter))," ")</f>
        <v xml:space="preserve"> </v>
      </c>
      <c r="BU97" s="10" t="str">
        <f t="shared" si="171"/>
        <v xml:space="preserve"> </v>
      </c>
      <c r="BV97" s="10" t="str">
        <f t="shared" si="172"/>
        <v xml:space="preserve"> </v>
      </c>
      <c r="BW97" s="89"/>
      <c r="BX97" s="9">
        <f t="shared" si="173"/>
        <v>105</v>
      </c>
      <c r="BY97" s="10" t="str">
        <f t="shared" si="93"/>
        <v/>
      </c>
      <c r="BZ97" s="11" t="str">
        <f t="shared" si="94"/>
        <v/>
      </c>
      <c r="CA97" s="11" t="str">
        <f>IF(S98&lt;=RAK,IF($BX97&lt;RAF,SUM(BZ97:INDEX(Dazy,RAF-BeginnAlter)),""),"")</f>
        <v/>
      </c>
      <c r="CB97" s="10" t="str">
        <f t="shared" si="95"/>
        <v/>
      </c>
      <c r="CC97" s="11">
        <f t="shared" si="96"/>
        <v>0</v>
      </c>
      <c r="CD97" s="10">
        <f t="shared" si="97"/>
        <v>0</v>
      </c>
      <c r="CE97" s="10" t="str">
        <f t="shared" si="98"/>
        <v/>
      </c>
      <c r="CF97" s="89"/>
      <c r="CG97" s="9">
        <f t="shared" si="174"/>
        <v>105</v>
      </c>
      <c r="CH97" s="11" t="str">
        <f>IF(CG97&lt;RAF,ROUND(v^($CG97+FaktorAlter)*$H97*($B97*0.5*($P97+$P98)*(VLOOKUP(TRUNC(0.5*($Q97+$Q98),0),Männer!$AZ$9:$BD$95,5)+(0.5*($Q97+$Q98)-TRUNC(0.5*($Q97+$Q98),0))*(VLOOKUP(TRUNC(0.5*($Q97+$Q98)+1,0),Männer!$AZ$9:$BD$95,5)-VLOOKUP(TRUNC(0.5*($Q97+$Q98),0),Männer!$AZ$9:$BD$95,5)))+$C97*0.5*($CN97+$CN98)),RundDx),"")</f>
        <v/>
      </c>
      <c r="CI97" s="11" t="str">
        <f>IF(CG97&lt;RAF,ROUND(SUM(CH97:INDEX(Dawy,RAF-BeginnAlter))+INDEX(Day,RAF-BeginnAlter+1)*INDEX(äwy,1),RundDx),"")</f>
        <v/>
      </c>
      <c r="CJ97" s="11" t="str">
        <f>IF(CG97&lt;RAF,ROUND(SUM(CI97:INDEX(Nawy,RAF-BeginnAlter))+INDEX(Day,RAF-BeginnAlter+1)*INDEX(äwy,1),RundDx),"")</f>
        <v/>
      </c>
      <c r="CK97" s="10" t="str">
        <f t="shared" si="175"/>
        <v/>
      </c>
      <c r="CL97" s="11" t="str">
        <f>IF(CG97&lt;RAF,ROUND(v^($CG97+FaktorAlter)*$L97*$D97*0.5*($P97+$P98)*(VLOOKUP(TRUNC(0.5*($Q97+$Q98),0),Männer!$AZ$9:$BD$95,5)+(0.5*($Q97+$Q98)-TRUNC(0.5*($Q97+$Q98),0))*(VLOOKUP(TRUNC(0.5*($Q97+$Q98)+1,0),Männer!$AZ$9:$BD$95,5)-VLOOKUP(TRUNC(0.5*($Q97+$Q98),0),Männer!$AZ$9:$BD$95,5))),RundDx),"")</f>
        <v/>
      </c>
      <c r="CM97" s="11" t="str">
        <f>IF(CG97&lt;RAF,SUM(CL97:INDEX(Diwy,RAF-BeginnAlter))+INDEX(Diy,RAF-BeginnAlter+1)*INDEX(äwy,1),"")</f>
        <v/>
      </c>
      <c r="CN97" s="10" t="str">
        <f t="shared" si="176"/>
        <v/>
      </c>
      <c r="CO97" s="89"/>
      <c r="CP97" s="9">
        <f t="shared" si="146"/>
        <v>152</v>
      </c>
      <c r="CQ97" s="11"/>
      <c r="CR97" s="15"/>
      <c r="CS97" s="38"/>
      <c r="CT97" s="89"/>
      <c r="CU97" s="35">
        <f t="shared" si="177"/>
        <v>105</v>
      </c>
      <c r="CV97" s="25" t="str">
        <f>IF($CU97&gt;=RAF,"",IF($CU97-CV$103&lt;BeginnAlter,"",ROUND(v^($CU97+FaktorAlter)*$L97*$D97*0.5*(VLOOKUP($CU97-CV$103,Männer!$G$9:$J$102,4)+VLOOKUP($CU97-CV$103+1,Männer!$G$9:$J$102,4))*0.5*(VLOOKUP($CU97-CV$103,Männer!$AZ$9:$BD$102,5)+VLOOKUP($CU97-CV$103+1,Männer!$AZ$9:$BD$102,5)),RundDx)))</f>
        <v/>
      </c>
      <c r="CW97" s="25" t="str">
        <f>IF($CU97&gt;=RAF,"",IF($CU97-CW$103&lt;BeginnAlter,"",ROUND(v^($CU97+FaktorAlter)*$L97*$D97*0.5*(VLOOKUP($CU97-CW$103,Männer!$G$9:$J$102,4)+VLOOKUP($CU97-CW$103+1,Männer!$G$9:$J$102,4))*0.5*(VLOOKUP($CU97-CW$103,Männer!$AZ$9:$BD$102,5)+VLOOKUP($CU97-CW$103+1,Männer!$AZ$9:$BD$102,5)),RundDx)))</f>
        <v/>
      </c>
      <c r="CX97" s="25" t="str">
        <f>IF($CU97&gt;=RAF,"",IF($CU97-CX$103&lt;BeginnAlter,"",ROUND(v^($CU97+FaktorAlter)*$L97*$D97*0.5*(VLOOKUP($CU97-CX$103,Männer!$G$9:$J$102,4)+VLOOKUP($CU97-CX$103+1,Männer!$G$9:$J$102,4))*0.5*(VLOOKUP($CU97-CX$103,Männer!$AZ$9:$BD$102,5)+VLOOKUP($CU97-CX$103+1,Männer!$AZ$9:$BD$102,5)),RundDx)))</f>
        <v/>
      </c>
      <c r="CY97" s="25" t="str">
        <f>IF($CU97&gt;=RAF,"",IF($CU97-CY$103&lt;BeginnAlter,"",ROUND(v^($CU97+FaktorAlter)*$L97*$D97*0.5*(VLOOKUP($CU97-CY$103,Männer!$G$9:$J$102,4)+VLOOKUP($CU97-CY$103+1,Männer!$G$9:$J$102,4))*0.5*(VLOOKUP($CU97-CY$103,Männer!$AZ$9:$BD$102,5)+VLOOKUP($CU97-CY$103+1,Männer!$AZ$9:$BD$102,5)),RundDx)))</f>
        <v/>
      </c>
      <c r="CZ97" s="25" t="str">
        <f>IF($CU97&gt;=RAF,"",IF($CU97-CZ$103&lt;BeginnAlter,"",ROUND(v^($CU97+FaktorAlter)*$L97*$D97*0.5*(VLOOKUP($CU97-CZ$103,Männer!$G$9:$J$102,4)+VLOOKUP($CU97-CZ$103+1,Männer!$G$9:$J$102,4))*0.5*(VLOOKUP($CU97-CZ$103,Männer!$AZ$9:$BD$102,5)+VLOOKUP($CU97-CZ$103+1,Männer!$AZ$9:$BD$102,5)),RundDx)))</f>
        <v/>
      </c>
      <c r="DA97" s="25" t="str">
        <f>IF($CU97&gt;=RAF,"",IF($CU97-DA$103&lt;BeginnAlter,"",ROUND(v^($CU97+FaktorAlter)*$L97*$D97*0.5*(VLOOKUP($CU97-DA$103,Männer!$G$9:$J$102,4)+VLOOKUP($CU97-DA$103+1,Männer!$G$9:$J$102,4))*0.5*(VLOOKUP($CU97-DA$103,Männer!$AZ$9:$BD$102,5)+VLOOKUP($CU97-DA$103+1,Männer!$AZ$9:$BD$102,5)),RundDx)))</f>
        <v/>
      </c>
      <c r="DB97" s="25" t="str">
        <f>IF($CU97&gt;=RAF,"",IF($CU97-DB$103&lt;BeginnAlter,"",ROUND(v^($CU97+FaktorAlter)*$L97*$D97*0.5*(VLOOKUP($CU97-DB$103,Männer!$G$9:$J$102,4)+VLOOKUP($CU97-DB$103+1,Männer!$G$9:$J$102,4))*0.5*(VLOOKUP($CU97-DB$103,Männer!$AZ$9:$BD$102,5)+VLOOKUP($CU97-DB$103+1,Männer!$AZ$9:$BD$102,5)),RundDx)))</f>
        <v/>
      </c>
      <c r="DC97" s="25" t="str">
        <f>IF($CU97&gt;=RAF,"",IF($CU97-DC$103&lt;BeginnAlter,"",ROUND(v^($CU97+FaktorAlter)*$L97*$D97*0.5*(VLOOKUP($CU97-DC$103,Männer!$G$9:$J$102,4)+VLOOKUP($CU97-DC$103+1,Männer!$G$9:$J$102,4))*0.5*(VLOOKUP($CU97-DC$103,Männer!$AZ$9:$BD$102,5)+VLOOKUP($CU97-DC$103+1,Männer!$AZ$9:$BD$102,5)),RundDx)))</f>
        <v/>
      </c>
      <c r="DD97" s="25" t="str">
        <f>IF($CU97&gt;=RAF,"",IF($CU97-DD$103&lt;BeginnAlter,"",ROUND(v^($CU97+FaktorAlter)*$L97*$D97*0.5*(VLOOKUP($CU97-DD$103,Männer!$G$9:$J$102,4)+VLOOKUP($CU97-DD$103+1,Männer!$G$9:$J$102,4))*0.5*(VLOOKUP($CU97-DD$103,Männer!$AZ$9:$BD$102,5)+VLOOKUP($CU97-DD$103+1,Männer!$AZ$9:$BD$102,5)),RundDx)))</f>
        <v/>
      </c>
      <c r="DE97" s="25" t="str">
        <f>IF($CU97&gt;=RAF,"",IF($CU97-DE$103&lt;BeginnAlter,"",ROUND(v^($CU97+FaktorAlter)*$L97*$D97*0.5*(VLOOKUP($CU97-DE$103,Männer!$G$9:$J$102,4)+VLOOKUP($CU97-DE$103+1,Männer!$G$9:$J$102,4))*0.5*(VLOOKUP($CU97-DE$103,Männer!$AZ$9:$BD$102,5)+VLOOKUP($CU97-DE$103+1,Männer!$AZ$9:$BD$102,5)),RundDx)))</f>
        <v/>
      </c>
      <c r="DF97" s="25" t="str">
        <f>IF($CU97&gt;=RAF,"",IF($CU97-DF$103&lt;BeginnAlter,"",ROUND(v^($CU97+FaktorAlter)*$L97*$D97*0.5*(VLOOKUP($CU97-DF$103,Männer!$G$9:$J$102,4)+VLOOKUP($CU97-DF$103+1,Männer!$G$9:$J$102,4))*0.5*(VLOOKUP($CU97-DF$103,Männer!$AZ$9:$BD$102,5)+VLOOKUP($CU97-DF$103+1,Männer!$AZ$9:$BD$102,5)),RundDx)))</f>
        <v/>
      </c>
      <c r="DG97" s="25" t="str">
        <f>IF($CU97&gt;=RAF,"",IF($CU97-DG$103&lt;BeginnAlter,"",ROUND(v^($CU97+FaktorAlter)*$L97*$D97*0.5*(VLOOKUP($CU97-DG$103,Männer!$G$9:$J$102,4)+VLOOKUP($CU97-DG$103+1,Männer!$G$9:$J$102,4))*0.5*(VLOOKUP($CU97-DG$103,Männer!$AZ$9:$BD$102,5)+VLOOKUP($CU97-DG$103+1,Männer!$AZ$9:$BD$102,5)),RundDx)))</f>
        <v/>
      </c>
      <c r="DH97" s="25" t="str">
        <f>IF($CU97&gt;=RAF,"",IF($CU97-DH$103&lt;BeginnAlter,"",ROUND(v^($CU97+FaktorAlter)*$L97*$D97*0.5*(VLOOKUP($CU97-DH$103,Männer!$G$9:$J$102,4)+VLOOKUP($CU97-DH$103+1,Männer!$G$9:$J$102,4))*0.5*(VLOOKUP($CU97-DH$103,Männer!$AZ$9:$BD$102,5)+VLOOKUP($CU97-DH$103+1,Männer!$AZ$9:$BD$102,5)),RundDx)))</f>
        <v/>
      </c>
      <c r="DI97" s="25" t="str">
        <f>IF($CU97&gt;=RAF,"",IF($CU97-DI$103&lt;BeginnAlter,"",ROUND(v^($CU97+FaktorAlter)*$L97*$D97*0.5*(VLOOKUP($CU97-DI$103,Männer!$G$9:$J$102,4)+VLOOKUP($CU97-DI$103+1,Männer!$G$9:$J$102,4))*0.5*(VLOOKUP($CU97-DI$103,Männer!$AZ$9:$BD$102,5)+VLOOKUP($CU97-DI$103+1,Männer!$AZ$9:$BD$102,5)),RundDx)))</f>
        <v/>
      </c>
      <c r="DJ97" s="25" t="str">
        <f>IF($CU97&gt;=RAF,"",IF($CU97-DJ$103&lt;BeginnAlter,"",ROUND(v^($CU97+FaktorAlter)*$L97*$D97*0.5*(VLOOKUP($CU97-DJ$103,Männer!$G$9:$J$102,4)+VLOOKUP($CU97-DJ$103+1,Männer!$G$9:$J$102,4))*0.5*(VLOOKUP($CU97-DJ$103,Männer!$AZ$9:$BD$102,5)+VLOOKUP($CU97-DJ$103+1,Männer!$AZ$9:$BD$102,5)),RundDx)))</f>
        <v/>
      </c>
      <c r="DK97" s="25" t="str">
        <f>IF($CU97&gt;=RAF,"",IF($CU97-DK$103&lt;BeginnAlter,"",ROUND(v^($CU97+FaktorAlter)*$L97*$D97*0.5*(VLOOKUP($CU97-DK$103,Männer!$G$9:$J$102,4)+VLOOKUP($CU97-DK$103+1,Männer!$G$9:$J$102,4))*0.5*(VLOOKUP($CU97-DK$103,Männer!$AZ$9:$BD$102,5)+VLOOKUP($CU97-DK$103+1,Männer!$AZ$9:$BD$102,5)),RundDx)))</f>
        <v/>
      </c>
      <c r="DL97" s="25" t="str">
        <f>IF($CU97&gt;=RAF,"",IF($CU97-DL$103&lt;BeginnAlter,"",ROUND(v^($CU97+FaktorAlter)*$L97*$D97*0.5*(VLOOKUP($CU97-DL$103,Männer!$G$9:$J$102,4)+VLOOKUP($CU97-DL$103+1,Männer!$G$9:$J$102,4))*0.5*(VLOOKUP($CU97-DL$103,Männer!$AZ$9:$BD$102,5)+VLOOKUP($CU97-DL$103+1,Männer!$AZ$9:$BD$102,5)),RundDx)))</f>
        <v/>
      </c>
      <c r="DM97" s="25" t="str">
        <f>IF($CU97&gt;=RAF,"",IF($CU97-DM$103&lt;BeginnAlter,"",ROUND(v^($CU97+FaktorAlter)*$L97*$D97*0.5*(VLOOKUP($CU97-DM$103,Männer!$G$9:$J$102,4)+VLOOKUP($CU97-DM$103+1,Männer!$G$9:$J$102,4))*0.5*(VLOOKUP($CU97-DM$103,Männer!$AZ$9:$BD$102,5)+VLOOKUP($CU97-DM$103+1,Männer!$AZ$9:$BD$102,5)),RundDx)))</f>
        <v/>
      </c>
      <c r="DN97" s="25" t="str">
        <f>IF($CU97&gt;=RAF,"",IF($CU97-DN$103&lt;BeginnAlter,"",ROUND(v^($CU97+FaktorAlter)*$L97*$D97*0.5*(VLOOKUP($CU97-DN$103,Männer!$G$9:$J$102,4)+VLOOKUP($CU97-DN$103+1,Männer!$G$9:$J$102,4))*0.5*(VLOOKUP($CU97-DN$103,Männer!$AZ$9:$BD$102,5)+VLOOKUP($CU97-DN$103+1,Männer!$AZ$9:$BD$102,5)),RundDx)))</f>
        <v/>
      </c>
      <c r="DO97" s="25" t="str">
        <f>IF($CU97&gt;=RAF,"",IF($CU97-DO$103&lt;BeginnAlter,"",ROUND(v^($CU97+FaktorAlter)*$L97*$D97*0.5*(VLOOKUP($CU97-DO$103,Männer!$G$9:$J$102,4)+VLOOKUP($CU97-DO$103+1,Männer!$G$9:$J$102,4))*0.5*(VLOOKUP($CU97-DO$103,Männer!$AZ$9:$BD$102,5)+VLOOKUP($CU97-DO$103+1,Männer!$AZ$9:$BD$102,5)),RundDx)))</f>
        <v/>
      </c>
      <c r="DP97" s="25" t="str">
        <f>IF($CU97&gt;=RAF,"",IF($CU97-DP$103&lt;BeginnAlter,"",ROUND(v^($CU97+FaktorAlter)*$L97*$D97*0.5*(VLOOKUP($CU97-DP$103,Männer!$G$9:$J$102,4)+VLOOKUP($CU97-DP$103+1,Männer!$G$9:$J$102,4))*0.5*(VLOOKUP($CU97-DP$103,Männer!$AZ$9:$BD$102,5)+VLOOKUP($CU97-DP$103+1,Männer!$AZ$9:$BD$102,5)),RundDx)))</f>
        <v/>
      </c>
      <c r="DQ97" s="25" t="str">
        <f>IF($CU97&gt;=RAF,"",IF($CU97-DQ$103&lt;BeginnAlter,"",ROUND(v^($CU97+FaktorAlter)*$L97*$D97*0.5*(VLOOKUP($CU97-DQ$103,Männer!$G$9:$J$102,4)+VLOOKUP($CU97-DQ$103+1,Männer!$G$9:$J$102,4))*0.5*(VLOOKUP($CU97-DQ$103,Männer!$AZ$9:$BD$102,5)+VLOOKUP($CU97-DQ$103+1,Männer!$AZ$9:$BD$102,5)),RundDx)))</f>
        <v/>
      </c>
      <c r="DR97" s="25" t="str">
        <f>IF($CU97&gt;=RAF,"",IF($CU97-DR$103&lt;BeginnAlter,"",ROUND(v^($CU97+FaktorAlter)*$L97*$D97*0.5*(VLOOKUP($CU97-DR$103,Männer!$G$9:$J$102,4)+VLOOKUP($CU97-DR$103+1,Männer!$G$9:$J$102,4))*0.5*(VLOOKUP($CU97-DR$103,Männer!$AZ$9:$BD$102,5)+VLOOKUP($CU97-DR$103+1,Männer!$AZ$9:$BD$102,5)),RundDx)))</f>
        <v/>
      </c>
      <c r="DS97" s="25" t="str">
        <f>IF($CU97&gt;=RAF,"",IF($CU97-DS$103&lt;BeginnAlter,"",ROUND(v^($CU97+FaktorAlter)*$L97*$D97*0.5*(VLOOKUP($CU97-DS$103,Männer!$G$9:$J$102,4)+VLOOKUP($CU97-DS$103+1,Männer!$G$9:$J$102,4))*0.5*(VLOOKUP($CU97-DS$103,Männer!$AZ$9:$BD$102,5)+VLOOKUP($CU97-DS$103+1,Männer!$AZ$9:$BD$102,5)),RundDx)))</f>
        <v/>
      </c>
      <c r="DT97" s="25" t="str">
        <f>IF($CU97&gt;=RAF,"",IF($CU97-DT$103&lt;BeginnAlter,"",ROUND(v^($CU97+FaktorAlter)*$L97*$D97*0.5*(VLOOKUP($CU97-DT$103,Männer!$G$9:$J$102,4)+VLOOKUP($CU97-DT$103+1,Männer!$G$9:$J$102,4))*0.5*(VLOOKUP($CU97-DT$103,Männer!$AZ$9:$BD$102,5)+VLOOKUP($CU97-DT$103+1,Männer!$AZ$9:$BD$102,5)),RundDx)))</f>
        <v/>
      </c>
      <c r="DU97" s="25" t="str">
        <f>IF($CU97&gt;=RAF,"",IF($CU97-DU$103&lt;BeginnAlter,"",ROUND(v^($CU97+FaktorAlter)*$L97*$D97*0.5*(VLOOKUP($CU97-DU$103,Männer!$G$9:$J$102,4)+VLOOKUP($CU97-DU$103+1,Männer!$G$9:$J$102,4))*0.5*(VLOOKUP($CU97-DU$103,Männer!$AZ$9:$BD$102,5)+VLOOKUP($CU97-DU$103+1,Männer!$AZ$9:$BD$102,5)),RundDx)))</f>
        <v/>
      </c>
      <c r="DV97" s="25" t="str">
        <f>IF($CU97&gt;=RAF,"",IF($CU97-DV$103&lt;BeginnAlter,"",ROUND(v^($CU97+FaktorAlter)*$L97*$D97*0.5*(VLOOKUP($CU97-DV$103,Männer!$G$9:$J$102,4)+VLOOKUP($CU97-DV$103+1,Männer!$G$9:$J$102,4))*0.5*(VLOOKUP($CU97-DV$103,Männer!$AZ$9:$BD$102,5)+VLOOKUP($CU97-DV$103+1,Männer!$AZ$9:$BD$102,5)),RundDx)))</f>
        <v/>
      </c>
      <c r="DW97" s="25" t="str">
        <f>IF($CU97&gt;=RAF,"",IF($CU97-DW$103&lt;BeginnAlter,"",ROUND(v^($CU97+FaktorAlter)*$L97*$D97*0.5*(VLOOKUP($CU97-DW$103,Männer!$G$9:$J$102,4)+VLOOKUP($CU97-DW$103+1,Männer!$G$9:$J$102,4))*0.5*(VLOOKUP($CU97-DW$103,Männer!$AZ$9:$BD$102,5)+VLOOKUP($CU97-DW$103+1,Männer!$AZ$9:$BD$102,5)),RundDx)))</f>
        <v/>
      </c>
      <c r="DX97" s="25" t="str">
        <f>IF($CU97&gt;=RAF,"",IF($CU97-DX$103&lt;BeginnAlter,"",ROUND(v^($CU97+FaktorAlter)*$L97*$D97*0.5*(VLOOKUP($CU97-DX$103,Männer!$G$9:$J$102,4)+VLOOKUP($CU97-DX$103+1,Männer!$G$9:$J$102,4))*0.5*(VLOOKUP($CU97-DX$103,Männer!$AZ$9:$BD$102,5)+VLOOKUP($CU97-DX$103+1,Männer!$AZ$9:$BD$102,5)),RundDx)))</f>
        <v/>
      </c>
      <c r="DY97" s="25" t="str">
        <f>IF($CU97&gt;=RAF,"",IF($CU97-DY$103&lt;BeginnAlter,"",ROUND(v^($CU97+FaktorAlter)*$L97*$D97*0.5*(VLOOKUP($CU97-DY$103,Männer!$G$9:$J$102,4)+VLOOKUP($CU97-DY$103+1,Männer!$G$9:$J$102,4))*0.5*(VLOOKUP($CU97-DY$103,Männer!$AZ$9:$BD$102,5)+VLOOKUP($CU97-DY$103+1,Männer!$AZ$9:$BD$102,5)),RundDx)))</f>
        <v/>
      </c>
      <c r="DZ97" s="25" t="str">
        <f>IF($CU97&gt;=RAF,"",IF($CU97-DZ$103&lt;BeginnAlter,"",ROUND(v^($CU97+FaktorAlter)*$L97*$D97*0.5*(VLOOKUP($CU97-DZ$103,Männer!$G$9:$J$102,4)+VLOOKUP($CU97-DZ$103+1,Männer!$G$9:$J$102,4))*0.5*(VLOOKUP($CU97-DZ$103,Männer!$AZ$9:$BD$102,5)+VLOOKUP($CU97-DZ$103+1,Männer!$AZ$9:$BD$102,5)),RundDx)))</f>
        <v/>
      </c>
      <c r="EA97" s="43" t="str">
        <f>IF($CU97&gt;=RAF,"",IF($CU97-EA$103&lt;BeginnAlter,"",ROUND((SUM(CV$56:CV97)+SUM(FN$9:FN$56))/VLOOKUP($CU97,$AH$9:$AI$102,2)/VLOOKUP($CU97-EA$103,Männer!$G$9:$J$102,4),Rundäx)))</f>
        <v/>
      </c>
      <c r="EB97" s="43" t="str">
        <f>IF($CU97&gt;=RAF,"",IF($CU97-EB$103&lt;BeginnAlter,"",ROUND((SUM(CW$56:CW97)+SUM(FO$9:FO$56))/VLOOKUP($CU97,$AH$9:$AI$102,2)/VLOOKUP($CU97-EB$103,Männer!$G$9:$J$102,4),Rundäx)))</f>
        <v/>
      </c>
      <c r="EC97" s="43" t="str">
        <f>IF($CU97&gt;=RAF,"",IF($CU97-EC$103&lt;BeginnAlter,"",ROUND((SUM(CX$56:CX97)+SUM(FP$9:FP$56))/VLOOKUP($CU97,$AH$9:$AI$102,2)/VLOOKUP($CU97-EC$103,Männer!$G$9:$J$102,4),Rundäx)))</f>
        <v/>
      </c>
      <c r="ED97" s="43" t="str">
        <f>IF($CU97&gt;=RAF,"",IF($CU97-ED$103&lt;BeginnAlter,"",ROUND((SUM(CY$56:CY97)+SUM(FQ$9:FQ$56))/VLOOKUP($CU97,$AH$9:$AI$102,2)/VLOOKUP($CU97-ED$103,Männer!$G$9:$J$102,4),Rundäx)))</f>
        <v/>
      </c>
      <c r="EE97" s="43" t="str">
        <f>IF($CU97&gt;=RAF,"",IF($CU97-EE$103&lt;BeginnAlter,"",ROUND((SUM(CZ$56:CZ97)+SUM(FR$9:FR$56))/VLOOKUP($CU97,$AH$9:$AI$102,2)/VLOOKUP($CU97-EE$103,Männer!$G$9:$J$102,4),Rundäx)))</f>
        <v/>
      </c>
      <c r="EF97" s="43" t="str">
        <f>IF($CU97&gt;=RAF,"",IF($CU97-EF$103&lt;BeginnAlter,"",ROUND((SUM(DA$56:DA97)+SUM(FS$9:FS$56))/VLOOKUP($CU97,$AH$9:$AI$102,2)/VLOOKUP($CU97-EF$103,Männer!$G$9:$J$102,4),Rundäx)))</f>
        <v/>
      </c>
      <c r="EG97" s="43" t="str">
        <f>IF($CU97&gt;=RAF,"",IF($CU97-EG$103&lt;BeginnAlter,"",ROUND((SUM(DB$56:DB97)+SUM(FT$9:FT$56))/VLOOKUP($CU97,$AH$9:$AI$102,2)/VLOOKUP($CU97-EG$103,Männer!$G$9:$J$102,4),Rundäx)))</f>
        <v/>
      </c>
      <c r="EH97" s="43" t="str">
        <f>IF($CU97&gt;=RAF,"",IF($CU97-EH$103&lt;BeginnAlter,"",ROUND((SUM(DC$56:DC97)+SUM(FU$9:FU$56))/VLOOKUP($CU97,$AH$9:$AI$102,2)/VLOOKUP($CU97-EH$103,Männer!$G$9:$J$102,4),Rundäx)))</f>
        <v/>
      </c>
      <c r="EI97" s="89"/>
      <c r="EJ97" s="35">
        <f t="shared" si="178"/>
        <v>105</v>
      </c>
      <c r="EK97" s="43" t="str">
        <f>IF($CU97&gt;=RAF,"",IF($CU97-EK$103&lt;BeginnAlter,"",ROUND((SUM(DD$56:DD97)+SUM(FV$9:FV$56))/VLOOKUP($CU97,$AH$9:$AI$102,2)/VLOOKUP($CU97-EK$103,Männer!$G$9:$J$102,4),Rundäx)))</f>
        <v/>
      </c>
      <c r="EL97" s="43" t="str">
        <f>IF($CU97&gt;=RAF,"",IF($CU97-EL$103&lt;BeginnAlter,"",ROUND((SUM(DE$56:DE97)+SUM(FW$9:FW$56))/VLOOKUP($CU97,$AH$9:$AI$102,2)/VLOOKUP($CU97-EL$103,Männer!$G$9:$J$102,4),Rundäx)))</f>
        <v/>
      </c>
      <c r="EM97" s="43" t="str">
        <f>IF($CU97&gt;=RAF,"",IF($CU97-EM$103&lt;BeginnAlter,"",ROUND((SUM(DF$56:DF97)+SUM(FX$9:FX$56))/VLOOKUP($CU97,$AH$9:$AI$102,2)/VLOOKUP($CU97-EM$103,Männer!$G$9:$J$102,4),Rundäx)))</f>
        <v/>
      </c>
      <c r="EN97" s="43" t="str">
        <f>IF($CU97&gt;=RAF,"",IF($CU97-EN$103&lt;BeginnAlter,"",ROUND((SUM(DG$56:DG97)+SUM(FY$9:FY$56))/VLOOKUP($CU97,$AH$9:$AI$102,2)/VLOOKUP($CU97-EN$103,Männer!$G$9:$J$102,4),Rundäx)))</f>
        <v/>
      </c>
      <c r="EO97" s="43" t="str">
        <f>IF($CU97&gt;=RAF,"",IF($CU97-EO$103&lt;BeginnAlter,"",ROUND((SUM(DH$56:DH97)+SUM(FZ$9:FZ$56))/VLOOKUP($CU97,$AH$9:$AI$102,2)/VLOOKUP($CU97-EO$103,Männer!$G$9:$J$102,4),Rundäx)))</f>
        <v/>
      </c>
      <c r="EP97" s="43" t="str">
        <f>IF($CU97&gt;=RAF,"",IF($CU97-EP$103&lt;BeginnAlter,"",ROUND((SUM(DI$56:DI97)+SUM(GA$9:GA$56))/VLOOKUP($CU97,$AH$9:$AI$102,2)/VLOOKUP($CU97-EP$103,Männer!$G$9:$J$102,4),Rundäx)))</f>
        <v/>
      </c>
      <c r="EQ97" s="43" t="str">
        <f>IF($CU97&gt;=RAF,"",IF($CU97-EQ$103&lt;BeginnAlter,"",ROUND((SUM(DJ$56:DJ97)+SUM(GB$9:GB$56))/VLOOKUP($CU97,$AH$9:$AI$102,2)/VLOOKUP($CU97-EQ$103,Männer!$G$9:$J$102,4),Rundäx)))</f>
        <v/>
      </c>
      <c r="ER97" s="43" t="str">
        <f>IF($CU97&gt;=RAF,"",IF($CU97-ER$103&lt;BeginnAlter,"",ROUND((SUM(DK$56:DK97)+SUM(GC$9:GC$56))/VLOOKUP($CU97,$AH$9:$AI$102,2)/VLOOKUP($CU97-ER$103,Männer!$G$9:$J$102,4),Rundäx)))</f>
        <v/>
      </c>
      <c r="ES97" s="89"/>
      <c r="ET97" s="35">
        <f t="shared" si="179"/>
        <v>105</v>
      </c>
      <c r="EU97" s="43" t="str">
        <f>IF($CU97&gt;=RAF,"",IF($CU97-EU$103&lt;BeginnAlter,"",ROUND((SUM(DL$56:DL97)+SUM(GD$9:GD$56))/VLOOKUP($CU97,$AH$9:$AI$102,2)/VLOOKUP($CU97-EU$103,Männer!$G$9:$J$102,4),Rundäx)))</f>
        <v/>
      </c>
      <c r="EV97" s="43" t="str">
        <f>IF($CU97&gt;=RAF,"",IF($CU97-EV$103&lt;BeginnAlter,"",ROUND((SUM(DM$56:DM97)+SUM(GE$9:GE$56))/VLOOKUP($CU97,$AH$9:$AI$102,2)/VLOOKUP($CU97-EV$103,Männer!$G$9:$J$102,4),Rundäx)))</f>
        <v/>
      </c>
      <c r="EW97" s="43" t="str">
        <f>IF($CU97&gt;=RAF,"",IF($CU97-EW$103&lt;BeginnAlter,"",ROUND((SUM(DN$56:DN97)+SUM(GF$9:GF$56))/VLOOKUP($CU97,$AH$9:$AI$102,2)/VLOOKUP($CU97-EW$103,Männer!$G$9:$J$102,4),Rundäx)))</f>
        <v/>
      </c>
      <c r="EX97" s="43" t="str">
        <f>IF($CU97&gt;=RAF,"",IF($CU97-EX$103&lt;BeginnAlter,"",ROUND((SUM(DO$56:DO97)+SUM(GG$9:GG$56))/VLOOKUP($CU97,$AH$9:$AI$102,2)/VLOOKUP($CU97-EX$103,Männer!$G$9:$J$102,4),Rundäx)))</f>
        <v/>
      </c>
      <c r="EY97" s="43" t="str">
        <f>IF($CU97&gt;=RAF,"",IF($CU97-EY$103&lt;BeginnAlter,"",ROUND((SUM(DP$56:DP97)+SUM(GH$9:GH$56))/VLOOKUP($CU97,$AH$9:$AI$102,2)/VLOOKUP($CU97-EY$103,Männer!$G$9:$J$102,4),Rundäx)))</f>
        <v/>
      </c>
      <c r="EZ97" s="43" t="str">
        <f>IF($CU97&gt;=RAF,"",IF($CU97-EZ$103&lt;BeginnAlter,"",ROUND((SUM(DQ$56:DQ97)+SUM(GI$9:GI$56))/VLOOKUP($CU97,$AH$9:$AI$102,2)/VLOOKUP($CU97-EZ$103,Männer!$G$9:$J$102,4),Rundäx)))</f>
        <v/>
      </c>
      <c r="FA97" s="43" t="str">
        <f>IF($CU97&gt;=RAF,"",IF($CU97-FA$103&lt;BeginnAlter,"",ROUND((SUM(DR$56:DR97)+SUM(GJ$9:GJ$56))/VLOOKUP($CU97,$AH$9:$AI$102,2)/VLOOKUP($CU97-FA$103,Männer!$G$9:$J$102,4),Rundäx)))</f>
        <v/>
      </c>
      <c r="FB97" s="43" t="str">
        <f>IF($CU97&gt;=RAF,"",IF($CU97-FB$103&lt;BeginnAlter,"",ROUND((SUM(DS$56:DS97)+SUM(GK$9:GK$56))/VLOOKUP($CU97,$AH$9:$AI$102,2)/VLOOKUP($CU97-FB$103,Männer!$G$9:$J$102,4),Rundäx)))</f>
        <v/>
      </c>
      <c r="FC97" s="89"/>
      <c r="FD97" s="35">
        <f t="shared" si="180"/>
        <v>105</v>
      </c>
      <c r="FE97" s="43" t="str">
        <f>IF($CU97&gt;=RAF,"",IF($CU97-FE$103&lt;BeginnAlter,"",ROUND((SUM(DT$56:DT97)+SUM(GL$9:GL$56))/VLOOKUP($CU97,$AH$9:$AI$102,2)/VLOOKUP($CU97-FE$103,Männer!$G$9:$J$102,4),Rundäx)))</f>
        <v/>
      </c>
      <c r="FF97" s="43" t="str">
        <f>IF($CU97&gt;=RAF,"",IF($CU97-FF$103&lt;BeginnAlter,"",ROUND((SUM(DU$56:DU97)+SUM(GM$9:GM$56))/VLOOKUP($CU97,$AH$9:$AI$102,2)/VLOOKUP($CU97-FF$103,Männer!$G$9:$J$102,4),Rundäx)))</f>
        <v/>
      </c>
      <c r="FG97" s="43" t="str">
        <f>IF($CU97&gt;=RAF,"",IF($CU97-FG$103&lt;BeginnAlter,"",ROUND((SUM(DV$56:DV97)+SUM(GN$9:GN$56))/VLOOKUP($CU97,$AH$9:$AI$102,2)/VLOOKUP($CU97-FG$103,Männer!$G$9:$J$102,4),Rundäx)))</f>
        <v/>
      </c>
      <c r="FH97" s="43" t="str">
        <f>IF($CU97&gt;=RAF,"",IF($CU97-FH$103&lt;BeginnAlter,"",ROUND((SUM(DW$56:DW97)+SUM(GO$9:GO$56))/VLOOKUP($CU97,$AH$9:$AI$102,2)/VLOOKUP($CU97-FH$103,Männer!$G$9:$J$102,4),Rundäx)))</f>
        <v/>
      </c>
      <c r="FI97" s="43" t="str">
        <f>IF($CU97&gt;=RAF,"",IF($CU97-FI$103&lt;BeginnAlter,"",ROUND((SUM(DX$56:DX97)+SUM(GP$9:GP$56))/VLOOKUP($CU97,$AH$9:$AI$102,2)/VLOOKUP($CU97-FI$103,Männer!$G$9:$J$102,4),Rundäx)))</f>
        <v/>
      </c>
      <c r="FJ97" s="43" t="str">
        <f>IF($CU97&gt;=RAF,"",IF($CU97-FJ$103&lt;BeginnAlter,"",ROUND((SUM(DY$56:DY97)+SUM(GQ$9:GQ$56))/VLOOKUP($CU97,$AH$9:$AI$102,2)/VLOOKUP($CU97-FJ$103,Männer!$G$9:$J$102,4),Rundäx)))</f>
        <v/>
      </c>
      <c r="FK97" s="43" t="str">
        <f>IF($CU97&gt;=RAF,"",IF($CU97-FK$103&lt;BeginnAlter,"",ROUND((SUM(DZ$56:DZ97)+SUM(GR$9:GR$56))/VLOOKUP($CU97,$AH$9:$AI$102,2)/VLOOKUP($CU97-FK$103,Männer!$G$9:$J$102,4),Rundäx)))</f>
        <v/>
      </c>
      <c r="FL97" s="89"/>
      <c r="FM97" s="35">
        <f t="shared" si="181"/>
        <v>152</v>
      </c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4"/>
      <c r="GT97" s="24"/>
      <c r="GU97" s="24" t="str">
        <f>IF(FM97&gt;=RAF," ",#REF!/$AI97/Frauen!$J85)</f>
        <v xml:space="preserve"> </v>
      </c>
      <c r="GV97" s="24" t="str">
        <f>IF(FM97&gt;=RAF," ",#REF!/$AI97/Frauen!$J88)</f>
        <v xml:space="preserve"> </v>
      </c>
      <c r="GW97" s="24" t="str">
        <f>IF(FM97&gt;=RAF," ",#REF!/$AI97/Frauen!$J91)</f>
        <v xml:space="preserve"> </v>
      </c>
      <c r="GX97" s="24" t="str">
        <f>IF(FM97&gt;=RAF," ",#REF!/$AI97/Frauen!$J94)</f>
        <v xml:space="preserve"> </v>
      </c>
      <c r="GY97" s="24" t="str">
        <f>IF(FM97&gt;=RAF," ",#REF!/$AI97/Frauen!$J97)</f>
        <v xml:space="preserve"> </v>
      </c>
      <c r="GZ97" s="24" t="str">
        <f>IF(FM97&gt;=RAF," ",#REF!/$AI97/Frauen!$J100)</f>
        <v xml:space="preserve"> </v>
      </c>
      <c r="HA97" s="89"/>
      <c r="HB97" s="35">
        <f t="shared" si="182"/>
        <v>152</v>
      </c>
      <c r="HC97" s="24"/>
      <c r="HD97" s="24"/>
      <c r="HE97" s="24"/>
      <c r="HF97" s="24"/>
      <c r="HG97" s="24"/>
      <c r="HH97" s="24"/>
      <c r="HI97" s="24"/>
      <c r="HJ97" s="24"/>
      <c r="HK97" s="89"/>
      <c r="HL97" s="35">
        <f t="shared" si="183"/>
        <v>152</v>
      </c>
      <c r="HM97" s="24"/>
      <c r="HN97" s="24"/>
      <c r="HO97" s="24"/>
      <c r="HP97" s="24"/>
      <c r="HQ97" s="24"/>
      <c r="HR97" s="24"/>
      <c r="HS97" s="24"/>
      <c r="HT97" s="24"/>
      <c r="HU97" s="89"/>
      <c r="HV97" s="35">
        <f t="shared" si="184"/>
        <v>152</v>
      </c>
      <c r="HW97" s="24"/>
      <c r="HX97" s="24"/>
      <c r="HY97" s="24"/>
      <c r="HZ97" s="24"/>
      <c r="IA97" s="24"/>
      <c r="IB97" s="24"/>
      <c r="IC97" s="24"/>
      <c r="ID97" s="89"/>
      <c r="IE97" s="9">
        <f t="shared" si="185"/>
        <v>105</v>
      </c>
      <c r="IF97" s="11" t="str">
        <f t="shared" si="101"/>
        <v/>
      </c>
      <c r="IG97" s="11" t="str">
        <f>IF($IE97&lt;RAF,IF(S98&lt;=RAK,ROUND(SUM(IF97:INDEX(Daky,RAF-BeginnAlter))+INDEX(Day,RAF-BeginnAlter+1)*INDEX(äky,1),RundDx),0),"")</f>
        <v/>
      </c>
      <c r="IH97" s="11" t="str">
        <f>IF($IE97&lt;RAF,IF(S98&lt;=RAK,ROUND(SUM(IG97:INDEX(Naky,RAF-BeginnAlter))+INDEX(Day,RAF-BeginnAlter+1)*INDEX(äky,1),RundDx),0),"")</f>
        <v/>
      </c>
      <c r="II97" s="10" t="str">
        <f t="shared" si="102"/>
        <v/>
      </c>
      <c r="IJ97" s="11" t="str">
        <f t="shared" si="103"/>
        <v/>
      </c>
      <c r="IK97" s="11" t="str">
        <f>IF($IE97&lt;RAF,IF(S98&lt;=RAK,SUM(IJ97:INDEX(Diky,RAF-BeginnAlter))+INDEX(Diy,RAF-BeginnAlter+1)*INDEX(äky,1),0),"")</f>
        <v/>
      </c>
      <c r="IL97" s="10" t="str">
        <f t="shared" si="104"/>
        <v/>
      </c>
      <c r="IM97" s="89"/>
      <c r="IN97" s="9">
        <f t="shared" si="186"/>
        <v>152</v>
      </c>
      <c r="IO97" s="11"/>
      <c r="IP97" s="15"/>
      <c r="IQ97" s="38"/>
      <c r="IR97" s="86"/>
    </row>
    <row r="98" spans="1:252" ht="15.75" customHeight="1" x14ac:dyDescent="0.25">
      <c r="A98" s="9">
        <f t="shared" si="125"/>
        <v>106</v>
      </c>
      <c r="B98" s="98"/>
      <c r="C98" s="98"/>
      <c r="D98" s="94"/>
      <c r="E98" s="93"/>
      <c r="F98" s="89"/>
      <c r="G98" s="9">
        <f t="shared" si="126"/>
        <v>106</v>
      </c>
      <c r="H98" s="11" t="str">
        <f t="shared" si="106"/>
        <v/>
      </c>
      <c r="I98" s="25" t="str">
        <f t="shared" si="107"/>
        <v/>
      </c>
      <c r="J98" s="25"/>
      <c r="K98" s="30" t="str">
        <f>IF(J98&gt;0,ROUND(SUM(J98:J$102)/J98-0.5,Rundex),"")</f>
        <v/>
      </c>
      <c r="L98" s="11"/>
      <c r="M98" s="30" t="str">
        <f>IF(L98&gt;0,ROUND(SUM(L98:L$102)/L98-0.5,Rundex),"")</f>
        <v/>
      </c>
      <c r="N98" s="89"/>
      <c r="O98" s="9">
        <f t="shared" si="127"/>
        <v>106</v>
      </c>
      <c r="P98" s="94">
        <v>1.0053992068153159E-3</v>
      </c>
      <c r="Q98" s="95">
        <v>105.08189153128291</v>
      </c>
      <c r="R98" s="94"/>
      <c r="S98" s="95"/>
      <c r="T98" s="28">
        <v>0.83341633691167172</v>
      </c>
      <c r="U98" s="11">
        <f t="shared" si="109"/>
        <v>5</v>
      </c>
      <c r="V98" s="30">
        <f>IF(U98&gt;0,ROUND(SUM(U98:U$102)/U98-0.5,Rundex),"")</f>
        <v>0.7</v>
      </c>
      <c r="W98" s="89"/>
      <c r="X98" s="9">
        <f t="shared" si="147"/>
        <v>106</v>
      </c>
      <c r="Y98" s="11" t="str">
        <f t="shared" si="148"/>
        <v xml:space="preserve"> </v>
      </c>
      <c r="Z98" s="11" t="str">
        <f>IF($X98&lt;RAF,SUM(Y98:INDEX(Day,RAF-BeginnAlter))," ")</f>
        <v xml:space="preserve"> </v>
      </c>
      <c r="AA98" s="11" t="str">
        <f t="shared" si="81"/>
        <v xml:space="preserve"> </v>
      </c>
      <c r="AB98" s="11" t="str">
        <f>IF($X98&lt;RAF,SUM(AA98:INDEX(Cay,RAF-BeginnAlter))," ")</f>
        <v xml:space="preserve"> </v>
      </c>
      <c r="AC98" s="11" t="str">
        <f t="shared" si="82"/>
        <v xml:space="preserve"> </v>
      </c>
      <c r="AD98" s="11" t="str">
        <f>IF($X98&lt;RAF,SUM(AC98:INDEX(Caiy,RAF-BeginnAlter))," ")</f>
        <v xml:space="preserve"> </v>
      </c>
      <c r="AE98" s="10" t="str">
        <f t="shared" si="149"/>
        <v xml:space="preserve"> </v>
      </c>
      <c r="AF98" s="10" t="str">
        <f t="shared" si="150"/>
        <v xml:space="preserve"> </v>
      </c>
      <c r="AG98" s="89"/>
      <c r="AH98" s="9">
        <f t="shared" si="151"/>
        <v>106</v>
      </c>
      <c r="AI98" s="11" t="str">
        <f t="shared" si="152"/>
        <v xml:space="preserve"> </v>
      </c>
      <c r="AJ98" s="11" t="str">
        <f>IF($AH98&gt;RAF," ",IF($AH98&lt;RAF,SUM(AI98:INDEX(Diy,RAF-BeginnAlter))+INDEX(Ny,RAF-BeginnAlter+1),INDEX(Ny,RAF-BeginnAlter+1)))</f>
        <v xml:space="preserve"> </v>
      </c>
      <c r="AK98" s="11" t="str">
        <f>IF($AH98&lt;RAF,SUM(AI98:INDEX(Diy,RAF-BeginnAlter))," ")</f>
        <v xml:space="preserve"> </v>
      </c>
      <c r="AL98" s="10" t="str">
        <f t="shared" si="153"/>
        <v xml:space="preserve"> </v>
      </c>
      <c r="AM98" s="10" t="str">
        <f t="shared" si="154"/>
        <v xml:space="preserve"> </v>
      </c>
      <c r="AN98" s="10" t="str">
        <f t="shared" si="155"/>
        <v xml:space="preserve"> </v>
      </c>
      <c r="AO98" s="10" t="str">
        <f t="shared" si="156"/>
        <v xml:space="preserve"> </v>
      </c>
      <c r="AP98" s="89"/>
      <c r="AQ98" s="9">
        <f t="shared" si="157"/>
        <v>106</v>
      </c>
      <c r="AR98" s="11"/>
      <c r="AS98" s="11"/>
      <c r="AT98" s="25" t="str">
        <f>IF($AQ98&lt;RAF,SUM(AR98:INDEX(Dy,RAF-BeginnAlter))," ")</f>
        <v xml:space="preserve"> </v>
      </c>
      <c r="AU98" s="24" t="str">
        <f t="shared" si="158"/>
        <v xml:space="preserve"> </v>
      </c>
      <c r="AV98" s="24" t="str">
        <f t="shared" si="159"/>
        <v xml:space="preserve"> </v>
      </c>
      <c r="AW98" s="24" t="str">
        <f t="shared" si="160"/>
        <v xml:space="preserve"> </v>
      </c>
      <c r="AX98" s="24" t="str">
        <f t="shared" si="161"/>
        <v xml:space="preserve"> </v>
      </c>
      <c r="AY98" s="89"/>
      <c r="AZ98" s="9">
        <f t="shared" si="162"/>
        <v>106</v>
      </c>
      <c r="BA98" s="11"/>
      <c r="BB98" s="11"/>
      <c r="BC98" s="10" t="str">
        <f t="shared" si="163"/>
        <v xml:space="preserve"> </v>
      </c>
      <c r="BD98" s="10">
        <f t="shared" si="84"/>
        <v>0</v>
      </c>
      <c r="BE98" s="89"/>
      <c r="BF98" s="9">
        <f t="shared" si="164"/>
        <v>89</v>
      </c>
      <c r="BG98" s="10" t="str">
        <f t="shared" si="85"/>
        <v/>
      </c>
      <c r="BH98" s="10" t="str">
        <f t="shared" si="86"/>
        <v/>
      </c>
      <c r="BI98" s="89"/>
      <c r="BJ98" s="9">
        <f t="shared" si="165"/>
        <v>106</v>
      </c>
      <c r="BK98" s="11" t="str">
        <f t="shared" si="166"/>
        <v xml:space="preserve"> </v>
      </c>
      <c r="BL98" s="11" t="str">
        <f>IF(BJ98&lt;RAF,SUM(BK98:INDEX(Daiy,RAF-BeginnAlter))," ")</f>
        <v xml:space="preserve"> </v>
      </c>
      <c r="BM98" s="11" t="str">
        <f>IF(BJ98&lt;RAF,SUM(BL98:INDEX(Naiy,RAF-BeginnAlter))," ")</f>
        <v xml:space="preserve"> </v>
      </c>
      <c r="BN98" s="10" t="str">
        <f t="shared" si="167"/>
        <v xml:space="preserve"> </v>
      </c>
      <c r="BO98" s="10" t="str">
        <f t="shared" si="168"/>
        <v xml:space="preserve"> </v>
      </c>
      <c r="BP98" s="89"/>
      <c r="BQ98" s="9">
        <f t="shared" si="169"/>
        <v>106</v>
      </c>
      <c r="BR98" s="11" t="str">
        <f t="shared" si="170"/>
        <v xml:space="preserve"> </v>
      </c>
      <c r="BS98" s="11" t="str">
        <f>IF(BQ98&lt;RAF,SUM(BR98:INDEX(Daiys,RAF-BeginnAlter))," ")</f>
        <v xml:space="preserve"> </v>
      </c>
      <c r="BT98" s="11" t="str">
        <f>IF(BQ98&lt;RAF,SUM(BS98:INDEX(Naiys,RAF-BeginnAlter))," ")</f>
        <v xml:space="preserve"> </v>
      </c>
      <c r="BU98" s="10" t="str">
        <f t="shared" si="171"/>
        <v xml:space="preserve"> </v>
      </c>
      <c r="BV98" s="10" t="str">
        <f t="shared" si="172"/>
        <v xml:space="preserve"> </v>
      </c>
      <c r="BW98" s="89"/>
      <c r="BX98" s="9">
        <f t="shared" si="173"/>
        <v>106</v>
      </c>
      <c r="BY98" s="10" t="str">
        <f t="shared" si="93"/>
        <v/>
      </c>
      <c r="BZ98" s="11" t="str">
        <f t="shared" si="94"/>
        <v/>
      </c>
      <c r="CA98" s="11" t="str">
        <f>IF(S99&lt;=RAK,IF($BX98&lt;RAF,SUM(BZ98:INDEX(Dazy,RAF-BeginnAlter)),""),"")</f>
        <v/>
      </c>
      <c r="CB98" s="10" t="str">
        <f t="shared" si="95"/>
        <v/>
      </c>
      <c r="CC98" s="11">
        <f t="shared" si="96"/>
        <v>0</v>
      </c>
      <c r="CD98" s="10">
        <f t="shared" si="97"/>
        <v>0</v>
      </c>
      <c r="CE98" s="10" t="str">
        <f t="shared" si="98"/>
        <v/>
      </c>
      <c r="CF98" s="89"/>
      <c r="CG98" s="9">
        <f t="shared" si="174"/>
        <v>106</v>
      </c>
      <c r="CH98" s="11" t="str">
        <f>IF(CG98&lt;RAF,ROUND(v^($CG98+FaktorAlter)*$H98*($B98*0.5*($P98+$P99)*(VLOOKUP(TRUNC(0.5*($Q98+$Q99),0),Männer!$AZ$9:$BD$95,5)+(0.5*($Q98+$Q99)-TRUNC(0.5*($Q98+$Q99),0))*(VLOOKUP(TRUNC(0.5*($Q98+$Q99)+1,0),Männer!$AZ$9:$BD$95,5)-VLOOKUP(TRUNC(0.5*($Q98+$Q99),0),Männer!$AZ$9:$BD$95,5)))+$C98*0.5*($CN98+$CN99)),RundDx),"")</f>
        <v/>
      </c>
      <c r="CI98" s="11" t="str">
        <f>IF(CG98&lt;RAF,ROUND(SUM(CH98:INDEX(Dawy,RAF-BeginnAlter))+INDEX(Day,RAF-BeginnAlter+1)*INDEX(äwy,1),RundDx),"")</f>
        <v/>
      </c>
      <c r="CJ98" s="11" t="str">
        <f>IF(CG98&lt;RAF,ROUND(SUM(CI98:INDEX(Nawy,RAF-BeginnAlter))+INDEX(Day,RAF-BeginnAlter+1)*INDEX(äwy,1),RundDx),"")</f>
        <v/>
      </c>
      <c r="CK98" s="10" t="str">
        <f t="shared" si="175"/>
        <v/>
      </c>
      <c r="CL98" s="11" t="str">
        <f>IF(CG98&lt;RAF,ROUND(v^($CG98+FaktorAlter)*$L98*$D98*0.5*($P98+$P99)*(VLOOKUP(TRUNC(0.5*($Q98+$Q99),0),Männer!$AZ$9:$BD$95,5)+(0.5*($Q98+$Q99)-TRUNC(0.5*($Q98+$Q99),0))*(VLOOKUP(TRUNC(0.5*($Q98+$Q99)+1,0),Männer!$AZ$9:$BD$95,5)-VLOOKUP(TRUNC(0.5*($Q98+$Q99),0),Männer!$AZ$9:$BD$95,5))),RundDx),"")</f>
        <v/>
      </c>
      <c r="CM98" s="11" t="str">
        <f>IF(CG98&lt;RAF,SUM(CL98:INDEX(Diwy,RAF-BeginnAlter))+INDEX(Diy,RAF-BeginnAlter+1)*INDEX(äwy,1),"")</f>
        <v/>
      </c>
      <c r="CN98" s="10" t="str">
        <f t="shared" si="176"/>
        <v/>
      </c>
      <c r="CO98" s="89"/>
      <c r="CP98" s="9">
        <f t="shared" si="146"/>
        <v>153</v>
      </c>
      <c r="CQ98" s="11"/>
      <c r="CR98" s="15"/>
      <c r="CS98" s="38"/>
      <c r="CT98" s="89"/>
      <c r="CU98" s="35">
        <f t="shared" si="177"/>
        <v>106</v>
      </c>
      <c r="CV98" s="25" t="str">
        <f>IF($CU98&gt;=RAF,"",IF($CU98-CV$103&lt;BeginnAlter,"",ROUND(v^($CU98+FaktorAlter)*$L98*$D98*0.5*(VLOOKUP($CU98-CV$103,Männer!$G$9:$J$102,4)+VLOOKUP($CU98-CV$103+1,Männer!$G$9:$J$102,4))*0.5*(VLOOKUP($CU98-CV$103,Männer!$AZ$9:$BD$102,5)+VLOOKUP($CU98-CV$103+1,Männer!$AZ$9:$BD$102,5)),RundDx)))</f>
        <v/>
      </c>
      <c r="CW98" s="25" t="str">
        <f>IF($CU98&gt;=RAF,"",IF($CU98-CW$103&lt;BeginnAlter,"",ROUND(v^($CU98+FaktorAlter)*$L98*$D98*0.5*(VLOOKUP($CU98-CW$103,Männer!$G$9:$J$102,4)+VLOOKUP($CU98-CW$103+1,Männer!$G$9:$J$102,4))*0.5*(VLOOKUP($CU98-CW$103,Männer!$AZ$9:$BD$102,5)+VLOOKUP($CU98-CW$103+1,Männer!$AZ$9:$BD$102,5)),RundDx)))</f>
        <v/>
      </c>
      <c r="CX98" s="25" t="str">
        <f>IF($CU98&gt;=RAF,"",IF($CU98-CX$103&lt;BeginnAlter,"",ROUND(v^($CU98+FaktorAlter)*$L98*$D98*0.5*(VLOOKUP($CU98-CX$103,Männer!$G$9:$J$102,4)+VLOOKUP($CU98-CX$103+1,Männer!$G$9:$J$102,4))*0.5*(VLOOKUP($CU98-CX$103,Männer!$AZ$9:$BD$102,5)+VLOOKUP($CU98-CX$103+1,Männer!$AZ$9:$BD$102,5)),RundDx)))</f>
        <v/>
      </c>
      <c r="CY98" s="25" t="str">
        <f>IF($CU98&gt;=RAF,"",IF($CU98-CY$103&lt;BeginnAlter,"",ROUND(v^($CU98+FaktorAlter)*$L98*$D98*0.5*(VLOOKUP($CU98-CY$103,Männer!$G$9:$J$102,4)+VLOOKUP($CU98-CY$103+1,Männer!$G$9:$J$102,4))*0.5*(VLOOKUP($CU98-CY$103,Männer!$AZ$9:$BD$102,5)+VLOOKUP($CU98-CY$103+1,Männer!$AZ$9:$BD$102,5)),RundDx)))</f>
        <v/>
      </c>
      <c r="CZ98" s="25" t="str">
        <f>IF($CU98&gt;=RAF,"",IF($CU98-CZ$103&lt;BeginnAlter,"",ROUND(v^($CU98+FaktorAlter)*$L98*$D98*0.5*(VLOOKUP($CU98-CZ$103,Männer!$G$9:$J$102,4)+VLOOKUP($CU98-CZ$103+1,Männer!$G$9:$J$102,4))*0.5*(VLOOKUP($CU98-CZ$103,Männer!$AZ$9:$BD$102,5)+VLOOKUP($CU98-CZ$103+1,Männer!$AZ$9:$BD$102,5)),RundDx)))</f>
        <v/>
      </c>
      <c r="DA98" s="25" t="str">
        <f>IF($CU98&gt;=RAF,"",IF($CU98-DA$103&lt;BeginnAlter,"",ROUND(v^($CU98+FaktorAlter)*$L98*$D98*0.5*(VLOOKUP($CU98-DA$103,Männer!$G$9:$J$102,4)+VLOOKUP($CU98-DA$103+1,Männer!$G$9:$J$102,4))*0.5*(VLOOKUP($CU98-DA$103,Männer!$AZ$9:$BD$102,5)+VLOOKUP($CU98-DA$103+1,Männer!$AZ$9:$BD$102,5)),RundDx)))</f>
        <v/>
      </c>
      <c r="DB98" s="25" t="str">
        <f>IF($CU98&gt;=RAF,"",IF($CU98-DB$103&lt;BeginnAlter,"",ROUND(v^($CU98+FaktorAlter)*$L98*$D98*0.5*(VLOOKUP($CU98-DB$103,Männer!$G$9:$J$102,4)+VLOOKUP($CU98-DB$103+1,Männer!$G$9:$J$102,4))*0.5*(VLOOKUP($CU98-DB$103,Männer!$AZ$9:$BD$102,5)+VLOOKUP($CU98-DB$103+1,Männer!$AZ$9:$BD$102,5)),RundDx)))</f>
        <v/>
      </c>
      <c r="DC98" s="25" t="str">
        <f>IF($CU98&gt;=RAF,"",IF($CU98-DC$103&lt;BeginnAlter,"",ROUND(v^($CU98+FaktorAlter)*$L98*$D98*0.5*(VLOOKUP($CU98-DC$103,Männer!$G$9:$J$102,4)+VLOOKUP($CU98-DC$103+1,Männer!$G$9:$J$102,4))*0.5*(VLOOKUP($CU98-DC$103,Männer!$AZ$9:$BD$102,5)+VLOOKUP($CU98-DC$103+1,Männer!$AZ$9:$BD$102,5)),RundDx)))</f>
        <v/>
      </c>
      <c r="DD98" s="25" t="str">
        <f>IF($CU98&gt;=RAF,"",IF($CU98-DD$103&lt;BeginnAlter,"",ROUND(v^($CU98+FaktorAlter)*$L98*$D98*0.5*(VLOOKUP($CU98-DD$103,Männer!$G$9:$J$102,4)+VLOOKUP($CU98-DD$103+1,Männer!$G$9:$J$102,4))*0.5*(VLOOKUP($CU98-DD$103,Männer!$AZ$9:$BD$102,5)+VLOOKUP($CU98-DD$103+1,Männer!$AZ$9:$BD$102,5)),RundDx)))</f>
        <v/>
      </c>
      <c r="DE98" s="25" t="str">
        <f>IF($CU98&gt;=RAF,"",IF($CU98-DE$103&lt;BeginnAlter,"",ROUND(v^($CU98+FaktorAlter)*$L98*$D98*0.5*(VLOOKUP($CU98-DE$103,Männer!$G$9:$J$102,4)+VLOOKUP($CU98-DE$103+1,Männer!$G$9:$J$102,4))*0.5*(VLOOKUP($CU98-DE$103,Männer!$AZ$9:$BD$102,5)+VLOOKUP($CU98-DE$103+1,Männer!$AZ$9:$BD$102,5)),RundDx)))</f>
        <v/>
      </c>
      <c r="DF98" s="25" t="str">
        <f>IF($CU98&gt;=RAF,"",IF($CU98-DF$103&lt;BeginnAlter,"",ROUND(v^($CU98+FaktorAlter)*$L98*$D98*0.5*(VLOOKUP($CU98-DF$103,Männer!$G$9:$J$102,4)+VLOOKUP($CU98-DF$103+1,Männer!$G$9:$J$102,4))*0.5*(VLOOKUP($CU98-DF$103,Männer!$AZ$9:$BD$102,5)+VLOOKUP($CU98-DF$103+1,Männer!$AZ$9:$BD$102,5)),RundDx)))</f>
        <v/>
      </c>
      <c r="DG98" s="25" t="str">
        <f>IF($CU98&gt;=RAF,"",IF($CU98-DG$103&lt;BeginnAlter,"",ROUND(v^($CU98+FaktorAlter)*$L98*$D98*0.5*(VLOOKUP($CU98-DG$103,Männer!$G$9:$J$102,4)+VLOOKUP($CU98-DG$103+1,Männer!$G$9:$J$102,4))*0.5*(VLOOKUP($CU98-DG$103,Männer!$AZ$9:$BD$102,5)+VLOOKUP($CU98-DG$103+1,Männer!$AZ$9:$BD$102,5)),RundDx)))</f>
        <v/>
      </c>
      <c r="DH98" s="25" t="str">
        <f>IF($CU98&gt;=RAF,"",IF($CU98-DH$103&lt;BeginnAlter,"",ROUND(v^($CU98+FaktorAlter)*$L98*$D98*0.5*(VLOOKUP($CU98-DH$103,Männer!$G$9:$J$102,4)+VLOOKUP($CU98-DH$103+1,Männer!$G$9:$J$102,4))*0.5*(VLOOKUP($CU98-DH$103,Männer!$AZ$9:$BD$102,5)+VLOOKUP($CU98-DH$103+1,Männer!$AZ$9:$BD$102,5)),RundDx)))</f>
        <v/>
      </c>
      <c r="DI98" s="25" t="str">
        <f>IF($CU98&gt;=RAF,"",IF($CU98-DI$103&lt;BeginnAlter,"",ROUND(v^($CU98+FaktorAlter)*$L98*$D98*0.5*(VLOOKUP($CU98-DI$103,Männer!$G$9:$J$102,4)+VLOOKUP($CU98-DI$103+1,Männer!$G$9:$J$102,4))*0.5*(VLOOKUP($CU98-DI$103,Männer!$AZ$9:$BD$102,5)+VLOOKUP($CU98-DI$103+1,Männer!$AZ$9:$BD$102,5)),RundDx)))</f>
        <v/>
      </c>
      <c r="DJ98" s="25" t="str">
        <f>IF($CU98&gt;=RAF,"",IF($CU98-DJ$103&lt;BeginnAlter,"",ROUND(v^($CU98+FaktorAlter)*$L98*$D98*0.5*(VLOOKUP($CU98-DJ$103,Männer!$G$9:$J$102,4)+VLOOKUP($CU98-DJ$103+1,Männer!$G$9:$J$102,4))*0.5*(VLOOKUP($CU98-DJ$103,Männer!$AZ$9:$BD$102,5)+VLOOKUP($CU98-DJ$103+1,Männer!$AZ$9:$BD$102,5)),RundDx)))</f>
        <v/>
      </c>
      <c r="DK98" s="25" t="str">
        <f>IF($CU98&gt;=RAF,"",IF($CU98-DK$103&lt;BeginnAlter,"",ROUND(v^($CU98+FaktorAlter)*$L98*$D98*0.5*(VLOOKUP($CU98-DK$103,Männer!$G$9:$J$102,4)+VLOOKUP($CU98-DK$103+1,Männer!$G$9:$J$102,4))*0.5*(VLOOKUP($CU98-DK$103,Männer!$AZ$9:$BD$102,5)+VLOOKUP($CU98-DK$103+1,Männer!$AZ$9:$BD$102,5)),RundDx)))</f>
        <v/>
      </c>
      <c r="DL98" s="25" t="str">
        <f>IF($CU98&gt;=RAF,"",IF($CU98-DL$103&lt;BeginnAlter,"",ROUND(v^($CU98+FaktorAlter)*$L98*$D98*0.5*(VLOOKUP($CU98-DL$103,Männer!$G$9:$J$102,4)+VLOOKUP($CU98-DL$103+1,Männer!$G$9:$J$102,4))*0.5*(VLOOKUP($CU98-DL$103,Männer!$AZ$9:$BD$102,5)+VLOOKUP($CU98-DL$103+1,Männer!$AZ$9:$BD$102,5)),RundDx)))</f>
        <v/>
      </c>
      <c r="DM98" s="25" t="str">
        <f>IF($CU98&gt;=RAF,"",IF($CU98-DM$103&lt;BeginnAlter,"",ROUND(v^($CU98+FaktorAlter)*$L98*$D98*0.5*(VLOOKUP($CU98-DM$103,Männer!$G$9:$J$102,4)+VLOOKUP($CU98-DM$103+1,Männer!$G$9:$J$102,4))*0.5*(VLOOKUP($CU98-DM$103,Männer!$AZ$9:$BD$102,5)+VLOOKUP($CU98-DM$103+1,Männer!$AZ$9:$BD$102,5)),RundDx)))</f>
        <v/>
      </c>
      <c r="DN98" s="25" t="str">
        <f>IF($CU98&gt;=RAF,"",IF($CU98-DN$103&lt;BeginnAlter,"",ROUND(v^($CU98+FaktorAlter)*$L98*$D98*0.5*(VLOOKUP($CU98-DN$103,Männer!$G$9:$J$102,4)+VLOOKUP($CU98-DN$103+1,Männer!$G$9:$J$102,4))*0.5*(VLOOKUP($CU98-DN$103,Männer!$AZ$9:$BD$102,5)+VLOOKUP($CU98-DN$103+1,Männer!$AZ$9:$BD$102,5)),RundDx)))</f>
        <v/>
      </c>
      <c r="DO98" s="25" t="str">
        <f>IF($CU98&gt;=RAF,"",IF($CU98-DO$103&lt;BeginnAlter,"",ROUND(v^($CU98+FaktorAlter)*$L98*$D98*0.5*(VLOOKUP($CU98-DO$103,Männer!$G$9:$J$102,4)+VLOOKUP($CU98-DO$103+1,Männer!$G$9:$J$102,4))*0.5*(VLOOKUP($CU98-DO$103,Männer!$AZ$9:$BD$102,5)+VLOOKUP($CU98-DO$103+1,Männer!$AZ$9:$BD$102,5)),RundDx)))</f>
        <v/>
      </c>
      <c r="DP98" s="25" t="str">
        <f>IF($CU98&gt;=RAF,"",IF($CU98-DP$103&lt;BeginnAlter,"",ROUND(v^($CU98+FaktorAlter)*$L98*$D98*0.5*(VLOOKUP($CU98-DP$103,Männer!$G$9:$J$102,4)+VLOOKUP($CU98-DP$103+1,Männer!$G$9:$J$102,4))*0.5*(VLOOKUP($CU98-DP$103,Männer!$AZ$9:$BD$102,5)+VLOOKUP($CU98-DP$103+1,Männer!$AZ$9:$BD$102,5)),RundDx)))</f>
        <v/>
      </c>
      <c r="DQ98" s="25" t="str">
        <f>IF($CU98&gt;=RAF,"",IF($CU98-DQ$103&lt;BeginnAlter,"",ROUND(v^($CU98+FaktorAlter)*$L98*$D98*0.5*(VLOOKUP($CU98-DQ$103,Männer!$G$9:$J$102,4)+VLOOKUP($CU98-DQ$103+1,Männer!$G$9:$J$102,4))*0.5*(VLOOKUP($CU98-DQ$103,Männer!$AZ$9:$BD$102,5)+VLOOKUP($CU98-DQ$103+1,Männer!$AZ$9:$BD$102,5)),RundDx)))</f>
        <v/>
      </c>
      <c r="DR98" s="25" t="str">
        <f>IF($CU98&gt;=RAF,"",IF($CU98-DR$103&lt;BeginnAlter,"",ROUND(v^($CU98+FaktorAlter)*$L98*$D98*0.5*(VLOOKUP($CU98-DR$103,Männer!$G$9:$J$102,4)+VLOOKUP($CU98-DR$103+1,Männer!$G$9:$J$102,4))*0.5*(VLOOKUP($CU98-DR$103,Männer!$AZ$9:$BD$102,5)+VLOOKUP($CU98-DR$103+1,Männer!$AZ$9:$BD$102,5)),RundDx)))</f>
        <v/>
      </c>
      <c r="DS98" s="25" t="str">
        <f>IF($CU98&gt;=RAF,"",IF($CU98-DS$103&lt;BeginnAlter,"",ROUND(v^($CU98+FaktorAlter)*$L98*$D98*0.5*(VLOOKUP($CU98-DS$103,Männer!$G$9:$J$102,4)+VLOOKUP($CU98-DS$103+1,Männer!$G$9:$J$102,4))*0.5*(VLOOKUP($CU98-DS$103,Männer!$AZ$9:$BD$102,5)+VLOOKUP($CU98-DS$103+1,Männer!$AZ$9:$BD$102,5)),RundDx)))</f>
        <v/>
      </c>
      <c r="DT98" s="25" t="str">
        <f>IF($CU98&gt;=RAF,"",IF($CU98-DT$103&lt;BeginnAlter,"",ROUND(v^($CU98+FaktorAlter)*$L98*$D98*0.5*(VLOOKUP($CU98-DT$103,Männer!$G$9:$J$102,4)+VLOOKUP($CU98-DT$103+1,Männer!$G$9:$J$102,4))*0.5*(VLOOKUP($CU98-DT$103,Männer!$AZ$9:$BD$102,5)+VLOOKUP($CU98-DT$103+1,Männer!$AZ$9:$BD$102,5)),RundDx)))</f>
        <v/>
      </c>
      <c r="DU98" s="25" t="str">
        <f>IF($CU98&gt;=RAF,"",IF($CU98-DU$103&lt;BeginnAlter,"",ROUND(v^($CU98+FaktorAlter)*$L98*$D98*0.5*(VLOOKUP($CU98-DU$103,Männer!$G$9:$J$102,4)+VLOOKUP($CU98-DU$103+1,Männer!$G$9:$J$102,4))*0.5*(VLOOKUP($CU98-DU$103,Männer!$AZ$9:$BD$102,5)+VLOOKUP($CU98-DU$103+1,Männer!$AZ$9:$BD$102,5)),RundDx)))</f>
        <v/>
      </c>
      <c r="DV98" s="25" t="str">
        <f>IF($CU98&gt;=RAF,"",IF($CU98-DV$103&lt;BeginnAlter,"",ROUND(v^($CU98+FaktorAlter)*$L98*$D98*0.5*(VLOOKUP($CU98-DV$103,Männer!$G$9:$J$102,4)+VLOOKUP($CU98-DV$103+1,Männer!$G$9:$J$102,4))*0.5*(VLOOKUP($CU98-DV$103,Männer!$AZ$9:$BD$102,5)+VLOOKUP($CU98-DV$103+1,Männer!$AZ$9:$BD$102,5)),RundDx)))</f>
        <v/>
      </c>
      <c r="DW98" s="25" t="str">
        <f>IF($CU98&gt;=RAF,"",IF($CU98-DW$103&lt;BeginnAlter,"",ROUND(v^($CU98+FaktorAlter)*$L98*$D98*0.5*(VLOOKUP($CU98-DW$103,Männer!$G$9:$J$102,4)+VLOOKUP($CU98-DW$103+1,Männer!$G$9:$J$102,4))*0.5*(VLOOKUP($CU98-DW$103,Männer!$AZ$9:$BD$102,5)+VLOOKUP($CU98-DW$103+1,Männer!$AZ$9:$BD$102,5)),RundDx)))</f>
        <v/>
      </c>
      <c r="DX98" s="25" t="str">
        <f>IF($CU98&gt;=RAF,"",IF($CU98-DX$103&lt;BeginnAlter,"",ROUND(v^($CU98+FaktorAlter)*$L98*$D98*0.5*(VLOOKUP($CU98-DX$103,Männer!$G$9:$J$102,4)+VLOOKUP($CU98-DX$103+1,Männer!$G$9:$J$102,4))*0.5*(VLOOKUP($CU98-DX$103,Männer!$AZ$9:$BD$102,5)+VLOOKUP($CU98-DX$103+1,Männer!$AZ$9:$BD$102,5)),RundDx)))</f>
        <v/>
      </c>
      <c r="DY98" s="25" t="str">
        <f>IF($CU98&gt;=RAF,"",IF($CU98-DY$103&lt;BeginnAlter,"",ROUND(v^($CU98+FaktorAlter)*$L98*$D98*0.5*(VLOOKUP($CU98-DY$103,Männer!$G$9:$J$102,4)+VLOOKUP($CU98-DY$103+1,Männer!$G$9:$J$102,4))*0.5*(VLOOKUP($CU98-DY$103,Männer!$AZ$9:$BD$102,5)+VLOOKUP($CU98-DY$103+1,Männer!$AZ$9:$BD$102,5)),RundDx)))</f>
        <v/>
      </c>
      <c r="DZ98" s="25" t="str">
        <f>IF($CU98&gt;=RAF,"",IF($CU98-DZ$103&lt;BeginnAlter,"",ROUND(v^($CU98+FaktorAlter)*$L98*$D98*0.5*(VLOOKUP($CU98-DZ$103,Männer!$G$9:$J$102,4)+VLOOKUP($CU98-DZ$103+1,Männer!$G$9:$J$102,4))*0.5*(VLOOKUP($CU98-DZ$103,Männer!$AZ$9:$BD$102,5)+VLOOKUP($CU98-DZ$103+1,Männer!$AZ$9:$BD$102,5)),RundDx)))</f>
        <v/>
      </c>
      <c r="EA98" s="43" t="str">
        <f>IF($CU98&gt;=RAF,"",IF($CU98-EA$103&lt;BeginnAlter,"",ROUND((SUM(CV$56:CV98)+SUM(FN$9:FN$56))/VLOOKUP($CU98,$AH$9:$AI$102,2)/VLOOKUP($CU98-EA$103,Männer!$G$9:$J$102,4),Rundäx)))</f>
        <v/>
      </c>
      <c r="EB98" s="43" t="str">
        <f>IF($CU98&gt;=RAF,"",IF($CU98-EB$103&lt;BeginnAlter,"",ROUND((SUM(CW$56:CW98)+SUM(FO$9:FO$56))/VLOOKUP($CU98,$AH$9:$AI$102,2)/VLOOKUP($CU98-EB$103,Männer!$G$9:$J$102,4),Rundäx)))</f>
        <v/>
      </c>
      <c r="EC98" s="43" t="str">
        <f>IF($CU98&gt;=RAF,"",IF($CU98-EC$103&lt;BeginnAlter,"",ROUND((SUM(CX$56:CX98)+SUM(FP$9:FP$56))/VLOOKUP($CU98,$AH$9:$AI$102,2)/VLOOKUP($CU98-EC$103,Männer!$G$9:$J$102,4),Rundäx)))</f>
        <v/>
      </c>
      <c r="ED98" s="43" t="str">
        <f>IF($CU98&gt;=RAF,"",IF($CU98-ED$103&lt;BeginnAlter,"",ROUND((SUM(CY$56:CY98)+SUM(FQ$9:FQ$56))/VLOOKUP($CU98,$AH$9:$AI$102,2)/VLOOKUP($CU98-ED$103,Männer!$G$9:$J$102,4),Rundäx)))</f>
        <v/>
      </c>
      <c r="EE98" s="43" t="str">
        <f>IF($CU98&gt;=RAF,"",IF($CU98-EE$103&lt;BeginnAlter,"",ROUND((SUM(CZ$56:CZ98)+SUM(FR$9:FR$56))/VLOOKUP($CU98,$AH$9:$AI$102,2)/VLOOKUP($CU98-EE$103,Männer!$G$9:$J$102,4),Rundäx)))</f>
        <v/>
      </c>
      <c r="EF98" s="43" t="str">
        <f>IF($CU98&gt;=RAF,"",IF($CU98-EF$103&lt;BeginnAlter,"",ROUND((SUM(DA$56:DA98)+SUM(FS$9:FS$56))/VLOOKUP($CU98,$AH$9:$AI$102,2)/VLOOKUP($CU98-EF$103,Männer!$G$9:$J$102,4),Rundäx)))</f>
        <v/>
      </c>
      <c r="EG98" s="43" t="str">
        <f>IF($CU98&gt;=RAF,"",IF($CU98-EG$103&lt;BeginnAlter,"",ROUND((SUM(DB$56:DB98)+SUM(FT$9:FT$56))/VLOOKUP($CU98,$AH$9:$AI$102,2)/VLOOKUP($CU98-EG$103,Männer!$G$9:$J$102,4),Rundäx)))</f>
        <v/>
      </c>
      <c r="EH98" s="43" t="str">
        <f>IF($CU98&gt;=RAF,"",IF($CU98-EH$103&lt;BeginnAlter,"",ROUND((SUM(DC$56:DC98)+SUM(FU$9:FU$56))/VLOOKUP($CU98,$AH$9:$AI$102,2)/VLOOKUP($CU98-EH$103,Männer!$G$9:$J$102,4),Rundäx)))</f>
        <v/>
      </c>
      <c r="EI98" s="89"/>
      <c r="EJ98" s="35">
        <f t="shared" si="178"/>
        <v>106</v>
      </c>
      <c r="EK98" s="43" t="str">
        <f>IF($CU98&gt;=RAF,"",IF($CU98-EK$103&lt;BeginnAlter,"",ROUND((SUM(DD$56:DD98)+SUM(FV$9:FV$56))/VLOOKUP($CU98,$AH$9:$AI$102,2)/VLOOKUP($CU98-EK$103,Männer!$G$9:$J$102,4),Rundäx)))</f>
        <v/>
      </c>
      <c r="EL98" s="43" t="str">
        <f>IF($CU98&gt;=RAF,"",IF($CU98-EL$103&lt;BeginnAlter,"",ROUND((SUM(DE$56:DE98)+SUM(FW$9:FW$56))/VLOOKUP($CU98,$AH$9:$AI$102,2)/VLOOKUP($CU98-EL$103,Männer!$G$9:$J$102,4),Rundäx)))</f>
        <v/>
      </c>
      <c r="EM98" s="43" t="str">
        <f>IF($CU98&gt;=RAF,"",IF($CU98-EM$103&lt;BeginnAlter,"",ROUND((SUM(DF$56:DF98)+SUM(FX$9:FX$56))/VLOOKUP($CU98,$AH$9:$AI$102,2)/VLOOKUP($CU98-EM$103,Männer!$G$9:$J$102,4),Rundäx)))</f>
        <v/>
      </c>
      <c r="EN98" s="43" t="str">
        <f>IF($CU98&gt;=RAF,"",IF($CU98-EN$103&lt;BeginnAlter,"",ROUND((SUM(DG$56:DG98)+SUM(FY$9:FY$56))/VLOOKUP($CU98,$AH$9:$AI$102,2)/VLOOKUP($CU98-EN$103,Männer!$G$9:$J$102,4),Rundäx)))</f>
        <v/>
      </c>
      <c r="EO98" s="43" t="str">
        <f>IF($CU98&gt;=RAF,"",IF($CU98-EO$103&lt;BeginnAlter,"",ROUND((SUM(DH$56:DH98)+SUM(FZ$9:FZ$56))/VLOOKUP($CU98,$AH$9:$AI$102,2)/VLOOKUP($CU98-EO$103,Männer!$G$9:$J$102,4),Rundäx)))</f>
        <v/>
      </c>
      <c r="EP98" s="43" t="str">
        <f>IF($CU98&gt;=RAF,"",IF($CU98-EP$103&lt;BeginnAlter,"",ROUND((SUM(DI$56:DI98)+SUM(GA$9:GA$56))/VLOOKUP($CU98,$AH$9:$AI$102,2)/VLOOKUP($CU98-EP$103,Männer!$G$9:$J$102,4),Rundäx)))</f>
        <v/>
      </c>
      <c r="EQ98" s="43" t="str">
        <f>IF($CU98&gt;=RAF,"",IF($CU98-EQ$103&lt;BeginnAlter,"",ROUND((SUM(DJ$56:DJ98)+SUM(GB$9:GB$56))/VLOOKUP($CU98,$AH$9:$AI$102,2)/VLOOKUP($CU98-EQ$103,Männer!$G$9:$J$102,4),Rundäx)))</f>
        <v/>
      </c>
      <c r="ER98" s="43" t="str">
        <f>IF($CU98&gt;=RAF,"",IF($CU98-ER$103&lt;BeginnAlter,"",ROUND((SUM(DK$56:DK98)+SUM(GC$9:GC$56))/VLOOKUP($CU98,$AH$9:$AI$102,2)/VLOOKUP($CU98-ER$103,Männer!$G$9:$J$102,4),Rundäx)))</f>
        <v/>
      </c>
      <c r="ES98" s="89"/>
      <c r="ET98" s="35">
        <f t="shared" si="179"/>
        <v>106</v>
      </c>
      <c r="EU98" s="43" t="str">
        <f>IF($CU98&gt;=RAF,"",IF($CU98-EU$103&lt;BeginnAlter,"",ROUND((SUM(DL$56:DL98)+SUM(GD$9:GD$56))/VLOOKUP($CU98,$AH$9:$AI$102,2)/VLOOKUP($CU98-EU$103,Männer!$G$9:$J$102,4),Rundäx)))</f>
        <v/>
      </c>
      <c r="EV98" s="43" t="str">
        <f>IF($CU98&gt;=RAF,"",IF($CU98-EV$103&lt;BeginnAlter,"",ROUND((SUM(DM$56:DM98)+SUM(GE$9:GE$56))/VLOOKUP($CU98,$AH$9:$AI$102,2)/VLOOKUP($CU98-EV$103,Männer!$G$9:$J$102,4),Rundäx)))</f>
        <v/>
      </c>
      <c r="EW98" s="43" t="str">
        <f>IF($CU98&gt;=RAF,"",IF($CU98-EW$103&lt;BeginnAlter,"",ROUND((SUM(DN$56:DN98)+SUM(GF$9:GF$56))/VLOOKUP($CU98,$AH$9:$AI$102,2)/VLOOKUP($CU98-EW$103,Männer!$G$9:$J$102,4),Rundäx)))</f>
        <v/>
      </c>
      <c r="EX98" s="43" t="str">
        <f>IF($CU98&gt;=RAF,"",IF($CU98-EX$103&lt;BeginnAlter,"",ROUND((SUM(DO$56:DO98)+SUM(GG$9:GG$56))/VLOOKUP($CU98,$AH$9:$AI$102,2)/VLOOKUP($CU98-EX$103,Männer!$G$9:$J$102,4),Rundäx)))</f>
        <v/>
      </c>
      <c r="EY98" s="43" t="str">
        <f>IF($CU98&gt;=RAF,"",IF($CU98-EY$103&lt;BeginnAlter,"",ROUND((SUM(DP$56:DP98)+SUM(GH$9:GH$56))/VLOOKUP($CU98,$AH$9:$AI$102,2)/VLOOKUP($CU98-EY$103,Männer!$G$9:$J$102,4),Rundäx)))</f>
        <v/>
      </c>
      <c r="EZ98" s="43" t="str">
        <f>IF($CU98&gt;=RAF,"",IF($CU98-EZ$103&lt;BeginnAlter,"",ROUND((SUM(DQ$56:DQ98)+SUM(GI$9:GI$56))/VLOOKUP($CU98,$AH$9:$AI$102,2)/VLOOKUP($CU98-EZ$103,Männer!$G$9:$J$102,4),Rundäx)))</f>
        <v/>
      </c>
      <c r="FA98" s="43" t="str">
        <f>IF($CU98&gt;=RAF,"",IF($CU98-FA$103&lt;BeginnAlter,"",ROUND((SUM(DR$56:DR98)+SUM(GJ$9:GJ$56))/VLOOKUP($CU98,$AH$9:$AI$102,2)/VLOOKUP($CU98-FA$103,Männer!$G$9:$J$102,4),Rundäx)))</f>
        <v/>
      </c>
      <c r="FB98" s="43" t="str">
        <f>IF($CU98&gt;=RAF,"",IF($CU98-FB$103&lt;BeginnAlter,"",ROUND((SUM(DS$56:DS98)+SUM(GK$9:GK$56))/VLOOKUP($CU98,$AH$9:$AI$102,2)/VLOOKUP($CU98-FB$103,Männer!$G$9:$J$102,4),Rundäx)))</f>
        <v/>
      </c>
      <c r="FC98" s="89"/>
      <c r="FD98" s="35">
        <f t="shared" si="180"/>
        <v>106</v>
      </c>
      <c r="FE98" s="43" t="str">
        <f>IF($CU98&gt;=RAF,"",IF($CU98-FE$103&lt;BeginnAlter,"",ROUND((SUM(DT$56:DT98)+SUM(GL$9:GL$56))/VLOOKUP($CU98,$AH$9:$AI$102,2)/VLOOKUP($CU98-FE$103,Männer!$G$9:$J$102,4),Rundäx)))</f>
        <v/>
      </c>
      <c r="FF98" s="43" t="str">
        <f>IF($CU98&gt;=RAF,"",IF($CU98-FF$103&lt;BeginnAlter,"",ROUND((SUM(DU$56:DU98)+SUM(GM$9:GM$56))/VLOOKUP($CU98,$AH$9:$AI$102,2)/VLOOKUP($CU98-FF$103,Männer!$G$9:$J$102,4),Rundäx)))</f>
        <v/>
      </c>
      <c r="FG98" s="43" t="str">
        <f>IF($CU98&gt;=RAF,"",IF($CU98-FG$103&lt;BeginnAlter,"",ROUND((SUM(DV$56:DV98)+SUM(GN$9:GN$56))/VLOOKUP($CU98,$AH$9:$AI$102,2)/VLOOKUP($CU98-FG$103,Männer!$G$9:$J$102,4),Rundäx)))</f>
        <v/>
      </c>
      <c r="FH98" s="43" t="str">
        <f>IF($CU98&gt;=RAF,"",IF($CU98-FH$103&lt;BeginnAlter,"",ROUND((SUM(DW$56:DW98)+SUM(GO$9:GO$56))/VLOOKUP($CU98,$AH$9:$AI$102,2)/VLOOKUP($CU98-FH$103,Männer!$G$9:$J$102,4),Rundäx)))</f>
        <v/>
      </c>
      <c r="FI98" s="43" t="str">
        <f>IF($CU98&gt;=RAF,"",IF($CU98-FI$103&lt;BeginnAlter,"",ROUND((SUM(DX$56:DX98)+SUM(GP$9:GP$56))/VLOOKUP($CU98,$AH$9:$AI$102,2)/VLOOKUP($CU98-FI$103,Männer!$G$9:$J$102,4),Rundäx)))</f>
        <v/>
      </c>
      <c r="FJ98" s="43" t="str">
        <f>IF($CU98&gt;=RAF,"",IF($CU98-FJ$103&lt;BeginnAlter,"",ROUND((SUM(DY$56:DY98)+SUM(GQ$9:GQ$56))/VLOOKUP($CU98,$AH$9:$AI$102,2)/VLOOKUP($CU98-FJ$103,Männer!$G$9:$J$102,4),Rundäx)))</f>
        <v/>
      </c>
      <c r="FK98" s="43" t="str">
        <f>IF($CU98&gt;=RAF,"",IF($CU98-FK$103&lt;BeginnAlter,"",ROUND((SUM(DZ$56:DZ98)+SUM(GR$9:GR$56))/VLOOKUP($CU98,$AH$9:$AI$102,2)/VLOOKUP($CU98-FK$103,Männer!$G$9:$J$102,4),Rundäx)))</f>
        <v/>
      </c>
      <c r="FL98" s="89"/>
      <c r="FM98" s="35">
        <f t="shared" si="181"/>
        <v>153</v>
      </c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4"/>
      <c r="GT98" s="24"/>
      <c r="GU98" s="24" t="str">
        <f>IF(FM98&gt;=RAF," ",#REF!/$AI98/Frauen!$J86)</f>
        <v xml:space="preserve"> </v>
      </c>
      <c r="GV98" s="24" t="str">
        <f>IF(FM98&gt;=RAF," ",#REF!/$AI98/Frauen!$J89)</f>
        <v xml:space="preserve"> </v>
      </c>
      <c r="GW98" s="24" t="str">
        <f>IF(FM98&gt;=RAF," ",#REF!/$AI98/Frauen!$J92)</f>
        <v xml:space="preserve"> </v>
      </c>
      <c r="GX98" s="24" t="str">
        <f>IF(FM98&gt;=RAF," ",#REF!/$AI98/Frauen!$J95)</f>
        <v xml:space="preserve"> </v>
      </c>
      <c r="GY98" s="24" t="str">
        <f>IF(FM98&gt;=RAF," ",#REF!/$AI98/Frauen!$J98)</f>
        <v xml:space="preserve"> </v>
      </c>
      <c r="GZ98" s="24" t="str">
        <f>IF(FM98&gt;=RAF," ",#REF!/$AI98/Frauen!$J101)</f>
        <v xml:space="preserve"> </v>
      </c>
      <c r="HA98" s="89"/>
      <c r="HB98" s="35">
        <f t="shared" si="182"/>
        <v>153</v>
      </c>
      <c r="HC98" s="24"/>
      <c r="HD98" s="24"/>
      <c r="HE98" s="24"/>
      <c r="HF98" s="24"/>
      <c r="HG98" s="24"/>
      <c r="HH98" s="24"/>
      <c r="HI98" s="24"/>
      <c r="HJ98" s="24"/>
      <c r="HK98" s="89"/>
      <c r="HL98" s="35">
        <f t="shared" si="183"/>
        <v>153</v>
      </c>
      <c r="HM98" s="24"/>
      <c r="HN98" s="24"/>
      <c r="HO98" s="24"/>
      <c r="HP98" s="24"/>
      <c r="HQ98" s="24"/>
      <c r="HR98" s="24"/>
      <c r="HS98" s="24"/>
      <c r="HT98" s="24"/>
      <c r="HU98" s="89"/>
      <c r="HV98" s="35">
        <f t="shared" si="184"/>
        <v>153</v>
      </c>
      <c r="HW98" s="24"/>
      <c r="HX98" s="24"/>
      <c r="HY98" s="24"/>
      <c r="HZ98" s="24"/>
      <c r="IA98" s="24"/>
      <c r="IB98" s="24"/>
      <c r="IC98" s="24"/>
      <c r="ID98" s="89"/>
      <c r="IE98" s="9">
        <f t="shared" si="185"/>
        <v>106</v>
      </c>
      <c r="IF98" s="11" t="str">
        <f t="shared" si="101"/>
        <v/>
      </c>
      <c r="IG98" s="11" t="str">
        <f>IF($IE98&lt;RAF,IF(S99&lt;=RAK,ROUND(SUM(IF98:INDEX(Daky,RAF-BeginnAlter))+INDEX(Day,RAF-BeginnAlter+1)*INDEX(äky,1),RundDx),0),"")</f>
        <v/>
      </c>
      <c r="IH98" s="11" t="str">
        <f>IF($IE98&lt;RAF,IF(S99&lt;=RAK,ROUND(SUM(IG98:INDEX(Naky,RAF-BeginnAlter))+INDEX(Day,RAF-BeginnAlter+1)*INDEX(äky,1),RundDx),0),"")</f>
        <v/>
      </c>
      <c r="II98" s="10" t="str">
        <f t="shared" si="102"/>
        <v/>
      </c>
      <c r="IJ98" s="11" t="str">
        <f t="shared" si="103"/>
        <v/>
      </c>
      <c r="IK98" s="11" t="str">
        <f>IF($IE98&lt;RAF,IF(S99&lt;=RAK,SUM(IJ98:INDEX(Diky,RAF-BeginnAlter))+INDEX(Diy,RAF-BeginnAlter+1)*INDEX(äky,1),0),"")</f>
        <v/>
      </c>
      <c r="IL98" s="10" t="str">
        <f t="shared" si="104"/>
        <v/>
      </c>
      <c r="IM98" s="89"/>
      <c r="IN98" s="9">
        <f t="shared" si="186"/>
        <v>153</v>
      </c>
      <c r="IO98" s="11"/>
      <c r="IP98" s="15"/>
      <c r="IQ98" s="38"/>
      <c r="IR98" s="86"/>
    </row>
    <row r="99" spans="1:252" ht="15.75" customHeight="1" x14ac:dyDescent="0.25">
      <c r="A99" s="9">
        <f t="shared" si="125"/>
        <v>107</v>
      </c>
      <c r="B99" s="98"/>
      <c r="C99" s="98"/>
      <c r="D99" s="94"/>
      <c r="E99" s="94"/>
      <c r="F99" s="89"/>
      <c r="G99" s="9">
        <f t="shared" si="126"/>
        <v>107</v>
      </c>
      <c r="H99" s="11" t="str">
        <f t="shared" si="106"/>
        <v/>
      </c>
      <c r="I99" s="25" t="str">
        <f t="shared" si="107"/>
        <v/>
      </c>
      <c r="J99" s="11"/>
      <c r="K99" s="30" t="str">
        <f>IF(J99&gt;0,ROUND(SUM(J99:J$102)/J99-0.5,Rundex),"")</f>
        <v/>
      </c>
      <c r="L99" s="11"/>
      <c r="M99" s="30" t="str">
        <f>IF(L99&gt;0,ROUND(SUM(L99:L$102)/L99-0.5,Rundex),"")</f>
        <v/>
      </c>
      <c r="N99" s="89"/>
      <c r="O99" s="9">
        <f t="shared" si="127"/>
        <v>107</v>
      </c>
      <c r="P99" s="94">
        <v>7.653992068153159E-4</v>
      </c>
      <c r="Q99" s="95">
        <v>106.01942261202279</v>
      </c>
      <c r="R99" s="94"/>
      <c r="S99" s="95"/>
      <c r="T99" s="28">
        <v>0.91069686241918246</v>
      </c>
      <c r="U99" s="11">
        <f t="shared" si="109"/>
        <v>1</v>
      </c>
      <c r="V99" s="30">
        <f>IF(U99&gt;0,ROUND(SUM(U99:U$102)/U99-0.5,Rundex),"")</f>
        <v>0.5</v>
      </c>
      <c r="W99" s="89"/>
      <c r="X99" s="9">
        <f t="shared" si="147"/>
        <v>107</v>
      </c>
      <c r="Y99" s="11" t="str">
        <f t="shared" si="148"/>
        <v xml:space="preserve"> </v>
      </c>
      <c r="Z99" s="11" t="str">
        <f>IF($X99&lt;RAF,SUM(Y99:INDEX(Day,RAF-BeginnAlter))," ")</f>
        <v xml:space="preserve"> </v>
      </c>
      <c r="AA99" s="11" t="str">
        <f t="shared" si="81"/>
        <v xml:space="preserve"> </v>
      </c>
      <c r="AB99" s="11" t="str">
        <f>IF($X99&lt;RAF,SUM(AA99:INDEX(Cay,RAF-BeginnAlter))," ")</f>
        <v xml:space="preserve"> </v>
      </c>
      <c r="AC99" s="11" t="str">
        <f t="shared" si="82"/>
        <v xml:space="preserve"> </v>
      </c>
      <c r="AD99" s="11" t="str">
        <f>IF($X99&lt;RAF,SUM(AC99:INDEX(Caiy,RAF-BeginnAlter))," ")</f>
        <v xml:space="preserve"> </v>
      </c>
      <c r="AE99" s="10" t="str">
        <f t="shared" si="149"/>
        <v xml:space="preserve"> </v>
      </c>
      <c r="AF99" s="10" t="str">
        <f t="shared" si="150"/>
        <v xml:space="preserve"> </v>
      </c>
      <c r="AG99" s="89"/>
      <c r="AH99" s="9">
        <f t="shared" si="151"/>
        <v>107</v>
      </c>
      <c r="AI99" s="11" t="str">
        <f t="shared" si="152"/>
        <v xml:space="preserve"> </v>
      </c>
      <c r="AJ99" s="11" t="str">
        <f>IF($AH99&gt;RAF," ",IF($AH99&lt;RAF,SUM(AI99:INDEX(Diy,RAF-BeginnAlter))+INDEX(Ny,RAF-BeginnAlter+1),INDEX(Ny,RAF-BeginnAlter+1)))</f>
        <v xml:space="preserve"> </v>
      </c>
      <c r="AK99" s="11" t="str">
        <f>IF($AH99&lt;RAF,SUM(AI99:INDEX(Diy,RAF-BeginnAlter))," ")</f>
        <v xml:space="preserve"> </v>
      </c>
      <c r="AL99" s="10" t="str">
        <f t="shared" si="153"/>
        <v xml:space="preserve"> </v>
      </c>
      <c r="AM99" s="10" t="str">
        <f t="shared" si="154"/>
        <v xml:space="preserve"> </v>
      </c>
      <c r="AN99" s="10" t="str">
        <f t="shared" si="155"/>
        <v xml:space="preserve"> </v>
      </c>
      <c r="AO99" s="10" t="str">
        <f t="shared" si="156"/>
        <v xml:space="preserve"> </v>
      </c>
      <c r="AP99" s="89"/>
      <c r="AQ99" s="9">
        <f t="shared" si="157"/>
        <v>107</v>
      </c>
      <c r="AR99" s="11"/>
      <c r="AS99" s="11"/>
      <c r="AT99" s="25" t="str">
        <f>IF($AQ99&lt;RAF,SUM(AR99:INDEX(Dy,RAF-BeginnAlter))," ")</f>
        <v xml:space="preserve"> </v>
      </c>
      <c r="AU99" s="24" t="str">
        <f t="shared" si="158"/>
        <v xml:space="preserve"> </v>
      </c>
      <c r="AV99" s="24" t="str">
        <f t="shared" si="159"/>
        <v xml:space="preserve"> </v>
      </c>
      <c r="AW99" s="24" t="str">
        <f t="shared" si="160"/>
        <v xml:space="preserve"> </v>
      </c>
      <c r="AX99" s="24" t="str">
        <f t="shared" si="161"/>
        <v xml:space="preserve"> </v>
      </c>
      <c r="AY99" s="89"/>
      <c r="AZ99" s="9">
        <f t="shared" si="162"/>
        <v>107</v>
      </c>
      <c r="BA99" s="11"/>
      <c r="BB99" s="11"/>
      <c r="BC99" s="10" t="str">
        <f t="shared" si="163"/>
        <v xml:space="preserve"> </v>
      </c>
      <c r="BD99" s="10">
        <f t="shared" si="84"/>
        <v>0</v>
      </c>
      <c r="BE99" s="89"/>
      <c r="BF99" s="9">
        <f t="shared" si="164"/>
        <v>90</v>
      </c>
      <c r="BG99" s="10" t="str">
        <f t="shared" si="85"/>
        <v/>
      </c>
      <c r="BH99" s="10" t="str">
        <f t="shared" si="86"/>
        <v/>
      </c>
      <c r="BI99" s="89"/>
      <c r="BJ99" s="9">
        <f t="shared" si="165"/>
        <v>107</v>
      </c>
      <c r="BK99" s="11" t="str">
        <f t="shared" si="166"/>
        <v xml:space="preserve"> </v>
      </c>
      <c r="BL99" s="11" t="str">
        <f>IF(BJ99&lt;RAF,SUM(BK99:INDEX(Daiy,RAF-BeginnAlter))," ")</f>
        <v xml:space="preserve"> </v>
      </c>
      <c r="BM99" s="11" t="str">
        <f>IF(BJ99&lt;RAF,SUM(BL99:INDEX(Naiy,RAF-BeginnAlter))," ")</f>
        <v xml:space="preserve"> </v>
      </c>
      <c r="BN99" s="10" t="str">
        <f t="shared" si="167"/>
        <v xml:space="preserve"> </v>
      </c>
      <c r="BO99" s="10" t="str">
        <f t="shared" si="168"/>
        <v xml:space="preserve"> </v>
      </c>
      <c r="BP99" s="89"/>
      <c r="BQ99" s="9">
        <f t="shared" si="169"/>
        <v>107</v>
      </c>
      <c r="BR99" s="11" t="str">
        <f t="shared" si="170"/>
        <v xml:space="preserve"> </v>
      </c>
      <c r="BS99" s="11" t="str">
        <f>IF(BQ99&lt;RAF,SUM(BR99:INDEX(Daiys,RAF-BeginnAlter))," ")</f>
        <v xml:space="preserve"> </v>
      </c>
      <c r="BT99" s="11" t="str">
        <f>IF(BQ99&lt;RAF,SUM(BS99:INDEX(Naiys,RAF-BeginnAlter))," ")</f>
        <v xml:space="preserve"> </v>
      </c>
      <c r="BU99" s="10" t="str">
        <f t="shared" si="171"/>
        <v xml:space="preserve"> </v>
      </c>
      <c r="BV99" s="10" t="str">
        <f t="shared" si="172"/>
        <v xml:space="preserve"> </v>
      </c>
      <c r="BW99" s="89"/>
      <c r="BX99" s="9">
        <f t="shared" si="173"/>
        <v>107</v>
      </c>
      <c r="BY99" s="10" t="str">
        <f t="shared" si="93"/>
        <v/>
      </c>
      <c r="BZ99" s="11" t="str">
        <f t="shared" si="94"/>
        <v/>
      </c>
      <c r="CA99" s="11" t="str">
        <f>IF(S100&lt;=RAK,IF($BX99&lt;RAF,SUM(BZ99:INDEX(Dazy,RAF-BeginnAlter)),""),"")</f>
        <v/>
      </c>
      <c r="CB99" s="10" t="str">
        <f t="shared" si="95"/>
        <v/>
      </c>
      <c r="CC99" s="11">
        <f t="shared" si="96"/>
        <v>0</v>
      </c>
      <c r="CD99" s="10">
        <f t="shared" si="97"/>
        <v>0</v>
      </c>
      <c r="CE99" s="10" t="str">
        <f t="shared" si="98"/>
        <v/>
      </c>
      <c r="CF99" s="89"/>
      <c r="CG99" s="9">
        <f t="shared" si="174"/>
        <v>107</v>
      </c>
      <c r="CH99" s="11" t="str">
        <f>IF(CG99&lt;RAF,ROUND(v^($CG99+FaktorAlter)*$H99*($B99*0.5*($P99+$P100)*(VLOOKUP(TRUNC(0.5*($Q99+$Q100),0),Männer!$AZ$9:$BD$95,5)+(0.5*($Q99+$Q100)-TRUNC(0.5*($Q99+$Q100),0))*(VLOOKUP(TRUNC(0.5*($Q99+$Q100)+1,0),Männer!$AZ$9:$BD$95,5)-VLOOKUP(TRUNC(0.5*($Q99+$Q100),0),Männer!$AZ$9:$BD$95,5)))+$C99*0.5*($CN99+$CN100)),RundDx),"")</f>
        <v/>
      </c>
      <c r="CI99" s="11" t="str">
        <f>IF(CG99&lt;RAF,ROUND(SUM(CH99:INDEX(Dawy,RAF-BeginnAlter))+INDEX(Day,RAF-BeginnAlter+1)*INDEX(äwy,1),RundDx),"")</f>
        <v/>
      </c>
      <c r="CJ99" s="11" t="str">
        <f>IF(CG99&lt;RAF,ROUND(SUM(CI99:INDEX(Nawy,RAF-BeginnAlter))+INDEX(Day,RAF-BeginnAlter+1)*INDEX(äwy,1),RundDx),"")</f>
        <v/>
      </c>
      <c r="CK99" s="10" t="str">
        <f t="shared" si="175"/>
        <v/>
      </c>
      <c r="CL99" s="11" t="str">
        <f>IF(CG99&lt;RAF,ROUND(v^($CG99+FaktorAlter)*$L99*$D99*0.5*($P99+$P100)*(VLOOKUP(TRUNC(0.5*($Q99+$Q100),0),Männer!$AZ$9:$BD$95,5)+(0.5*($Q99+$Q100)-TRUNC(0.5*($Q99+$Q100),0))*(VLOOKUP(TRUNC(0.5*($Q99+$Q100)+1,0),Männer!$AZ$9:$BD$95,5)-VLOOKUP(TRUNC(0.5*($Q99+$Q100),0),Männer!$AZ$9:$BD$95,5))),RundDx),"")</f>
        <v/>
      </c>
      <c r="CM99" s="11" t="str">
        <f>IF(CG99&lt;RAF,SUM(CL99:INDEX(Diwy,RAF-BeginnAlter))+INDEX(Diy,RAF-BeginnAlter+1)*INDEX(äwy,1),"")</f>
        <v/>
      </c>
      <c r="CN99" s="10" t="str">
        <f t="shared" si="176"/>
        <v/>
      </c>
      <c r="CO99" s="89"/>
      <c r="CP99" s="9">
        <f t="shared" si="146"/>
        <v>154</v>
      </c>
      <c r="CQ99" s="11"/>
      <c r="CR99" s="15"/>
      <c r="CS99" s="38"/>
      <c r="CT99" s="89"/>
      <c r="CU99" s="35">
        <f t="shared" si="177"/>
        <v>107</v>
      </c>
      <c r="CV99" s="25" t="str">
        <f>IF($CU99&gt;=RAF,"",IF($CU99-CV$103&lt;BeginnAlter,"",ROUND(v^($CU99+FaktorAlter)*$L99*$D99*0.5*(VLOOKUP($CU99-CV$103,Männer!$G$9:$J$102,4)+VLOOKUP($CU99-CV$103+1,Männer!$G$9:$J$102,4))*0.5*(VLOOKUP($CU99-CV$103,Männer!$AZ$9:$BD$102,5)+VLOOKUP($CU99-CV$103+1,Männer!$AZ$9:$BD$102,5)),RundDx)))</f>
        <v/>
      </c>
      <c r="CW99" s="25" t="str">
        <f>IF($CU99&gt;=RAF,"",IF($CU99-CW$103&lt;BeginnAlter,"",ROUND(v^($CU99+FaktorAlter)*$L99*$D99*0.5*(VLOOKUP($CU99-CW$103,Männer!$G$9:$J$102,4)+VLOOKUP($CU99-CW$103+1,Männer!$G$9:$J$102,4))*0.5*(VLOOKUP($CU99-CW$103,Männer!$AZ$9:$BD$102,5)+VLOOKUP($CU99-CW$103+1,Männer!$AZ$9:$BD$102,5)),RundDx)))</f>
        <v/>
      </c>
      <c r="CX99" s="25" t="str">
        <f>IF($CU99&gt;=RAF,"",IF($CU99-CX$103&lt;BeginnAlter,"",ROUND(v^($CU99+FaktorAlter)*$L99*$D99*0.5*(VLOOKUP($CU99-CX$103,Männer!$G$9:$J$102,4)+VLOOKUP($CU99-CX$103+1,Männer!$G$9:$J$102,4))*0.5*(VLOOKUP($CU99-CX$103,Männer!$AZ$9:$BD$102,5)+VLOOKUP($CU99-CX$103+1,Männer!$AZ$9:$BD$102,5)),RundDx)))</f>
        <v/>
      </c>
      <c r="CY99" s="25" t="str">
        <f>IF($CU99&gt;=RAF,"",IF($CU99-CY$103&lt;BeginnAlter,"",ROUND(v^($CU99+FaktorAlter)*$L99*$D99*0.5*(VLOOKUP($CU99-CY$103,Männer!$G$9:$J$102,4)+VLOOKUP($CU99-CY$103+1,Männer!$G$9:$J$102,4))*0.5*(VLOOKUP($CU99-CY$103,Männer!$AZ$9:$BD$102,5)+VLOOKUP($CU99-CY$103+1,Männer!$AZ$9:$BD$102,5)),RundDx)))</f>
        <v/>
      </c>
      <c r="CZ99" s="25" t="str">
        <f>IF($CU99&gt;=RAF,"",IF($CU99-CZ$103&lt;BeginnAlter,"",ROUND(v^($CU99+FaktorAlter)*$L99*$D99*0.5*(VLOOKUP($CU99-CZ$103,Männer!$G$9:$J$102,4)+VLOOKUP($CU99-CZ$103+1,Männer!$G$9:$J$102,4))*0.5*(VLOOKUP($CU99-CZ$103,Männer!$AZ$9:$BD$102,5)+VLOOKUP($CU99-CZ$103+1,Männer!$AZ$9:$BD$102,5)),RundDx)))</f>
        <v/>
      </c>
      <c r="DA99" s="25" t="str">
        <f>IF($CU99&gt;=RAF,"",IF($CU99-DA$103&lt;BeginnAlter,"",ROUND(v^($CU99+FaktorAlter)*$L99*$D99*0.5*(VLOOKUP($CU99-DA$103,Männer!$G$9:$J$102,4)+VLOOKUP($CU99-DA$103+1,Männer!$G$9:$J$102,4))*0.5*(VLOOKUP($CU99-DA$103,Männer!$AZ$9:$BD$102,5)+VLOOKUP($CU99-DA$103+1,Männer!$AZ$9:$BD$102,5)),RundDx)))</f>
        <v/>
      </c>
      <c r="DB99" s="25" t="str">
        <f>IF($CU99&gt;=RAF,"",IF($CU99-DB$103&lt;BeginnAlter,"",ROUND(v^($CU99+FaktorAlter)*$L99*$D99*0.5*(VLOOKUP($CU99-DB$103,Männer!$G$9:$J$102,4)+VLOOKUP($CU99-DB$103+1,Männer!$G$9:$J$102,4))*0.5*(VLOOKUP($CU99-DB$103,Männer!$AZ$9:$BD$102,5)+VLOOKUP($CU99-DB$103+1,Männer!$AZ$9:$BD$102,5)),RundDx)))</f>
        <v/>
      </c>
      <c r="DC99" s="25" t="str">
        <f>IF($CU99&gt;=RAF,"",IF($CU99-DC$103&lt;BeginnAlter,"",ROUND(v^($CU99+FaktorAlter)*$L99*$D99*0.5*(VLOOKUP($CU99-DC$103,Männer!$G$9:$J$102,4)+VLOOKUP($CU99-DC$103+1,Männer!$G$9:$J$102,4))*0.5*(VLOOKUP($CU99-DC$103,Männer!$AZ$9:$BD$102,5)+VLOOKUP($CU99-DC$103+1,Männer!$AZ$9:$BD$102,5)),RundDx)))</f>
        <v/>
      </c>
      <c r="DD99" s="25" t="str">
        <f>IF($CU99&gt;=RAF,"",IF($CU99-DD$103&lt;BeginnAlter,"",ROUND(v^($CU99+FaktorAlter)*$L99*$D99*0.5*(VLOOKUP($CU99-DD$103,Männer!$G$9:$J$102,4)+VLOOKUP($CU99-DD$103+1,Männer!$G$9:$J$102,4))*0.5*(VLOOKUP($CU99-DD$103,Männer!$AZ$9:$BD$102,5)+VLOOKUP($CU99-DD$103+1,Männer!$AZ$9:$BD$102,5)),RundDx)))</f>
        <v/>
      </c>
      <c r="DE99" s="25" t="str">
        <f>IF($CU99&gt;=RAF,"",IF($CU99-DE$103&lt;BeginnAlter,"",ROUND(v^($CU99+FaktorAlter)*$L99*$D99*0.5*(VLOOKUP($CU99-DE$103,Männer!$G$9:$J$102,4)+VLOOKUP($CU99-DE$103+1,Männer!$G$9:$J$102,4))*0.5*(VLOOKUP($CU99-DE$103,Männer!$AZ$9:$BD$102,5)+VLOOKUP($CU99-DE$103+1,Männer!$AZ$9:$BD$102,5)),RundDx)))</f>
        <v/>
      </c>
      <c r="DF99" s="25" t="str">
        <f>IF($CU99&gt;=RAF,"",IF($CU99-DF$103&lt;BeginnAlter,"",ROUND(v^($CU99+FaktorAlter)*$L99*$D99*0.5*(VLOOKUP($CU99-DF$103,Männer!$G$9:$J$102,4)+VLOOKUP($CU99-DF$103+1,Männer!$G$9:$J$102,4))*0.5*(VLOOKUP($CU99-DF$103,Männer!$AZ$9:$BD$102,5)+VLOOKUP($CU99-DF$103+1,Männer!$AZ$9:$BD$102,5)),RundDx)))</f>
        <v/>
      </c>
      <c r="DG99" s="25" t="str">
        <f>IF($CU99&gt;=RAF,"",IF($CU99-DG$103&lt;BeginnAlter,"",ROUND(v^($CU99+FaktorAlter)*$L99*$D99*0.5*(VLOOKUP($CU99-DG$103,Männer!$G$9:$J$102,4)+VLOOKUP($CU99-DG$103+1,Männer!$G$9:$J$102,4))*0.5*(VLOOKUP($CU99-DG$103,Männer!$AZ$9:$BD$102,5)+VLOOKUP($CU99-DG$103+1,Männer!$AZ$9:$BD$102,5)),RundDx)))</f>
        <v/>
      </c>
      <c r="DH99" s="25" t="str">
        <f>IF($CU99&gt;=RAF,"",IF($CU99-DH$103&lt;BeginnAlter,"",ROUND(v^($CU99+FaktorAlter)*$L99*$D99*0.5*(VLOOKUP($CU99-DH$103,Männer!$G$9:$J$102,4)+VLOOKUP($CU99-DH$103+1,Männer!$G$9:$J$102,4))*0.5*(VLOOKUP($CU99-DH$103,Männer!$AZ$9:$BD$102,5)+VLOOKUP($CU99-DH$103+1,Männer!$AZ$9:$BD$102,5)),RundDx)))</f>
        <v/>
      </c>
      <c r="DI99" s="25" t="str">
        <f>IF($CU99&gt;=RAF,"",IF($CU99-DI$103&lt;BeginnAlter,"",ROUND(v^($CU99+FaktorAlter)*$L99*$D99*0.5*(VLOOKUP($CU99-DI$103,Männer!$G$9:$J$102,4)+VLOOKUP($CU99-DI$103+1,Männer!$G$9:$J$102,4))*0.5*(VLOOKUP($CU99-DI$103,Männer!$AZ$9:$BD$102,5)+VLOOKUP($CU99-DI$103+1,Männer!$AZ$9:$BD$102,5)),RundDx)))</f>
        <v/>
      </c>
      <c r="DJ99" s="25" t="str">
        <f>IF($CU99&gt;=RAF,"",IF($CU99-DJ$103&lt;BeginnAlter,"",ROUND(v^($CU99+FaktorAlter)*$L99*$D99*0.5*(VLOOKUP($CU99-DJ$103,Männer!$G$9:$J$102,4)+VLOOKUP($CU99-DJ$103+1,Männer!$G$9:$J$102,4))*0.5*(VLOOKUP($CU99-DJ$103,Männer!$AZ$9:$BD$102,5)+VLOOKUP($CU99-DJ$103+1,Männer!$AZ$9:$BD$102,5)),RundDx)))</f>
        <v/>
      </c>
      <c r="DK99" s="25" t="str">
        <f>IF($CU99&gt;=RAF,"",IF($CU99-DK$103&lt;BeginnAlter,"",ROUND(v^($CU99+FaktorAlter)*$L99*$D99*0.5*(VLOOKUP($CU99-DK$103,Männer!$G$9:$J$102,4)+VLOOKUP($CU99-DK$103+1,Männer!$G$9:$J$102,4))*0.5*(VLOOKUP($CU99-DK$103,Männer!$AZ$9:$BD$102,5)+VLOOKUP($CU99-DK$103+1,Männer!$AZ$9:$BD$102,5)),RundDx)))</f>
        <v/>
      </c>
      <c r="DL99" s="25" t="str">
        <f>IF($CU99&gt;=RAF,"",IF($CU99-DL$103&lt;BeginnAlter,"",ROUND(v^($CU99+FaktorAlter)*$L99*$D99*0.5*(VLOOKUP($CU99-DL$103,Männer!$G$9:$J$102,4)+VLOOKUP($CU99-DL$103+1,Männer!$G$9:$J$102,4))*0.5*(VLOOKUP($CU99-DL$103,Männer!$AZ$9:$BD$102,5)+VLOOKUP($CU99-DL$103+1,Männer!$AZ$9:$BD$102,5)),RundDx)))</f>
        <v/>
      </c>
      <c r="DM99" s="25" t="str">
        <f>IF($CU99&gt;=RAF,"",IF($CU99-DM$103&lt;BeginnAlter,"",ROUND(v^($CU99+FaktorAlter)*$L99*$D99*0.5*(VLOOKUP($CU99-DM$103,Männer!$G$9:$J$102,4)+VLOOKUP($CU99-DM$103+1,Männer!$G$9:$J$102,4))*0.5*(VLOOKUP($CU99-DM$103,Männer!$AZ$9:$BD$102,5)+VLOOKUP($CU99-DM$103+1,Männer!$AZ$9:$BD$102,5)),RundDx)))</f>
        <v/>
      </c>
      <c r="DN99" s="25" t="str">
        <f>IF($CU99&gt;=RAF,"",IF($CU99-DN$103&lt;BeginnAlter,"",ROUND(v^($CU99+FaktorAlter)*$L99*$D99*0.5*(VLOOKUP($CU99-DN$103,Männer!$G$9:$J$102,4)+VLOOKUP($CU99-DN$103+1,Männer!$G$9:$J$102,4))*0.5*(VLOOKUP($CU99-DN$103,Männer!$AZ$9:$BD$102,5)+VLOOKUP($CU99-DN$103+1,Männer!$AZ$9:$BD$102,5)),RundDx)))</f>
        <v/>
      </c>
      <c r="DO99" s="25" t="str">
        <f>IF($CU99&gt;=RAF,"",IF($CU99-DO$103&lt;BeginnAlter,"",ROUND(v^($CU99+FaktorAlter)*$L99*$D99*0.5*(VLOOKUP($CU99-DO$103,Männer!$G$9:$J$102,4)+VLOOKUP($CU99-DO$103+1,Männer!$G$9:$J$102,4))*0.5*(VLOOKUP($CU99-DO$103,Männer!$AZ$9:$BD$102,5)+VLOOKUP($CU99-DO$103+1,Männer!$AZ$9:$BD$102,5)),RundDx)))</f>
        <v/>
      </c>
      <c r="DP99" s="25" t="str">
        <f>IF($CU99&gt;=RAF,"",IF($CU99-DP$103&lt;BeginnAlter,"",ROUND(v^($CU99+FaktorAlter)*$L99*$D99*0.5*(VLOOKUP($CU99-DP$103,Männer!$G$9:$J$102,4)+VLOOKUP($CU99-DP$103+1,Männer!$G$9:$J$102,4))*0.5*(VLOOKUP($CU99-DP$103,Männer!$AZ$9:$BD$102,5)+VLOOKUP($CU99-DP$103+1,Männer!$AZ$9:$BD$102,5)),RundDx)))</f>
        <v/>
      </c>
      <c r="DQ99" s="25" t="str">
        <f>IF($CU99&gt;=RAF,"",IF($CU99-DQ$103&lt;BeginnAlter,"",ROUND(v^($CU99+FaktorAlter)*$L99*$D99*0.5*(VLOOKUP($CU99-DQ$103,Männer!$G$9:$J$102,4)+VLOOKUP($CU99-DQ$103+1,Männer!$G$9:$J$102,4))*0.5*(VLOOKUP($CU99-DQ$103,Männer!$AZ$9:$BD$102,5)+VLOOKUP($CU99-DQ$103+1,Männer!$AZ$9:$BD$102,5)),RundDx)))</f>
        <v/>
      </c>
      <c r="DR99" s="25" t="str">
        <f>IF($CU99&gt;=RAF,"",IF($CU99-DR$103&lt;BeginnAlter,"",ROUND(v^($CU99+FaktorAlter)*$L99*$D99*0.5*(VLOOKUP($CU99-DR$103,Männer!$G$9:$J$102,4)+VLOOKUP($CU99-DR$103+1,Männer!$G$9:$J$102,4))*0.5*(VLOOKUP($CU99-DR$103,Männer!$AZ$9:$BD$102,5)+VLOOKUP($CU99-DR$103+1,Männer!$AZ$9:$BD$102,5)),RundDx)))</f>
        <v/>
      </c>
      <c r="DS99" s="25" t="str">
        <f>IF($CU99&gt;=RAF,"",IF($CU99-DS$103&lt;BeginnAlter,"",ROUND(v^($CU99+FaktorAlter)*$L99*$D99*0.5*(VLOOKUP($CU99-DS$103,Männer!$G$9:$J$102,4)+VLOOKUP($CU99-DS$103+1,Männer!$G$9:$J$102,4))*0.5*(VLOOKUP($CU99-DS$103,Männer!$AZ$9:$BD$102,5)+VLOOKUP($CU99-DS$103+1,Männer!$AZ$9:$BD$102,5)),RundDx)))</f>
        <v/>
      </c>
      <c r="DT99" s="25" t="str">
        <f>IF($CU99&gt;=RAF,"",IF($CU99-DT$103&lt;BeginnAlter,"",ROUND(v^($CU99+FaktorAlter)*$L99*$D99*0.5*(VLOOKUP($CU99-DT$103,Männer!$G$9:$J$102,4)+VLOOKUP($CU99-DT$103+1,Männer!$G$9:$J$102,4))*0.5*(VLOOKUP($CU99-DT$103,Männer!$AZ$9:$BD$102,5)+VLOOKUP($CU99-DT$103+1,Männer!$AZ$9:$BD$102,5)),RundDx)))</f>
        <v/>
      </c>
      <c r="DU99" s="25" t="str">
        <f>IF($CU99&gt;=RAF,"",IF($CU99-DU$103&lt;BeginnAlter,"",ROUND(v^($CU99+FaktorAlter)*$L99*$D99*0.5*(VLOOKUP($CU99-DU$103,Männer!$G$9:$J$102,4)+VLOOKUP($CU99-DU$103+1,Männer!$G$9:$J$102,4))*0.5*(VLOOKUP($CU99-DU$103,Männer!$AZ$9:$BD$102,5)+VLOOKUP($CU99-DU$103+1,Männer!$AZ$9:$BD$102,5)),RundDx)))</f>
        <v/>
      </c>
      <c r="DV99" s="25" t="str">
        <f>IF($CU99&gt;=RAF,"",IF($CU99-DV$103&lt;BeginnAlter,"",ROUND(v^($CU99+FaktorAlter)*$L99*$D99*0.5*(VLOOKUP($CU99-DV$103,Männer!$G$9:$J$102,4)+VLOOKUP($CU99-DV$103+1,Männer!$G$9:$J$102,4))*0.5*(VLOOKUP($CU99-DV$103,Männer!$AZ$9:$BD$102,5)+VLOOKUP($CU99-DV$103+1,Männer!$AZ$9:$BD$102,5)),RundDx)))</f>
        <v/>
      </c>
      <c r="DW99" s="25" t="str">
        <f>IF($CU99&gt;=RAF,"",IF($CU99-DW$103&lt;BeginnAlter,"",ROUND(v^($CU99+FaktorAlter)*$L99*$D99*0.5*(VLOOKUP($CU99-DW$103,Männer!$G$9:$J$102,4)+VLOOKUP($CU99-DW$103+1,Männer!$G$9:$J$102,4))*0.5*(VLOOKUP($CU99-DW$103,Männer!$AZ$9:$BD$102,5)+VLOOKUP($CU99-DW$103+1,Männer!$AZ$9:$BD$102,5)),RundDx)))</f>
        <v/>
      </c>
      <c r="DX99" s="25" t="str">
        <f>IF($CU99&gt;=RAF,"",IF($CU99-DX$103&lt;BeginnAlter,"",ROUND(v^($CU99+FaktorAlter)*$L99*$D99*0.5*(VLOOKUP($CU99-DX$103,Männer!$G$9:$J$102,4)+VLOOKUP($CU99-DX$103+1,Männer!$G$9:$J$102,4))*0.5*(VLOOKUP($CU99-DX$103,Männer!$AZ$9:$BD$102,5)+VLOOKUP($CU99-DX$103+1,Männer!$AZ$9:$BD$102,5)),RundDx)))</f>
        <v/>
      </c>
      <c r="DY99" s="25" t="str">
        <f>IF($CU99&gt;=RAF,"",IF($CU99-DY$103&lt;BeginnAlter,"",ROUND(v^($CU99+FaktorAlter)*$L99*$D99*0.5*(VLOOKUP($CU99-DY$103,Männer!$G$9:$J$102,4)+VLOOKUP($CU99-DY$103+1,Männer!$G$9:$J$102,4))*0.5*(VLOOKUP($CU99-DY$103,Männer!$AZ$9:$BD$102,5)+VLOOKUP($CU99-DY$103+1,Männer!$AZ$9:$BD$102,5)),RundDx)))</f>
        <v/>
      </c>
      <c r="DZ99" s="25" t="str">
        <f>IF($CU99&gt;=RAF,"",IF($CU99-DZ$103&lt;BeginnAlter,"",ROUND(v^($CU99+FaktorAlter)*$L99*$D99*0.5*(VLOOKUP($CU99-DZ$103,Männer!$G$9:$J$102,4)+VLOOKUP($CU99-DZ$103+1,Männer!$G$9:$J$102,4))*0.5*(VLOOKUP($CU99-DZ$103,Männer!$AZ$9:$BD$102,5)+VLOOKUP($CU99-DZ$103+1,Männer!$AZ$9:$BD$102,5)),RundDx)))</f>
        <v/>
      </c>
      <c r="EA99" s="43" t="str">
        <f>IF($CU99&gt;=RAF,"",IF($CU99-EA$103&lt;BeginnAlter,"",ROUND((SUM(CV$56:CV99)+SUM(FN$9:FN$56))/VLOOKUP($CU99,$AH$9:$AI$102,2)/VLOOKUP($CU99-EA$103,Männer!$G$9:$J$102,4),Rundäx)))</f>
        <v/>
      </c>
      <c r="EB99" s="43" t="str">
        <f>IF($CU99&gt;=RAF,"",IF($CU99-EB$103&lt;BeginnAlter,"",ROUND((SUM(CW$56:CW99)+SUM(FO$9:FO$56))/VLOOKUP($CU99,$AH$9:$AI$102,2)/VLOOKUP($CU99-EB$103,Männer!$G$9:$J$102,4),Rundäx)))</f>
        <v/>
      </c>
      <c r="EC99" s="43" t="str">
        <f>IF($CU99&gt;=RAF,"",IF($CU99-EC$103&lt;BeginnAlter,"",ROUND((SUM(CX$56:CX99)+SUM(FP$9:FP$56))/VLOOKUP($CU99,$AH$9:$AI$102,2)/VLOOKUP($CU99-EC$103,Männer!$G$9:$J$102,4),Rundäx)))</f>
        <v/>
      </c>
      <c r="ED99" s="43" t="str">
        <f>IF($CU99&gt;=RAF,"",IF($CU99-ED$103&lt;BeginnAlter,"",ROUND((SUM(CY$56:CY99)+SUM(FQ$9:FQ$56))/VLOOKUP($CU99,$AH$9:$AI$102,2)/VLOOKUP($CU99-ED$103,Männer!$G$9:$J$102,4),Rundäx)))</f>
        <v/>
      </c>
      <c r="EE99" s="43" t="str">
        <f>IF($CU99&gt;=RAF,"",IF($CU99-EE$103&lt;BeginnAlter,"",ROUND((SUM(CZ$56:CZ99)+SUM(FR$9:FR$56))/VLOOKUP($CU99,$AH$9:$AI$102,2)/VLOOKUP($CU99-EE$103,Männer!$G$9:$J$102,4),Rundäx)))</f>
        <v/>
      </c>
      <c r="EF99" s="43" t="str">
        <f>IF($CU99&gt;=RAF,"",IF($CU99-EF$103&lt;BeginnAlter,"",ROUND((SUM(DA$56:DA99)+SUM(FS$9:FS$56))/VLOOKUP($CU99,$AH$9:$AI$102,2)/VLOOKUP($CU99-EF$103,Männer!$G$9:$J$102,4),Rundäx)))</f>
        <v/>
      </c>
      <c r="EG99" s="43" t="str">
        <f>IF($CU99&gt;=RAF,"",IF($CU99-EG$103&lt;BeginnAlter,"",ROUND((SUM(DB$56:DB99)+SUM(FT$9:FT$56))/VLOOKUP($CU99,$AH$9:$AI$102,2)/VLOOKUP($CU99-EG$103,Männer!$G$9:$J$102,4),Rundäx)))</f>
        <v/>
      </c>
      <c r="EH99" s="43" t="str">
        <f>IF($CU99&gt;=RAF,"",IF($CU99-EH$103&lt;BeginnAlter,"",ROUND((SUM(DC$56:DC99)+SUM(FU$9:FU$56))/VLOOKUP($CU99,$AH$9:$AI$102,2)/VLOOKUP($CU99-EH$103,Männer!$G$9:$J$102,4),Rundäx)))</f>
        <v/>
      </c>
      <c r="EI99" s="89"/>
      <c r="EJ99" s="35">
        <f t="shared" si="178"/>
        <v>107</v>
      </c>
      <c r="EK99" s="43" t="str">
        <f>IF($CU99&gt;=RAF,"",IF($CU99-EK$103&lt;BeginnAlter,"",ROUND((SUM(DD$56:DD99)+SUM(FV$9:FV$56))/VLOOKUP($CU99,$AH$9:$AI$102,2)/VLOOKUP($CU99-EK$103,Männer!$G$9:$J$102,4),Rundäx)))</f>
        <v/>
      </c>
      <c r="EL99" s="43" t="str">
        <f>IF($CU99&gt;=RAF,"",IF($CU99-EL$103&lt;BeginnAlter,"",ROUND((SUM(DE$56:DE99)+SUM(FW$9:FW$56))/VLOOKUP($CU99,$AH$9:$AI$102,2)/VLOOKUP($CU99-EL$103,Männer!$G$9:$J$102,4),Rundäx)))</f>
        <v/>
      </c>
      <c r="EM99" s="43" t="str">
        <f>IF($CU99&gt;=RAF,"",IF($CU99-EM$103&lt;BeginnAlter,"",ROUND((SUM(DF$56:DF99)+SUM(FX$9:FX$56))/VLOOKUP($CU99,$AH$9:$AI$102,2)/VLOOKUP($CU99-EM$103,Männer!$G$9:$J$102,4),Rundäx)))</f>
        <v/>
      </c>
      <c r="EN99" s="43" t="str">
        <f>IF($CU99&gt;=RAF,"",IF($CU99-EN$103&lt;BeginnAlter,"",ROUND((SUM(DG$56:DG99)+SUM(FY$9:FY$56))/VLOOKUP($CU99,$AH$9:$AI$102,2)/VLOOKUP($CU99-EN$103,Männer!$G$9:$J$102,4),Rundäx)))</f>
        <v/>
      </c>
      <c r="EO99" s="43" t="str">
        <f>IF($CU99&gt;=RAF,"",IF($CU99-EO$103&lt;BeginnAlter,"",ROUND((SUM(DH$56:DH99)+SUM(FZ$9:FZ$56))/VLOOKUP($CU99,$AH$9:$AI$102,2)/VLOOKUP($CU99-EO$103,Männer!$G$9:$J$102,4),Rundäx)))</f>
        <v/>
      </c>
      <c r="EP99" s="43" t="str">
        <f>IF($CU99&gt;=RAF,"",IF($CU99-EP$103&lt;BeginnAlter,"",ROUND((SUM(DI$56:DI99)+SUM(GA$9:GA$56))/VLOOKUP($CU99,$AH$9:$AI$102,2)/VLOOKUP($CU99-EP$103,Männer!$G$9:$J$102,4),Rundäx)))</f>
        <v/>
      </c>
      <c r="EQ99" s="43" t="str">
        <f>IF($CU99&gt;=RAF,"",IF($CU99-EQ$103&lt;BeginnAlter,"",ROUND((SUM(DJ$56:DJ99)+SUM(GB$9:GB$56))/VLOOKUP($CU99,$AH$9:$AI$102,2)/VLOOKUP($CU99-EQ$103,Männer!$G$9:$J$102,4),Rundäx)))</f>
        <v/>
      </c>
      <c r="ER99" s="43" t="str">
        <f>IF($CU99&gt;=RAF,"",IF($CU99-ER$103&lt;BeginnAlter,"",ROUND((SUM(DK$56:DK99)+SUM(GC$9:GC$56))/VLOOKUP($CU99,$AH$9:$AI$102,2)/VLOOKUP($CU99-ER$103,Männer!$G$9:$J$102,4),Rundäx)))</f>
        <v/>
      </c>
      <c r="ES99" s="89"/>
      <c r="ET99" s="35">
        <f t="shared" si="179"/>
        <v>107</v>
      </c>
      <c r="EU99" s="43" t="str">
        <f>IF($CU99&gt;=RAF,"",IF($CU99-EU$103&lt;BeginnAlter,"",ROUND((SUM(DL$56:DL99)+SUM(GD$9:GD$56))/VLOOKUP($CU99,$AH$9:$AI$102,2)/VLOOKUP($CU99-EU$103,Männer!$G$9:$J$102,4),Rundäx)))</f>
        <v/>
      </c>
      <c r="EV99" s="43" t="str">
        <f>IF($CU99&gt;=RAF,"",IF($CU99-EV$103&lt;BeginnAlter,"",ROUND((SUM(DM$56:DM99)+SUM(GE$9:GE$56))/VLOOKUP($CU99,$AH$9:$AI$102,2)/VLOOKUP($CU99-EV$103,Männer!$G$9:$J$102,4),Rundäx)))</f>
        <v/>
      </c>
      <c r="EW99" s="43" t="str">
        <f>IF($CU99&gt;=RAF,"",IF($CU99-EW$103&lt;BeginnAlter,"",ROUND((SUM(DN$56:DN99)+SUM(GF$9:GF$56))/VLOOKUP($CU99,$AH$9:$AI$102,2)/VLOOKUP($CU99-EW$103,Männer!$G$9:$J$102,4),Rundäx)))</f>
        <v/>
      </c>
      <c r="EX99" s="43" t="str">
        <f>IF($CU99&gt;=RAF,"",IF($CU99-EX$103&lt;BeginnAlter,"",ROUND((SUM(DO$56:DO99)+SUM(GG$9:GG$56))/VLOOKUP($CU99,$AH$9:$AI$102,2)/VLOOKUP($CU99-EX$103,Männer!$G$9:$J$102,4),Rundäx)))</f>
        <v/>
      </c>
      <c r="EY99" s="43" t="str">
        <f>IF($CU99&gt;=RAF,"",IF($CU99-EY$103&lt;BeginnAlter,"",ROUND((SUM(DP$56:DP99)+SUM(GH$9:GH$56))/VLOOKUP($CU99,$AH$9:$AI$102,2)/VLOOKUP($CU99-EY$103,Männer!$G$9:$J$102,4),Rundäx)))</f>
        <v/>
      </c>
      <c r="EZ99" s="43" t="str">
        <f>IF($CU99&gt;=RAF,"",IF($CU99-EZ$103&lt;BeginnAlter,"",ROUND((SUM(DQ$56:DQ99)+SUM(GI$9:GI$56))/VLOOKUP($CU99,$AH$9:$AI$102,2)/VLOOKUP($CU99-EZ$103,Männer!$G$9:$J$102,4),Rundäx)))</f>
        <v/>
      </c>
      <c r="FA99" s="43" t="str">
        <f>IF($CU99&gt;=RAF,"",IF($CU99-FA$103&lt;BeginnAlter,"",ROUND((SUM(DR$56:DR99)+SUM(GJ$9:GJ$56))/VLOOKUP($CU99,$AH$9:$AI$102,2)/VLOOKUP($CU99-FA$103,Männer!$G$9:$J$102,4),Rundäx)))</f>
        <v/>
      </c>
      <c r="FB99" s="43" t="str">
        <f>IF($CU99&gt;=RAF,"",IF($CU99-FB$103&lt;BeginnAlter,"",ROUND((SUM(DS$56:DS99)+SUM(GK$9:GK$56))/VLOOKUP($CU99,$AH$9:$AI$102,2)/VLOOKUP($CU99-FB$103,Männer!$G$9:$J$102,4),Rundäx)))</f>
        <v/>
      </c>
      <c r="FC99" s="89"/>
      <c r="FD99" s="35">
        <f t="shared" si="180"/>
        <v>107</v>
      </c>
      <c r="FE99" s="43" t="str">
        <f>IF($CU99&gt;=RAF,"",IF($CU99-FE$103&lt;BeginnAlter,"",ROUND((SUM(DT$56:DT99)+SUM(GL$9:GL$56))/VLOOKUP($CU99,$AH$9:$AI$102,2)/VLOOKUP($CU99-FE$103,Männer!$G$9:$J$102,4),Rundäx)))</f>
        <v/>
      </c>
      <c r="FF99" s="43" t="str">
        <f>IF($CU99&gt;=RAF,"",IF($CU99-FF$103&lt;BeginnAlter,"",ROUND((SUM(DU$56:DU99)+SUM(GM$9:GM$56))/VLOOKUP($CU99,$AH$9:$AI$102,2)/VLOOKUP($CU99-FF$103,Männer!$G$9:$J$102,4),Rundäx)))</f>
        <v/>
      </c>
      <c r="FG99" s="43" t="str">
        <f>IF($CU99&gt;=RAF,"",IF($CU99-FG$103&lt;BeginnAlter,"",ROUND((SUM(DV$56:DV99)+SUM(GN$9:GN$56))/VLOOKUP($CU99,$AH$9:$AI$102,2)/VLOOKUP($CU99-FG$103,Männer!$G$9:$J$102,4),Rundäx)))</f>
        <v/>
      </c>
      <c r="FH99" s="43" t="str">
        <f>IF($CU99&gt;=RAF,"",IF($CU99-FH$103&lt;BeginnAlter,"",ROUND((SUM(DW$56:DW99)+SUM(GO$9:GO$56))/VLOOKUP($CU99,$AH$9:$AI$102,2)/VLOOKUP($CU99-FH$103,Männer!$G$9:$J$102,4),Rundäx)))</f>
        <v/>
      </c>
      <c r="FI99" s="43" t="str">
        <f>IF($CU99&gt;=RAF,"",IF($CU99-FI$103&lt;BeginnAlter,"",ROUND((SUM(DX$56:DX99)+SUM(GP$9:GP$56))/VLOOKUP($CU99,$AH$9:$AI$102,2)/VLOOKUP($CU99-FI$103,Männer!$G$9:$J$102,4),Rundäx)))</f>
        <v/>
      </c>
      <c r="FJ99" s="43" t="str">
        <f>IF($CU99&gt;=RAF,"",IF($CU99-FJ$103&lt;BeginnAlter,"",ROUND((SUM(DY$56:DY99)+SUM(GQ$9:GQ$56))/VLOOKUP($CU99,$AH$9:$AI$102,2)/VLOOKUP($CU99-FJ$103,Männer!$G$9:$J$102,4),Rundäx)))</f>
        <v/>
      </c>
      <c r="FK99" s="43" t="str">
        <f>IF($CU99&gt;=RAF,"",IF($CU99-FK$103&lt;BeginnAlter,"",ROUND((SUM(DZ$56:DZ99)+SUM(GR$9:GR$56))/VLOOKUP($CU99,$AH$9:$AI$102,2)/VLOOKUP($CU99-FK$103,Männer!$G$9:$J$102,4),Rundäx)))</f>
        <v/>
      </c>
      <c r="FL99" s="89"/>
      <c r="FM99" s="35">
        <f t="shared" si="181"/>
        <v>154</v>
      </c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4"/>
      <c r="GT99" s="24"/>
      <c r="GU99" s="24" t="str">
        <f>IF(FM99&gt;=RAF," ",#REF!/$AI99/Frauen!$J87)</f>
        <v xml:space="preserve"> </v>
      </c>
      <c r="GV99" s="24" t="str">
        <f>IF(FM99&gt;=RAF," ",#REF!/$AI99/Frauen!$J90)</f>
        <v xml:space="preserve"> </v>
      </c>
      <c r="GW99" s="24" t="str">
        <f>IF(FM99&gt;=RAF," ",#REF!/$AI99/Frauen!$J93)</f>
        <v xml:space="preserve"> </v>
      </c>
      <c r="GX99" s="24" t="str">
        <f>IF(FM99&gt;=RAF," ",#REF!/$AI99/Frauen!$J96)</f>
        <v xml:space="preserve"> </v>
      </c>
      <c r="GY99" s="24" t="str">
        <f>IF(FM99&gt;=RAF," ",#REF!/$AI99/Frauen!$J99)</f>
        <v xml:space="preserve"> </v>
      </c>
      <c r="GZ99" s="24" t="str">
        <f>IF(FM99&gt;=RAF," ",#REF!/$AI99/Frauen!$J102)</f>
        <v xml:space="preserve"> </v>
      </c>
      <c r="HA99" s="89"/>
      <c r="HB99" s="35">
        <f t="shared" si="182"/>
        <v>154</v>
      </c>
      <c r="HC99" s="24"/>
      <c r="HD99" s="24"/>
      <c r="HE99" s="24"/>
      <c r="HF99" s="24"/>
      <c r="HG99" s="24"/>
      <c r="HH99" s="24"/>
      <c r="HI99" s="24"/>
      <c r="HJ99" s="24"/>
      <c r="HK99" s="89"/>
      <c r="HL99" s="35">
        <f t="shared" si="183"/>
        <v>154</v>
      </c>
      <c r="HM99" s="24"/>
      <c r="HN99" s="24"/>
      <c r="HO99" s="24"/>
      <c r="HP99" s="24"/>
      <c r="HQ99" s="24"/>
      <c r="HR99" s="24"/>
      <c r="HS99" s="24"/>
      <c r="HT99" s="24"/>
      <c r="HU99" s="89"/>
      <c r="HV99" s="35">
        <f t="shared" si="184"/>
        <v>154</v>
      </c>
      <c r="HW99" s="24"/>
      <c r="HX99" s="24"/>
      <c r="HY99" s="24"/>
      <c r="HZ99" s="24"/>
      <c r="IA99" s="24"/>
      <c r="IB99" s="24"/>
      <c r="IC99" s="24"/>
      <c r="ID99" s="89"/>
      <c r="IE99" s="9">
        <f t="shared" si="185"/>
        <v>107</v>
      </c>
      <c r="IF99" s="11" t="str">
        <f t="shared" si="101"/>
        <v/>
      </c>
      <c r="IG99" s="11" t="str">
        <f>IF($IE99&lt;RAF,IF(S100&lt;=RAK,ROUND(SUM(IF99:INDEX(Daky,RAF-BeginnAlter))+INDEX(Day,RAF-BeginnAlter+1)*INDEX(äky,1),RundDx),0),"")</f>
        <v/>
      </c>
      <c r="IH99" s="11" t="str">
        <f>IF($IE99&lt;RAF,IF(S100&lt;=RAK,ROUND(SUM(IG99:INDEX(Naky,RAF-BeginnAlter))+INDEX(Day,RAF-BeginnAlter+1)*INDEX(äky,1),RundDx),0),"")</f>
        <v/>
      </c>
      <c r="II99" s="10" t="str">
        <f t="shared" si="102"/>
        <v/>
      </c>
      <c r="IJ99" s="11" t="str">
        <f t="shared" si="103"/>
        <v/>
      </c>
      <c r="IK99" s="11" t="str">
        <f>IF($IE99&lt;RAF,IF(S100&lt;=RAK,SUM(IJ99:INDEX(Diky,RAF-BeginnAlter))+INDEX(Diy,RAF-BeginnAlter+1)*INDEX(äky,1),0),"")</f>
        <v/>
      </c>
      <c r="IL99" s="10" t="str">
        <f t="shared" si="104"/>
        <v/>
      </c>
      <c r="IM99" s="89"/>
      <c r="IN99" s="9">
        <f t="shared" si="186"/>
        <v>154</v>
      </c>
      <c r="IO99" s="11"/>
      <c r="IP99" s="15"/>
      <c r="IQ99" s="38"/>
      <c r="IR99" s="86"/>
    </row>
    <row r="100" spans="1:252" ht="15.75" customHeight="1" x14ac:dyDescent="0.25">
      <c r="A100" s="9">
        <f t="shared" si="125"/>
        <v>108</v>
      </c>
      <c r="B100" s="98"/>
      <c r="C100" s="98"/>
      <c r="D100" s="94"/>
      <c r="E100" s="94"/>
      <c r="F100" s="89"/>
      <c r="G100" s="9">
        <f t="shared" si="126"/>
        <v>108</v>
      </c>
      <c r="H100" s="11" t="str">
        <f>IF(G100&lt;=RAF,ROUND(H99*(1-B99-C99),Rundlx),"")</f>
        <v/>
      </c>
      <c r="I100" s="25" t="str">
        <f>IF(G100&lt;=RAF,ROUND(H99*C99*(1-D99)/(1-0.5*D99)+I99*(1-D99),RundIx),"")</f>
        <v/>
      </c>
      <c r="J100" s="11"/>
      <c r="K100" s="30" t="str">
        <f>IF(J100&gt;0,ROUND(SUM(J100:J$102)/J100-0.5,Rundex),"")</f>
        <v/>
      </c>
      <c r="L100" s="11"/>
      <c r="M100" s="30" t="str">
        <f>IF(L100&gt;0,ROUND(SUM(L100:L$102)/L100-0.5,Rundex),"")</f>
        <v/>
      </c>
      <c r="N100" s="89"/>
      <c r="O100" s="9">
        <f t="shared" si="127"/>
        <v>108</v>
      </c>
      <c r="P100" s="94">
        <v>5.2539920681531592E-4</v>
      </c>
      <c r="Q100" s="95">
        <v>106.95695369276265</v>
      </c>
      <c r="R100" s="94"/>
      <c r="S100" s="95"/>
      <c r="T100" s="28">
        <v>1</v>
      </c>
      <c r="U100" s="11"/>
      <c r="V100" s="30" t="str">
        <f>IF(U100&gt;0,ROUND(SUM(U100:U$102)/U100-0.5,Rundex),"")</f>
        <v/>
      </c>
      <c r="W100" s="89"/>
      <c r="X100" s="9">
        <f t="shared" si="147"/>
        <v>108</v>
      </c>
      <c r="Y100" s="11" t="str">
        <f t="shared" si="148"/>
        <v xml:space="preserve"> </v>
      </c>
      <c r="Z100" s="11" t="str">
        <f>IF($X100&lt;RAF,SUM(Y100:INDEX(Day,RAF-BeginnAlter))," ")</f>
        <v xml:space="preserve"> </v>
      </c>
      <c r="AA100" s="11" t="str">
        <f t="shared" si="81"/>
        <v xml:space="preserve"> </v>
      </c>
      <c r="AB100" s="11" t="str">
        <f>IF($X100&lt;RAF,SUM(AA100:INDEX(Cay,RAF-BeginnAlter))," ")</f>
        <v xml:space="preserve"> </v>
      </c>
      <c r="AC100" s="11" t="str">
        <f t="shared" si="82"/>
        <v xml:space="preserve"> </v>
      </c>
      <c r="AD100" s="11" t="str">
        <f>IF($X100&lt;RAF,SUM(AC100:INDEX(Caiy,RAF-BeginnAlter))," ")</f>
        <v xml:space="preserve"> </v>
      </c>
      <c r="AE100" s="10" t="str">
        <f t="shared" si="149"/>
        <v xml:space="preserve"> </v>
      </c>
      <c r="AF100" s="10" t="str">
        <f t="shared" si="150"/>
        <v xml:space="preserve"> </v>
      </c>
      <c r="AG100" s="89"/>
      <c r="AH100" s="9">
        <f t="shared" si="151"/>
        <v>108</v>
      </c>
      <c r="AI100" s="11" t="str">
        <f t="shared" si="152"/>
        <v xml:space="preserve"> </v>
      </c>
      <c r="AJ100" s="11" t="str">
        <f>IF($AH100&gt;RAF," ",IF($AH100&lt;RAF,SUM(AI100:INDEX(Diy,RAF-BeginnAlter))+INDEX(Ny,RAF-BeginnAlter+1),INDEX(Ny,RAF-BeginnAlter+1)))</f>
        <v xml:space="preserve"> </v>
      </c>
      <c r="AK100" s="11" t="str">
        <f>IF($AH100&lt;RAF,SUM(AI100:INDEX(Diy,RAF-BeginnAlter))," ")</f>
        <v xml:space="preserve"> </v>
      </c>
      <c r="AL100" s="10" t="str">
        <f t="shared" si="153"/>
        <v xml:space="preserve"> </v>
      </c>
      <c r="AM100" s="10" t="str">
        <f t="shared" si="154"/>
        <v xml:space="preserve"> </v>
      </c>
      <c r="AN100" s="10" t="str">
        <f t="shared" si="155"/>
        <v xml:space="preserve"> </v>
      </c>
      <c r="AO100" s="10" t="str">
        <f t="shared" si="156"/>
        <v xml:space="preserve"> </v>
      </c>
      <c r="AP100" s="89"/>
      <c r="AQ100" s="9">
        <f t="shared" si="157"/>
        <v>108</v>
      </c>
      <c r="AR100" s="11"/>
      <c r="AS100" s="11"/>
      <c r="AT100" s="25" t="str">
        <f>IF($AQ100&lt;RAF,SUM(AR100:INDEX(Dy,RAF-BeginnAlter))," ")</f>
        <v xml:space="preserve"> </v>
      </c>
      <c r="AU100" s="24" t="str">
        <f t="shared" si="158"/>
        <v xml:space="preserve"> </v>
      </c>
      <c r="AV100" s="24" t="str">
        <f t="shared" si="159"/>
        <v xml:space="preserve"> </v>
      </c>
      <c r="AW100" s="24" t="str">
        <f t="shared" si="160"/>
        <v xml:space="preserve"> </v>
      </c>
      <c r="AX100" s="24" t="str">
        <f t="shared" si="161"/>
        <v xml:space="preserve"> </v>
      </c>
      <c r="AY100" s="89"/>
      <c r="AZ100" s="9">
        <f t="shared" si="162"/>
        <v>108</v>
      </c>
      <c r="BA100" s="11"/>
      <c r="BB100" s="11"/>
      <c r="BC100" s="10" t="str">
        <f t="shared" si="163"/>
        <v xml:space="preserve"> </v>
      </c>
      <c r="BD100" s="10">
        <f t="shared" si="84"/>
        <v>0</v>
      </c>
      <c r="BE100" s="89"/>
      <c r="BF100" s="9">
        <f t="shared" si="164"/>
        <v>91</v>
      </c>
      <c r="BG100" s="10" t="str">
        <f t="shared" si="85"/>
        <v/>
      </c>
      <c r="BH100" s="10" t="str">
        <f t="shared" si="86"/>
        <v/>
      </c>
      <c r="BI100" s="89"/>
      <c r="BJ100" s="9">
        <f t="shared" si="165"/>
        <v>108</v>
      </c>
      <c r="BK100" s="11" t="str">
        <f t="shared" si="166"/>
        <v xml:space="preserve"> </v>
      </c>
      <c r="BL100" s="11" t="str">
        <f>IF(BJ100&lt;RAF,SUM(BK100:INDEX(Daiy,RAF-BeginnAlter))," ")</f>
        <v xml:space="preserve"> </v>
      </c>
      <c r="BM100" s="11" t="str">
        <f>IF(BJ100&lt;RAF,SUM(BL100:INDEX(Naiy,RAF-BeginnAlter))," ")</f>
        <v xml:space="preserve"> </v>
      </c>
      <c r="BN100" s="10" t="str">
        <f t="shared" si="167"/>
        <v xml:space="preserve"> </v>
      </c>
      <c r="BO100" s="10" t="str">
        <f t="shared" si="168"/>
        <v xml:space="preserve"> </v>
      </c>
      <c r="BP100" s="89"/>
      <c r="BQ100" s="9">
        <f t="shared" si="169"/>
        <v>108</v>
      </c>
      <c r="BR100" s="11" t="str">
        <f t="shared" si="170"/>
        <v xml:space="preserve"> </v>
      </c>
      <c r="BS100" s="11" t="str">
        <f>IF(BQ100&lt;RAF,SUM(BR100:INDEX(Daiys,RAF-BeginnAlter))," ")</f>
        <v xml:space="preserve"> </v>
      </c>
      <c r="BT100" s="11" t="str">
        <f>IF(BQ100&lt;RAF,SUM(BS100:INDEX(Naiys,RAF-BeginnAlter))," ")</f>
        <v xml:space="preserve"> </v>
      </c>
      <c r="BU100" s="10" t="str">
        <f t="shared" si="171"/>
        <v xml:space="preserve"> </v>
      </c>
      <c r="BV100" s="10" t="str">
        <f t="shared" si="172"/>
        <v xml:space="preserve"> </v>
      </c>
      <c r="BW100" s="89"/>
      <c r="BX100" s="9">
        <f t="shared" si="173"/>
        <v>108</v>
      </c>
      <c r="BY100" s="10" t="str">
        <f t="shared" si="93"/>
        <v/>
      </c>
      <c r="BZ100" s="11" t="str">
        <f t="shared" si="94"/>
        <v/>
      </c>
      <c r="CA100" s="11" t="str">
        <f>IF(S101&lt;=RAK,IF($BX100&lt;RAF,SUM(BZ100:INDEX(Dazy,RAF-BeginnAlter)),""),"")</f>
        <v/>
      </c>
      <c r="CB100" s="10" t="str">
        <f t="shared" si="95"/>
        <v/>
      </c>
      <c r="CC100" s="11">
        <f t="shared" si="96"/>
        <v>0</v>
      </c>
      <c r="CD100" s="10">
        <f t="shared" si="97"/>
        <v>0</v>
      </c>
      <c r="CE100" s="10" t="str">
        <f t="shared" si="98"/>
        <v/>
      </c>
      <c r="CF100" s="89"/>
      <c r="CG100" s="9">
        <f t="shared" si="174"/>
        <v>108</v>
      </c>
      <c r="CH100" s="11" t="str">
        <f>IF(CG100&lt;RAF,ROUND(v^($CG100+FaktorAlter)*$H100*($B100*0.5*($P100+$P101)*(VLOOKUP(TRUNC(0.5*($Q100+$Q101),0),Männer!$AZ$9:$BD$95,5)+(0.5*($Q100+$Q101)-TRUNC(0.5*($Q100+$Q101),0))*(VLOOKUP(TRUNC(0.5*($Q100+$Q101)+1,0),Männer!$AZ$9:$BD$95,5)-VLOOKUP(TRUNC(0.5*($Q100+$Q101),0),Männer!$AZ$9:$BD$95,5)))+$C100*0.5*($CN100+$CN101)),RundDx),"")</f>
        <v/>
      </c>
      <c r="CI100" s="11" t="str">
        <f>IF(CG100&lt;RAF,ROUND(SUM(CH100:INDEX(Dawy,RAF-BeginnAlter))+INDEX(Day,RAF-BeginnAlter+1)*INDEX(äwy,1),RundDx),"")</f>
        <v/>
      </c>
      <c r="CJ100" s="11" t="str">
        <f>IF(CG100&lt;RAF,ROUND(SUM(CI100:INDEX(Nawy,RAF-BeginnAlter))+INDEX(Day,RAF-BeginnAlter+1)*INDEX(äwy,1),RundDx),"")</f>
        <v/>
      </c>
      <c r="CK100" s="10" t="str">
        <f t="shared" si="175"/>
        <v/>
      </c>
      <c r="CL100" s="11" t="str">
        <f>IF(CG100&lt;RAF,ROUND(v^($CG100+FaktorAlter)*$L100*$D100*0.5*($P100+$P101)*(VLOOKUP(TRUNC(0.5*($Q100+$Q101),0),Männer!$AZ$9:$BD$95,5)+(0.5*($Q100+$Q101)-TRUNC(0.5*($Q100+$Q101),0))*(VLOOKUP(TRUNC(0.5*($Q100+$Q101)+1,0),Männer!$AZ$9:$BD$95,5)-VLOOKUP(TRUNC(0.5*($Q100+$Q101),0),Männer!$AZ$9:$BD$95,5))),RundDx),"")</f>
        <v/>
      </c>
      <c r="CM100" s="11" t="str">
        <f>IF(CG100&lt;RAF,SUM(CL100:INDEX(Diwy,RAF-BeginnAlter))+INDEX(Diy,RAF-BeginnAlter+1)*INDEX(äwy,1),"")</f>
        <v/>
      </c>
      <c r="CN100" s="10" t="str">
        <f t="shared" si="176"/>
        <v/>
      </c>
      <c r="CO100" s="89"/>
      <c r="CP100" s="9">
        <f t="shared" si="146"/>
        <v>155</v>
      </c>
      <c r="CQ100" s="11"/>
      <c r="CR100" s="15"/>
      <c r="CS100" s="38"/>
      <c r="CT100" s="89"/>
      <c r="CU100" s="35">
        <f t="shared" si="177"/>
        <v>108</v>
      </c>
      <c r="CV100" s="25" t="str">
        <f>IF($CU100&gt;=RAF,"",IF($CU100-CV$103&lt;BeginnAlter,"",ROUND(v^($CU100+FaktorAlter)*$L100*$D100*0.5*(VLOOKUP($CU100-CV$103,Männer!$G$9:$J$102,4)+VLOOKUP($CU100-CV$103+1,Männer!$G$9:$J$102,4))*0.5*(VLOOKUP($CU100-CV$103,Männer!$AZ$9:$BD$102,5)+VLOOKUP($CU100-CV$103+1,Männer!$AZ$9:$BD$102,5)),RundDx)))</f>
        <v/>
      </c>
      <c r="CW100" s="25" t="str">
        <f>IF($CU100&gt;=RAF,"",IF($CU100-CW$103&lt;BeginnAlter,"",ROUND(v^($CU100+FaktorAlter)*$L100*$D100*0.5*(VLOOKUP($CU100-CW$103,Männer!$G$9:$J$102,4)+VLOOKUP($CU100-CW$103+1,Männer!$G$9:$J$102,4))*0.5*(VLOOKUP($CU100-CW$103,Männer!$AZ$9:$BD$102,5)+VLOOKUP($CU100-CW$103+1,Männer!$AZ$9:$BD$102,5)),RundDx)))</f>
        <v/>
      </c>
      <c r="CX100" s="25" t="str">
        <f>IF($CU100&gt;=RAF,"",IF($CU100-CX$103&lt;BeginnAlter,"",ROUND(v^($CU100+FaktorAlter)*$L100*$D100*0.5*(VLOOKUP($CU100-CX$103,Männer!$G$9:$J$102,4)+VLOOKUP($CU100-CX$103+1,Männer!$G$9:$J$102,4))*0.5*(VLOOKUP($CU100-CX$103,Männer!$AZ$9:$BD$102,5)+VLOOKUP($CU100-CX$103+1,Männer!$AZ$9:$BD$102,5)),RundDx)))</f>
        <v/>
      </c>
      <c r="CY100" s="25" t="str">
        <f>IF($CU100&gt;=RAF,"",IF($CU100-CY$103&lt;BeginnAlter,"",ROUND(v^($CU100+FaktorAlter)*$L100*$D100*0.5*(VLOOKUP($CU100-CY$103,Männer!$G$9:$J$102,4)+VLOOKUP($CU100-CY$103+1,Männer!$G$9:$J$102,4))*0.5*(VLOOKUP($CU100-CY$103,Männer!$AZ$9:$BD$102,5)+VLOOKUP($CU100-CY$103+1,Männer!$AZ$9:$BD$102,5)),RundDx)))</f>
        <v/>
      </c>
      <c r="CZ100" s="25" t="str">
        <f>IF($CU100&gt;=RAF,"",IF($CU100-CZ$103&lt;BeginnAlter,"",ROUND(v^($CU100+FaktorAlter)*$L100*$D100*0.5*(VLOOKUP($CU100-CZ$103,Männer!$G$9:$J$102,4)+VLOOKUP($CU100-CZ$103+1,Männer!$G$9:$J$102,4))*0.5*(VLOOKUP($CU100-CZ$103,Männer!$AZ$9:$BD$102,5)+VLOOKUP($CU100-CZ$103+1,Männer!$AZ$9:$BD$102,5)),RundDx)))</f>
        <v/>
      </c>
      <c r="DA100" s="25" t="str">
        <f>IF($CU100&gt;=RAF,"",IF($CU100-DA$103&lt;BeginnAlter,"",ROUND(v^($CU100+FaktorAlter)*$L100*$D100*0.5*(VLOOKUP($CU100-DA$103,Männer!$G$9:$J$102,4)+VLOOKUP($CU100-DA$103+1,Männer!$G$9:$J$102,4))*0.5*(VLOOKUP($CU100-DA$103,Männer!$AZ$9:$BD$102,5)+VLOOKUP($CU100-DA$103+1,Männer!$AZ$9:$BD$102,5)),RundDx)))</f>
        <v/>
      </c>
      <c r="DB100" s="25" t="str">
        <f>IF($CU100&gt;=RAF,"",IF($CU100-DB$103&lt;BeginnAlter,"",ROUND(v^($CU100+FaktorAlter)*$L100*$D100*0.5*(VLOOKUP($CU100-DB$103,Männer!$G$9:$J$102,4)+VLOOKUP($CU100-DB$103+1,Männer!$G$9:$J$102,4))*0.5*(VLOOKUP($CU100-DB$103,Männer!$AZ$9:$BD$102,5)+VLOOKUP($CU100-DB$103+1,Männer!$AZ$9:$BD$102,5)),RundDx)))</f>
        <v/>
      </c>
      <c r="DC100" s="25" t="str">
        <f>IF($CU100&gt;=RAF,"",IF($CU100-DC$103&lt;BeginnAlter,"",ROUND(v^($CU100+FaktorAlter)*$L100*$D100*0.5*(VLOOKUP($CU100-DC$103,Männer!$G$9:$J$102,4)+VLOOKUP($CU100-DC$103+1,Männer!$G$9:$J$102,4))*0.5*(VLOOKUP($CU100-DC$103,Männer!$AZ$9:$BD$102,5)+VLOOKUP($CU100-DC$103+1,Männer!$AZ$9:$BD$102,5)),RundDx)))</f>
        <v/>
      </c>
      <c r="DD100" s="25" t="str">
        <f>IF($CU100&gt;=RAF,"",IF($CU100-DD$103&lt;BeginnAlter,"",ROUND(v^($CU100+FaktorAlter)*$L100*$D100*0.5*(VLOOKUP($CU100-DD$103,Männer!$G$9:$J$102,4)+VLOOKUP($CU100-DD$103+1,Männer!$G$9:$J$102,4))*0.5*(VLOOKUP($CU100-DD$103,Männer!$AZ$9:$BD$102,5)+VLOOKUP($CU100-DD$103+1,Männer!$AZ$9:$BD$102,5)),RundDx)))</f>
        <v/>
      </c>
      <c r="DE100" s="25" t="str">
        <f>IF($CU100&gt;=RAF,"",IF($CU100-DE$103&lt;BeginnAlter,"",ROUND(v^($CU100+FaktorAlter)*$L100*$D100*0.5*(VLOOKUP($CU100-DE$103,Männer!$G$9:$J$102,4)+VLOOKUP($CU100-DE$103+1,Männer!$G$9:$J$102,4))*0.5*(VLOOKUP($CU100-DE$103,Männer!$AZ$9:$BD$102,5)+VLOOKUP($CU100-DE$103+1,Männer!$AZ$9:$BD$102,5)),RundDx)))</f>
        <v/>
      </c>
      <c r="DF100" s="25" t="str">
        <f>IF($CU100&gt;=RAF,"",IF($CU100-DF$103&lt;BeginnAlter,"",ROUND(v^($CU100+FaktorAlter)*$L100*$D100*0.5*(VLOOKUP($CU100-DF$103,Männer!$G$9:$J$102,4)+VLOOKUP($CU100-DF$103+1,Männer!$G$9:$J$102,4))*0.5*(VLOOKUP($CU100-DF$103,Männer!$AZ$9:$BD$102,5)+VLOOKUP($CU100-DF$103+1,Männer!$AZ$9:$BD$102,5)),RundDx)))</f>
        <v/>
      </c>
      <c r="DG100" s="25" t="str">
        <f>IF($CU100&gt;=RAF,"",IF($CU100-DG$103&lt;BeginnAlter,"",ROUND(v^($CU100+FaktorAlter)*$L100*$D100*0.5*(VLOOKUP($CU100-DG$103,Männer!$G$9:$J$102,4)+VLOOKUP($CU100-DG$103+1,Männer!$G$9:$J$102,4))*0.5*(VLOOKUP($CU100-DG$103,Männer!$AZ$9:$BD$102,5)+VLOOKUP($CU100-DG$103+1,Männer!$AZ$9:$BD$102,5)),RundDx)))</f>
        <v/>
      </c>
      <c r="DH100" s="25" t="str">
        <f>IF($CU100&gt;=RAF,"",IF($CU100-DH$103&lt;BeginnAlter,"",ROUND(v^($CU100+FaktorAlter)*$L100*$D100*0.5*(VLOOKUP($CU100-DH$103,Männer!$G$9:$J$102,4)+VLOOKUP($CU100-DH$103+1,Männer!$G$9:$J$102,4))*0.5*(VLOOKUP($CU100-DH$103,Männer!$AZ$9:$BD$102,5)+VLOOKUP($CU100-DH$103+1,Männer!$AZ$9:$BD$102,5)),RundDx)))</f>
        <v/>
      </c>
      <c r="DI100" s="25" t="str">
        <f>IF($CU100&gt;=RAF,"",IF($CU100-DI$103&lt;BeginnAlter,"",ROUND(v^($CU100+FaktorAlter)*$L100*$D100*0.5*(VLOOKUP($CU100-DI$103,Männer!$G$9:$J$102,4)+VLOOKUP($CU100-DI$103+1,Männer!$G$9:$J$102,4))*0.5*(VLOOKUP($CU100-DI$103,Männer!$AZ$9:$BD$102,5)+VLOOKUP($CU100-DI$103+1,Männer!$AZ$9:$BD$102,5)),RundDx)))</f>
        <v/>
      </c>
      <c r="DJ100" s="25" t="str">
        <f>IF($CU100&gt;=RAF,"",IF($CU100-DJ$103&lt;BeginnAlter,"",ROUND(v^($CU100+FaktorAlter)*$L100*$D100*0.5*(VLOOKUP($CU100-DJ$103,Männer!$G$9:$J$102,4)+VLOOKUP($CU100-DJ$103+1,Männer!$G$9:$J$102,4))*0.5*(VLOOKUP($CU100-DJ$103,Männer!$AZ$9:$BD$102,5)+VLOOKUP($CU100-DJ$103+1,Männer!$AZ$9:$BD$102,5)),RundDx)))</f>
        <v/>
      </c>
      <c r="DK100" s="25" t="str">
        <f>IF($CU100&gt;=RAF,"",IF($CU100-DK$103&lt;BeginnAlter,"",ROUND(v^($CU100+FaktorAlter)*$L100*$D100*0.5*(VLOOKUP($CU100-DK$103,Männer!$G$9:$J$102,4)+VLOOKUP($CU100-DK$103+1,Männer!$G$9:$J$102,4))*0.5*(VLOOKUP($CU100-DK$103,Männer!$AZ$9:$BD$102,5)+VLOOKUP($CU100-DK$103+1,Männer!$AZ$9:$BD$102,5)),RundDx)))</f>
        <v/>
      </c>
      <c r="DL100" s="25" t="str">
        <f>IF($CU100&gt;=RAF,"",IF($CU100-DL$103&lt;BeginnAlter,"",ROUND(v^($CU100+FaktorAlter)*$L100*$D100*0.5*(VLOOKUP($CU100-DL$103,Männer!$G$9:$J$102,4)+VLOOKUP($CU100-DL$103+1,Männer!$G$9:$J$102,4))*0.5*(VLOOKUP($CU100-DL$103,Männer!$AZ$9:$BD$102,5)+VLOOKUP($CU100-DL$103+1,Männer!$AZ$9:$BD$102,5)),RundDx)))</f>
        <v/>
      </c>
      <c r="DM100" s="25" t="str">
        <f>IF($CU100&gt;=RAF,"",IF($CU100-DM$103&lt;BeginnAlter,"",ROUND(v^($CU100+FaktorAlter)*$L100*$D100*0.5*(VLOOKUP($CU100-DM$103,Männer!$G$9:$J$102,4)+VLOOKUP($CU100-DM$103+1,Männer!$G$9:$J$102,4))*0.5*(VLOOKUP($CU100-DM$103,Männer!$AZ$9:$BD$102,5)+VLOOKUP($CU100-DM$103+1,Männer!$AZ$9:$BD$102,5)),RundDx)))</f>
        <v/>
      </c>
      <c r="DN100" s="25" t="str">
        <f>IF($CU100&gt;=RAF,"",IF($CU100-DN$103&lt;BeginnAlter,"",ROUND(v^($CU100+FaktorAlter)*$L100*$D100*0.5*(VLOOKUP($CU100-DN$103,Männer!$G$9:$J$102,4)+VLOOKUP($CU100-DN$103+1,Männer!$G$9:$J$102,4))*0.5*(VLOOKUP($CU100-DN$103,Männer!$AZ$9:$BD$102,5)+VLOOKUP($CU100-DN$103+1,Männer!$AZ$9:$BD$102,5)),RundDx)))</f>
        <v/>
      </c>
      <c r="DO100" s="25" t="str">
        <f>IF($CU100&gt;=RAF,"",IF($CU100-DO$103&lt;BeginnAlter,"",ROUND(v^($CU100+FaktorAlter)*$L100*$D100*0.5*(VLOOKUP($CU100-DO$103,Männer!$G$9:$J$102,4)+VLOOKUP($CU100-DO$103+1,Männer!$G$9:$J$102,4))*0.5*(VLOOKUP($CU100-DO$103,Männer!$AZ$9:$BD$102,5)+VLOOKUP($CU100-DO$103+1,Männer!$AZ$9:$BD$102,5)),RundDx)))</f>
        <v/>
      </c>
      <c r="DP100" s="25" t="str">
        <f>IF($CU100&gt;=RAF,"",IF($CU100-DP$103&lt;BeginnAlter,"",ROUND(v^($CU100+FaktorAlter)*$L100*$D100*0.5*(VLOOKUP($CU100-DP$103,Männer!$G$9:$J$102,4)+VLOOKUP($CU100-DP$103+1,Männer!$G$9:$J$102,4))*0.5*(VLOOKUP($CU100-DP$103,Männer!$AZ$9:$BD$102,5)+VLOOKUP($CU100-DP$103+1,Männer!$AZ$9:$BD$102,5)),RundDx)))</f>
        <v/>
      </c>
      <c r="DQ100" s="25" t="str">
        <f>IF($CU100&gt;=RAF,"",IF($CU100-DQ$103&lt;BeginnAlter,"",ROUND(v^($CU100+FaktorAlter)*$L100*$D100*0.5*(VLOOKUP($CU100-DQ$103,Männer!$G$9:$J$102,4)+VLOOKUP($CU100-DQ$103+1,Männer!$G$9:$J$102,4))*0.5*(VLOOKUP($CU100-DQ$103,Männer!$AZ$9:$BD$102,5)+VLOOKUP($CU100-DQ$103+1,Männer!$AZ$9:$BD$102,5)),RundDx)))</f>
        <v/>
      </c>
      <c r="DR100" s="25" t="str">
        <f>IF($CU100&gt;=RAF,"",IF($CU100-DR$103&lt;BeginnAlter,"",ROUND(v^($CU100+FaktorAlter)*$L100*$D100*0.5*(VLOOKUP($CU100-DR$103,Männer!$G$9:$J$102,4)+VLOOKUP($CU100-DR$103+1,Männer!$G$9:$J$102,4))*0.5*(VLOOKUP($CU100-DR$103,Männer!$AZ$9:$BD$102,5)+VLOOKUP($CU100-DR$103+1,Männer!$AZ$9:$BD$102,5)),RundDx)))</f>
        <v/>
      </c>
      <c r="DS100" s="25" t="str">
        <f>IF($CU100&gt;=RAF,"",IF($CU100-DS$103&lt;BeginnAlter,"",ROUND(v^($CU100+FaktorAlter)*$L100*$D100*0.5*(VLOOKUP($CU100-DS$103,Männer!$G$9:$J$102,4)+VLOOKUP($CU100-DS$103+1,Männer!$G$9:$J$102,4))*0.5*(VLOOKUP($CU100-DS$103,Männer!$AZ$9:$BD$102,5)+VLOOKUP($CU100-DS$103+1,Männer!$AZ$9:$BD$102,5)),RundDx)))</f>
        <v/>
      </c>
      <c r="DT100" s="25" t="str">
        <f>IF($CU100&gt;=RAF,"",IF($CU100-DT$103&lt;BeginnAlter,"",ROUND(v^($CU100+FaktorAlter)*$L100*$D100*0.5*(VLOOKUP($CU100-DT$103,Männer!$G$9:$J$102,4)+VLOOKUP($CU100-DT$103+1,Männer!$G$9:$J$102,4))*0.5*(VLOOKUP($CU100-DT$103,Männer!$AZ$9:$BD$102,5)+VLOOKUP($CU100-DT$103+1,Männer!$AZ$9:$BD$102,5)),RundDx)))</f>
        <v/>
      </c>
      <c r="DU100" s="25" t="str">
        <f>IF($CU100&gt;=RAF,"",IF($CU100-DU$103&lt;BeginnAlter,"",ROUND(v^($CU100+FaktorAlter)*$L100*$D100*0.5*(VLOOKUP($CU100-DU$103,Männer!$G$9:$J$102,4)+VLOOKUP($CU100-DU$103+1,Männer!$G$9:$J$102,4))*0.5*(VLOOKUP($CU100-DU$103,Männer!$AZ$9:$BD$102,5)+VLOOKUP($CU100-DU$103+1,Männer!$AZ$9:$BD$102,5)),RundDx)))</f>
        <v/>
      </c>
      <c r="DV100" s="25" t="str">
        <f>IF($CU100&gt;=RAF,"",IF($CU100-DV$103&lt;BeginnAlter,"",ROUND(v^($CU100+FaktorAlter)*$L100*$D100*0.5*(VLOOKUP($CU100-DV$103,Männer!$G$9:$J$102,4)+VLOOKUP($CU100-DV$103+1,Männer!$G$9:$J$102,4))*0.5*(VLOOKUP($CU100-DV$103,Männer!$AZ$9:$BD$102,5)+VLOOKUP($CU100-DV$103+1,Männer!$AZ$9:$BD$102,5)),RundDx)))</f>
        <v/>
      </c>
      <c r="DW100" s="25" t="str">
        <f>IF($CU100&gt;=RAF,"",IF($CU100-DW$103&lt;BeginnAlter,"",ROUND(v^($CU100+FaktorAlter)*$L100*$D100*0.5*(VLOOKUP($CU100-DW$103,Männer!$G$9:$J$102,4)+VLOOKUP($CU100-DW$103+1,Männer!$G$9:$J$102,4))*0.5*(VLOOKUP($CU100-DW$103,Männer!$AZ$9:$BD$102,5)+VLOOKUP($CU100-DW$103+1,Männer!$AZ$9:$BD$102,5)),RundDx)))</f>
        <v/>
      </c>
      <c r="DX100" s="25" t="str">
        <f>IF($CU100&gt;=RAF,"",IF($CU100-DX$103&lt;BeginnAlter,"",ROUND(v^($CU100+FaktorAlter)*$L100*$D100*0.5*(VLOOKUP($CU100-DX$103,Männer!$G$9:$J$102,4)+VLOOKUP($CU100-DX$103+1,Männer!$G$9:$J$102,4))*0.5*(VLOOKUP($CU100-DX$103,Männer!$AZ$9:$BD$102,5)+VLOOKUP($CU100-DX$103+1,Männer!$AZ$9:$BD$102,5)),RundDx)))</f>
        <v/>
      </c>
      <c r="DY100" s="25" t="str">
        <f>IF($CU100&gt;=RAF,"",IF($CU100-DY$103&lt;BeginnAlter,"",ROUND(v^($CU100+FaktorAlter)*$L100*$D100*0.5*(VLOOKUP($CU100-DY$103,Männer!$G$9:$J$102,4)+VLOOKUP($CU100-DY$103+1,Männer!$G$9:$J$102,4))*0.5*(VLOOKUP($CU100-DY$103,Männer!$AZ$9:$BD$102,5)+VLOOKUP($CU100-DY$103+1,Männer!$AZ$9:$BD$102,5)),RundDx)))</f>
        <v/>
      </c>
      <c r="DZ100" s="25" t="str">
        <f>IF($CU100&gt;=RAF,"",IF($CU100-DZ$103&lt;BeginnAlter,"",ROUND(v^($CU100+FaktorAlter)*$L100*$D100*0.5*(VLOOKUP($CU100-DZ$103,Männer!$G$9:$J$102,4)+VLOOKUP($CU100-DZ$103+1,Männer!$G$9:$J$102,4))*0.5*(VLOOKUP($CU100-DZ$103,Männer!$AZ$9:$BD$102,5)+VLOOKUP($CU100-DZ$103+1,Männer!$AZ$9:$BD$102,5)),RundDx)))</f>
        <v/>
      </c>
      <c r="EA100" s="43" t="str">
        <f>IF($CU100&gt;=RAF,"",IF($CU100-EA$103&lt;BeginnAlter,"",ROUND((SUM(CV$56:CV100)+SUM(FN$9:FN$56))/VLOOKUP($CU100,$AH$9:$AI$102,2)/VLOOKUP($CU100-EA$103,Männer!$G$9:$J$102,4),Rundäx)))</f>
        <v/>
      </c>
      <c r="EB100" s="43" t="str">
        <f>IF($CU100&gt;=RAF,"",IF($CU100-EB$103&lt;BeginnAlter,"",ROUND((SUM(CW$56:CW100)+SUM(FO$9:FO$56))/VLOOKUP($CU100,$AH$9:$AI$102,2)/VLOOKUP($CU100-EB$103,Männer!$G$9:$J$102,4),Rundäx)))</f>
        <v/>
      </c>
      <c r="EC100" s="43" t="str">
        <f>IF($CU100&gt;=RAF,"",IF($CU100-EC$103&lt;BeginnAlter,"",ROUND((SUM(CX$56:CX100)+SUM(FP$9:FP$56))/VLOOKUP($CU100,$AH$9:$AI$102,2)/VLOOKUP($CU100-EC$103,Männer!$G$9:$J$102,4),Rundäx)))</f>
        <v/>
      </c>
      <c r="ED100" s="43" t="str">
        <f>IF($CU100&gt;=RAF,"",IF($CU100-ED$103&lt;BeginnAlter,"",ROUND((SUM(CY$56:CY100)+SUM(FQ$9:FQ$56))/VLOOKUP($CU100,$AH$9:$AI$102,2)/VLOOKUP($CU100-ED$103,Männer!$G$9:$J$102,4),Rundäx)))</f>
        <v/>
      </c>
      <c r="EE100" s="43" t="str">
        <f>IF($CU100&gt;=RAF,"",IF($CU100-EE$103&lt;BeginnAlter,"",ROUND((SUM(CZ$56:CZ100)+SUM(FR$9:FR$56))/VLOOKUP($CU100,$AH$9:$AI$102,2)/VLOOKUP($CU100-EE$103,Männer!$G$9:$J$102,4),Rundäx)))</f>
        <v/>
      </c>
      <c r="EF100" s="43" t="str">
        <f>IF($CU100&gt;=RAF,"",IF($CU100-EF$103&lt;BeginnAlter,"",ROUND((SUM(DA$56:DA100)+SUM(FS$9:FS$56))/VLOOKUP($CU100,$AH$9:$AI$102,2)/VLOOKUP($CU100-EF$103,Männer!$G$9:$J$102,4),Rundäx)))</f>
        <v/>
      </c>
      <c r="EG100" s="43" t="str">
        <f>IF($CU100&gt;=RAF,"",IF($CU100-EG$103&lt;BeginnAlter,"",ROUND((SUM(DB$56:DB100)+SUM(FT$9:FT$56))/VLOOKUP($CU100,$AH$9:$AI$102,2)/VLOOKUP($CU100-EG$103,Männer!$G$9:$J$102,4),Rundäx)))</f>
        <v/>
      </c>
      <c r="EH100" s="43" t="str">
        <f>IF($CU100&gt;=RAF,"",IF($CU100-EH$103&lt;BeginnAlter,"",ROUND((SUM(DC$56:DC100)+SUM(FU$9:FU$56))/VLOOKUP($CU100,$AH$9:$AI$102,2)/VLOOKUP($CU100-EH$103,Männer!$G$9:$J$102,4),Rundäx)))</f>
        <v/>
      </c>
      <c r="EI100" s="89"/>
      <c r="EJ100" s="35">
        <f t="shared" si="178"/>
        <v>108</v>
      </c>
      <c r="EK100" s="43" t="str">
        <f>IF($CU100&gt;=RAF,"",IF($CU100-EK$103&lt;BeginnAlter,"",ROUND((SUM(DD$56:DD100)+SUM(FV$9:FV$56))/VLOOKUP($CU100,$AH$9:$AI$102,2)/VLOOKUP($CU100-EK$103,Männer!$G$9:$J$102,4),Rundäx)))</f>
        <v/>
      </c>
      <c r="EL100" s="43" t="str">
        <f>IF($CU100&gt;=RAF,"",IF($CU100-EL$103&lt;BeginnAlter,"",ROUND((SUM(DE$56:DE100)+SUM(FW$9:FW$56))/VLOOKUP($CU100,$AH$9:$AI$102,2)/VLOOKUP($CU100-EL$103,Männer!$G$9:$J$102,4),Rundäx)))</f>
        <v/>
      </c>
      <c r="EM100" s="43" t="str">
        <f>IF($CU100&gt;=RAF,"",IF($CU100-EM$103&lt;BeginnAlter,"",ROUND((SUM(DF$56:DF100)+SUM(FX$9:FX$56))/VLOOKUP($CU100,$AH$9:$AI$102,2)/VLOOKUP($CU100-EM$103,Männer!$G$9:$J$102,4),Rundäx)))</f>
        <v/>
      </c>
      <c r="EN100" s="43" t="str">
        <f>IF($CU100&gt;=RAF,"",IF($CU100-EN$103&lt;BeginnAlter,"",ROUND((SUM(DG$56:DG100)+SUM(FY$9:FY$56))/VLOOKUP($CU100,$AH$9:$AI$102,2)/VLOOKUP($CU100-EN$103,Männer!$G$9:$J$102,4),Rundäx)))</f>
        <v/>
      </c>
      <c r="EO100" s="43" t="str">
        <f>IF($CU100&gt;=RAF,"",IF($CU100-EO$103&lt;BeginnAlter,"",ROUND((SUM(DH$56:DH100)+SUM(FZ$9:FZ$56))/VLOOKUP($CU100,$AH$9:$AI$102,2)/VLOOKUP($CU100-EO$103,Männer!$G$9:$J$102,4),Rundäx)))</f>
        <v/>
      </c>
      <c r="EP100" s="43" t="str">
        <f>IF($CU100&gt;=RAF,"",IF($CU100-EP$103&lt;BeginnAlter,"",ROUND((SUM(DI$56:DI100)+SUM(GA$9:GA$56))/VLOOKUP($CU100,$AH$9:$AI$102,2)/VLOOKUP($CU100-EP$103,Männer!$G$9:$J$102,4),Rundäx)))</f>
        <v/>
      </c>
      <c r="EQ100" s="43" t="str">
        <f>IF($CU100&gt;=RAF,"",IF($CU100-EQ$103&lt;BeginnAlter,"",ROUND((SUM(DJ$56:DJ100)+SUM(GB$9:GB$56))/VLOOKUP($CU100,$AH$9:$AI$102,2)/VLOOKUP($CU100-EQ$103,Männer!$G$9:$J$102,4),Rundäx)))</f>
        <v/>
      </c>
      <c r="ER100" s="43" t="str">
        <f>IF($CU100&gt;=RAF,"",IF($CU100-ER$103&lt;BeginnAlter,"",ROUND((SUM(DK$56:DK100)+SUM(GC$9:GC$56))/VLOOKUP($CU100,$AH$9:$AI$102,2)/VLOOKUP($CU100-ER$103,Männer!$G$9:$J$102,4),Rundäx)))</f>
        <v/>
      </c>
      <c r="ES100" s="89"/>
      <c r="ET100" s="35">
        <f t="shared" si="179"/>
        <v>108</v>
      </c>
      <c r="EU100" s="43" t="str">
        <f>IF($CU100&gt;=RAF,"",IF($CU100-EU$103&lt;BeginnAlter,"",ROUND((SUM(DL$56:DL100)+SUM(GD$9:GD$56))/VLOOKUP($CU100,$AH$9:$AI$102,2)/VLOOKUP($CU100-EU$103,Männer!$G$9:$J$102,4),Rundäx)))</f>
        <v/>
      </c>
      <c r="EV100" s="43" t="str">
        <f>IF($CU100&gt;=RAF,"",IF($CU100-EV$103&lt;BeginnAlter,"",ROUND((SUM(DM$56:DM100)+SUM(GE$9:GE$56))/VLOOKUP($CU100,$AH$9:$AI$102,2)/VLOOKUP($CU100-EV$103,Männer!$G$9:$J$102,4),Rundäx)))</f>
        <v/>
      </c>
      <c r="EW100" s="43" t="str">
        <f>IF($CU100&gt;=RAF,"",IF($CU100-EW$103&lt;BeginnAlter,"",ROUND((SUM(DN$56:DN100)+SUM(GF$9:GF$56))/VLOOKUP($CU100,$AH$9:$AI$102,2)/VLOOKUP($CU100-EW$103,Männer!$G$9:$J$102,4),Rundäx)))</f>
        <v/>
      </c>
      <c r="EX100" s="43" t="str">
        <f>IF($CU100&gt;=RAF,"",IF($CU100-EX$103&lt;BeginnAlter,"",ROUND((SUM(DO$56:DO100)+SUM(GG$9:GG$56))/VLOOKUP($CU100,$AH$9:$AI$102,2)/VLOOKUP($CU100-EX$103,Männer!$G$9:$J$102,4),Rundäx)))</f>
        <v/>
      </c>
      <c r="EY100" s="43" t="str">
        <f>IF($CU100&gt;=RAF,"",IF($CU100-EY$103&lt;BeginnAlter,"",ROUND((SUM(DP$56:DP100)+SUM(GH$9:GH$56))/VLOOKUP($CU100,$AH$9:$AI$102,2)/VLOOKUP($CU100-EY$103,Männer!$G$9:$J$102,4),Rundäx)))</f>
        <v/>
      </c>
      <c r="EZ100" s="43" t="str">
        <f>IF($CU100&gt;=RAF,"",IF($CU100-EZ$103&lt;BeginnAlter,"",ROUND((SUM(DQ$56:DQ100)+SUM(GI$9:GI$56))/VLOOKUP($CU100,$AH$9:$AI$102,2)/VLOOKUP($CU100-EZ$103,Männer!$G$9:$J$102,4),Rundäx)))</f>
        <v/>
      </c>
      <c r="FA100" s="43" t="str">
        <f>IF($CU100&gt;=RAF,"",IF($CU100-FA$103&lt;BeginnAlter,"",ROUND((SUM(DR$56:DR100)+SUM(GJ$9:GJ$56))/VLOOKUP($CU100,$AH$9:$AI$102,2)/VLOOKUP($CU100-FA$103,Männer!$G$9:$J$102,4),Rundäx)))</f>
        <v/>
      </c>
      <c r="FB100" s="43" t="str">
        <f>IF($CU100&gt;=RAF,"",IF($CU100-FB$103&lt;BeginnAlter,"",ROUND((SUM(DS$56:DS100)+SUM(GK$9:GK$56))/VLOOKUP($CU100,$AH$9:$AI$102,2)/VLOOKUP($CU100-FB$103,Männer!$G$9:$J$102,4),Rundäx)))</f>
        <v/>
      </c>
      <c r="FC100" s="89"/>
      <c r="FD100" s="35">
        <f t="shared" si="180"/>
        <v>108</v>
      </c>
      <c r="FE100" s="43" t="str">
        <f>IF($CU100&gt;=RAF,"",IF($CU100-FE$103&lt;BeginnAlter,"",ROUND((SUM(DT$56:DT100)+SUM(GL$9:GL$56))/VLOOKUP($CU100,$AH$9:$AI$102,2)/VLOOKUP($CU100-FE$103,Männer!$G$9:$J$102,4),Rundäx)))</f>
        <v/>
      </c>
      <c r="FF100" s="43" t="str">
        <f>IF($CU100&gt;=RAF,"",IF($CU100-FF$103&lt;BeginnAlter,"",ROUND((SUM(DU$56:DU100)+SUM(GM$9:GM$56))/VLOOKUP($CU100,$AH$9:$AI$102,2)/VLOOKUP($CU100-FF$103,Männer!$G$9:$J$102,4),Rundäx)))</f>
        <v/>
      </c>
      <c r="FG100" s="43" t="str">
        <f>IF($CU100&gt;=RAF,"",IF($CU100-FG$103&lt;BeginnAlter,"",ROUND((SUM(DV$56:DV100)+SUM(GN$9:GN$56))/VLOOKUP($CU100,$AH$9:$AI$102,2)/VLOOKUP($CU100-FG$103,Männer!$G$9:$J$102,4),Rundäx)))</f>
        <v/>
      </c>
      <c r="FH100" s="43" t="str">
        <f>IF($CU100&gt;=RAF,"",IF($CU100-FH$103&lt;BeginnAlter,"",ROUND((SUM(DW$56:DW100)+SUM(GO$9:GO$56))/VLOOKUP($CU100,$AH$9:$AI$102,2)/VLOOKUP($CU100-FH$103,Männer!$G$9:$J$102,4),Rundäx)))</f>
        <v/>
      </c>
      <c r="FI100" s="43" t="str">
        <f>IF($CU100&gt;=RAF,"",IF($CU100-FI$103&lt;BeginnAlter,"",ROUND((SUM(DX$56:DX100)+SUM(GP$9:GP$56))/VLOOKUP($CU100,$AH$9:$AI$102,2)/VLOOKUP($CU100-FI$103,Männer!$G$9:$J$102,4),Rundäx)))</f>
        <v/>
      </c>
      <c r="FJ100" s="43" t="str">
        <f>IF($CU100&gt;=RAF,"",IF($CU100-FJ$103&lt;BeginnAlter,"",ROUND((SUM(DY$56:DY100)+SUM(GQ$9:GQ$56))/VLOOKUP($CU100,$AH$9:$AI$102,2)/VLOOKUP($CU100-FJ$103,Männer!$G$9:$J$102,4),Rundäx)))</f>
        <v/>
      </c>
      <c r="FK100" s="43" t="str">
        <f>IF($CU100&gt;=RAF,"",IF($CU100-FK$103&lt;BeginnAlter,"",ROUND((SUM(DZ$56:DZ100)+SUM(GR$9:GR$56))/VLOOKUP($CU100,$AH$9:$AI$102,2)/VLOOKUP($CU100-FK$103,Männer!$G$9:$J$102,4),Rundäx)))</f>
        <v/>
      </c>
      <c r="FL100" s="89"/>
      <c r="FM100" s="35">
        <f t="shared" si="181"/>
        <v>155</v>
      </c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4"/>
      <c r="GT100" s="24"/>
      <c r="GU100" s="24" t="str">
        <f>IF(FM100&gt;=RAF," ",#REF!/$AI100/Frauen!$J88)</f>
        <v xml:space="preserve"> </v>
      </c>
      <c r="GV100" s="24" t="str">
        <f>IF(FM100&gt;=RAF," ",#REF!/$AI100/Frauen!$J91)</f>
        <v xml:space="preserve"> </v>
      </c>
      <c r="GW100" s="24" t="str">
        <f>IF(FM100&gt;=RAF," ",#REF!/$AI100/Frauen!$J94)</f>
        <v xml:space="preserve"> </v>
      </c>
      <c r="GX100" s="24" t="str">
        <f>IF(FM100&gt;=RAF," ",#REF!/$AI100/Frauen!$J97)</f>
        <v xml:space="preserve"> </v>
      </c>
      <c r="GY100" s="24" t="str">
        <f>IF(FM100&gt;=RAF," ",#REF!/$AI100/Frauen!$J100)</f>
        <v xml:space="preserve"> </v>
      </c>
      <c r="GZ100" s="24" t="str">
        <f>IF(FM100&gt;=RAF," ",#REF!/$AI100/Frauen!$J103)</f>
        <v xml:space="preserve"> </v>
      </c>
      <c r="HA100" s="89"/>
      <c r="HB100" s="35">
        <f t="shared" si="182"/>
        <v>155</v>
      </c>
      <c r="HC100" s="24"/>
      <c r="HD100" s="24"/>
      <c r="HE100" s="24"/>
      <c r="HF100" s="24"/>
      <c r="HG100" s="24"/>
      <c r="HH100" s="24"/>
      <c r="HI100" s="24"/>
      <c r="HJ100" s="24"/>
      <c r="HK100" s="89"/>
      <c r="HL100" s="35">
        <f t="shared" si="183"/>
        <v>155</v>
      </c>
      <c r="HM100" s="24"/>
      <c r="HN100" s="24"/>
      <c r="HO100" s="24"/>
      <c r="HP100" s="24"/>
      <c r="HQ100" s="24"/>
      <c r="HR100" s="24"/>
      <c r="HS100" s="24"/>
      <c r="HT100" s="24"/>
      <c r="HU100" s="89"/>
      <c r="HV100" s="35">
        <f t="shared" si="184"/>
        <v>155</v>
      </c>
      <c r="HW100" s="24"/>
      <c r="HX100" s="24"/>
      <c r="HY100" s="24"/>
      <c r="HZ100" s="24"/>
      <c r="IA100" s="24"/>
      <c r="IB100" s="24"/>
      <c r="IC100" s="24"/>
      <c r="ID100" s="89"/>
      <c r="IE100" s="9">
        <f t="shared" si="185"/>
        <v>108</v>
      </c>
      <c r="IF100" s="11" t="str">
        <f t="shared" si="101"/>
        <v/>
      </c>
      <c r="IG100" s="11" t="str">
        <f>IF($IE100&lt;RAF,IF(S101&lt;=RAK,ROUND(SUM(IF100:INDEX(Daky,RAF-BeginnAlter))+INDEX(Day,RAF-BeginnAlter+1)*INDEX(äky,1),RundDx),0),"")</f>
        <v/>
      </c>
      <c r="IH100" s="11" t="str">
        <f>IF($IE100&lt;RAF,IF(S101&lt;=RAK,ROUND(SUM(IG100:INDEX(Naky,RAF-BeginnAlter))+INDEX(Day,RAF-BeginnAlter+1)*INDEX(äky,1),RundDx),0),"")</f>
        <v/>
      </c>
      <c r="II100" s="10" t="str">
        <f t="shared" si="102"/>
        <v/>
      </c>
      <c r="IJ100" s="11" t="str">
        <f t="shared" si="103"/>
        <v/>
      </c>
      <c r="IK100" s="11" t="str">
        <f>IF($IE100&lt;RAF,IF(S101&lt;=RAK,SUM(IJ100:INDEX(Diky,RAF-BeginnAlter))+INDEX(Diy,RAF-BeginnAlter+1)*INDEX(äky,1),0),"")</f>
        <v/>
      </c>
      <c r="IL100" s="10" t="str">
        <f t="shared" si="104"/>
        <v/>
      </c>
      <c r="IM100" s="89"/>
      <c r="IN100" s="9">
        <f t="shared" si="186"/>
        <v>155</v>
      </c>
      <c r="IO100" s="11"/>
      <c r="IP100" s="15"/>
      <c r="IQ100" s="38"/>
      <c r="IR100" s="86"/>
    </row>
    <row r="101" spans="1:252" ht="15.75" customHeight="1" x14ac:dyDescent="0.25">
      <c r="A101" s="9">
        <f t="shared" si="125"/>
        <v>109</v>
      </c>
      <c r="B101" s="98"/>
      <c r="C101" s="98"/>
      <c r="D101" s="94"/>
      <c r="E101" s="94"/>
      <c r="F101" s="89"/>
      <c r="G101" s="9">
        <f t="shared" si="126"/>
        <v>109</v>
      </c>
      <c r="H101" s="11" t="str">
        <f>IF(G101&lt;=RAF,ROUND(H100*(1-B100-C100),Rundlx),"")</f>
        <v/>
      </c>
      <c r="I101" s="25" t="str">
        <f>IF(G101&lt;=RAF,ROUND(H100*C100*(1-D100)/(1-0.5*D100)+I100*(1-D100),RundIx),"")</f>
        <v/>
      </c>
      <c r="J101" s="11"/>
      <c r="K101" s="30" t="str">
        <f>IF(J101&gt;0,ROUND(SUM(J101:J$102)/J101-0.5,Rundex),"")</f>
        <v/>
      </c>
      <c r="L101" s="11"/>
      <c r="M101" s="30" t="str">
        <f>IF(L101&gt;0,ROUND(SUM(L101:L$102)/L101-0.5,Rundex),"")</f>
        <v/>
      </c>
      <c r="N101" s="89"/>
      <c r="O101" s="9">
        <f t="shared" si="127"/>
        <v>109</v>
      </c>
      <c r="P101" s="94">
        <v>2.8539920681531594E-4</v>
      </c>
      <c r="Q101" s="95">
        <v>107.89448477350254</v>
      </c>
      <c r="R101" s="94"/>
      <c r="S101" s="95"/>
      <c r="T101" s="28"/>
      <c r="U101" s="25"/>
      <c r="V101" s="30"/>
      <c r="W101" s="89"/>
      <c r="X101" s="9">
        <f t="shared" si="147"/>
        <v>109</v>
      </c>
      <c r="Y101" s="11" t="str">
        <f t="shared" si="148"/>
        <v xml:space="preserve"> </v>
      </c>
      <c r="Z101" s="11" t="str">
        <f>IF($X101&lt;RAF,SUM(Y101:INDEX(Day,RAF-BeginnAlter))," ")</f>
        <v xml:space="preserve"> </v>
      </c>
      <c r="AA101" s="11" t="str">
        <f t="shared" si="81"/>
        <v xml:space="preserve"> </v>
      </c>
      <c r="AB101" s="11" t="str">
        <f>IF($X101&lt;RAF,SUM(AA101:INDEX(Cay,RAF-BeginnAlter))," ")</f>
        <v xml:space="preserve"> </v>
      </c>
      <c r="AC101" s="11" t="str">
        <f t="shared" si="82"/>
        <v xml:space="preserve"> </v>
      </c>
      <c r="AD101" s="11" t="str">
        <f>IF($X101&lt;RAF,SUM(AC101:INDEX(Caiy,RAF-BeginnAlter))," ")</f>
        <v xml:space="preserve"> </v>
      </c>
      <c r="AE101" s="10" t="str">
        <f t="shared" si="149"/>
        <v xml:space="preserve"> </v>
      </c>
      <c r="AF101" s="10" t="str">
        <f t="shared" si="150"/>
        <v xml:space="preserve"> </v>
      </c>
      <c r="AG101" s="89"/>
      <c r="AH101" s="9">
        <f t="shared" si="151"/>
        <v>109</v>
      </c>
      <c r="AI101" s="11" t="str">
        <f t="shared" si="152"/>
        <v xml:space="preserve"> </v>
      </c>
      <c r="AJ101" s="11" t="str">
        <f>IF($AH101&gt;RAF," ",IF($AH101&lt;RAF,SUM(AI101:INDEX(Diy,RAF-BeginnAlter))+INDEX(Ny,RAF-BeginnAlter+1),INDEX(Ny,RAF-BeginnAlter+1)))</f>
        <v xml:space="preserve"> </v>
      </c>
      <c r="AK101" s="11" t="str">
        <f>IF($AH101&lt;RAF,SUM(AI101:INDEX(Diy,RAF-BeginnAlter))," ")</f>
        <v xml:space="preserve"> </v>
      </c>
      <c r="AL101" s="10" t="str">
        <f t="shared" si="153"/>
        <v xml:space="preserve"> </v>
      </c>
      <c r="AM101" s="10" t="str">
        <f t="shared" si="154"/>
        <v xml:space="preserve"> </v>
      </c>
      <c r="AN101" s="10" t="str">
        <f t="shared" si="155"/>
        <v xml:space="preserve"> </v>
      </c>
      <c r="AO101" s="10" t="str">
        <f t="shared" si="156"/>
        <v xml:space="preserve"> </v>
      </c>
      <c r="AP101" s="89"/>
      <c r="AQ101" s="9">
        <f t="shared" si="157"/>
        <v>109</v>
      </c>
      <c r="AR101" s="11"/>
      <c r="AS101" s="11"/>
      <c r="AT101" s="25" t="str">
        <f>IF($AQ101&lt;RAF,SUM(AR101:INDEX(Dy,RAF-BeginnAlter))," ")</f>
        <v xml:space="preserve"> </v>
      </c>
      <c r="AU101" s="24" t="str">
        <f t="shared" si="158"/>
        <v xml:space="preserve"> </v>
      </c>
      <c r="AV101" s="24" t="str">
        <f t="shared" si="159"/>
        <v xml:space="preserve"> </v>
      </c>
      <c r="AW101" s="24" t="str">
        <f t="shared" si="160"/>
        <v xml:space="preserve"> </v>
      </c>
      <c r="AX101" s="24" t="str">
        <f t="shared" si="161"/>
        <v xml:space="preserve"> </v>
      </c>
      <c r="AY101" s="89"/>
      <c r="AZ101" s="9">
        <f t="shared" si="162"/>
        <v>109</v>
      </c>
      <c r="BA101" s="11"/>
      <c r="BB101" s="11"/>
      <c r="BC101" s="10" t="str">
        <f t="shared" si="163"/>
        <v xml:space="preserve"> </v>
      </c>
      <c r="BD101" s="10">
        <f t="shared" si="84"/>
        <v>0</v>
      </c>
      <c r="BE101" s="89"/>
      <c r="BF101" s="9">
        <f t="shared" si="164"/>
        <v>92</v>
      </c>
      <c r="BG101" s="10" t="str">
        <f t="shared" si="85"/>
        <v/>
      </c>
      <c r="BH101" s="10" t="str">
        <f t="shared" si="86"/>
        <v/>
      </c>
      <c r="BI101" s="89"/>
      <c r="BJ101" s="9">
        <f t="shared" si="165"/>
        <v>109</v>
      </c>
      <c r="BK101" s="11" t="str">
        <f t="shared" si="166"/>
        <v xml:space="preserve"> </v>
      </c>
      <c r="BL101" s="11" t="str">
        <f>IF(BJ101&lt;RAF,SUM(BK101:INDEX(Daiy,RAF-BeginnAlter))," ")</f>
        <v xml:space="preserve"> </v>
      </c>
      <c r="BM101" s="11" t="str">
        <f>IF(BJ101&lt;RAF,SUM(BL101:INDEX(Naiy,RAF-BeginnAlter))," ")</f>
        <v xml:space="preserve"> </v>
      </c>
      <c r="BN101" s="10" t="str">
        <f t="shared" si="167"/>
        <v xml:space="preserve"> </v>
      </c>
      <c r="BO101" s="10" t="str">
        <f t="shared" si="168"/>
        <v xml:space="preserve"> </v>
      </c>
      <c r="BP101" s="89"/>
      <c r="BQ101" s="9">
        <f t="shared" si="169"/>
        <v>109</v>
      </c>
      <c r="BR101" s="11" t="str">
        <f t="shared" si="170"/>
        <v xml:space="preserve"> </v>
      </c>
      <c r="BS101" s="11" t="str">
        <f>IF(BQ101&lt;RAF,SUM(BR101:INDEX(Daiys,RAF-BeginnAlter))," ")</f>
        <v xml:space="preserve"> </v>
      </c>
      <c r="BT101" s="11" t="str">
        <f>IF(BQ101&lt;RAF,SUM(BS101:INDEX(Naiys,RAF-BeginnAlter))," ")</f>
        <v xml:space="preserve"> </v>
      </c>
      <c r="BU101" s="10" t="str">
        <f t="shared" si="171"/>
        <v xml:space="preserve"> </v>
      </c>
      <c r="BV101" s="10" t="str">
        <f t="shared" si="172"/>
        <v xml:space="preserve"> </v>
      </c>
      <c r="BW101" s="89"/>
      <c r="BX101" s="9">
        <f t="shared" si="173"/>
        <v>109</v>
      </c>
      <c r="BY101" s="10" t="str">
        <f t="shared" si="93"/>
        <v/>
      </c>
      <c r="BZ101" s="11" t="str">
        <f t="shared" si="94"/>
        <v/>
      </c>
      <c r="CA101" s="11" t="str">
        <f>IF(S102&lt;=RAK,IF($BX101&lt;RAF,SUM(BZ101:INDEX(Dazy,RAF-BeginnAlter)),""),"")</f>
        <v/>
      </c>
      <c r="CB101" s="10" t="str">
        <f t="shared" si="95"/>
        <v/>
      </c>
      <c r="CC101" s="11">
        <f t="shared" si="96"/>
        <v>0</v>
      </c>
      <c r="CD101" s="10">
        <f t="shared" si="97"/>
        <v>0</v>
      </c>
      <c r="CE101" s="10" t="str">
        <f t="shared" si="98"/>
        <v/>
      </c>
      <c r="CF101" s="89"/>
      <c r="CG101" s="9">
        <f t="shared" si="174"/>
        <v>109</v>
      </c>
      <c r="CH101" s="11" t="str">
        <f>IF(CG101&lt;RAF,ROUND(v^($CG101+FaktorAlter)*$H101*($B101*0.5*($P101+$P102)*(VLOOKUP(TRUNC(0.5*($Q101+$Q102),0),Männer!$AZ$9:$BD$95,5)+(0.5*($Q101+$Q102)-TRUNC(0.5*($Q101+$Q102),0))*(VLOOKUP(TRUNC(0.5*($Q101+$Q102)+1,0),Männer!$AZ$9:$BD$95,5)-VLOOKUP(TRUNC(0.5*($Q101+$Q102),0),Männer!$AZ$9:$BD$95,5)))+$C101*0.5*($CN101+$CN102)),RundDx),"")</f>
        <v/>
      </c>
      <c r="CI101" s="11" t="str">
        <f>IF(CG101&lt;RAF,ROUND(SUM(CH101:INDEX(Dawy,RAF-BeginnAlter))+INDEX(Day,RAF-BeginnAlter+1)*INDEX(äwy,1),RundDx),"")</f>
        <v/>
      </c>
      <c r="CJ101" s="11" t="str">
        <f>IF(CG101&lt;RAF,ROUND(SUM(CI101:INDEX(Nawy,RAF-BeginnAlter))+INDEX(Day,RAF-BeginnAlter+1)*INDEX(äwy,1),RundDx),"")</f>
        <v/>
      </c>
      <c r="CK101" s="10" t="str">
        <f t="shared" si="175"/>
        <v/>
      </c>
      <c r="CL101" s="11" t="str">
        <f>IF(CG101&lt;RAF,ROUND(v^($CG101+FaktorAlter)*$L101*$D101*0.5*($P101+$P102)*(VLOOKUP(TRUNC(0.5*($Q101+$Q102),0),Männer!$AZ$9:$BD$95,5)+(0.5*($Q101+$Q102)-TRUNC(0.5*($Q101+$Q102),0))*(VLOOKUP(TRUNC(0.5*($Q101+$Q102)+1,0),Männer!$AZ$9:$BD$95,5)-VLOOKUP(TRUNC(0.5*($Q101+$Q102),0),Männer!$AZ$9:$BD$95,5))),RundDx),"")</f>
        <v/>
      </c>
      <c r="CM101" s="11" t="str">
        <f>IF(CG101&lt;RAF,SUM(CL101:INDEX(Diwy,RAF-BeginnAlter))+INDEX(Diy,RAF-BeginnAlter+1)*INDEX(äwy,1),"")</f>
        <v/>
      </c>
      <c r="CN101" s="10" t="str">
        <f t="shared" si="176"/>
        <v/>
      </c>
      <c r="CO101" s="89"/>
      <c r="CP101" s="9">
        <f t="shared" si="146"/>
        <v>156</v>
      </c>
      <c r="CQ101" s="11"/>
      <c r="CR101" s="15"/>
      <c r="CS101" s="38"/>
      <c r="CT101" s="89"/>
      <c r="CU101" s="35">
        <f t="shared" si="177"/>
        <v>109</v>
      </c>
      <c r="CV101" s="25" t="str">
        <f>IF($CU101&gt;=RAF,"",IF($CU101-CV$103&lt;BeginnAlter,"",ROUND(v^($CU101+FaktorAlter)*$L101*$D101*0.5*(VLOOKUP($CU101-CV$103,Männer!$G$9:$J$102,4)+VLOOKUP($CU101-CV$103+1,Männer!$G$9:$J$102,4))*0.5*(VLOOKUP($CU101-CV$103,Männer!$AZ$9:$BD$102,5)+VLOOKUP($CU101-CV$103+1,Männer!$AZ$9:$BD$102,5)),RundDx)))</f>
        <v/>
      </c>
      <c r="CW101" s="25" t="str">
        <f>IF($CU101&gt;=RAF,"",IF($CU101-CW$103&lt;BeginnAlter,"",ROUND(v^($CU101+FaktorAlter)*$L101*$D101*0.5*(VLOOKUP($CU101-CW$103,Männer!$G$9:$J$102,4)+VLOOKUP($CU101-CW$103+1,Männer!$G$9:$J$102,4))*0.5*(VLOOKUP($CU101-CW$103,Männer!$AZ$9:$BD$102,5)+VLOOKUP($CU101-CW$103+1,Männer!$AZ$9:$BD$102,5)),RundDx)))</f>
        <v/>
      </c>
      <c r="CX101" s="25" t="str">
        <f>IF($CU101&gt;=RAF,"",IF($CU101-CX$103&lt;BeginnAlter,"",ROUND(v^($CU101+FaktorAlter)*$L101*$D101*0.5*(VLOOKUP($CU101-CX$103,Männer!$G$9:$J$102,4)+VLOOKUP($CU101-CX$103+1,Männer!$G$9:$J$102,4))*0.5*(VLOOKUP($CU101-CX$103,Männer!$AZ$9:$BD$102,5)+VLOOKUP($CU101-CX$103+1,Männer!$AZ$9:$BD$102,5)),RundDx)))</f>
        <v/>
      </c>
      <c r="CY101" s="25" t="str">
        <f>IF($CU101&gt;=RAF,"",IF($CU101-CY$103&lt;BeginnAlter,"",ROUND(v^($CU101+FaktorAlter)*$L101*$D101*0.5*(VLOOKUP($CU101-CY$103,Männer!$G$9:$J$102,4)+VLOOKUP($CU101-CY$103+1,Männer!$G$9:$J$102,4))*0.5*(VLOOKUP($CU101-CY$103,Männer!$AZ$9:$BD$102,5)+VLOOKUP($CU101-CY$103+1,Männer!$AZ$9:$BD$102,5)),RundDx)))</f>
        <v/>
      </c>
      <c r="CZ101" s="25" t="str">
        <f>IF($CU101&gt;=RAF,"",IF($CU101-CZ$103&lt;BeginnAlter,"",ROUND(v^($CU101+FaktorAlter)*$L101*$D101*0.5*(VLOOKUP($CU101-CZ$103,Männer!$G$9:$J$102,4)+VLOOKUP($CU101-CZ$103+1,Männer!$G$9:$J$102,4))*0.5*(VLOOKUP($CU101-CZ$103,Männer!$AZ$9:$BD$102,5)+VLOOKUP($CU101-CZ$103+1,Männer!$AZ$9:$BD$102,5)),RundDx)))</f>
        <v/>
      </c>
      <c r="DA101" s="25" t="str">
        <f>IF($CU101&gt;=RAF,"",IF($CU101-DA$103&lt;BeginnAlter,"",ROUND(v^($CU101+FaktorAlter)*$L101*$D101*0.5*(VLOOKUP($CU101-DA$103,Männer!$G$9:$J$102,4)+VLOOKUP($CU101-DA$103+1,Männer!$G$9:$J$102,4))*0.5*(VLOOKUP($CU101-DA$103,Männer!$AZ$9:$BD$102,5)+VLOOKUP($CU101-DA$103+1,Männer!$AZ$9:$BD$102,5)),RundDx)))</f>
        <v/>
      </c>
      <c r="DB101" s="25" t="str">
        <f>IF($CU101&gt;=RAF,"",IF($CU101-DB$103&lt;BeginnAlter,"",ROUND(v^($CU101+FaktorAlter)*$L101*$D101*0.5*(VLOOKUP($CU101-DB$103,Männer!$G$9:$J$102,4)+VLOOKUP($CU101-DB$103+1,Männer!$G$9:$J$102,4))*0.5*(VLOOKUP($CU101-DB$103,Männer!$AZ$9:$BD$102,5)+VLOOKUP($CU101-DB$103+1,Männer!$AZ$9:$BD$102,5)),RundDx)))</f>
        <v/>
      </c>
      <c r="DC101" s="25" t="str">
        <f>IF($CU101&gt;=RAF,"",IF($CU101-DC$103&lt;BeginnAlter,"",ROUND(v^($CU101+FaktorAlter)*$L101*$D101*0.5*(VLOOKUP($CU101-DC$103,Männer!$G$9:$J$102,4)+VLOOKUP($CU101-DC$103+1,Männer!$G$9:$J$102,4))*0.5*(VLOOKUP($CU101-DC$103,Männer!$AZ$9:$BD$102,5)+VLOOKUP($CU101-DC$103+1,Männer!$AZ$9:$BD$102,5)),RundDx)))</f>
        <v/>
      </c>
      <c r="DD101" s="25" t="str">
        <f>IF($CU101&gt;=RAF,"",IF($CU101-DD$103&lt;BeginnAlter,"",ROUND(v^($CU101+FaktorAlter)*$L101*$D101*0.5*(VLOOKUP($CU101-DD$103,Männer!$G$9:$J$102,4)+VLOOKUP($CU101-DD$103+1,Männer!$G$9:$J$102,4))*0.5*(VLOOKUP($CU101-DD$103,Männer!$AZ$9:$BD$102,5)+VLOOKUP($CU101-DD$103+1,Männer!$AZ$9:$BD$102,5)),RundDx)))</f>
        <v/>
      </c>
      <c r="DE101" s="25" t="str">
        <f>IF($CU101&gt;=RAF,"",IF($CU101-DE$103&lt;BeginnAlter,"",ROUND(v^($CU101+FaktorAlter)*$L101*$D101*0.5*(VLOOKUP($CU101-DE$103,Männer!$G$9:$J$102,4)+VLOOKUP($CU101-DE$103+1,Männer!$G$9:$J$102,4))*0.5*(VLOOKUP($CU101-DE$103,Männer!$AZ$9:$BD$102,5)+VLOOKUP($CU101-DE$103+1,Männer!$AZ$9:$BD$102,5)),RundDx)))</f>
        <v/>
      </c>
      <c r="DF101" s="25" t="str">
        <f>IF($CU101&gt;=RAF,"",IF($CU101-DF$103&lt;BeginnAlter,"",ROUND(v^($CU101+FaktorAlter)*$L101*$D101*0.5*(VLOOKUP($CU101-DF$103,Männer!$G$9:$J$102,4)+VLOOKUP($CU101-DF$103+1,Männer!$G$9:$J$102,4))*0.5*(VLOOKUP($CU101-DF$103,Männer!$AZ$9:$BD$102,5)+VLOOKUP($CU101-DF$103+1,Männer!$AZ$9:$BD$102,5)),RundDx)))</f>
        <v/>
      </c>
      <c r="DG101" s="25" t="str">
        <f>IF($CU101&gt;=RAF,"",IF($CU101-DG$103&lt;BeginnAlter,"",ROUND(v^($CU101+FaktorAlter)*$L101*$D101*0.5*(VLOOKUP($CU101-DG$103,Männer!$G$9:$J$102,4)+VLOOKUP($CU101-DG$103+1,Männer!$G$9:$J$102,4))*0.5*(VLOOKUP($CU101-DG$103,Männer!$AZ$9:$BD$102,5)+VLOOKUP($CU101-DG$103+1,Männer!$AZ$9:$BD$102,5)),RundDx)))</f>
        <v/>
      </c>
      <c r="DH101" s="25" t="str">
        <f>IF($CU101&gt;=RAF,"",IF($CU101-DH$103&lt;BeginnAlter,"",ROUND(v^($CU101+FaktorAlter)*$L101*$D101*0.5*(VLOOKUP($CU101-DH$103,Männer!$G$9:$J$102,4)+VLOOKUP($CU101-DH$103+1,Männer!$G$9:$J$102,4))*0.5*(VLOOKUP($CU101-DH$103,Männer!$AZ$9:$BD$102,5)+VLOOKUP($CU101-DH$103+1,Männer!$AZ$9:$BD$102,5)),RundDx)))</f>
        <v/>
      </c>
      <c r="DI101" s="25" t="str">
        <f>IF($CU101&gt;=RAF,"",IF($CU101-DI$103&lt;BeginnAlter,"",ROUND(v^($CU101+FaktorAlter)*$L101*$D101*0.5*(VLOOKUP($CU101-DI$103,Männer!$G$9:$J$102,4)+VLOOKUP($CU101-DI$103+1,Männer!$G$9:$J$102,4))*0.5*(VLOOKUP($CU101-DI$103,Männer!$AZ$9:$BD$102,5)+VLOOKUP($CU101-DI$103+1,Männer!$AZ$9:$BD$102,5)),RundDx)))</f>
        <v/>
      </c>
      <c r="DJ101" s="25" t="str">
        <f>IF($CU101&gt;=RAF,"",IF($CU101-DJ$103&lt;BeginnAlter,"",ROUND(v^($CU101+FaktorAlter)*$L101*$D101*0.5*(VLOOKUP($CU101-DJ$103,Männer!$G$9:$J$102,4)+VLOOKUP($CU101-DJ$103+1,Männer!$G$9:$J$102,4))*0.5*(VLOOKUP($CU101-DJ$103,Männer!$AZ$9:$BD$102,5)+VLOOKUP($CU101-DJ$103+1,Männer!$AZ$9:$BD$102,5)),RundDx)))</f>
        <v/>
      </c>
      <c r="DK101" s="25" t="str">
        <f>IF($CU101&gt;=RAF,"",IF($CU101-DK$103&lt;BeginnAlter,"",ROUND(v^($CU101+FaktorAlter)*$L101*$D101*0.5*(VLOOKUP($CU101-DK$103,Männer!$G$9:$J$102,4)+VLOOKUP($CU101-DK$103+1,Männer!$G$9:$J$102,4))*0.5*(VLOOKUP($CU101-DK$103,Männer!$AZ$9:$BD$102,5)+VLOOKUP($CU101-DK$103+1,Männer!$AZ$9:$BD$102,5)),RundDx)))</f>
        <v/>
      </c>
      <c r="DL101" s="25" t="str">
        <f>IF($CU101&gt;=RAF,"",IF($CU101-DL$103&lt;BeginnAlter,"",ROUND(v^($CU101+FaktorAlter)*$L101*$D101*0.5*(VLOOKUP($CU101-DL$103,Männer!$G$9:$J$102,4)+VLOOKUP($CU101-DL$103+1,Männer!$G$9:$J$102,4))*0.5*(VLOOKUP($CU101-DL$103,Männer!$AZ$9:$BD$102,5)+VLOOKUP($CU101-DL$103+1,Männer!$AZ$9:$BD$102,5)),RundDx)))</f>
        <v/>
      </c>
      <c r="DM101" s="25" t="str">
        <f>IF($CU101&gt;=RAF,"",IF($CU101-DM$103&lt;BeginnAlter,"",ROUND(v^($CU101+FaktorAlter)*$L101*$D101*0.5*(VLOOKUP($CU101-DM$103,Männer!$G$9:$J$102,4)+VLOOKUP($CU101-DM$103+1,Männer!$G$9:$J$102,4))*0.5*(VLOOKUP($CU101-DM$103,Männer!$AZ$9:$BD$102,5)+VLOOKUP($CU101-DM$103+1,Männer!$AZ$9:$BD$102,5)),RundDx)))</f>
        <v/>
      </c>
      <c r="DN101" s="25" t="str">
        <f>IF($CU101&gt;=RAF,"",IF($CU101-DN$103&lt;BeginnAlter,"",ROUND(v^($CU101+FaktorAlter)*$L101*$D101*0.5*(VLOOKUP($CU101-DN$103,Männer!$G$9:$J$102,4)+VLOOKUP($CU101-DN$103+1,Männer!$G$9:$J$102,4))*0.5*(VLOOKUP($CU101-DN$103,Männer!$AZ$9:$BD$102,5)+VLOOKUP($CU101-DN$103+1,Männer!$AZ$9:$BD$102,5)),RundDx)))</f>
        <v/>
      </c>
      <c r="DO101" s="25" t="str">
        <f>IF($CU101&gt;=RAF,"",IF($CU101-DO$103&lt;BeginnAlter,"",ROUND(v^($CU101+FaktorAlter)*$L101*$D101*0.5*(VLOOKUP($CU101-DO$103,Männer!$G$9:$J$102,4)+VLOOKUP($CU101-DO$103+1,Männer!$G$9:$J$102,4))*0.5*(VLOOKUP($CU101-DO$103,Männer!$AZ$9:$BD$102,5)+VLOOKUP($CU101-DO$103+1,Männer!$AZ$9:$BD$102,5)),RundDx)))</f>
        <v/>
      </c>
      <c r="DP101" s="25" t="str">
        <f>IF($CU101&gt;=RAF,"",IF($CU101-DP$103&lt;BeginnAlter,"",ROUND(v^($CU101+FaktorAlter)*$L101*$D101*0.5*(VLOOKUP($CU101-DP$103,Männer!$G$9:$J$102,4)+VLOOKUP($CU101-DP$103+1,Männer!$G$9:$J$102,4))*0.5*(VLOOKUP($CU101-DP$103,Männer!$AZ$9:$BD$102,5)+VLOOKUP($CU101-DP$103+1,Männer!$AZ$9:$BD$102,5)),RundDx)))</f>
        <v/>
      </c>
      <c r="DQ101" s="25" t="str">
        <f>IF($CU101&gt;=RAF,"",IF($CU101-DQ$103&lt;BeginnAlter,"",ROUND(v^($CU101+FaktorAlter)*$L101*$D101*0.5*(VLOOKUP($CU101-DQ$103,Männer!$G$9:$J$102,4)+VLOOKUP($CU101-DQ$103+1,Männer!$G$9:$J$102,4))*0.5*(VLOOKUP($CU101-DQ$103,Männer!$AZ$9:$BD$102,5)+VLOOKUP($CU101-DQ$103+1,Männer!$AZ$9:$BD$102,5)),RundDx)))</f>
        <v/>
      </c>
      <c r="DR101" s="25" t="str">
        <f>IF($CU101&gt;=RAF,"",IF($CU101-DR$103&lt;BeginnAlter,"",ROUND(v^($CU101+FaktorAlter)*$L101*$D101*0.5*(VLOOKUP($CU101-DR$103,Männer!$G$9:$J$102,4)+VLOOKUP($CU101-DR$103+1,Männer!$G$9:$J$102,4))*0.5*(VLOOKUP($CU101-DR$103,Männer!$AZ$9:$BD$102,5)+VLOOKUP($CU101-DR$103+1,Männer!$AZ$9:$BD$102,5)),RundDx)))</f>
        <v/>
      </c>
      <c r="DS101" s="25" t="str">
        <f>IF($CU101&gt;=RAF,"",IF($CU101-DS$103&lt;BeginnAlter,"",ROUND(v^($CU101+FaktorAlter)*$L101*$D101*0.5*(VLOOKUP($CU101-DS$103,Männer!$G$9:$J$102,4)+VLOOKUP($CU101-DS$103+1,Männer!$G$9:$J$102,4))*0.5*(VLOOKUP($CU101-DS$103,Männer!$AZ$9:$BD$102,5)+VLOOKUP($CU101-DS$103+1,Männer!$AZ$9:$BD$102,5)),RundDx)))</f>
        <v/>
      </c>
      <c r="DT101" s="25" t="str">
        <f>IF($CU101&gt;=RAF,"",IF($CU101-DT$103&lt;BeginnAlter,"",ROUND(v^($CU101+FaktorAlter)*$L101*$D101*0.5*(VLOOKUP($CU101-DT$103,Männer!$G$9:$J$102,4)+VLOOKUP($CU101-DT$103+1,Männer!$G$9:$J$102,4))*0.5*(VLOOKUP($CU101-DT$103,Männer!$AZ$9:$BD$102,5)+VLOOKUP($CU101-DT$103+1,Männer!$AZ$9:$BD$102,5)),RundDx)))</f>
        <v/>
      </c>
      <c r="DU101" s="25" t="str">
        <f>IF($CU101&gt;=RAF,"",IF($CU101-DU$103&lt;BeginnAlter,"",ROUND(v^($CU101+FaktorAlter)*$L101*$D101*0.5*(VLOOKUP($CU101-DU$103,Männer!$G$9:$J$102,4)+VLOOKUP($CU101-DU$103+1,Männer!$G$9:$J$102,4))*0.5*(VLOOKUP($CU101-DU$103,Männer!$AZ$9:$BD$102,5)+VLOOKUP($CU101-DU$103+1,Männer!$AZ$9:$BD$102,5)),RundDx)))</f>
        <v/>
      </c>
      <c r="DV101" s="25" t="str">
        <f>IF($CU101&gt;=RAF,"",IF($CU101-DV$103&lt;BeginnAlter,"",ROUND(v^($CU101+FaktorAlter)*$L101*$D101*0.5*(VLOOKUP($CU101-DV$103,Männer!$G$9:$J$102,4)+VLOOKUP($CU101-DV$103+1,Männer!$G$9:$J$102,4))*0.5*(VLOOKUP($CU101-DV$103,Männer!$AZ$9:$BD$102,5)+VLOOKUP($CU101-DV$103+1,Männer!$AZ$9:$BD$102,5)),RundDx)))</f>
        <v/>
      </c>
      <c r="DW101" s="25" t="str">
        <f>IF($CU101&gt;=RAF,"",IF($CU101-DW$103&lt;BeginnAlter,"",ROUND(v^($CU101+FaktorAlter)*$L101*$D101*0.5*(VLOOKUP($CU101-DW$103,Männer!$G$9:$J$102,4)+VLOOKUP($CU101-DW$103+1,Männer!$G$9:$J$102,4))*0.5*(VLOOKUP($CU101-DW$103,Männer!$AZ$9:$BD$102,5)+VLOOKUP($CU101-DW$103+1,Männer!$AZ$9:$BD$102,5)),RundDx)))</f>
        <v/>
      </c>
      <c r="DX101" s="25" t="str">
        <f>IF($CU101&gt;=RAF,"",IF($CU101-DX$103&lt;BeginnAlter,"",ROUND(v^($CU101+FaktorAlter)*$L101*$D101*0.5*(VLOOKUP($CU101-DX$103,Männer!$G$9:$J$102,4)+VLOOKUP($CU101-DX$103+1,Männer!$G$9:$J$102,4))*0.5*(VLOOKUP($CU101-DX$103,Männer!$AZ$9:$BD$102,5)+VLOOKUP($CU101-DX$103+1,Männer!$AZ$9:$BD$102,5)),RundDx)))</f>
        <v/>
      </c>
      <c r="DY101" s="25" t="str">
        <f>IF($CU101&gt;=RAF,"",IF($CU101-DY$103&lt;BeginnAlter,"",ROUND(v^($CU101+FaktorAlter)*$L101*$D101*0.5*(VLOOKUP($CU101-DY$103,Männer!$G$9:$J$102,4)+VLOOKUP($CU101-DY$103+1,Männer!$G$9:$J$102,4))*0.5*(VLOOKUP($CU101-DY$103,Männer!$AZ$9:$BD$102,5)+VLOOKUP($CU101-DY$103+1,Männer!$AZ$9:$BD$102,5)),RundDx)))</f>
        <v/>
      </c>
      <c r="DZ101" s="25" t="str">
        <f>IF($CU101&gt;=RAF,"",IF($CU101-DZ$103&lt;BeginnAlter,"",ROUND(v^($CU101+FaktorAlter)*$L101*$D101*0.5*(VLOOKUP($CU101-DZ$103,Männer!$G$9:$J$102,4)+VLOOKUP($CU101-DZ$103+1,Männer!$G$9:$J$102,4))*0.5*(VLOOKUP($CU101-DZ$103,Männer!$AZ$9:$BD$102,5)+VLOOKUP($CU101-DZ$103+1,Männer!$AZ$9:$BD$102,5)),RundDx)))</f>
        <v/>
      </c>
      <c r="EA101" s="43" t="str">
        <f>IF($CU101&gt;=RAF,"",IF($CU101-EA$103&lt;BeginnAlter,"",ROUND((SUM(CV$56:CV101)+SUM(FN$9:FN$56))/VLOOKUP($CU101,$AH$9:$AI$102,2)/VLOOKUP($CU101-EA$103,Männer!$G$9:$J$102,4),Rundäx)))</f>
        <v/>
      </c>
      <c r="EB101" s="43" t="str">
        <f>IF($CU101&gt;=RAF,"",IF($CU101-EB$103&lt;BeginnAlter,"",ROUND((SUM(CW$56:CW101)+SUM(FO$9:FO$56))/VLOOKUP($CU101,$AH$9:$AI$102,2)/VLOOKUP($CU101-EB$103,Männer!$G$9:$J$102,4),Rundäx)))</f>
        <v/>
      </c>
      <c r="EC101" s="43" t="str">
        <f>IF($CU101&gt;=RAF,"",IF($CU101-EC$103&lt;BeginnAlter,"",ROUND((SUM(CX$56:CX101)+SUM(FP$9:FP$56))/VLOOKUP($CU101,$AH$9:$AI$102,2)/VLOOKUP($CU101-EC$103,Männer!$G$9:$J$102,4),Rundäx)))</f>
        <v/>
      </c>
      <c r="ED101" s="43" t="str">
        <f>IF($CU101&gt;=RAF,"",IF($CU101-ED$103&lt;BeginnAlter,"",ROUND((SUM(CY$56:CY101)+SUM(FQ$9:FQ$56))/VLOOKUP($CU101,$AH$9:$AI$102,2)/VLOOKUP($CU101-ED$103,Männer!$G$9:$J$102,4),Rundäx)))</f>
        <v/>
      </c>
      <c r="EE101" s="43" t="str">
        <f>IF($CU101&gt;=RAF,"",IF($CU101-EE$103&lt;BeginnAlter,"",ROUND((SUM(CZ$56:CZ101)+SUM(FR$9:FR$56))/VLOOKUP($CU101,$AH$9:$AI$102,2)/VLOOKUP($CU101-EE$103,Männer!$G$9:$J$102,4),Rundäx)))</f>
        <v/>
      </c>
      <c r="EF101" s="43" t="str">
        <f>IF($CU101&gt;=RAF,"",IF($CU101-EF$103&lt;BeginnAlter,"",ROUND((SUM(DA$56:DA101)+SUM(FS$9:FS$56))/VLOOKUP($CU101,$AH$9:$AI$102,2)/VLOOKUP($CU101-EF$103,Männer!$G$9:$J$102,4),Rundäx)))</f>
        <v/>
      </c>
      <c r="EG101" s="43" t="str">
        <f>IF($CU101&gt;=RAF,"",IF($CU101-EG$103&lt;BeginnAlter,"",ROUND((SUM(DB$56:DB101)+SUM(FT$9:FT$56))/VLOOKUP($CU101,$AH$9:$AI$102,2)/VLOOKUP($CU101-EG$103,Männer!$G$9:$J$102,4),Rundäx)))</f>
        <v/>
      </c>
      <c r="EH101" s="43" t="str">
        <f>IF($CU101&gt;=RAF,"",IF($CU101-EH$103&lt;BeginnAlter,"",ROUND((SUM(DC$56:DC101)+SUM(FU$9:FU$56))/VLOOKUP($CU101,$AH$9:$AI$102,2)/VLOOKUP($CU101-EH$103,Männer!$G$9:$J$102,4),Rundäx)))</f>
        <v/>
      </c>
      <c r="EI101" s="89"/>
      <c r="EJ101" s="35">
        <f t="shared" si="178"/>
        <v>109</v>
      </c>
      <c r="EK101" s="43" t="str">
        <f>IF($CU101&gt;=RAF,"",IF($CU101-EK$103&lt;BeginnAlter,"",ROUND((SUM(DD$56:DD101)+SUM(FV$9:FV$56))/VLOOKUP($CU101,$AH$9:$AI$102,2)/VLOOKUP($CU101-EK$103,Männer!$G$9:$J$102,4),Rundäx)))</f>
        <v/>
      </c>
      <c r="EL101" s="43" t="str">
        <f>IF($CU101&gt;=RAF,"",IF($CU101-EL$103&lt;BeginnAlter,"",ROUND((SUM(DE$56:DE101)+SUM(FW$9:FW$56))/VLOOKUP($CU101,$AH$9:$AI$102,2)/VLOOKUP($CU101-EL$103,Männer!$G$9:$J$102,4),Rundäx)))</f>
        <v/>
      </c>
      <c r="EM101" s="43" t="str">
        <f>IF($CU101&gt;=RAF,"",IF($CU101-EM$103&lt;BeginnAlter,"",ROUND((SUM(DF$56:DF101)+SUM(FX$9:FX$56))/VLOOKUP($CU101,$AH$9:$AI$102,2)/VLOOKUP($CU101-EM$103,Männer!$G$9:$J$102,4),Rundäx)))</f>
        <v/>
      </c>
      <c r="EN101" s="43" t="str">
        <f>IF($CU101&gt;=RAF,"",IF($CU101-EN$103&lt;BeginnAlter,"",ROUND((SUM(DG$56:DG101)+SUM(FY$9:FY$56))/VLOOKUP($CU101,$AH$9:$AI$102,2)/VLOOKUP($CU101-EN$103,Männer!$G$9:$J$102,4),Rundäx)))</f>
        <v/>
      </c>
      <c r="EO101" s="43" t="str">
        <f>IF($CU101&gt;=RAF,"",IF($CU101-EO$103&lt;BeginnAlter,"",ROUND((SUM(DH$56:DH101)+SUM(FZ$9:FZ$56))/VLOOKUP($CU101,$AH$9:$AI$102,2)/VLOOKUP($CU101-EO$103,Männer!$G$9:$J$102,4),Rundäx)))</f>
        <v/>
      </c>
      <c r="EP101" s="43" t="str">
        <f>IF($CU101&gt;=RAF,"",IF($CU101-EP$103&lt;BeginnAlter,"",ROUND((SUM(DI$56:DI101)+SUM(GA$9:GA$56))/VLOOKUP($CU101,$AH$9:$AI$102,2)/VLOOKUP($CU101-EP$103,Männer!$G$9:$J$102,4),Rundäx)))</f>
        <v/>
      </c>
      <c r="EQ101" s="43" t="str">
        <f>IF($CU101&gt;=RAF,"",IF($CU101-EQ$103&lt;BeginnAlter,"",ROUND((SUM(DJ$56:DJ101)+SUM(GB$9:GB$56))/VLOOKUP($CU101,$AH$9:$AI$102,2)/VLOOKUP($CU101-EQ$103,Männer!$G$9:$J$102,4),Rundäx)))</f>
        <v/>
      </c>
      <c r="ER101" s="43" t="str">
        <f>IF($CU101&gt;=RAF,"",IF($CU101-ER$103&lt;BeginnAlter,"",ROUND((SUM(DK$56:DK101)+SUM(GC$9:GC$56))/VLOOKUP($CU101,$AH$9:$AI$102,2)/VLOOKUP($CU101-ER$103,Männer!$G$9:$J$102,4),Rundäx)))</f>
        <v/>
      </c>
      <c r="ES101" s="89"/>
      <c r="ET101" s="35">
        <f t="shared" si="179"/>
        <v>109</v>
      </c>
      <c r="EU101" s="43" t="str">
        <f>IF($CU101&gt;=RAF,"",IF($CU101-EU$103&lt;BeginnAlter,"",ROUND((SUM(DL$56:DL101)+SUM(GD$9:GD$56))/VLOOKUP($CU101,$AH$9:$AI$102,2)/VLOOKUP($CU101-EU$103,Männer!$G$9:$J$102,4),Rundäx)))</f>
        <v/>
      </c>
      <c r="EV101" s="43" t="str">
        <f>IF($CU101&gt;=RAF,"",IF($CU101-EV$103&lt;BeginnAlter,"",ROUND((SUM(DM$56:DM101)+SUM(GE$9:GE$56))/VLOOKUP($CU101,$AH$9:$AI$102,2)/VLOOKUP($CU101-EV$103,Männer!$G$9:$J$102,4),Rundäx)))</f>
        <v/>
      </c>
      <c r="EW101" s="43" t="str">
        <f>IF($CU101&gt;=RAF,"",IF($CU101-EW$103&lt;BeginnAlter,"",ROUND((SUM(DN$56:DN101)+SUM(GF$9:GF$56))/VLOOKUP($CU101,$AH$9:$AI$102,2)/VLOOKUP($CU101-EW$103,Männer!$G$9:$J$102,4),Rundäx)))</f>
        <v/>
      </c>
      <c r="EX101" s="43" t="str">
        <f>IF($CU101&gt;=RAF,"",IF($CU101-EX$103&lt;BeginnAlter,"",ROUND((SUM(DO$56:DO101)+SUM(GG$9:GG$56))/VLOOKUP($CU101,$AH$9:$AI$102,2)/VLOOKUP($CU101-EX$103,Männer!$G$9:$J$102,4),Rundäx)))</f>
        <v/>
      </c>
      <c r="EY101" s="43" t="str">
        <f>IF($CU101&gt;=RAF,"",IF($CU101-EY$103&lt;BeginnAlter,"",ROUND((SUM(DP$56:DP101)+SUM(GH$9:GH$56))/VLOOKUP($CU101,$AH$9:$AI$102,2)/VLOOKUP($CU101-EY$103,Männer!$G$9:$J$102,4),Rundäx)))</f>
        <v/>
      </c>
      <c r="EZ101" s="43" t="str">
        <f>IF($CU101&gt;=RAF,"",IF($CU101-EZ$103&lt;BeginnAlter,"",ROUND((SUM(DQ$56:DQ101)+SUM(GI$9:GI$56))/VLOOKUP($CU101,$AH$9:$AI$102,2)/VLOOKUP($CU101-EZ$103,Männer!$G$9:$J$102,4),Rundäx)))</f>
        <v/>
      </c>
      <c r="FA101" s="43" t="str">
        <f>IF($CU101&gt;=RAF,"",IF($CU101-FA$103&lt;BeginnAlter,"",ROUND((SUM(DR$56:DR101)+SUM(GJ$9:GJ$56))/VLOOKUP($CU101,$AH$9:$AI$102,2)/VLOOKUP($CU101-FA$103,Männer!$G$9:$J$102,4),Rundäx)))</f>
        <v/>
      </c>
      <c r="FB101" s="43" t="str">
        <f>IF($CU101&gt;=RAF,"",IF($CU101-FB$103&lt;BeginnAlter,"",ROUND((SUM(DS$56:DS101)+SUM(GK$9:GK$56))/VLOOKUP($CU101,$AH$9:$AI$102,2)/VLOOKUP($CU101-FB$103,Männer!$G$9:$J$102,4),Rundäx)))</f>
        <v/>
      </c>
      <c r="FC101" s="89"/>
      <c r="FD101" s="35">
        <f t="shared" si="180"/>
        <v>109</v>
      </c>
      <c r="FE101" s="43" t="str">
        <f>IF($CU101&gt;=RAF,"",IF($CU101-FE$103&lt;BeginnAlter,"",ROUND((SUM(DT$56:DT101)+SUM(GL$9:GL$56))/VLOOKUP($CU101,$AH$9:$AI$102,2)/VLOOKUP($CU101-FE$103,Männer!$G$9:$J$102,4),Rundäx)))</f>
        <v/>
      </c>
      <c r="FF101" s="43" t="str">
        <f>IF($CU101&gt;=RAF,"",IF($CU101-FF$103&lt;BeginnAlter,"",ROUND((SUM(DU$56:DU101)+SUM(GM$9:GM$56))/VLOOKUP($CU101,$AH$9:$AI$102,2)/VLOOKUP($CU101-FF$103,Männer!$G$9:$J$102,4),Rundäx)))</f>
        <v/>
      </c>
      <c r="FG101" s="43" t="str">
        <f>IF($CU101&gt;=RAF,"",IF($CU101-FG$103&lt;BeginnAlter,"",ROUND((SUM(DV$56:DV101)+SUM(GN$9:GN$56))/VLOOKUP($CU101,$AH$9:$AI$102,2)/VLOOKUP($CU101-FG$103,Männer!$G$9:$J$102,4),Rundäx)))</f>
        <v/>
      </c>
      <c r="FH101" s="43" t="str">
        <f>IF($CU101&gt;=RAF,"",IF($CU101-FH$103&lt;BeginnAlter,"",ROUND((SUM(DW$56:DW101)+SUM(GO$9:GO$56))/VLOOKUP($CU101,$AH$9:$AI$102,2)/VLOOKUP($CU101-FH$103,Männer!$G$9:$J$102,4),Rundäx)))</f>
        <v/>
      </c>
      <c r="FI101" s="43" t="str">
        <f>IF($CU101&gt;=RAF,"",IF($CU101-FI$103&lt;BeginnAlter,"",ROUND((SUM(DX$56:DX101)+SUM(GP$9:GP$56))/VLOOKUP($CU101,$AH$9:$AI$102,2)/VLOOKUP($CU101-FI$103,Männer!$G$9:$J$102,4),Rundäx)))</f>
        <v/>
      </c>
      <c r="FJ101" s="43" t="str">
        <f>IF($CU101&gt;=RAF,"",IF($CU101-FJ$103&lt;BeginnAlter,"",ROUND((SUM(DY$56:DY101)+SUM(GQ$9:GQ$56))/VLOOKUP($CU101,$AH$9:$AI$102,2)/VLOOKUP($CU101-FJ$103,Männer!$G$9:$J$102,4),Rundäx)))</f>
        <v/>
      </c>
      <c r="FK101" s="43" t="str">
        <f>IF($CU101&gt;=RAF,"",IF($CU101-FK$103&lt;BeginnAlter,"",ROUND((SUM(DZ$56:DZ101)+SUM(GR$9:GR$56))/VLOOKUP($CU101,$AH$9:$AI$102,2)/VLOOKUP($CU101-FK$103,Männer!$G$9:$J$102,4),Rundäx)))</f>
        <v/>
      </c>
      <c r="FL101" s="89"/>
      <c r="FM101" s="35">
        <f t="shared" si="181"/>
        <v>156</v>
      </c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4"/>
      <c r="GT101" s="24"/>
      <c r="GU101" s="24" t="str">
        <f>IF(FM101&gt;=RAF," ",#REF!/$AI101/Frauen!$J89)</f>
        <v xml:space="preserve"> </v>
      </c>
      <c r="GV101" s="24" t="str">
        <f>IF(FM101&gt;=RAF," ",#REF!/$AI101/Frauen!$J92)</f>
        <v xml:space="preserve"> </v>
      </c>
      <c r="GW101" s="24" t="str">
        <f>IF(FM101&gt;=RAF," ",#REF!/$AI101/Frauen!$J95)</f>
        <v xml:space="preserve"> </v>
      </c>
      <c r="GX101" s="24" t="str">
        <f>IF(FM101&gt;=RAF," ",#REF!/$AI101/Frauen!$J98)</f>
        <v xml:space="preserve"> </v>
      </c>
      <c r="GY101" s="24" t="str">
        <f>IF(FM101&gt;=RAF," ",#REF!/$AI101/Frauen!$J101)</f>
        <v xml:space="preserve"> </v>
      </c>
      <c r="GZ101" s="24" t="str">
        <f>IF(FM101&gt;=RAF," ",#REF!/$AI101/Frauen!$J104)</f>
        <v xml:space="preserve"> </v>
      </c>
      <c r="HA101" s="89"/>
      <c r="HB101" s="35">
        <f t="shared" si="182"/>
        <v>156</v>
      </c>
      <c r="HC101" s="24"/>
      <c r="HD101" s="24"/>
      <c r="HE101" s="24"/>
      <c r="HF101" s="24"/>
      <c r="HG101" s="24"/>
      <c r="HH101" s="24"/>
      <c r="HI101" s="24"/>
      <c r="HJ101" s="24"/>
      <c r="HK101" s="89"/>
      <c r="HL101" s="35">
        <f t="shared" si="183"/>
        <v>156</v>
      </c>
      <c r="HM101" s="24"/>
      <c r="HN101" s="24"/>
      <c r="HO101" s="24"/>
      <c r="HP101" s="24"/>
      <c r="HQ101" s="24"/>
      <c r="HR101" s="24"/>
      <c r="HS101" s="24"/>
      <c r="HT101" s="24"/>
      <c r="HU101" s="89"/>
      <c r="HV101" s="35">
        <f t="shared" si="184"/>
        <v>156</v>
      </c>
      <c r="HW101" s="24"/>
      <c r="HX101" s="24"/>
      <c r="HY101" s="24"/>
      <c r="HZ101" s="24"/>
      <c r="IA101" s="24"/>
      <c r="IB101" s="24"/>
      <c r="IC101" s="24"/>
      <c r="ID101" s="89"/>
      <c r="IE101" s="9">
        <f t="shared" si="185"/>
        <v>109</v>
      </c>
      <c r="IF101" s="11" t="str">
        <f t="shared" si="101"/>
        <v/>
      </c>
      <c r="IG101" s="11" t="str">
        <f>IF($IE101&lt;RAF,IF(S102&lt;=RAK,ROUND(SUM(IF101:INDEX(Daky,RAF-BeginnAlter))+INDEX(Day,RAF-BeginnAlter+1)*INDEX(äky,1),RundDx),0),"")</f>
        <v/>
      </c>
      <c r="IH101" s="11" t="str">
        <f>IF($IE101&lt;RAF,IF(S102&lt;=RAK,ROUND(SUM(IG101:INDEX(Naky,RAF-BeginnAlter))+INDEX(Day,RAF-BeginnAlter+1)*INDEX(äky,1),RundDx),0),"")</f>
        <v/>
      </c>
      <c r="II101" s="10" t="str">
        <f t="shared" si="102"/>
        <v/>
      </c>
      <c r="IJ101" s="11" t="str">
        <f t="shared" si="103"/>
        <v/>
      </c>
      <c r="IK101" s="11" t="str">
        <f>IF($IE101&lt;RAF,IF(S102&lt;=RAK,SUM(IJ101:INDEX(Diky,RAF-BeginnAlter))+INDEX(Diy,RAF-BeginnAlter+1)*INDEX(äky,1),0),"")</f>
        <v/>
      </c>
      <c r="IL101" s="10" t="str">
        <f t="shared" si="104"/>
        <v/>
      </c>
      <c r="IM101" s="89"/>
      <c r="IN101" s="9">
        <f t="shared" si="186"/>
        <v>156</v>
      </c>
      <c r="IO101" s="11"/>
      <c r="IP101" s="15"/>
      <c r="IQ101" s="38"/>
      <c r="IR101" s="86"/>
    </row>
    <row r="102" spans="1:252" ht="15.75" customHeight="1" thickBot="1" x14ac:dyDescent="0.3">
      <c r="A102" s="12">
        <f t="shared" si="125"/>
        <v>110</v>
      </c>
      <c r="B102" s="81"/>
      <c r="C102" s="81"/>
      <c r="D102" s="39"/>
      <c r="E102" s="39"/>
      <c r="F102" s="90"/>
      <c r="G102" s="12">
        <f t="shared" si="126"/>
        <v>110</v>
      </c>
      <c r="H102" s="14" t="str">
        <f>IF(G102&lt;=RAF,ROUND(H100*(1-B100-C100),Rundlx),"")</f>
        <v/>
      </c>
      <c r="I102" s="27" t="str">
        <f>IF(G102&lt;=RAF,ROUND(H100*C100*(1-D100)/(1-0.5*D100)+I100*(1-D100),RundIx),"")</f>
        <v/>
      </c>
      <c r="J102" s="14"/>
      <c r="K102" s="31" t="str">
        <f>IF(J102&gt;0,ROUND(SUM(J102:J$102)/J102-0.5,Rundex),"")</f>
        <v/>
      </c>
      <c r="L102" s="14"/>
      <c r="M102" s="31" t="str">
        <f>IF(L102&gt;0,ROUND(SUM(L102:L$102)/L102-0.5,Rundex),"")</f>
        <v/>
      </c>
      <c r="N102" s="90"/>
      <c r="O102" s="12">
        <f t="shared" si="127"/>
        <v>110</v>
      </c>
      <c r="P102" s="39">
        <v>4.5399206815315934E-5</v>
      </c>
      <c r="Q102" s="97">
        <v>108.8320158542424</v>
      </c>
      <c r="R102" s="39"/>
      <c r="S102" s="97"/>
      <c r="T102" s="29"/>
      <c r="U102" s="99"/>
      <c r="V102" s="31" t="str">
        <f>IF(U102&gt;0,ROUND(SUM(U102:U$102)/U102-0.5,Rundex),"")</f>
        <v/>
      </c>
      <c r="W102" s="90"/>
      <c r="X102" s="12">
        <f t="shared" si="147"/>
        <v>110</v>
      </c>
      <c r="Y102" s="14" t="str">
        <f t="shared" si="148"/>
        <v xml:space="preserve"> </v>
      </c>
      <c r="Z102" s="14" t="str">
        <f>IF($X102&lt;RAF,SUM(Y102:INDEX(Day,RAF-BeginnAlter))," ")</f>
        <v xml:space="preserve"> </v>
      </c>
      <c r="AA102" s="14" t="str">
        <f t="shared" si="81"/>
        <v xml:space="preserve"> </v>
      </c>
      <c r="AB102" s="14" t="str">
        <f>IF($X102&lt;RAF,SUM(AA102:INDEX(Cay,RAF-BeginnAlter))," ")</f>
        <v xml:space="preserve"> </v>
      </c>
      <c r="AC102" s="14" t="str">
        <f t="shared" si="82"/>
        <v xml:space="preserve"> </v>
      </c>
      <c r="AD102" s="14" t="str">
        <f>IF($X102&lt;RAF,SUM(AC102:INDEX(Caiy,RAF-BeginnAlter))," ")</f>
        <v xml:space="preserve"> </v>
      </c>
      <c r="AE102" s="13" t="str">
        <f t="shared" si="149"/>
        <v xml:space="preserve"> </v>
      </c>
      <c r="AF102" s="13" t="str">
        <f t="shared" si="150"/>
        <v xml:space="preserve"> </v>
      </c>
      <c r="AG102" s="90"/>
      <c r="AH102" s="12">
        <f t="shared" si="151"/>
        <v>110</v>
      </c>
      <c r="AI102" s="14" t="str">
        <f t="shared" si="152"/>
        <v xml:space="preserve"> </v>
      </c>
      <c r="AJ102" s="14" t="str">
        <f>IF($AH102&gt;RAF," ",IF($AH102&lt;RAF,SUM(AI102:INDEX(Diy,RAF-BeginnAlter))+INDEX(Ny,RAF-BeginnAlter+1),INDEX(Ny,RAF-BeginnAlter+1)))</f>
        <v xml:space="preserve"> </v>
      </c>
      <c r="AK102" s="14" t="str">
        <f>IF($AH102&lt;RAF,SUM(AI102:INDEX(Diy,RAF-BeginnAlter))," ")</f>
        <v xml:space="preserve"> </v>
      </c>
      <c r="AL102" s="13" t="str">
        <f t="shared" si="153"/>
        <v xml:space="preserve"> </v>
      </c>
      <c r="AM102" s="13" t="str">
        <f t="shared" si="154"/>
        <v xml:space="preserve"> </v>
      </c>
      <c r="AN102" s="13" t="str">
        <f t="shared" si="155"/>
        <v xml:space="preserve"> </v>
      </c>
      <c r="AO102" s="13" t="str">
        <f t="shared" si="156"/>
        <v xml:space="preserve"> </v>
      </c>
      <c r="AP102" s="90"/>
      <c r="AQ102" s="12">
        <f t="shared" si="157"/>
        <v>110</v>
      </c>
      <c r="AR102" s="14"/>
      <c r="AS102" s="14"/>
      <c r="AT102" s="27" t="str">
        <f>IF($AQ102&lt;RAF,SUM(AR102:INDEX(Dy,RAF-BeginnAlter))," ")</f>
        <v xml:space="preserve"> </v>
      </c>
      <c r="AU102" s="26" t="str">
        <f t="shared" si="158"/>
        <v xml:space="preserve"> </v>
      </c>
      <c r="AV102" s="26" t="str">
        <f t="shared" si="159"/>
        <v xml:space="preserve"> </v>
      </c>
      <c r="AW102" s="26" t="str">
        <f t="shared" si="160"/>
        <v xml:space="preserve"> </v>
      </c>
      <c r="AX102" s="26" t="str">
        <f t="shared" si="161"/>
        <v xml:space="preserve"> </v>
      </c>
      <c r="AY102" s="90"/>
      <c r="AZ102" s="12">
        <f t="shared" si="162"/>
        <v>110</v>
      </c>
      <c r="BA102" s="14"/>
      <c r="BB102" s="14"/>
      <c r="BC102" s="13" t="str">
        <f t="shared" si="163"/>
        <v xml:space="preserve"> </v>
      </c>
      <c r="BD102" s="13">
        <f t="shared" si="84"/>
        <v>0</v>
      </c>
      <c r="BE102" s="90"/>
      <c r="BF102" s="12">
        <f t="shared" si="164"/>
        <v>93</v>
      </c>
      <c r="BG102" s="13" t="str">
        <f t="shared" si="85"/>
        <v/>
      </c>
      <c r="BH102" s="13" t="str">
        <f t="shared" si="86"/>
        <v/>
      </c>
      <c r="BI102" s="90"/>
      <c r="BJ102" s="12">
        <f t="shared" si="165"/>
        <v>110</v>
      </c>
      <c r="BK102" s="14" t="str">
        <f t="shared" si="166"/>
        <v xml:space="preserve"> </v>
      </c>
      <c r="BL102" s="14" t="str">
        <f>IF(BJ102&lt;RAF,SUM(BK102:INDEX(Daiy,RAF-BeginnAlter))," ")</f>
        <v xml:space="preserve"> </v>
      </c>
      <c r="BM102" s="14" t="str">
        <f>IF(BJ102&lt;RAF,SUM(BL102:INDEX(Naiy,RAF-BeginnAlter))," ")</f>
        <v xml:space="preserve"> </v>
      </c>
      <c r="BN102" s="13" t="str">
        <f t="shared" si="167"/>
        <v xml:space="preserve"> </v>
      </c>
      <c r="BO102" s="13" t="str">
        <f t="shared" si="168"/>
        <v xml:space="preserve"> </v>
      </c>
      <c r="BP102" s="90"/>
      <c r="BQ102" s="12">
        <f t="shared" si="169"/>
        <v>110</v>
      </c>
      <c r="BR102" s="14" t="str">
        <f t="shared" si="170"/>
        <v xml:space="preserve"> </v>
      </c>
      <c r="BS102" s="14" t="str">
        <f>IF(BQ102&lt;RAF,SUM(BR102:INDEX(Daiys,RAF-BeginnAlter))," ")</f>
        <v xml:space="preserve"> </v>
      </c>
      <c r="BT102" s="14" t="str">
        <f>IF(BQ102&lt;RAF,SUM(BS102:INDEX(Naiys,RAF-BeginnAlter))," ")</f>
        <v xml:space="preserve"> </v>
      </c>
      <c r="BU102" s="13" t="str">
        <f t="shared" si="171"/>
        <v xml:space="preserve"> </v>
      </c>
      <c r="BV102" s="13" t="str">
        <f t="shared" si="172"/>
        <v xml:space="preserve"> </v>
      </c>
      <c r="BW102" s="90"/>
      <c r="BX102" s="12">
        <f t="shared" si="173"/>
        <v>110</v>
      </c>
      <c r="BY102" s="13" t="str">
        <f t="shared" si="93"/>
        <v/>
      </c>
      <c r="BZ102" s="14" t="str">
        <f t="shared" si="94"/>
        <v/>
      </c>
      <c r="CA102" s="14" t="str">
        <f>IF(S103&lt;=RAK,IF($BX102&lt;RAF,SUM(BZ102:INDEX(Dazy,RAF-BeginnAlter)),""),"")</f>
        <v/>
      </c>
      <c r="CB102" s="13" t="str">
        <f t="shared" si="95"/>
        <v/>
      </c>
      <c r="CC102" s="14">
        <f t="shared" si="96"/>
        <v>0</v>
      </c>
      <c r="CD102" s="13">
        <f t="shared" si="97"/>
        <v>0</v>
      </c>
      <c r="CE102" s="13" t="str">
        <f t="shared" si="98"/>
        <v/>
      </c>
      <c r="CF102" s="90"/>
      <c r="CG102" s="12">
        <f t="shared" si="174"/>
        <v>110</v>
      </c>
      <c r="CH102" s="14" t="str">
        <f>IF(CG102&lt;RAF,ROUND(v^($CG102+FaktorAlter)*$H102*($B102*0.5*($P102+$P103)*(VLOOKUP(TRUNC(0.5*($Q102+$Q103),0),Männer!$AZ$9:$BD$95,5)+(0.5*($Q102+$Q103)-TRUNC(0.5*($Q102+$Q103),0))*(VLOOKUP(TRUNC(0.5*($Q102+$Q103)+1,0),Männer!$AZ$9:$BD$95,5)-VLOOKUP(TRUNC(0.5*($Q102+$Q103),0),Männer!$AZ$9:$BD$95,5)))+$C102*0.5*($CN102+$CN103)),RundDx),"")</f>
        <v/>
      </c>
      <c r="CI102" s="14" t="str">
        <f>IF(CG102&lt;RAF,ROUND(SUM(CH102:INDEX(Dawy,RAF-BeginnAlter))+INDEX(Day,RAF-BeginnAlter+1)*INDEX(äwy,1),RundDx),"")</f>
        <v/>
      </c>
      <c r="CJ102" s="14" t="str">
        <f>IF(CG102&lt;RAF,ROUND(SUM(CI102:INDEX(Nawy,RAF-BeginnAlter))+INDEX(Day,RAF-BeginnAlter+1)*INDEX(äwy,1),RundDx),"")</f>
        <v/>
      </c>
      <c r="CK102" s="13" t="str">
        <f t="shared" si="175"/>
        <v/>
      </c>
      <c r="CL102" s="14" t="str">
        <f>IF(CG102&lt;RAF,ROUND(v^($CG102+FaktorAlter)*$L102*$D102*0.5*($P102+$P103)*(VLOOKUP(TRUNC(0.5*($Q102+$Q103),0),Männer!$AZ$9:$BD$95,5)+(0.5*($Q102+$Q103)-TRUNC(0.5*($Q102+$Q103),0))*(VLOOKUP(TRUNC(0.5*($Q102+$Q103)+1,0),Männer!$AZ$9:$BD$95,5)-VLOOKUP(TRUNC(0.5*($Q102+$Q103),0),Männer!$AZ$9:$BD$95,5))),RundDx),"")</f>
        <v/>
      </c>
      <c r="CM102" s="14" t="str">
        <f>IF(CG102&lt;RAF,SUM(CL102:INDEX(Diwy,RAF-BeginnAlter))+INDEX(Diy,RAF-BeginnAlter+1)*INDEX(äwy,1),"")</f>
        <v/>
      </c>
      <c r="CN102" s="13" t="str">
        <f t="shared" si="176"/>
        <v/>
      </c>
      <c r="CO102" s="90"/>
      <c r="CP102" s="12">
        <f t="shared" si="146"/>
        <v>157</v>
      </c>
      <c r="CQ102" s="14"/>
      <c r="CR102" s="16"/>
      <c r="CS102" s="39"/>
      <c r="CT102" s="90"/>
      <c r="CU102" s="36">
        <f t="shared" si="177"/>
        <v>110</v>
      </c>
      <c r="CV102" s="27" t="str">
        <f>IF($CU102&gt;=RAF,"",IF($CU102-CV$103&lt;BeginnAlter,"",ROUND(v^($CU102+FaktorAlter)*$L102*$D102*0.5*(VLOOKUP($CU102-CV$103,Männer!$G$9:$J$102,4)+VLOOKUP($CU102-CV$103+1,Männer!$G$9:$J$102,4))*0.5*(VLOOKUP($CU102-CV$103,Männer!$AZ$9:$BD$102,5)+VLOOKUP($CU102-CV$103+1,Männer!$AZ$9:$BD$102,5)),RundDx)))</f>
        <v/>
      </c>
      <c r="CW102" s="27" t="str">
        <f>IF($CU102&gt;=RAF,"",IF($CU102-CW$103&lt;BeginnAlter,"",ROUND(v^($CU102+FaktorAlter)*$L102*$D102*0.5*(VLOOKUP($CU102-CW$103,Männer!$G$9:$J$102,4)+VLOOKUP($CU102-CW$103+1,Männer!$G$9:$J$102,4))*0.5*(VLOOKUP($CU102-CW$103,Männer!$AZ$9:$BD$102,5)+VLOOKUP($CU102-CW$103+1,Männer!$AZ$9:$BD$102,5)),RundDx)))</f>
        <v/>
      </c>
      <c r="CX102" s="27" t="str">
        <f>IF($CU102&gt;=RAF,"",IF($CU102-CX$103&lt;BeginnAlter,"",ROUND(v^($CU102+FaktorAlter)*$L102*$D102*0.5*(VLOOKUP($CU102-CX$103,Männer!$G$9:$J$102,4)+VLOOKUP($CU102-CX$103+1,Männer!$G$9:$J$102,4))*0.5*(VLOOKUP($CU102-CX$103,Männer!$AZ$9:$BD$102,5)+VLOOKUP($CU102-CX$103+1,Männer!$AZ$9:$BD$102,5)),RundDx)))</f>
        <v/>
      </c>
      <c r="CY102" s="27" t="str">
        <f>IF($CU102&gt;=RAF,"",IF($CU102-CY$103&lt;BeginnAlter,"",ROUND(v^($CU102+FaktorAlter)*$L102*$D102*0.5*(VLOOKUP($CU102-CY$103,Männer!$G$9:$J$102,4)+VLOOKUP($CU102-CY$103+1,Männer!$G$9:$J$102,4))*0.5*(VLOOKUP($CU102-CY$103,Männer!$AZ$9:$BD$102,5)+VLOOKUP($CU102-CY$103+1,Männer!$AZ$9:$BD$102,5)),RundDx)))</f>
        <v/>
      </c>
      <c r="CZ102" s="27" t="str">
        <f>IF($CU102&gt;=RAF,"",IF($CU102-CZ$103&lt;BeginnAlter,"",ROUND(v^($CU102+FaktorAlter)*$L102*$D102*0.5*(VLOOKUP($CU102-CZ$103,Männer!$G$9:$J$102,4)+VLOOKUP($CU102-CZ$103+1,Männer!$G$9:$J$102,4))*0.5*(VLOOKUP($CU102-CZ$103,Männer!$AZ$9:$BD$102,5)+VLOOKUP($CU102-CZ$103+1,Männer!$AZ$9:$BD$102,5)),RundDx)))</f>
        <v/>
      </c>
      <c r="DA102" s="27" t="str">
        <f>IF($CU102&gt;=RAF,"",IF($CU102-DA$103&lt;BeginnAlter,"",ROUND(v^($CU102+FaktorAlter)*$L102*$D102*0.5*(VLOOKUP($CU102-DA$103,Männer!$G$9:$J$102,4)+VLOOKUP($CU102-DA$103+1,Männer!$G$9:$J$102,4))*0.5*(VLOOKUP($CU102-DA$103,Männer!$AZ$9:$BD$102,5)+VLOOKUP($CU102-DA$103+1,Männer!$AZ$9:$BD$102,5)),RundDx)))</f>
        <v/>
      </c>
      <c r="DB102" s="27" t="str">
        <f>IF($CU102&gt;=RAF,"",IF($CU102-DB$103&lt;BeginnAlter,"",ROUND(v^($CU102+FaktorAlter)*$L102*$D102*0.5*(VLOOKUP($CU102-DB$103,Männer!$G$9:$J$102,4)+VLOOKUP($CU102-DB$103+1,Männer!$G$9:$J$102,4))*0.5*(VLOOKUP($CU102-DB$103,Männer!$AZ$9:$BD$102,5)+VLOOKUP($CU102-DB$103+1,Männer!$AZ$9:$BD$102,5)),RundDx)))</f>
        <v/>
      </c>
      <c r="DC102" s="27" t="str">
        <f>IF($CU102&gt;=RAF,"",IF($CU102-DC$103&lt;BeginnAlter,"",ROUND(v^($CU102+FaktorAlter)*$L102*$D102*0.5*(VLOOKUP($CU102-DC$103,Männer!$G$9:$J$102,4)+VLOOKUP($CU102-DC$103+1,Männer!$G$9:$J$102,4))*0.5*(VLOOKUP($CU102-DC$103,Männer!$AZ$9:$BD$102,5)+VLOOKUP($CU102-DC$103+1,Männer!$AZ$9:$BD$102,5)),RundDx)))</f>
        <v/>
      </c>
      <c r="DD102" s="27" t="str">
        <f>IF($CU102&gt;=RAF,"",IF($CU102-DD$103&lt;BeginnAlter,"",ROUND(v^($CU102+FaktorAlter)*$L102*$D102*0.5*(VLOOKUP($CU102-DD$103,Männer!$G$9:$J$102,4)+VLOOKUP($CU102-DD$103+1,Männer!$G$9:$J$102,4))*0.5*(VLOOKUP($CU102-DD$103,Männer!$AZ$9:$BD$102,5)+VLOOKUP($CU102-DD$103+1,Männer!$AZ$9:$BD$102,5)),RundDx)))</f>
        <v/>
      </c>
      <c r="DE102" s="27" t="str">
        <f>IF($CU102&gt;=RAF,"",IF($CU102-DE$103&lt;BeginnAlter,"",ROUND(v^($CU102+FaktorAlter)*$L102*$D102*0.5*(VLOOKUP($CU102-DE$103,Männer!$G$9:$J$102,4)+VLOOKUP($CU102-DE$103+1,Männer!$G$9:$J$102,4))*0.5*(VLOOKUP($CU102-DE$103,Männer!$AZ$9:$BD$102,5)+VLOOKUP($CU102-DE$103+1,Männer!$AZ$9:$BD$102,5)),RundDx)))</f>
        <v/>
      </c>
      <c r="DF102" s="27" t="str">
        <f>IF($CU102&gt;=RAF,"",IF($CU102-DF$103&lt;BeginnAlter,"",ROUND(v^($CU102+FaktorAlter)*$L102*$D102*0.5*(VLOOKUP($CU102-DF$103,Männer!$G$9:$J$102,4)+VLOOKUP($CU102-DF$103+1,Männer!$G$9:$J$102,4))*0.5*(VLOOKUP($CU102-DF$103,Männer!$AZ$9:$BD$102,5)+VLOOKUP($CU102-DF$103+1,Männer!$AZ$9:$BD$102,5)),RundDx)))</f>
        <v/>
      </c>
      <c r="DG102" s="27" t="str">
        <f>IF($CU102&gt;=RAF,"",IF($CU102-DG$103&lt;BeginnAlter,"",ROUND(v^($CU102+FaktorAlter)*$L102*$D102*0.5*(VLOOKUP($CU102-DG$103,Männer!$G$9:$J$102,4)+VLOOKUP($CU102-DG$103+1,Männer!$G$9:$J$102,4))*0.5*(VLOOKUP($CU102-DG$103,Männer!$AZ$9:$BD$102,5)+VLOOKUP($CU102-DG$103+1,Männer!$AZ$9:$BD$102,5)),RundDx)))</f>
        <v/>
      </c>
      <c r="DH102" s="27" t="str">
        <f>IF($CU102&gt;=RAF,"",IF($CU102-DH$103&lt;BeginnAlter,"",ROUND(v^($CU102+FaktorAlter)*$L102*$D102*0.5*(VLOOKUP($CU102-DH$103,Männer!$G$9:$J$102,4)+VLOOKUP($CU102-DH$103+1,Männer!$G$9:$J$102,4))*0.5*(VLOOKUP($CU102-DH$103,Männer!$AZ$9:$BD$102,5)+VLOOKUP($CU102-DH$103+1,Männer!$AZ$9:$BD$102,5)),RundDx)))</f>
        <v/>
      </c>
      <c r="DI102" s="27" t="str">
        <f>IF($CU102&gt;=RAF,"",IF($CU102-DI$103&lt;BeginnAlter,"",ROUND(v^($CU102+FaktorAlter)*$L102*$D102*0.5*(VLOOKUP($CU102-DI$103,Männer!$G$9:$J$102,4)+VLOOKUP($CU102-DI$103+1,Männer!$G$9:$J$102,4))*0.5*(VLOOKUP($CU102-DI$103,Männer!$AZ$9:$BD$102,5)+VLOOKUP($CU102-DI$103+1,Männer!$AZ$9:$BD$102,5)),RundDx)))</f>
        <v/>
      </c>
      <c r="DJ102" s="27" t="str">
        <f>IF($CU102&gt;=RAF,"",IF($CU102-DJ$103&lt;BeginnAlter,"",ROUND(v^($CU102+FaktorAlter)*$L102*$D102*0.5*(VLOOKUP($CU102-DJ$103,Männer!$G$9:$J$102,4)+VLOOKUP($CU102-DJ$103+1,Männer!$G$9:$J$102,4))*0.5*(VLOOKUP($CU102-DJ$103,Männer!$AZ$9:$BD$102,5)+VLOOKUP($CU102-DJ$103+1,Männer!$AZ$9:$BD$102,5)),RundDx)))</f>
        <v/>
      </c>
      <c r="DK102" s="27" t="str">
        <f>IF($CU102&gt;=RAF,"",IF($CU102-DK$103&lt;BeginnAlter,"",ROUND(v^($CU102+FaktorAlter)*$L102*$D102*0.5*(VLOOKUP($CU102-DK$103,Männer!$G$9:$J$102,4)+VLOOKUP($CU102-DK$103+1,Männer!$G$9:$J$102,4))*0.5*(VLOOKUP($CU102-DK$103,Männer!$AZ$9:$BD$102,5)+VLOOKUP($CU102-DK$103+1,Männer!$AZ$9:$BD$102,5)),RundDx)))</f>
        <v/>
      </c>
      <c r="DL102" s="27" t="str">
        <f>IF($CU102&gt;=RAF,"",IF($CU102-DL$103&lt;BeginnAlter,"",ROUND(v^($CU102+FaktorAlter)*$L102*$D102*0.5*(VLOOKUP($CU102-DL$103,Männer!$G$9:$J$102,4)+VLOOKUP($CU102-DL$103+1,Männer!$G$9:$J$102,4))*0.5*(VLOOKUP($CU102-DL$103,Männer!$AZ$9:$BD$102,5)+VLOOKUP($CU102-DL$103+1,Männer!$AZ$9:$BD$102,5)),RundDx)))</f>
        <v/>
      </c>
      <c r="DM102" s="27" t="str">
        <f>IF($CU102&gt;=RAF,"",IF($CU102-DM$103&lt;BeginnAlter,"",ROUND(v^($CU102+FaktorAlter)*$L102*$D102*0.5*(VLOOKUP($CU102-DM$103,Männer!$G$9:$J$102,4)+VLOOKUP($CU102-DM$103+1,Männer!$G$9:$J$102,4))*0.5*(VLOOKUP($CU102-DM$103,Männer!$AZ$9:$BD$102,5)+VLOOKUP($CU102-DM$103+1,Männer!$AZ$9:$BD$102,5)),RundDx)))</f>
        <v/>
      </c>
      <c r="DN102" s="27" t="str">
        <f>IF($CU102&gt;=RAF,"",IF($CU102-DN$103&lt;BeginnAlter,"",ROUND(v^($CU102+FaktorAlter)*$L102*$D102*0.5*(VLOOKUP($CU102-DN$103,Männer!$G$9:$J$102,4)+VLOOKUP($CU102-DN$103+1,Männer!$G$9:$J$102,4))*0.5*(VLOOKUP($CU102-DN$103,Männer!$AZ$9:$BD$102,5)+VLOOKUP($CU102-DN$103+1,Männer!$AZ$9:$BD$102,5)),RundDx)))</f>
        <v/>
      </c>
      <c r="DO102" s="27" t="str">
        <f>IF($CU102&gt;=RAF,"",IF($CU102-DO$103&lt;BeginnAlter,"",ROUND(v^($CU102+FaktorAlter)*$L102*$D102*0.5*(VLOOKUP($CU102-DO$103,Männer!$G$9:$J$102,4)+VLOOKUP($CU102-DO$103+1,Männer!$G$9:$J$102,4))*0.5*(VLOOKUP($CU102-DO$103,Männer!$AZ$9:$BD$102,5)+VLOOKUP($CU102-DO$103+1,Männer!$AZ$9:$BD$102,5)),RundDx)))</f>
        <v/>
      </c>
      <c r="DP102" s="27" t="str">
        <f>IF($CU102&gt;=RAF,"",IF($CU102-DP$103&lt;BeginnAlter,"",ROUND(v^($CU102+FaktorAlter)*$L102*$D102*0.5*(VLOOKUP($CU102-DP$103,Männer!$G$9:$J$102,4)+VLOOKUP($CU102-DP$103+1,Männer!$G$9:$J$102,4))*0.5*(VLOOKUP($CU102-DP$103,Männer!$AZ$9:$BD$102,5)+VLOOKUP($CU102-DP$103+1,Männer!$AZ$9:$BD$102,5)),RundDx)))</f>
        <v/>
      </c>
      <c r="DQ102" s="27" t="str">
        <f>IF($CU102&gt;=RAF,"",IF($CU102-DQ$103&lt;BeginnAlter,"",ROUND(v^($CU102+FaktorAlter)*$L102*$D102*0.5*(VLOOKUP($CU102-DQ$103,Männer!$G$9:$J$102,4)+VLOOKUP($CU102-DQ$103+1,Männer!$G$9:$J$102,4))*0.5*(VLOOKUP($CU102-DQ$103,Männer!$AZ$9:$BD$102,5)+VLOOKUP($CU102-DQ$103+1,Männer!$AZ$9:$BD$102,5)),RundDx)))</f>
        <v/>
      </c>
      <c r="DR102" s="27" t="str">
        <f>IF($CU102&gt;=RAF,"",IF($CU102-DR$103&lt;BeginnAlter,"",ROUND(v^($CU102+FaktorAlter)*$L102*$D102*0.5*(VLOOKUP($CU102-DR$103,Männer!$G$9:$J$102,4)+VLOOKUP($CU102-DR$103+1,Männer!$G$9:$J$102,4))*0.5*(VLOOKUP($CU102-DR$103,Männer!$AZ$9:$BD$102,5)+VLOOKUP($CU102-DR$103+1,Männer!$AZ$9:$BD$102,5)),RundDx)))</f>
        <v/>
      </c>
      <c r="DS102" s="27" t="str">
        <f>IF($CU102&gt;=RAF,"",IF($CU102-DS$103&lt;BeginnAlter,"",ROUND(v^($CU102+FaktorAlter)*$L102*$D102*0.5*(VLOOKUP($CU102-DS$103,Männer!$G$9:$J$102,4)+VLOOKUP($CU102-DS$103+1,Männer!$G$9:$J$102,4))*0.5*(VLOOKUP($CU102-DS$103,Männer!$AZ$9:$BD$102,5)+VLOOKUP($CU102-DS$103+1,Männer!$AZ$9:$BD$102,5)),RundDx)))</f>
        <v/>
      </c>
      <c r="DT102" s="27" t="str">
        <f>IF($CU102&gt;=RAF,"",IF($CU102-DT$103&lt;BeginnAlter,"",ROUND(v^($CU102+FaktorAlter)*$L102*$D102*0.5*(VLOOKUP($CU102-DT$103,Männer!$G$9:$J$102,4)+VLOOKUP($CU102-DT$103+1,Männer!$G$9:$J$102,4))*0.5*(VLOOKUP($CU102-DT$103,Männer!$AZ$9:$BD$102,5)+VLOOKUP($CU102-DT$103+1,Männer!$AZ$9:$BD$102,5)),RundDx)))</f>
        <v/>
      </c>
      <c r="DU102" s="27" t="str">
        <f>IF($CU102&gt;=RAF,"",IF($CU102-DU$103&lt;BeginnAlter,"",ROUND(v^($CU102+FaktorAlter)*$L102*$D102*0.5*(VLOOKUP($CU102-DU$103,Männer!$G$9:$J$102,4)+VLOOKUP($CU102-DU$103+1,Männer!$G$9:$J$102,4))*0.5*(VLOOKUP($CU102-DU$103,Männer!$AZ$9:$BD$102,5)+VLOOKUP($CU102-DU$103+1,Männer!$AZ$9:$BD$102,5)),RundDx)))</f>
        <v/>
      </c>
      <c r="DV102" s="27" t="str">
        <f>IF($CU102&gt;=RAF,"",IF($CU102-DV$103&lt;BeginnAlter,"",ROUND(v^($CU102+FaktorAlter)*$L102*$D102*0.5*(VLOOKUP($CU102-DV$103,Männer!$G$9:$J$102,4)+VLOOKUP($CU102-DV$103+1,Männer!$G$9:$J$102,4))*0.5*(VLOOKUP($CU102-DV$103,Männer!$AZ$9:$BD$102,5)+VLOOKUP($CU102-DV$103+1,Männer!$AZ$9:$BD$102,5)),RundDx)))</f>
        <v/>
      </c>
      <c r="DW102" s="27" t="str">
        <f>IF($CU102&gt;=RAF,"",IF($CU102-DW$103&lt;BeginnAlter,"",ROUND(v^($CU102+FaktorAlter)*$L102*$D102*0.5*(VLOOKUP($CU102-DW$103,Männer!$G$9:$J$102,4)+VLOOKUP($CU102-DW$103+1,Männer!$G$9:$J$102,4))*0.5*(VLOOKUP($CU102-DW$103,Männer!$AZ$9:$BD$102,5)+VLOOKUP($CU102-DW$103+1,Männer!$AZ$9:$BD$102,5)),RundDx)))</f>
        <v/>
      </c>
      <c r="DX102" s="27" t="str">
        <f>IF($CU102&gt;=RAF,"",IF($CU102-DX$103&lt;BeginnAlter,"",ROUND(v^($CU102+FaktorAlter)*$L102*$D102*0.5*(VLOOKUP($CU102-DX$103,Männer!$G$9:$J$102,4)+VLOOKUP($CU102-DX$103+1,Männer!$G$9:$J$102,4))*0.5*(VLOOKUP($CU102-DX$103,Männer!$AZ$9:$BD$102,5)+VLOOKUP($CU102-DX$103+1,Männer!$AZ$9:$BD$102,5)),RundDx)))</f>
        <v/>
      </c>
      <c r="DY102" s="27" t="str">
        <f>IF($CU102&gt;=RAF,"",IF($CU102-DY$103&lt;BeginnAlter,"",ROUND(v^($CU102+FaktorAlter)*$L102*$D102*0.5*(VLOOKUP($CU102-DY$103,Männer!$G$9:$J$102,4)+VLOOKUP($CU102-DY$103+1,Männer!$G$9:$J$102,4))*0.5*(VLOOKUP($CU102-DY$103,Männer!$AZ$9:$BD$102,5)+VLOOKUP($CU102-DY$103+1,Männer!$AZ$9:$BD$102,5)),RundDx)))</f>
        <v/>
      </c>
      <c r="DZ102" s="27" t="str">
        <f>IF($CU102&gt;=RAF,"",IF($CU102-DZ$103&lt;BeginnAlter,"",ROUND(v^($CU102+FaktorAlter)*$L102*$D102*0.5*(VLOOKUP($CU102-DZ$103,Männer!$G$9:$J$102,4)+VLOOKUP($CU102-DZ$103+1,Männer!$G$9:$J$102,4))*0.5*(VLOOKUP($CU102-DZ$103,Männer!$AZ$9:$BD$102,5)+VLOOKUP($CU102-DZ$103+1,Männer!$AZ$9:$BD$102,5)),RundDx)))</f>
        <v/>
      </c>
      <c r="EA102" s="37" t="str">
        <f>IF($CU102&gt;=RAF,"",IF($CU102-EA$103&lt;BeginnAlter,"",ROUND((SUM(CV$56:CV102)+SUM(FN$9:FN$56))/VLOOKUP($CU102,$AH$9:$AI$102,2)/VLOOKUP($CU102-EA$103,Männer!$G$9:$J$102,4),Rundäx)))</f>
        <v/>
      </c>
      <c r="EB102" s="37" t="str">
        <f>IF($CU102&gt;=RAF,"",IF($CU102-EB$103&lt;BeginnAlter,"",ROUND((SUM(CW$56:CW102)+SUM(FO$9:FO$56))/VLOOKUP($CU102,$AH$9:$AI$102,2)/VLOOKUP($CU102-EB$103,Männer!$G$9:$J$102,4),Rundäx)))</f>
        <v/>
      </c>
      <c r="EC102" s="37" t="str">
        <f>IF($CU102&gt;=RAF,"",IF($CU102-EC$103&lt;BeginnAlter,"",ROUND((SUM(CX$56:CX102)+SUM(FP$9:FP$56))/VLOOKUP($CU102,$AH$9:$AI$102,2)/VLOOKUP($CU102-EC$103,Männer!$G$9:$J$102,4),Rundäx)))</f>
        <v/>
      </c>
      <c r="ED102" s="37" t="str">
        <f>IF($CU102&gt;=RAF,"",IF($CU102-ED$103&lt;BeginnAlter,"",ROUND((SUM(CY$56:CY102)+SUM(FQ$9:FQ$56))/VLOOKUP($CU102,$AH$9:$AI$102,2)/VLOOKUP($CU102-ED$103,Männer!$G$9:$J$102,4),Rundäx)))</f>
        <v/>
      </c>
      <c r="EE102" s="37" t="str">
        <f>IF($CU102&gt;=RAF,"",IF($CU102-EE$103&lt;BeginnAlter,"",ROUND((SUM(CZ$56:CZ102)+SUM(FR$9:FR$56))/VLOOKUP($CU102,$AH$9:$AI$102,2)/VLOOKUP($CU102-EE$103,Männer!$G$9:$J$102,4),Rundäx)))</f>
        <v/>
      </c>
      <c r="EF102" s="37" t="str">
        <f>IF($CU102&gt;=RAF,"",IF($CU102-EF$103&lt;BeginnAlter,"",ROUND((SUM(DA$56:DA102)+SUM(FS$9:FS$56))/VLOOKUP($CU102,$AH$9:$AI$102,2)/VLOOKUP($CU102-EF$103,Männer!$G$9:$J$102,4),Rundäx)))</f>
        <v/>
      </c>
      <c r="EG102" s="37" t="str">
        <f>IF($CU102&gt;=RAF,"",IF($CU102-EG$103&lt;BeginnAlter,"",ROUND((SUM(DB$56:DB102)+SUM(FT$9:FT$56))/VLOOKUP($CU102,$AH$9:$AI$102,2)/VLOOKUP($CU102-EG$103,Männer!$G$9:$J$102,4),Rundäx)))</f>
        <v/>
      </c>
      <c r="EH102" s="37" t="str">
        <f>IF($CU102&gt;=RAF,"",IF($CU102-EH$103&lt;BeginnAlter,"",ROUND((SUM(DC$56:DC102)+SUM(FU$9:FU$56))/VLOOKUP($CU102,$AH$9:$AI$102,2)/VLOOKUP($CU102-EH$103,Männer!$G$9:$J$102,4),Rundäx)))</f>
        <v/>
      </c>
      <c r="EI102" s="90"/>
      <c r="EJ102" s="36">
        <f t="shared" si="178"/>
        <v>110</v>
      </c>
      <c r="EK102" s="37" t="str">
        <f>IF($CU102&gt;=RAF,"",IF($CU102-EK$103&lt;BeginnAlter,"",ROUND((SUM(DD$56:DD102)+SUM(FV$9:FV$56))/VLOOKUP($CU102,$AH$9:$AI$102,2)/VLOOKUP($CU102-EK$103,Männer!$G$9:$J$102,4),Rundäx)))</f>
        <v/>
      </c>
      <c r="EL102" s="37" t="str">
        <f>IF($CU102&gt;=RAF,"",IF($CU102-EL$103&lt;BeginnAlter,"",ROUND((SUM(DE$56:DE102)+SUM(FW$9:FW$56))/VLOOKUP($CU102,$AH$9:$AI$102,2)/VLOOKUP($CU102-EL$103,Männer!$G$9:$J$102,4),Rundäx)))</f>
        <v/>
      </c>
      <c r="EM102" s="37" t="str">
        <f>IF($CU102&gt;=RAF,"",IF($CU102-EM$103&lt;BeginnAlter,"",ROUND((SUM(DF$56:DF102)+SUM(FX$9:FX$56))/VLOOKUP($CU102,$AH$9:$AI$102,2)/VLOOKUP($CU102-EM$103,Männer!$G$9:$J$102,4),Rundäx)))</f>
        <v/>
      </c>
      <c r="EN102" s="37" t="str">
        <f>IF($CU102&gt;=RAF,"",IF($CU102-EN$103&lt;BeginnAlter,"",ROUND((SUM(DG$56:DG102)+SUM(FY$9:FY$56))/VLOOKUP($CU102,$AH$9:$AI$102,2)/VLOOKUP($CU102-EN$103,Männer!$G$9:$J$102,4),Rundäx)))</f>
        <v/>
      </c>
      <c r="EO102" s="37" t="str">
        <f>IF($CU102&gt;=RAF,"",IF($CU102-EO$103&lt;BeginnAlter,"",ROUND((SUM(DH$56:DH102)+SUM(FZ$9:FZ$56))/VLOOKUP($CU102,$AH$9:$AI$102,2)/VLOOKUP($CU102-EO$103,Männer!$G$9:$J$102,4),Rundäx)))</f>
        <v/>
      </c>
      <c r="EP102" s="37" t="str">
        <f>IF($CU102&gt;=RAF,"",IF($CU102-EP$103&lt;BeginnAlter,"",ROUND((SUM(DI$56:DI102)+SUM(GA$9:GA$56))/VLOOKUP($CU102,$AH$9:$AI$102,2)/VLOOKUP($CU102-EP$103,Männer!$G$9:$J$102,4),Rundäx)))</f>
        <v/>
      </c>
      <c r="EQ102" s="37" t="str">
        <f>IF($CU102&gt;=RAF,"",IF($CU102-EQ$103&lt;BeginnAlter,"",ROUND((SUM(DJ$56:DJ102)+SUM(GB$9:GB$56))/VLOOKUP($CU102,$AH$9:$AI$102,2)/VLOOKUP($CU102-EQ$103,Männer!$G$9:$J$102,4),Rundäx)))</f>
        <v/>
      </c>
      <c r="ER102" s="37" t="str">
        <f>IF($CU102&gt;=RAF,"",IF($CU102-ER$103&lt;BeginnAlter,"",ROUND((SUM(DK$56:DK102)+SUM(GC$9:GC$56))/VLOOKUP($CU102,$AH$9:$AI$102,2)/VLOOKUP($CU102-ER$103,Männer!$G$9:$J$102,4),Rundäx)))</f>
        <v/>
      </c>
      <c r="ES102" s="90"/>
      <c r="ET102" s="36">
        <f t="shared" si="179"/>
        <v>110</v>
      </c>
      <c r="EU102" s="37" t="str">
        <f>IF($CU102&gt;=RAF,"",IF($CU102-EU$103&lt;BeginnAlter,"",ROUND((SUM(DL$56:DL102)+SUM(GD$9:GD$56))/VLOOKUP($CU102,$AH$9:$AI$102,2)/VLOOKUP($CU102-EU$103,Männer!$G$9:$J$102,4),Rundäx)))</f>
        <v/>
      </c>
      <c r="EV102" s="37" t="str">
        <f>IF($CU102&gt;=RAF,"",IF($CU102-EV$103&lt;BeginnAlter,"",ROUND((SUM(DM$56:DM102)+SUM(GE$9:GE$56))/VLOOKUP($CU102,$AH$9:$AI$102,2)/VLOOKUP($CU102-EV$103,Männer!$G$9:$J$102,4),Rundäx)))</f>
        <v/>
      </c>
      <c r="EW102" s="37" t="str">
        <f>IF($CU102&gt;=RAF,"",IF($CU102-EW$103&lt;BeginnAlter,"",ROUND((SUM(DN$56:DN102)+SUM(GF$9:GF$56))/VLOOKUP($CU102,$AH$9:$AI$102,2)/VLOOKUP($CU102-EW$103,Männer!$G$9:$J$102,4),Rundäx)))</f>
        <v/>
      </c>
      <c r="EX102" s="37" t="str">
        <f>IF($CU102&gt;=RAF,"",IF($CU102-EX$103&lt;BeginnAlter,"",ROUND((SUM(DO$56:DO102)+SUM(GG$9:GG$56))/VLOOKUP($CU102,$AH$9:$AI$102,2)/VLOOKUP($CU102-EX$103,Männer!$G$9:$J$102,4),Rundäx)))</f>
        <v/>
      </c>
      <c r="EY102" s="37" t="str">
        <f>IF($CU102&gt;=RAF,"",IF($CU102-EY$103&lt;BeginnAlter,"",ROUND((SUM(DP$56:DP102)+SUM(GH$9:GH$56))/VLOOKUP($CU102,$AH$9:$AI$102,2)/VLOOKUP($CU102-EY$103,Männer!$G$9:$J$102,4),Rundäx)))</f>
        <v/>
      </c>
      <c r="EZ102" s="37" t="str">
        <f>IF($CU102&gt;=RAF,"",IF($CU102-EZ$103&lt;BeginnAlter,"",ROUND((SUM(DQ$56:DQ102)+SUM(GI$9:GI$56))/VLOOKUP($CU102,$AH$9:$AI$102,2)/VLOOKUP($CU102-EZ$103,Männer!$G$9:$J$102,4),Rundäx)))</f>
        <v/>
      </c>
      <c r="FA102" s="37" t="str">
        <f>IF($CU102&gt;=RAF,"",IF($CU102-FA$103&lt;BeginnAlter,"",ROUND((SUM(DR$56:DR102)+SUM(GJ$9:GJ$56))/VLOOKUP($CU102,$AH$9:$AI$102,2)/VLOOKUP($CU102-FA$103,Männer!$G$9:$J$102,4),Rundäx)))</f>
        <v/>
      </c>
      <c r="FB102" s="37" t="str">
        <f>IF($CU102&gt;=RAF,"",IF($CU102-FB$103&lt;BeginnAlter,"",ROUND((SUM(DS$56:DS102)+SUM(GK$9:GK$56))/VLOOKUP($CU102,$AH$9:$AI$102,2)/VLOOKUP($CU102-FB$103,Männer!$G$9:$J$102,4),Rundäx)))</f>
        <v/>
      </c>
      <c r="FC102" s="90"/>
      <c r="FD102" s="36">
        <f t="shared" si="180"/>
        <v>110</v>
      </c>
      <c r="FE102" s="37" t="str">
        <f>IF($CU102&gt;=RAF,"",IF($CU102-FE$103&lt;BeginnAlter,"",ROUND((SUM(DT$56:DT102)+SUM(GL$9:GL$56))/VLOOKUP($CU102,$AH$9:$AI$102,2)/VLOOKUP($CU102-FE$103,Männer!$G$9:$J$102,4),Rundäx)))</f>
        <v/>
      </c>
      <c r="FF102" s="37" t="str">
        <f>IF($CU102&gt;=RAF,"",IF($CU102-FF$103&lt;BeginnAlter,"",ROUND((SUM(DU$56:DU102)+SUM(GM$9:GM$56))/VLOOKUP($CU102,$AH$9:$AI$102,2)/VLOOKUP($CU102-FF$103,Männer!$G$9:$J$102,4),Rundäx)))</f>
        <v/>
      </c>
      <c r="FG102" s="37" t="str">
        <f>IF($CU102&gt;=RAF,"",IF($CU102-FG$103&lt;BeginnAlter,"",ROUND((SUM(DV$56:DV102)+SUM(GN$9:GN$56))/VLOOKUP($CU102,$AH$9:$AI$102,2)/VLOOKUP($CU102-FG$103,Männer!$G$9:$J$102,4),Rundäx)))</f>
        <v/>
      </c>
      <c r="FH102" s="37" t="str">
        <f>IF($CU102&gt;=RAF,"",IF($CU102-FH$103&lt;BeginnAlter,"",ROUND((SUM(DW$56:DW102)+SUM(GO$9:GO$56))/VLOOKUP($CU102,$AH$9:$AI$102,2)/VLOOKUP($CU102-FH$103,Männer!$G$9:$J$102,4),Rundäx)))</f>
        <v/>
      </c>
      <c r="FI102" s="37" t="str">
        <f>IF($CU102&gt;=RAF,"",IF($CU102-FI$103&lt;BeginnAlter,"",ROUND((SUM(DX$56:DX102)+SUM(GP$9:GP$56))/VLOOKUP($CU102,$AH$9:$AI$102,2)/VLOOKUP($CU102-FI$103,Männer!$G$9:$J$102,4),Rundäx)))</f>
        <v/>
      </c>
      <c r="FJ102" s="37" t="str">
        <f>IF($CU102&gt;=RAF,"",IF($CU102-FJ$103&lt;BeginnAlter,"",ROUND((SUM(DY$56:DY102)+SUM(GQ$9:GQ$56))/VLOOKUP($CU102,$AH$9:$AI$102,2)/VLOOKUP($CU102-FJ$103,Männer!$G$9:$J$102,4),Rundäx)))</f>
        <v/>
      </c>
      <c r="FK102" s="37" t="str">
        <f>IF($CU102&gt;=RAF,"",IF($CU102-FK$103&lt;BeginnAlter,"",ROUND((SUM(DZ$56:DZ102)+SUM(GR$9:GR$56))/VLOOKUP($CU102,$AH$9:$AI$102,2)/VLOOKUP($CU102-FK$103,Männer!$G$9:$J$102,4),Rundäx)))</f>
        <v/>
      </c>
      <c r="FL102" s="90"/>
      <c r="FM102" s="36">
        <f t="shared" si="181"/>
        <v>157</v>
      </c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6"/>
      <c r="GT102" s="26"/>
      <c r="GU102" s="26" t="str">
        <f>IF(FM102&gt;=RAF," ",#REF!/$AI102/Frauen!$J90)</f>
        <v xml:space="preserve"> </v>
      </c>
      <c r="GV102" s="26" t="str">
        <f>IF(FM102&gt;=RAF," ",#REF!/$AI102/Frauen!$J93)</f>
        <v xml:space="preserve"> </v>
      </c>
      <c r="GW102" s="26" t="str">
        <f>IF(FM102&gt;=RAF," ",#REF!/$AI102/Frauen!$J96)</f>
        <v xml:space="preserve"> </v>
      </c>
      <c r="GX102" s="26" t="str">
        <f>IF(FM102&gt;=RAF," ",#REF!/$AI102/Frauen!$J99)</f>
        <v xml:space="preserve"> </v>
      </c>
      <c r="GY102" s="26" t="str">
        <f>IF(FM102&gt;=RAF," ",#REF!/$AI102/Frauen!$J102)</f>
        <v xml:space="preserve"> </v>
      </c>
      <c r="GZ102" s="26" t="str">
        <f>IF(FM102&gt;=RAF," ",#REF!/$AI102/Frauen!$J105)</f>
        <v xml:space="preserve"> </v>
      </c>
      <c r="HA102" s="90"/>
      <c r="HB102" s="36">
        <f t="shared" si="182"/>
        <v>157</v>
      </c>
      <c r="HC102" s="26"/>
      <c r="HD102" s="26"/>
      <c r="HE102" s="26"/>
      <c r="HF102" s="26"/>
      <c r="HG102" s="26"/>
      <c r="HH102" s="26"/>
      <c r="HI102" s="26"/>
      <c r="HJ102" s="26"/>
      <c r="HK102" s="90"/>
      <c r="HL102" s="36">
        <f t="shared" si="183"/>
        <v>157</v>
      </c>
      <c r="HM102" s="26"/>
      <c r="HN102" s="26"/>
      <c r="HO102" s="26"/>
      <c r="HP102" s="26"/>
      <c r="HQ102" s="26"/>
      <c r="HR102" s="26"/>
      <c r="HS102" s="26"/>
      <c r="HT102" s="26"/>
      <c r="HU102" s="90"/>
      <c r="HV102" s="36">
        <f t="shared" si="184"/>
        <v>157</v>
      </c>
      <c r="HW102" s="26"/>
      <c r="HX102" s="26"/>
      <c r="HY102" s="26"/>
      <c r="HZ102" s="26"/>
      <c r="IA102" s="26"/>
      <c r="IB102" s="26"/>
      <c r="IC102" s="26"/>
      <c r="ID102" s="90"/>
      <c r="IE102" s="12">
        <f t="shared" si="185"/>
        <v>110</v>
      </c>
      <c r="IF102" s="14" t="str">
        <f t="shared" si="101"/>
        <v/>
      </c>
      <c r="IG102" s="14" t="str">
        <f>IF($IE102&lt;RAF,IF(S103&lt;=RAK,ROUND(SUM(IF102:INDEX(Daky,RAF-BeginnAlter))+INDEX(Day,RAF-BeginnAlter+1)*INDEX(äky,1),RundDx),0),"")</f>
        <v/>
      </c>
      <c r="IH102" s="14" t="str">
        <f>IF($IE102&lt;RAF,IF(S103&lt;=RAK,ROUND(SUM(IG102:INDEX(Naky,RAF-BeginnAlter))+INDEX(Day,RAF-BeginnAlter+1)*INDEX(äky,1),RundDx),0),"")</f>
        <v/>
      </c>
      <c r="II102" s="13" t="str">
        <f t="shared" si="102"/>
        <v/>
      </c>
      <c r="IJ102" s="14" t="str">
        <f t="shared" si="103"/>
        <v/>
      </c>
      <c r="IK102" s="14" t="str">
        <f>IF($IE102&lt;RAF,IF(S103&lt;=RAK,SUM(IJ102:INDEX(Diky,RAF-BeginnAlter))+INDEX(Diy,RAF-BeginnAlter+1)*INDEX(äky,1),0),"")</f>
        <v/>
      </c>
      <c r="IL102" s="13" t="str">
        <f t="shared" si="104"/>
        <v/>
      </c>
      <c r="IM102" s="90"/>
      <c r="IN102" s="12">
        <f t="shared" si="186"/>
        <v>157</v>
      </c>
      <c r="IO102" s="14"/>
      <c r="IP102" s="16"/>
      <c r="IQ102" s="39"/>
      <c r="IR102" s="87"/>
    </row>
    <row r="103" spans="1:252" ht="15.75" customHeight="1" x14ac:dyDescent="0.25">
      <c r="A103" s="17"/>
      <c r="B103" s="17"/>
      <c r="C103" s="17"/>
      <c r="D103" s="17"/>
      <c r="E103" s="17"/>
      <c r="F103" s="91"/>
      <c r="G103" s="17"/>
      <c r="H103" s="17"/>
      <c r="I103" s="17"/>
      <c r="J103" s="17"/>
      <c r="K103" s="17"/>
      <c r="L103" s="17"/>
      <c r="M103" s="17"/>
      <c r="N103" s="91"/>
      <c r="O103" s="17"/>
      <c r="P103" s="100"/>
      <c r="Q103" s="17"/>
      <c r="R103" s="17"/>
      <c r="S103" s="17"/>
      <c r="U103" s="17"/>
      <c r="V103" s="17"/>
      <c r="W103" s="91"/>
      <c r="X103" s="17"/>
      <c r="Y103" s="17"/>
      <c r="Z103" s="17"/>
      <c r="AA103" s="17"/>
      <c r="AB103" s="17"/>
      <c r="AC103" s="17"/>
      <c r="AD103" s="17"/>
      <c r="AE103" s="17"/>
      <c r="AF103" s="33"/>
      <c r="AG103" s="91"/>
      <c r="AH103" s="17"/>
      <c r="AI103" s="17"/>
      <c r="AJ103" s="17"/>
      <c r="AK103" s="17"/>
      <c r="AL103" s="17"/>
      <c r="AM103" s="17"/>
      <c r="AN103" s="17"/>
      <c r="AO103" s="17"/>
      <c r="AP103" s="91"/>
      <c r="AQ103" s="17"/>
      <c r="AR103" s="17"/>
      <c r="AS103" s="17"/>
      <c r="AT103" s="17"/>
      <c r="AU103" s="17"/>
      <c r="AV103" s="17"/>
      <c r="AW103" s="17"/>
      <c r="AX103" s="17"/>
      <c r="AY103" s="91"/>
      <c r="AZ103" s="17"/>
      <c r="BA103" s="17"/>
      <c r="BB103" s="17"/>
      <c r="BC103" s="17"/>
      <c r="BD103" s="17"/>
      <c r="BE103" s="91"/>
      <c r="BF103" s="17"/>
      <c r="BG103" s="17"/>
      <c r="BH103" s="17"/>
      <c r="BI103" s="91"/>
      <c r="BJ103" s="17"/>
      <c r="BK103" s="17"/>
      <c r="BL103" s="17"/>
      <c r="BM103" s="17"/>
      <c r="BN103" s="17"/>
      <c r="BO103" s="17"/>
      <c r="BP103" s="91"/>
      <c r="BQ103" s="17"/>
      <c r="BR103" s="17"/>
      <c r="BS103" s="17"/>
      <c r="BT103" s="17"/>
      <c r="BU103" s="17"/>
      <c r="BV103" s="17"/>
      <c r="BW103" s="91"/>
      <c r="BX103" s="17"/>
      <c r="BY103" s="17"/>
      <c r="BZ103" s="17"/>
      <c r="CA103" s="17"/>
      <c r="CB103" s="17"/>
      <c r="CC103" s="128"/>
      <c r="CD103" s="132"/>
      <c r="CE103" s="17"/>
      <c r="CF103" s="91"/>
      <c r="CG103" s="17"/>
      <c r="CH103" s="17"/>
      <c r="CI103" s="17"/>
      <c r="CJ103" s="17"/>
      <c r="CK103" s="17"/>
      <c r="CL103" s="17"/>
      <c r="CM103" s="17"/>
      <c r="CN103" s="17"/>
      <c r="CO103" s="91"/>
      <c r="CP103" s="17"/>
      <c r="CQ103" s="17"/>
      <c r="CR103" s="17"/>
      <c r="CS103" s="17"/>
      <c r="CT103" s="91"/>
      <c r="CV103" s="64">
        <v>-15</v>
      </c>
      <c r="CW103" s="64">
        <f>CV103+1</f>
        <v>-14</v>
      </c>
      <c r="CX103" s="64">
        <f t="shared" ref="CX103:DZ103" si="187">CW103+1</f>
        <v>-13</v>
      </c>
      <c r="CY103" s="64">
        <f t="shared" si="187"/>
        <v>-12</v>
      </c>
      <c r="CZ103" s="64">
        <f t="shared" si="187"/>
        <v>-11</v>
      </c>
      <c r="DA103" s="64">
        <f t="shared" si="187"/>
        <v>-10</v>
      </c>
      <c r="DB103" s="64">
        <f t="shared" si="187"/>
        <v>-9</v>
      </c>
      <c r="DC103" s="64">
        <f t="shared" si="187"/>
        <v>-8</v>
      </c>
      <c r="DD103" s="64">
        <f t="shared" si="187"/>
        <v>-7</v>
      </c>
      <c r="DE103" s="64">
        <f t="shared" si="187"/>
        <v>-6</v>
      </c>
      <c r="DF103" s="64">
        <f t="shared" si="187"/>
        <v>-5</v>
      </c>
      <c r="DG103" s="64">
        <f t="shared" si="187"/>
        <v>-4</v>
      </c>
      <c r="DH103" s="64">
        <f t="shared" si="187"/>
        <v>-3</v>
      </c>
      <c r="DI103" s="64">
        <f t="shared" si="187"/>
        <v>-2</v>
      </c>
      <c r="DJ103" s="64">
        <f t="shared" si="187"/>
        <v>-1</v>
      </c>
      <c r="DK103" s="64">
        <f t="shared" si="187"/>
        <v>0</v>
      </c>
      <c r="DL103" s="64">
        <f t="shared" si="187"/>
        <v>1</v>
      </c>
      <c r="DM103" s="64">
        <f t="shared" si="187"/>
        <v>2</v>
      </c>
      <c r="DN103" s="64">
        <f t="shared" si="187"/>
        <v>3</v>
      </c>
      <c r="DO103" s="64">
        <f t="shared" si="187"/>
        <v>4</v>
      </c>
      <c r="DP103" s="64">
        <f t="shared" si="187"/>
        <v>5</v>
      </c>
      <c r="DQ103" s="64">
        <f t="shared" si="187"/>
        <v>6</v>
      </c>
      <c r="DR103" s="64">
        <f t="shared" si="187"/>
        <v>7</v>
      </c>
      <c r="DS103" s="64">
        <f t="shared" si="187"/>
        <v>8</v>
      </c>
      <c r="DT103" s="64">
        <f t="shared" si="187"/>
        <v>9</v>
      </c>
      <c r="DU103" s="64">
        <f t="shared" si="187"/>
        <v>10</v>
      </c>
      <c r="DV103" s="64">
        <f t="shared" si="187"/>
        <v>11</v>
      </c>
      <c r="DW103" s="64">
        <f t="shared" si="187"/>
        <v>12</v>
      </c>
      <c r="DX103" s="64">
        <f t="shared" si="187"/>
        <v>13</v>
      </c>
      <c r="DY103" s="64">
        <f t="shared" si="187"/>
        <v>14</v>
      </c>
      <c r="DZ103" s="64">
        <f t="shared" si="187"/>
        <v>15</v>
      </c>
      <c r="EA103" s="82">
        <v>-15</v>
      </c>
      <c r="EB103" s="82">
        <f>EA103+1</f>
        <v>-14</v>
      </c>
      <c r="EC103" s="82">
        <f t="shared" ref="EC103:EH103" si="188">EB103+1</f>
        <v>-13</v>
      </c>
      <c r="ED103" s="82">
        <f t="shared" si="188"/>
        <v>-12</v>
      </c>
      <c r="EE103" s="82">
        <f t="shared" si="188"/>
        <v>-11</v>
      </c>
      <c r="EF103" s="82">
        <f t="shared" si="188"/>
        <v>-10</v>
      </c>
      <c r="EG103" s="82">
        <f t="shared" si="188"/>
        <v>-9</v>
      </c>
      <c r="EH103" s="82">
        <f t="shared" si="188"/>
        <v>-8</v>
      </c>
      <c r="EI103" s="88"/>
      <c r="EJ103" s="83"/>
      <c r="EK103" s="82">
        <f>EH103+1</f>
        <v>-7</v>
      </c>
      <c r="EL103" s="82">
        <f>EK103+1</f>
        <v>-6</v>
      </c>
      <c r="EM103" s="82">
        <f t="shared" ref="EM103:ER103" si="189">EL103+1</f>
        <v>-5</v>
      </c>
      <c r="EN103" s="82">
        <f t="shared" si="189"/>
        <v>-4</v>
      </c>
      <c r="EO103" s="82">
        <f t="shared" si="189"/>
        <v>-3</v>
      </c>
      <c r="EP103" s="82">
        <f t="shared" si="189"/>
        <v>-2</v>
      </c>
      <c r="EQ103" s="82">
        <f t="shared" si="189"/>
        <v>-1</v>
      </c>
      <c r="ER103" s="82">
        <f t="shared" si="189"/>
        <v>0</v>
      </c>
      <c r="ES103" s="88"/>
      <c r="ET103" s="83"/>
      <c r="EU103" s="82">
        <f>ER103+1</f>
        <v>1</v>
      </c>
      <c r="EV103" s="82">
        <f>EU103+1</f>
        <v>2</v>
      </c>
      <c r="EW103" s="82">
        <f t="shared" ref="EW103:FB103" si="190">EV103+1</f>
        <v>3</v>
      </c>
      <c r="EX103" s="82">
        <f t="shared" si="190"/>
        <v>4</v>
      </c>
      <c r="EY103" s="82">
        <f t="shared" si="190"/>
        <v>5</v>
      </c>
      <c r="EZ103" s="82">
        <f t="shared" si="190"/>
        <v>6</v>
      </c>
      <c r="FA103" s="82">
        <f t="shared" si="190"/>
        <v>7</v>
      </c>
      <c r="FB103" s="82">
        <f t="shared" si="190"/>
        <v>8</v>
      </c>
      <c r="FC103" s="88"/>
      <c r="FD103" s="83"/>
      <c r="FE103" s="82">
        <f>FB103+1</f>
        <v>9</v>
      </c>
      <c r="FF103" s="82">
        <f t="shared" ref="FF103:FK103" si="191">FE103+1</f>
        <v>10</v>
      </c>
      <c r="FG103" s="82">
        <f t="shared" si="191"/>
        <v>11</v>
      </c>
      <c r="FH103" s="82">
        <f t="shared" si="191"/>
        <v>12</v>
      </c>
      <c r="FI103" s="82">
        <f t="shared" si="191"/>
        <v>13</v>
      </c>
      <c r="FJ103" s="82">
        <f t="shared" si="191"/>
        <v>14</v>
      </c>
      <c r="FK103" s="82">
        <f t="shared" si="191"/>
        <v>15</v>
      </c>
      <c r="FN103" s="64">
        <v>-15</v>
      </c>
      <c r="FO103" s="64">
        <f>FN103+1</f>
        <v>-14</v>
      </c>
      <c r="FP103" s="64">
        <f t="shared" ref="FP103:GR103" si="192">FO103+1</f>
        <v>-13</v>
      </c>
      <c r="FQ103" s="64">
        <f t="shared" si="192"/>
        <v>-12</v>
      </c>
      <c r="FR103" s="64">
        <f t="shared" si="192"/>
        <v>-11</v>
      </c>
      <c r="FS103" s="64">
        <f t="shared" si="192"/>
        <v>-10</v>
      </c>
      <c r="FT103" s="64">
        <f t="shared" si="192"/>
        <v>-9</v>
      </c>
      <c r="FU103" s="64">
        <f t="shared" si="192"/>
        <v>-8</v>
      </c>
      <c r="FV103" s="64">
        <f t="shared" si="192"/>
        <v>-7</v>
      </c>
      <c r="FW103" s="64">
        <f t="shared" si="192"/>
        <v>-6</v>
      </c>
      <c r="FX103" s="64">
        <f t="shared" si="192"/>
        <v>-5</v>
      </c>
      <c r="FY103" s="64">
        <f t="shared" si="192"/>
        <v>-4</v>
      </c>
      <c r="FZ103" s="64">
        <f t="shared" si="192"/>
        <v>-3</v>
      </c>
      <c r="GA103" s="64">
        <f t="shared" si="192"/>
        <v>-2</v>
      </c>
      <c r="GB103" s="64">
        <f t="shared" si="192"/>
        <v>-1</v>
      </c>
      <c r="GC103" s="64">
        <f t="shared" si="192"/>
        <v>0</v>
      </c>
      <c r="GD103" s="64">
        <f t="shared" si="192"/>
        <v>1</v>
      </c>
      <c r="GE103" s="64">
        <f t="shared" si="192"/>
        <v>2</v>
      </c>
      <c r="GF103" s="64">
        <f t="shared" si="192"/>
        <v>3</v>
      </c>
      <c r="GG103" s="64">
        <f t="shared" si="192"/>
        <v>4</v>
      </c>
      <c r="GH103" s="64">
        <f t="shared" si="192"/>
        <v>5</v>
      </c>
      <c r="GI103" s="64">
        <f t="shared" si="192"/>
        <v>6</v>
      </c>
      <c r="GJ103" s="64">
        <f t="shared" si="192"/>
        <v>7</v>
      </c>
      <c r="GK103" s="64">
        <f t="shared" si="192"/>
        <v>8</v>
      </c>
      <c r="GL103" s="64">
        <f t="shared" si="192"/>
        <v>9</v>
      </c>
      <c r="GM103" s="64">
        <f t="shared" si="192"/>
        <v>10</v>
      </c>
      <c r="GN103" s="64">
        <f t="shared" si="192"/>
        <v>11</v>
      </c>
      <c r="GO103" s="64">
        <f t="shared" si="192"/>
        <v>12</v>
      </c>
      <c r="GP103" s="64">
        <f t="shared" si="192"/>
        <v>13</v>
      </c>
      <c r="GQ103" s="64">
        <f t="shared" si="192"/>
        <v>14</v>
      </c>
      <c r="GR103" s="64">
        <f t="shared" si="192"/>
        <v>15</v>
      </c>
      <c r="GS103" s="64">
        <v>-15</v>
      </c>
      <c r="GT103" s="64">
        <f>GS103+1</f>
        <v>-14</v>
      </c>
      <c r="GU103" s="64">
        <f t="shared" ref="GU103:GZ103" si="193">GT103+1</f>
        <v>-13</v>
      </c>
      <c r="GV103" s="64">
        <f t="shared" si="193"/>
        <v>-12</v>
      </c>
      <c r="GW103" s="64">
        <f t="shared" si="193"/>
        <v>-11</v>
      </c>
      <c r="GX103" s="64">
        <f t="shared" si="193"/>
        <v>-10</v>
      </c>
      <c r="GY103" s="64">
        <f t="shared" si="193"/>
        <v>-9</v>
      </c>
      <c r="GZ103" s="64">
        <f t="shared" si="193"/>
        <v>-8</v>
      </c>
      <c r="HC103" s="64">
        <f>GZ103+1</f>
        <v>-7</v>
      </c>
      <c r="HD103" s="64">
        <f>HC103+1</f>
        <v>-6</v>
      </c>
      <c r="HE103" s="64">
        <f t="shared" ref="HE103:HJ103" si="194">HD103+1</f>
        <v>-5</v>
      </c>
      <c r="HF103" s="64">
        <f t="shared" si="194"/>
        <v>-4</v>
      </c>
      <c r="HG103" s="64">
        <f t="shared" si="194"/>
        <v>-3</v>
      </c>
      <c r="HH103" s="64">
        <f t="shared" si="194"/>
        <v>-2</v>
      </c>
      <c r="HI103" s="64">
        <f t="shared" si="194"/>
        <v>-1</v>
      </c>
      <c r="HJ103" s="64">
        <f t="shared" si="194"/>
        <v>0</v>
      </c>
      <c r="HM103" s="64">
        <f>HJ103+1</f>
        <v>1</v>
      </c>
      <c r="HN103" s="64">
        <f>HM103+1</f>
        <v>2</v>
      </c>
      <c r="HO103" s="64">
        <f t="shared" ref="HO103:HT103" si="195">HN103+1</f>
        <v>3</v>
      </c>
      <c r="HP103" s="64">
        <f t="shared" si="195"/>
        <v>4</v>
      </c>
      <c r="HQ103" s="64">
        <f t="shared" si="195"/>
        <v>5</v>
      </c>
      <c r="HR103" s="64">
        <f t="shared" si="195"/>
        <v>6</v>
      </c>
      <c r="HS103" s="64">
        <f t="shared" si="195"/>
        <v>7</v>
      </c>
      <c r="HT103" s="64">
        <f t="shared" si="195"/>
        <v>8</v>
      </c>
      <c r="HW103" s="64">
        <f>HT103+1</f>
        <v>9</v>
      </c>
      <c r="HX103" s="64">
        <f t="shared" ref="HX103:IC103" si="196">HW103+1</f>
        <v>10</v>
      </c>
      <c r="HY103" s="64">
        <f t="shared" si="196"/>
        <v>11</v>
      </c>
      <c r="HZ103" s="64">
        <f t="shared" si="196"/>
        <v>12</v>
      </c>
      <c r="IA103" s="64">
        <f t="shared" si="196"/>
        <v>13</v>
      </c>
      <c r="IB103" s="64">
        <f t="shared" si="196"/>
        <v>14</v>
      </c>
      <c r="IC103" s="64">
        <f t="shared" si="196"/>
        <v>15</v>
      </c>
      <c r="ID103" s="91"/>
      <c r="IE103" s="17"/>
      <c r="IF103" s="17"/>
      <c r="IG103" s="17"/>
      <c r="IH103" s="17"/>
      <c r="II103" s="17"/>
      <c r="IJ103" s="17"/>
      <c r="IK103" s="17"/>
      <c r="IL103" s="17"/>
      <c r="IM103" s="91"/>
      <c r="IN103" s="17"/>
      <c r="IO103" s="17"/>
      <c r="IP103" s="17"/>
      <c r="IQ103" s="17"/>
    </row>
    <row r="104" spans="1:252" ht="15.75" customHeight="1" x14ac:dyDescent="0.25">
      <c r="A104" s="17"/>
      <c r="B104" s="17"/>
      <c r="C104" s="17"/>
      <c r="D104" s="17"/>
      <c r="E104" s="17"/>
      <c r="F104" s="91"/>
      <c r="G104" s="17"/>
      <c r="H104" s="17"/>
      <c r="I104" s="17"/>
      <c r="J104" s="17"/>
      <c r="K104" s="17"/>
      <c r="L104" s="17"/>
      <c r="M104" s="17"/>
      <c r="N104" s="91"/>
      <c r="O104" s="17"/>
      <c r="P104" s="100"/>
      <c r="Q104" s="17"/>
      <c r="R104" s="17"/>
      <c r="S104" s="17"/>
      <c r="T104" s="17"/>
      <c r="U104" s="17"/>
      <c r="V104" s="17"/>
      <c r="W104" s="91"/>
      <c r="X104" s="17"/>
      <c r="Y104" s="17"/>
      <c r="Z104" s="17"/>
      <c r="AA104" s="17"/>
      <c r="AB104" s="17"/>
      <c r="AC104" s="17"/>
      <c r="AD104" s="17"/>
      <c r="AE104" s="101"/>
      <c r="AF104" s="33"/>
      <c r="AG104" s="91"/>
      <c r="AH104" s="17"/>
      <c r="AI104" s="17"/>
      <c r="AJ104" s="17"/>
      <c r="AK104" s="17"/>
      <c r="AL104" s="17"/>
      <c r="AM104" s="17"/>
      <c r="AN104" s="17"/>
      <c r="AO104" s="17"/>
      <c r="AP104" s="91"/>
      <c r="AQ104" s="17"/>
      <c r="AR104" s="17"/>
      <c r="AS104" s="17"/>
      <c r="AT104" s="17"/>
      <c r="AU104" s="17"/>
      <c r="AV104" s="17"/>
      <c r="AW104" s="17"/>
      <c r="AX104" s="17"/>
      <c r="AY104" s="91"/>
      <c r="AZ104" s="17"/>
      <c r="BA104" s="17"/>
      <c r="BB104" s="17"/>
      <c r="BC104" s="17"/>
      <c r="BD104" s="17"/>
      <c r="BE104" s="91"/>
      <c r="BF104" s="17"/>
      <c r="BG104" s="17"/>
      <c r="BH104" s="17"/>
      <c r="BI104" s="91"/>
      <c r="BJ104" s="17"/>
      <c r="BK104" s="17"/>
      <c r="BL104" s="17"/>
      <c r="BM104" s="17"/>
      <c r="BN104" s="17"/>
      <c r="BO104" s="17"/>
      <c r="BP104" s="91"/>
      <c r="BQ104" s="17"/>
      <c r="BR104" s="17"/>
      <c r="BS104" s="17"/>
      <c r="BT104" s="17"/>
      <c r="BU104" s="17"/>
      <c r="BV104" s="17"/>
      <c r="BW104" s="91"/>
      <c r="BX104" s="17"/>
      <c r="BY104" s="17"/>
      <c r="BZ104" s="17"/>
      <c r="CA104" s="17"/>
      <c r="CB104" s="17"/>
      <c r="CC104" s="128"/>
      <c r="CD104" s="132"/>
      <c r="CE104" s="17"/>
      <c r="CF104" s="91"/>
      <c r="CG104" s="17"/>
      <c r="CH104" s="17"/>
      <c r="CI104" s="17"/>
      <c r="CJ104" s="17"/>
      <c r="CK104" s="17"/>
      <c r="CL104" s="17"/>
      <c r="CM104" s="17"/>
      <c r="CN104" s="17"/>
      <c r="CO104" s="91"/>
      <c r="CP104" s="17"/>
      <c r="CQ104" s="17"/>
      <c r="CR104" s="17"/>
      <c r="CS104" s="17"/>
      <c r="CT104" s="91"/>
      <c r="ID104" s="91"/>
      <c r="IE104" s="17"/>
      <c r="IF104" s="17"/>
      <c r="IG104" s="17"/>
      <c r="IH104" s="17"/>
      <c r="II104" s="17"/>
      <c r="IJ104" s="17"/>
      <c r="IK104" s="17"/>
      <c r="IL104" s="17"/>
      <c r="IM104" s="91"/>
      <c r="IN104" s="17"/>
      <c r="IO104" s="17"/>
      <c r="IP104" s="17"/>
      <c r="IQ104" s="17"/>
    </row>
    <row r="105" spans="1:252" ht="15.75" customHeight="1" x14ac:dyDescent="0.25">
      <c r="A105" s="17"/>
      <c r="B105" s="17"/>
      <c r="C105" s="17"/>
      <c r="D105" s="17"/>
      <c r="E105" s="17"/>
      <c r="F105" s="91"/>
      <c r="G105" s="17"/>
      <c r="H105" s="17"/>
      <c r="I105" s="17"/>
      <c r="J105" s="17"/>
      <c r="K105" s="17"/>
      <c r="L105" s="17"/>
      <c r="M105" s="17"/>
      <c r="N105" s="91"/>
      <c r="O105" s="17"/>
      <c r="P105" s="100"/>
      <c r="Q105" s="17"/>
      <c r="R105" s="17"/>
      <c r="S105" s="17"/>
      <c r="T105" s="17"/>
      <c r="U105" s="17"/>
      <c r="V105" s="17"/>
      <c r="W105" s="91"/>
      <c r="X105" s="33"/>
      <c r="Y105" s="17"/>
      <c r="Z105" s="17"/>
      <c r="AA105" s="17"/>
      <c r="AB105" s="17"/>
      <c r="AC105" s="17"/>
      <c r="AD105" s="17"/>
      <c r="AE105" s="17"/>
      <c r="AF105" s="34"/>
      <c r="AG105" s="91"/>
      <c r="AH105" s="17"/>
      <c r="AI105" s="17"/>
      <c r="AJ105" s="17"/>
      <c r="AK105" s="17"/>
      <c r="AL105" s="17"/>
      <c r="AM105" s="17"/>
      <c r="AN105" s="17"/>
      <c r="AO105" s="17"/>
      <c r="AP105" s="91"/>
      <c r="AQ105" s="17"/>
      <c r="AR105" s="17"/>
      <c r="AS105" s="17"/>
      <c r="AT105" s="17"/>
      <c r="AU105" s="17"/>
      <c r="AV105" s="17"/>
      <c r="AW105" s="17"/>
      <c r="AX105" s="17"/>
      <c r="AY105" s="91"/>
      <c r="AZ105" s="17"/>
      <c r="BA105" s="17"/>
      <c r="BB105" s="17"/>
      <c r="BC105" s="17"/>
      <c r="BD105" s="17"/>
      <c r="BE105" s="91"/>
      <c r="BF105" s="17"/>
      <c r="BG105" s="17"/>
      <c r="BH105" s="17"/>
      <c r="BI105" s="91"/>
      <c r="BJ105" s="17"/>
      <c r="BK105" s="17"/>
      <c r="BL105" s="17"/>
      <c r="BM105" s="17"/>
      <c r="BN105" s="17"/>
      <c r="BO105" s="17"/>
      <c r="BP105" s="91"/>
      <c r="BQ105" s="17"/>
      <c r="BR105" s="17"/>
      <c r="BS105" s="17"/>
      <c r="BT105" s="17"/>
      <c r="BU105" s="17"/>
      <c r="BV105" s="17"/>
      <c r="BW105" s="91"/>
      <c r="BX105" s="17"/>
      <c r="BY105" s="17"/>
      <c r="BZ105" s="17"/>
      <c r="CA105" s="17"/>
      <c r="CB105" s="17"/>
      <c r="CC105" s="128"/>
      <c r="CD105" s="132"/>
      <c r="CE105" s="17"/>
      <c r="CF105" s="91"/>
      <c r="CG105" s="17"/>
      <c r="CH105" s="17"/>
      <c r="CI105" s="17"/>
      <c r="CJ105" s="17"/>
      <c r="CK105" s="17"/>
      <c r="CL105" s="17"/>
      <c r="CM105" s="17"/>
      <c r="CN105" s="17"/>
      <c r="CO105" s="91"/>
      <c r="CP105" s="17"/>
      <c r="CQ105" s="17"/>
      <c r="CR105" s="17"/>
      <c r="CS105" s="17"/>
      <c r="CT105" s="91"/>
      <c r="ID105" s="91"/>
      <c r="IE105" s="17"/>
      <c r="IF105" s="17"/>
      <c r="IG105" s="17"/>
      <c r="IH105" s="17"/>
      <c r="II105" s="17"/>
      <c r="IJ105" s="17"/>
      <c r="IK105" s="17"/>
      <c r="IL105" s="17"/>
      <c r="IM105" s="91"/>
      <c r="IN105" s="17"/>
      <c r="IO105" s="17"/>
      <c r="IP105" s="17"/>
      <c r="IQ105" s="17"/>
    </row>
    <row r="106" spans="1:252" ht="15.75" customHeight="1" x14ac:dyDescent="0.25">
      <c r="A106" s="17">
        <f>1</f>
        <v>1</v>
      </c>
      <c r="B106" s="17">
        <f>1+A106</f>
        <v>2</v>
      </c>
      <c r="C106" s="17">
        <f t="shared" ref="C106:BN106" si="197">1+B106</f>
        <v>3</v>
      </c>
      <c r="D106" s="17">
        <f t="shared" si="197"/>
        <v>4</v>
      </c>
      <c r="E106" s="17">
        <f t="shared" si="197"/>
        <v>5</v>
      </c>
      <c r="F106" s="17">
        <f t="shared" si="197"/>
        <v>6</v>
      </c>
      <c r="G106" s="17">
        <f t="shared" si="197"/>
        <v>7</v>
      </c>
      <c r="H106" s="17">
        <f t="shared" si="197"/>
        <v>8</v>
      </c>
      <c r="I106" s="17">
        <f t="shared" si="197"/>
        <v>9</v>
      </c>
      <c r="J106" s="17">
        <f t="shared" si="197"/>
        <v>10</v>
      </c>
      <c r="K106" s="17">
        <f t="shared" si="197"/>
        <v>11</v>
      </c>
      <c r="L106" s="17">
        <f t="shared" si="197"/>
        <v>12</v>
      </c>
      <c r="M106" s="17">
        <f t="shared" si="197"/>
        <v>13</v>
      </c>
      <c r="N106" s="17">
        <f t="shared" si="197"/>
        <v>14</v>
      </c>
      <c r="O106" s="17">
        <f t="shared" si="197"/>
        <v>15</v>
      </c>
      <c r="P106" s="17">
        <f t="shared" si="197"/>
        <v>16</v>
      </c>
      <c r="Q106" s="17">
        <f t="shared" si="197"/>
        <v>17</v>
      </c>
      <c r="R106" s="17">
        <f t="shared" si="197"/>
        <v>18</v>
      </c>
      <c r="S106" s="17">
        <f t="shared" si="197"/>
        <v>19</v>
      </c>
      <c r="T106" s="17">
        <f t="shared" si="197"/>
        <v>20</v>
      </c>
      <c r="U106" s="17">
        <f t="shared" si="197"/>
        <v>21</v>
      </c>
      <c r="V106" s="17">
        <f t="shared" si="197"/>
        <v>22</v>
      </c>
      <c r="W106" s="17">
        <f t="shared" si="197"/>
        <v>23</v>
      </c>
      <c r="X106" s="17">
        <f t="shared" si="197"/>
        <v>24</v>
      </c>
      <c r="Y106" s="17">
        <f t="shared" si="197"/>
        <v>25</v>
      </c>
      <c r="Z106" s="17">
        <f t="shared" si="197"/>
        <v>26</v>
      </c>
      <c r="AA106" s="17">
        <f t="shared" si="197"/>
        <v>27</v>
      </c>
      <c r="AB106" s="17">
        <f t="shared" si="197"/>
        <v>28</v>
      </c>
      <c r="AC106" s="17">
        <f t="shared" si="197"/>
        <v>29</v>
      </c>
      <c r="AD106" s="17">
        <f t="shared" si="197"/>
        <v>30</v>
      </c>
      <c r="AE106" s="17">
        <f t="shared" si="197"/>
        <v>31</v>
      </c>
      <c r="AF106" s="17">
        <f t="shared" si="197"/>
        <v>32</v>
      </c>
      <c r="AG106" s="17">
        <f t="shared" si="197"/>
        <v>33</v>
      </c>
      <c r="AH106" s="17">
        <f t="shared" si="197"/>
        <v>34</v>
      </c>
      <c r="AI106" s="17">
        <f t="shared" si="197"/>
        <v>35</v>
      </c>
      <c r="AJ106" s="17">
        <f t="shared" si="197"/>
        <v>36</v>
      </c>
      <c r="AK106" s="17">
        <f t="shared" si="197"/>
        <v>37</v>
      </c>
      <c r="AL106" s="17">
        <f t="shared" si="197"/>
        <v>38</v>
      </c>
      <c r="AM106" s="17">
        <f t="shared" si="197"/>
        <v>39</v>
      </c>
      <c r="AN106" s="17">
        <f t="shared" si="197"/>
        <v>40</v>
      </c>
      <c r="AO106" s="17">
        <f t="shared" si="197"/>
        <v>41</v>
      </c>
      <c r="AP106" s="17">
        <f t="shared" si="197"/>
        <v>42</v>
      </c>
      <c r="AQ106" s="17">
        <f t="shared" si="197"/>
        <v>43</v>
      </c>
      <c r="AR106" s="17">
        <f t="shared" si="197"/>
        <v>44</v>
      </c>
      <c r="AS106" s="17">
        <f t="shared" si="197"/>
        <v>45</v>
      </c>
      <c r="AT106" s="17">
        <f t="shared" si="197"/>
        <v>46</v>
      </c>
      <c r="AU106" s="17">
        <f t="shared" si="197"/>
        <v>47</v>
      </c>
      <c r="AV106" s="17">
        <f t="shared" si="197"/>
        <v>48</v>
      </c>
      <c r="AW106" s="17">
        <f t="shared" si="197"/>
        <v>49</v>
      </c>
      <c r="AX106" s="17">
        <f t="shared" si="197"/>
        <v>50</v>
      </c>
      <c r="AY106" s="17">
        <f t="shared" si="197"/>
        <v>51</v>
      </c>
      <c r="AZ106" s="17">
        <f t="shared" si="197"/>
        <v>52</v>
      </c>
      <c r="BA106" s="17">
        <f t="shared" si="197"/>
        <v>53</v>
      </c>
      <c r="BB106" s="17">
        <f t="shared" si="197"/>
        <v>54</v>
      </c>
      <c r="BC106" s="17">
        <f t="shared" si="197"/>
        <v>55</v>
      </c>
      <c r="BD106" s="17">
        <f t="shared" si="197"/>
        <v>56</v>
      </c>
      <c r="BE106" s="17">
        <f t="shared" si="197"/>
        <v>57</v>
      </c>
      <c r="BF106" s="17">
        <f t="shared" si="197"/>
        <v>58</v>
      </c>
      <c r="BG106" s="17">
        <f t="shared" si="197"/>
        <v>59</v>
      </c>
      <c r="BH106" s="17">
        <f t="shared" si="197"/>
        <v>60</v>
      </c>
      <c r="BI106" s="17">
        <f t="shared" si="197"/>
        <v>61</v>
      </c>
      <c r="BJ106" s="17">
        <f t="shared" si="197"/>
        <v>62</v>
      </c>
      <c r="BK106" s="17">
        <f t="shared" si="197"/>
        <v>63</v>
      </c>
      <c r="BL106" s="17">
        <f t="shared" si="197"/>
        <v>64</v>
      </c>
      <c r="BM106" s="17">
        <f t="shared" si="197"/>
        <v>65</v>
      </c>
      <c r="BN106" s="17">
        <f t="shared" si="197"/>
        <v>66</v>
      </c>
      <c r="BO106" s="17">
        <f t="shared" ref="BO106:DZ106" si="198">1+BN106</f>
        <v>67</v>
      </c>
      <c r="BP106" s="17">
        <f t="shared" si="198"/>
        <v>68</v>
      </c>
      <c r="BQ106" s="17">
        <f t="shared" si="198"/>
        <v>69</v>
      </c>
      <c r="BR106" s="17">
        <f t="shared" si="198"/>
        <v>70</v>
      </c>
      <c r="BS106" s="17">
        <f t="shared" si="198"/>
        <v>71</v>
      </c>
      <c r="BT106" s="17">
        <f t="shared" si="198"/>
        <v>72</v>
      </c>
      <c r="BU106" s="17">
        <f t="shared" si="198"/>
        <v>73</v>
      </c>
      <c r="BV106" s="17">
        <f t="shared" si="198"/>
        <v>74</v>
      </c>
      <c r="BW106" s="17">
        <f t="shared" si="198"/>
        <v>75</v>
      </c>
      <c r="BX106" s="17">
        <f t="shared" si="198"/>
        <v>76</v>
      </c>
      <c r="BY106" s="17">
        <f t="shared" si="198"/>
        <v>77</v>
      </c>
      <c r="BZ106" s="17">
        <f t="shared" si="198"/>
        <v>78</v>
      </c>
      <c r="CA106" s="17">
        <f t="shared" si="198"/>
        <v>79</v>
      </c>
      <c r="CB106" s="17">
        <f t="shared" si="198"/>
        <v>80</v>
      </c>
      <c r="CC106" s="17">
        <f t="shared" si="198"/>
        <v>81</v>
      </c>
      <c r="CD106" s="17">
        <f t="shared" si="198"/>
        <v>82</v>
      </c>
      <c r="CE106" s="17">
        <f t="shared" si="198"/>
        <v>83</v>
      </c>
      <c r="CF106" s="17">
        <f t="shared" si="198"/>
        <v>84</v>
      </c>
      <c r="CG106" s="17">
        <f t="shared" si="198"/>
        <v>85</v>
      </c>
      <c r="CH106" s="17">
        <f t="shared" si="198"/>
        <v>86</v>
      </c>
      <c r="CI106" s="17">
        <f t="shared" si="198"/>
        <v>87</v>
      </c>
      <c r="CJ106" s="17">
        <f t="shared" si="198"/>
        <v>88</v>
      </c>
      <c r="CK106" s="17">
        <f t="shared" si="198"/>
        <v>89</v>
      </c>
      <c r="CL106" s="17">
        <f t="shared" si="198"/>
        <v>90</v>
      </c>
      <c r="CM106" s="17">
        <f t="shared" si="198"/>
        <v>91</v>
      </c>
      <c r="CN106" s="17">
        <f t="shared" si="198"/>
        <v>92</v>
      </c>
      <c r="CO106" s="17">
        <f t="shared" si="198"/>
        <v>93</v>
      </c>
      <c r="CP106" s="17">
        <f t="shared" si="198"/>
        <v>94</v>
      </c>
      <c r="CQ106" s="17">
        <f t="shared" si="198"/>
        <v>95</v>
      </c>
      <c r="CR106" s="17">
        <f t="shared" si="198"/>
        <v>96</v>
      </c>
      <c r="CS106" s="17">
        <f t="shared" si="198"/>
        <v>97</v>
      </c>
      <c r="CT106" s="17">
        <f t="shared" si="198"/>
        <v>98</v>
      </c>
      <c r="CU106" s="17">
        <f t="shared" si="198"/>
        <v>99</v>
      </c>
      <c r="CV106" s="17">
        <f t="shared" si="198"/>
        <v>100</v>
      </c>
      <c r="CW106" s="17">
        <f t="shared" si="198"/>
        <v>101</v>
      </c>
      <c r="CX106" s="17">
        <f t="shared" si="198"/>
        <v>102</v>
      </c>
      <c r="CY106" s="17">
        <f t="shared" si="198"/>
        <v>103</v>
      </c>
      <c r="CZ106" s="17">
        <f t="shared" si="198"/>
        <v>104</v>
      </c>
      <c r="DA106" s="17">
        <f t="shared" si="198"/>
        <v>105</v>
      </c>
      <c r="DB106" s="17">
        <f t="shared" si="198"/>
        <v>106</v>
      </c>
      <c r="DC106" s="17">
        <f t="shared" si="198"/>
        <v>107</v>
      </c>
      <c r="DD106" s="17">
        <f t="shared" si="198"/>
        <v>108</v>
      </c>
      <c r="DE106" s="17">
        <f t="shared" si="198"/>
        <v>109</v>
      </c>
      <c r="DF106" s="17">
        <f t="shared" si="198"/>
        <v>110</v>
      </c>
      <c r="DG106" s="17">
        <f t="shared" si="198"/>
        <v>111</v>
      </c>
      <c r="DH106" s="17">
        <f t="shared" si="198"/>
        <v>112</v>
      </c>
      <c r="DI106" s="17">
        <f t="shared" si="198"/>
        <v>113</v>
      </c>
      <c r="DJ106" s="17">
        <f t="shared" si="198"/>
        <v>114</v>
      </c>
      <c r="DK106" s="17">
        <f t="shared" si="198"/>
        <v>115</v>
      </c>
      <c r="DL106" s="17">
        <f t="shared" si="198"/>
        <v>116</v>
      </c>
      <c r="DM106" s="17">
        <f t="shared" si="198"/>
        <v>117</v>
      </c>
      <c r="DN106" s="17">
        <f t="shared" si="198"/>
        <v>118</v>
      </c>
      <c r="DO106" s="17">
        <f t="shared" si="198"/>
        <v>119</v>
      </c>
      <c r="DP106" s="17">
        <f t="shared" si="198"/>
        <v>120</v>
      </c>
      <c r="DQ106" s="17">
        <f t="shared" si="198"/>
        <v>121</v>
      </c>
      <c r="DR106" s="17">
        <f t="shared" si="198"/>
        <v>122</v>
      </c>
      <c r="DS106" s="17">
        <f t="shared" si="198"/>
        <v>123</v>
      </c>
      <c r="DT106" s="17">
        <f t="shared" si="198"/>
        <v>124</v>
      </c>
      <c r="DU106" s="17">
        <f t="shared" si="198"/>
        <v>125</v>
      </c>
      <c r="DV106" s="17">
        <f t="shared" si="198"/>
        <v>126</v>
      </c>
      <c r="DW106" s="17">
        <f t="shared" si="198"/>
        <v>127</v>
      </c>
      <c r="DX106" s="17">
        <f t="shared" si="198"/>
        <v>128</v>
      </c>
      <c r="DY106" s="17">
        <f t="shared" si="198"/>
        <v>129</v>
      </c>
      <c r="DZ106" s="17">
        <f t="shared" si="198"/>
        <v>130</v>
      </c>
      <c r="EA106" s="17">
        <f t="shared" ref="EA106:GL106" si="199">1+DZ106</f>
        <v>131</v>
      </c>
      <c r="EB106" s="17">
        <f t="shared" si="199"/>
        <v>132</v>
      </c>
      <c r="EC106" s="17">
        <f t="shared" si="199"/>
        <v>133</v>
      </c>
      <c r="ED106" s="17">
        <f t="shared" si="199"/>
        <v>134</v>
      </c>
      <c r="EE106" s="17">
        <f t="shared" si="199"/>
        <v>135</v>
      </c>
      <c r="EF106" s="17">
        <f t="shared" si="199"/>
        <v>136</v>
      </c>
      <c r="EG106" s="17">
        <f t="shared" si="199"/>
        <v>137</v>
      </c>
      <c r="EH106" s="17">
        <f t="shared" si="199"/>
        <v>138</v>
      </c>
      <c r="EI106" s="17">
        <f t="shared" si="199"/>
        <v>139</v>
      </c>
      <c r="EJ106" s="17">
        <f t="shared" si="199"/>
        <v>140</v>
      </c>
      <c r="EK106" s="17">
        <f t="shared" si="199"/>
        <v>141</v>
      </c>
      <c r="EL106" s="17">
        <f t="shared" si="199"/>
        <v>142</v>
      </c>
      <c r="EM106" s="17">
        <f t="shared" si="199"/>
        <v>143</v>
      </c>
      <c r="EN106" s="17">
        <f t="shared" si="199"/>
        <v>144</v>
      </c>
      <c r="EO106" s="17">
        <f t="shared" si="199"/>
        <v>145</v>
      </c>
      <c r="EP106" s="17">
        <f t="shared" si="199"/>
        <v>146</v>
      </c>
      <c r="EQ106" s="17">
        <f t="shared" si="199"/>
        <v>147</v>
      </c>
      <c r="ER106" s="17">
        <f t="shared" si="199"/>
        <v>148</v>
      </c>
      <c r="ES106" s="17">
        <f t="shared" si="199"/>
        <v>149</v>
      </c>
      <c r="ET106" s="17">
        <f t="shared" si="199"/>
        <v>150</v>
      </c>
      <c r="EU106" s="17">
        <f t="shared" si="199"/>
        <v>151</v>
      </c>
      <c r="EV106" s="17">
        <f t="shared" si="199"/>
        <v>152</v>
      </c>
      <c r="EW106" s="17">
        <f t="shared" si="199"/>
        <v>153</v>
      </c>
      <c r="EX106" s="17">
        <f t="shared" si="199"/>
        <v>154</v>
      </c>
      <c r="EY106" s="17">
        <f t="shared" si="199"/>
        <v>155</v>
      </c>
      <c r="EZ106" s="17">
        <f t="shared" si="199"/>
        <v>156</v>
      </c>
      <c r="FA106" s="17">
        <f t="shared" si="199"/>
        <v>157</v>
      </c>
      <c r="FB106" s="17">
        <f t="shared" si="199"/>
        <v>158</v>
      </c>
      <c r="FC106" s="17">
        <f t="shared" si="199"/>
        <v>159</v>
      </c>
      <c r="FD106" s="17">
        <f t="shared" si="199"/>
        <v>160</v>
      </c>
      <c r="FE106" s="17">
        <f t="shared" si="199"/>
        <v>161</v>
      </c>
      <c r="FF106" s="17">
        <f t="shared" si="199"/>
        <v>162</v>
      </c>
      <c r="FG106" s="17">
        <f t="shared" si="199"/>
        <v>163</v>
      </c>
      <c r="FH106" s="17">
        <f t="shared" si="199"/>
        <v>164</v>
      </c>
      <c r="FI106" s="17">
        <f t="shared" si="199"/>
        <v>165</v>
      </c>
      <c r="FJ106" s="17">
        <f t="shared" si="199"/>
        <v>166</v>
      </c>
      <c r="FK106" s="17">
        <f t="shared" si="199"/>
        <v>167</v>
      </c>
      <c r="FL106" s="17">
        <f t="shared" si="199"/>
        <v>168</v>
      </c>
      <c r="FM106" s="17">
        <f t="shared" si="199"/>
        <v>169</v>
      </c>
      <c r="FN106" s="17">
        <f t="shared" si="199"/>
        <v>170</v>
      </c>
      <c r="FO106" s="17">
        <f t="shared" si="199"/>
        <v>171</v>
      </c>
      <c r="FP106" s="17">
        <f t="shared" si="199"/>
        <v>172</v>
      </c>
      <c r="FQ106" s="17">
        <f t="shared" si="199"/>
        <v>173</v>
      </c>
      <c r="FR106" s="17">
        <f t="shared" si="199"/>
        <v>174</v>
      </c>
      <c r="FS106" s="17">
        <f t="shared" si="199"/>
        <v>175</v>
      </c>
      <c r="FT106" s="17">
        <f t="shared" si="199"/>
        <v>176</v>
      </c>
      <c r="FU106" s="17">
        <f t="shared" si="199"/>
        <v>177</v>
      </c>
      <c r="FV106" s="17">
        <f t="shared" si="199"/>
        <v>178</v>
      </c>
      <c r="FW106" s="17">
        <f t="shared" si="199"/>
        <v>179</v>
      </c>
      <c r="FX106" s="17">
        <f t="shared" si="199"/>
        <v>180</v>
      </c>
      <c r="FY106" s="17">
        <f t="shared" si="199"/>
        <v>181</v>
      </c>
      <c r="FZ106" s="17">
        <f t="shared" si="199"/>
        <v>182</v>
      </c>
      <c r="GA106" s="17">
        <f t="shared" si="199"/>
        <v>183</v>
      </c>
      <c r="GB106" s="17">
        <f t="shared" si="199"/>
        <v>184</v>
      </c>
      <c r="GC106" s="17">
        <f t="shared" si="199"/>
        <v>185</v>
      </c>
      <c r="GD106" s="17">
        <f t="shared" si="199"/>
        <v>186</v>
      </c>
      <c r="GE106" s="17">
        <f t="shared" si="199"/>
        <v>187</v>
      </c>
      <c r="GF106" s="17">
        <f t="shared" si="199"/>
        <v>188</v>
      </c>
      <c r="GG106" s="17">
        <f t="shared" si="199"/>
        <v>189</v>
      </c>
      <c r="GH106" s="17">
        <f t="shared" si="199"/>
        <v>190</v>
      </c>
      <c r="GI106" s="17">
        <f t="shared" si="199"/>
        <v>191</v>
      </c>
      <c r="GJ106" s="17">
        <f t="shared" si="199"/>
        <v>192</v>
      </c>
      <c r="GK106" s="17">
        <f t="shared" si="199"/>
        <v>193</v>
      </c>
      <c r="GL106" s="17">
        <f t="shared" si="199"/>
        <v>194</v>
      </c>
      <c r="GM106" s="17">
        <f t="shared" ref="GM106:IR106" si="200">1+GL106</f>
        <v>195</v>
      </c>
      <c r="GN106" s="17">
        <f t="shared" si="200"/>
        <v>196</v>
      </c>
      <c r="GO106" s="17">
        <f t="shared" si="200"/>
        <v>197</v>
      </c>
      <c r="GP106" s="17">
        <f t="shared" si="200"/>
        <v>198</v>
      </c>
      <c r="GQ106" s="17">
        <f t="shared" si="200"/>
        <v>199</v>
      </c>
      <c r="GR106" s="17">
        <f t="shared" si="200"/>
        <v>200</v>
      </c>
      <c r="GS106" s="17">
        <f t="shared" si="200"/>
        <v>201</v>
      </c>
      <c r="GT106" s="17">
        <f t="shared" si="200"/>
        <v>202</v>
      </c>
      <c r="GU106" s="17">
        <f t="shared" si="200"/>
        <v>203</v>
      </c>
      <c r="GV106" s="17">
        <f t="shared" si="200"/>
        <v>204</v>
      </c>
      <c r="GW106" s="17">
        <f t="shared" si="200"/>
        <v>205</v>
      </c>
      <c r="GX106" s="17">
        <f t="shared" si="200"/>
        <v>206</v>
      </c>
      <c r="GY106" s="17">
        <f t="shared" si="200"/>
        <v>207</v>
      </c>
      <c r="GZ106" s="17">
        <f t="shared" si="200"/>
        <v>208</v>
      </c>
      <c r="HA106" s="17">
        <f t="shared" si="200"/>
        <v>209</v>
      </c>
      <c r="HB106" s="17">
        <f t="shared" si="200"/>
        <v>210</v>
      </c>
      <c r="HC106" s="17">
        <f t="shared" si="200"/>
        <v>211</v>
      </c>
      <c r="HD106" s="17">
        <f t="shared" si="200"/>
        <v>212</v>
      </c>
      <c r="HE106" s="17">
        <f t="shared" si="200"/>
        <v>213</v>
      </c>
      <c r="HF106" s="17">
        <f t="shared" si="200"/>
        <v>214</v>
      </c>
      <c r="HG106" s="17">
        <f t="shared" si="200"/>
        <v>215</v>
      </c>
      <c r="HH106" s="17">
        <f t="shared" si="200"/>
        <v>216</v>
      </c>
      <c r="HI106" s="17">
        <f t="shared" si="200"/>
        <v>217</v>
      </c>
      <c r="HJ106" s="17">
        <f t="shared" si="200"/>
        <v>218</v>
      </c>
      <c r="HK106" s="17">
        <f t="shared" si="200"/>
        <v>219</v>
      </c>
      <c r="HL106" s="17">
        <f t="shared" si="200"/>
        <v>220</v>
      </c>
      <c r="HM106" s="17">
        <f t="shared" si="200"/>
        <v>221</v>
      </c>
      <c r="HN106" s="17">
        <f t="shared" si="200"/>
        <v>222</v>
      </c>
      <c r="HO106" s="17">
        <f t="shared" si="200"/>
        <v>223</v>
      </c>
      <c r="HP106" s="17">
        <f t="shared" si="200"/>
        <v>224</v>
      </c>
      <c r="HQ106" s="17">
        <f t="shared" si="200"/>
        <v>225</v>
      </c>
      <c r="HR106" s="17">
        <f t="shared" si="200"/>
        <v>226</v>
      </c>
      <c r="HS106" s="17">
        <f t="shared" si="200"/>
        <v>227</v>
      </c>
      <c r="HT106" s="17">
        <f t="shared" si="200"/>
        <v>228</v>
      </c>
      <c r="HU106" s="17">
        <f t="shared" si="200"/>
        <v>229</v>
      </c>
      <c r="HV106" s="17">
        <f t="shared" si="200"/>
        <v>230</v>
      </c>
      <c r="HW106" s="17">
        <f t="shared" si="200"/>
        <v>231</v>
      </c>
      <c r="HX106" s="17">
        <f t="shared" si="200"/>
        <v>232</v>
      </c>
      <c r="HY106" s="17">
        <f t="shared" si="200"/>
        <v>233</v>
      </c>
      <c r="HZ106" s="17">
        <f t="shared" si="200"/>
        <v>234</v>
      </c>
      <c r="IA106" s="17">
        <f t="shared" si="200"/>
        <v>235</v>
      </c>
      <c r="IB106" s="17">
        <f t="shared" si="200"/>
        <v>236</v>
      </c>
      <c r="IC106" s="17">
        <f t="shared" si="200"/>
        <v>237</v>
      </c>
      <c r="ID106" s="17">
        <f t="shared" si="200"/>
        <v>238</v>
      </c>
      <c r="IE106" s="17">
        <f t="shared" si="200"/>
        <v>239</v>
      </c>
      <c r="IF106" s="17">
        <f t="shared" si="200"/>
        <v>240</v>
      </c>
      <c r="IG106" s="17">
        <f t="shared" si="200"/>
        <v>241</v>
      </c>
      <c r="IH106" s="17">
        <f t="shared" si="200"/>
        <v>242</v>
      </c>
      <c r="II106" s="17">
        <f t="shared" si="200"/>
        <v>243</v>
      </c>
      <c r="IJ106" s="17">
        <f t="shared" si="200"/>
        <v>244</v>
      </c>
      <c r="IK106" s="17">
        <f t="shared" si="200"/>
        <v>245</v>
      </c>
      <c r="IL106" s="17">
        <f t="shared" si="200"/>
        <v>246</v>
      </c>
      <c r="IM106" s="17">
        <f t="shared" si="200"/>
        <v>247</v>
      </c>
      <c r="IN106" s="17">
        <f t="shared" si="200"/>
        <v>248</v>
      </c>
      <c r="IO106" s="17">
        <f t="shared" si="200"/>
        <v>249</v>
      </c>
      <c r="IP106" s="17">
        <f t="shared" si="200"/>
        <v>250</v>
      </c>
      <c r="IQ106" s="17">
        <f t="shared" si="200"/>
        <v>251</v>
      </c>
      <c r="IR106" s="17">
        <f t="shared" si="200"/>
        <v>252</v>
      </c>
    </row>
    <row r="107" spans="1:252" ht="15.75" customHeight="1" x14ac:dyDescent="0.25">
      <c r="A107" s="17"/>
      <c r="B107" s="17"/>
      <c r="C107" s="17"/>
      <c r="D107" s="17"/>
      <c r="E107" s="17"/>
      <c r="F107" s="91"/>
      <c r="G107" s="17"/>
      <c r="H107" s="17"/>
      <c r="I107" s="17"/>
      <c r="J107" s="17"/>
      <c r="K107" s="17"/>
      <c r="L107" s="17"/>
      <c r="M107" s="17"/>
      <c r="N107" s="91"/>
      <c r="O107" s="17"/>
      <c r="P107" s="100"/>
      <c r="Q107" s="17"/>
      <c r="R107" s="17"/>
      <c r="S107" s="17"/>
      <c r="T107" s="17"/>
      <c r="U107" s="17"/>
      <c r="V107" s="17"/>
      <c r="W107" s="91"/>
      <c r="X107" s="17"/>
      <c r="Y107" s="17"/>
      <c r="Z107" s="17"/>
      <c r="AA107" s="17"/>
      <c r="AB107" s="17"/>
      <c r="AC107" s="17"/>
      <c r="AD107" s="17"/>
      <c r="AE107" s="17"/>
      <c r="AF107" s="33"/>
      <c r="AG107" s="91"/>
      <c r="AH107" s="17"/>
      <c r="AI107" s="17"/>
      <c r="AJ107" s="17"/>
      <c r="AK107" s="17"/>
      <c r="AL107" s="17"/>
      <c r="AM107" s="17"/>
      <c r="AN107" s="17"/>
      <c r="AO107" s="17"/>
      <c r="AP107" s="91"/>
      <c r="AQ107" s="17"/>
      <c r="AR107" s="17"/>
      <c r="AS107" s="17"/>
      <c r="AT107" s="17"/>
      <c r="AU107" s="17"/>
      <c r="AV107" s="17"/>
      <c r="AW107" s="17"/>
      <c r="AX107" s="17"/>
      <c r="AY107" s="91"/>
      <c r="AZ107" s="17"/>
      <c r="BA107" s="17"/>
      <c r="BB107" s="17"/>
      <c r="BC107" s="17"/>
      <c r="BD107" s="17"/>
      <c r="BE107" s="91"/>
      <c r="BF107" s="17"/>
      <c r="BG107" s="17"/>
      <c r="BH107" s="17"/>
      <c r="BI107" s="91"/>
      <c r="BJ107" s="17"/>
      <c r="BK107" s="17"/>
      <c r="BL107" s="17"/>
      <c r="BM107" s="17"/>
      <c r="BN107" s="17"/>
      <c r="BO107" s="17"/>
      <c r="BP107" s="91"/>
      <c r="BQ107" s="17"/>
      <c r="BR107" s="17"/>
      <c r="BS107" s="17"/>
      <c r="BT107" s="17"/>
      <c r="BU107" s="17"/>
      <c r="BV107" s="17"/>
      <c r="BW107" s="91"/>
      <c r="BX107" s="17"/>
      <c r="BY107" s="17"/>
      <c r="BZ107" s="17"/>
      <c r="CA107" s="17"/>
      <c r="CB107" s="17"/>
      <c r="CC107" s="128"/>
      <c r="CD107" s="132"/>
      <c r="CE107" s="17"/>
      <c r="CF107" s="91"/>
      <c r="CG107" s="17"/>
      <c r="CH107" s="17"/>
      <c r="CI107" s="17"/>
      <c r="CJ107" s="17"/>
      <c r="CK107" s="17"/>
      <c r="CL107" s="17"/>
      <c r="CM107" s="17"/>
      <c r="CN107" s="17"/>
      <c r="CO107" s="91"/>
      <c r="CP107" s="17"/>
      <c r="CQ107" s="17"/>
      <c r="CR107" s="17"/>
      <c r="CS107" s="17"/>
      <c r="CT107" s="91"/>
      <c r="ID107" s="91"/>
      <c r="IE107" s="17"/>
      <c r="IF107" s="17"/>
      <c r="IG107" s="17"/>
      <c r="IH107" s="17"/>
      <c r="II107" s="17"/>
      <c r="IJ107" s="17"/>
      <c r="IK107" s="17"/>
      <c r="IL107" s="17"/>
      <c r="IM107" s="91"/>
      <c r="IN107" s="17"/>
      <c r="IO107" s="17"/>
      <c r="IP107" s="17"/>
      <c r="IQ107" s="17"/>
    </row>
    <row r="108" spans="1:252" ht="15.75" customHeight="1" x14ac:dyDescent="0.25">
      <c r="A108" s="17"/>
      <c r="B108" s="17"/>
      <c r="C108" s="17"/>
      <c r="D108" s="17"/>
      <c r="E108" s="17"/>
      <c r="F108" s="91"/>
      <c r="G108" s="17"/>
      <c r="H108" s="17"/>
      <c r="I108" s="17"/>
      <c r="J108" s="17"/>
      <c r="K108" s="17"/>
      <c r="L108" s="17"/>
      <c r="M108" s="17"/>
      <c r="N108" s="91"/>
      <c r="O108" s="17"/>
      <c r="P108" s="100"/>
      <c r="Q108" s="17"/>
      <c r="R108" s="17"/>
      <c r="S108" s="17"/>
      <c r="T108" s="17"/>
      <c r="U108" s="17"/>
      <c r="V108" s="17"/>
      <c r="W108" s="91"/>
      <c r="X108" s="17"/>
      <c r="Y108" s="17"/>
      <c r="Z108" s="17"/>
      <c r="AA108" s="17"/>
      <c r="AB108" s="17"/>
      <c r="AC108" s="17"/>
      <c r="AD108" s="17"/>
      <c r="AE108" s="17"/>
      <c r="AF108" s="17"/>
      <c r="AG108" s="91"/>
      <c r="AH108" s="17"/>
      <c r="AI108" s="17"/>
      <c r="AJ108" s="17"/>
      <c r="AK108" s="17"/>
      <c r="AL108" s="17"/>
      <c r="AM108" s="17"/>
      <c r="AN108" s="17"/>
      <c r="AO108" s="17"/>
      <c r="AP108" s="91"/>
      <c r="AQ108" s="17"/>
      <c r="AR108" s="17"/>
      <c r="AS108" s="17"/>
      <c r="AT108" s="17"/>
      <c r="AU108" s="17"/>
      <c r="AV108" s="17"/>
      <c r="AW108" s="17"/>
      <c r="AX108" s="17"/>
      <c r="AY108" s="91"/>
      <c r="AZ108" s="17"/>
      <c r="BA108" s="17"/>
      <c r="BB108" s="17"/>
      <c r="BC108" s="17"/>
      <c r="BD108" s="17"/>
      <c r="BE108" s="91"/>
      <c r="BF108" s="17"/>
      <c r="BG108" s="17"/>
      <c r="BH108" s="17"/>
      <c r="BI108" s="91"/>
      <c r="BJ108" s="17"/>
      <c r="BK108" s="17"/>
      <c r="BL108" s="17"/>
      <c r="BM108" s="17"/>
      <c r="BN108" s="17"/>
      <c r="BO108" s="17"/>
      <c r="BP108" s="91"/>
      <c r="BQ108" s="17"/>
      <c r="BR108" s="17"/>
      <c r="BS108" s="17"/>
      <c r="BT108" s="17"/>
      <c r="BU108" s="17"/>
      <c r="BV108" s="17"/>
      <c r="BW108" s="91"/>
      <c r="BX108" s="17"/>
      <c r="BY108" s="17"/>
      <c r="BZ108" s="17"/>
      <c r="CA108" s="17"/>
      <c r="CB108" s="17"/>
      <c r="CC108" s="128"/>
      <c r="CD108" s="132"/>
      <c r="CE108" s="17"/>
      <c r="CF108" s="91"/>
      <c r="CG108" s="17"/>
      <c r="CH108" s="17"/>
      <c r="CI108" s="17"/>
      <c r="CJ108" s="17"/>
      <c r="CK108" s="17"/>
      <c r="CL108" s="17"/>
      <c r="CM108" s="17"/>
      <c r="CN108" s="17"/>
      <c r="CO108" s="91"/>
      <c r="CP108" s="17"/>
      <c r="CQ108" s="17"/>
      <c r="CR108" s="17"/>
      <c r="CS108" s="17"/>
      <c r="CT108" s="91"/>
      <c r="ID108" s="91"/>
      <c r="IE108" s="17"/>
      <c r="IF108" s="17"/>
      <c r="IG108" s="17"/>
      <c r="IH108" s="17"/>
      <c r="II108" s="17"/>
      <c r="IJ108" s="17"/>
      <c r="IK108" s="17"/>
      <c r="IL108" s="17"/>
      <c r="IM108" s="91"/>
      <c r="IN108" s="17"/>
      <c r="IO108" s="17"/>
      <c r="IP108" s="17"/>
      <c r="IQ108" s="17"/>
    </row>
    <row r="109" spans="1:252" ht="15.75" customHeight="1" x14ac:dyDescent="0.25">
      <c r="A109" s="17"/>
      <c r="B109" s="17"/>
      <c r="C109" s="17"/>
      <c r="D109" s="17"/>
      <c r="E109" s="17"/>
      <c r="F109" s="91"/>
      <c r="G109" s="17"/>
      <c r="H109" s="17"/>
      <c r="I109" s="17"/>
      <c r="J109" s="17"/>
      <c r="K109" s="17"/>
      <c r="L109" s="17"/>
      <c r="M109" s="17"/>
      <c r="N109" s="91"/>
      <c r="O109" s="17"/>
      <c r="P109" s="100"/>
      <c r="Q109" s="17"/>
      <c r="R109" s="17"/>
      <c r="S109" s="17"/>
      <c r="T109" s="17"/>
      <c r="U109" s="17"/>
      <c r="V109" s="17"/>
      <c r="W109" s="91"/>
      <c r="X109" s="17"/>
      <c r="Y109" s="17"/>
      <c r="Z109" s="17"/>
      <c r="AA109" s="17"/>
      <c r="AB109" s="17"/>
      <c r="AC109" s="17"/>
      <c r="AD109" s="17"/>
      <c r="AE109" s="17"/>
      <c r="AF109" s="17"/>
      <c r="AG109" s="91"/>
      <c r="AH109" s="17"/>
      <c r="AI109" s="17"/>
      <c r="AJ109" s="17"/>
      <c r="AK109" s="17"/>
      <c r="AL109" s="17"/>
      <c r="AM109" s="17"/>
      <c r="AN109" s="17"/>
      <c r="AO109" s="17"/>
      <c r="AP109" s="91"/>
      <c r="AQ109" s="17"/>
      <c r="AR109" s="17"/>
      <c r="AS109" s="17"/>
      <c r="AT109" s="17"/>
      <c r="AU109" s="17"/>
      <c r="AV109" s="17"/>
      <c r="AW109" s="17"/>
      <c r="AX109" s="17"/>
      <c r="AY109" s="91"/>
      <c r="AZ109" s="17"/>
      <c r="BA109" s="17"/>
      <c r="BB109" s="17"/>
      <c r="BC109" s="17"/>
      <c r="BD109" s="17"/>
      <c r="BE109" s="91"/>
      <c r="BF109" s="17"/>
      <c r="BG109" s="17"/>
      <c r="BH109" s="17"/>
      <c r="BI109" s="91"/>
      <c r="BJ109" s="17"/>
      <c r="BK109" s="17"/>
      <c r="BL109" s="17"/>
      <c r="BM109" s="17"/>
      <c r="BN109" s="17"/>
      <c r="BO109" s="17"/>
      <c r="BP109" s="91"/>
      <c r="BQ109" s="17"/>
      <c r="BR109" s="17"/>
      <c r="BS109" s="17"/>
      <c r="BT109" s="17"/>
      <c r="BU109" s="17"/>
      <c r="BV109" s="17"/>
      <c r="BW109" s="91"/>
      <c r="BX109" s="17"/>
      <c r="BY109" s="17"/>
      <c r="BZ109" s="17"/>
      <c r="CA109" s="17"/>
      <c r="CB109" s="17"/>
      <c r="CC109" s="128"/>
      <c r="CD109" s="132"/>
      <c r="CE109" s="17"/>
      <c r="CF109" s="91"/>
      <c r="CG109" s="17"/>
      <c r="CH109" s="17"/>
      <c r="CI109" s="17"/>
      <c r="CJ109" s="17"/>
      <c r="CK109" s="17"/>
      <c r="CL109" s="17"/>
      <c r="CM109" s="17"/>
      <c r="CN109" s="17"/>
      <c r="CO109" s="91"/>
      <c r="CP109" s="17"/>
      <c r="CQ109" s="17"/>
      <c r="CR109" s="17"/>
      <c r="CS109" s="17"/>
      <c r="CT109" s="91"/>
      <c r="ID109" s="91"/>
      <c r="IE109" s="17"/>
      <c r="IF109" s="17"/>
      <c r="IG109" s="17"/>
      <c r="IH109" s="17"/>
      <c r="II109" s="17"/>
      <c r="IJ109" s="17"/>
      <c r="IK109" s="17"/>
      <c r="IL109" s="17"/>
      <c r="IM109" s="91"/>
      <c r="IN109" s="17"/>
      <c r="IO109" s="17"/>
      <c r="IP109" s="17"/>
      <c r="IQ109" s="17"/>
    </row>
    <row r="110" spans="1:252" ht="15.75" customHeight="1" x14ac:dyDescent="0.25">
      <c r="A110" s="17"/>
      <c r="B110" s="17"/>
      <c r="C110" s="17"/>
      <c r="D110" s="17"/>
      <c r="E110" s="17"/>
      <c r="F110" s="91"/>
      <c r="G110" s="17"/>
      <c r="H110" s="17"/>
      <c r="I110" s="17"/>
      <c r="J110" s="17"/>
      <c r="K110" s="17"/>
      <c r="L110" s="17"/>
      <c r="M110" s="17"/>
      <c r="N110" s="91"/>
      <c r="O110" s="17"/>
      <c r="P110" s="100"/>
      <c r="Q110" s="17"/>
      <c r="R110" s="17"/>
      <c r="S110" s="17"/>
      <c r="T110" s="17"/>
      <c r="U110" s="17"/>
      <c r="V110" s="17"/>
      <c r="W110" s="91"/>
      <c r="X110" s="17"/>
      <c r="Y110" s="17"/>
      <c r="Z110" s="17"/>
      <c r="AA110" s="17"/>
      <c r="AB110" s="17"/>
      <c r="AC110" s="17"/>
      <c r="AD110" s="17"/>
      <c r="AE110" s="17"/>
      <c r="AF110" s="17"/>
      <c r="AG110" s="91"/>
      <c r="AH110" s="17"/>
      <c r="AI110" s="17"/>
      <c r="AJ110" s="17"/>
      <c r="AK110" s="17"/>
      <c r="AL110" s="17"/>
      <c r="AM110" s="17"/>
      <c r="AN110" s="17"/>
      <c r="AO110" s="17"/>
      <c r="AP110" s="91"/>
      <c r="AQ110" s="17"/>
      <c r="AR110" s="17"/>
      <c r="AS110" s="17"/>
      <c r="AT110" s="17"/>
      <c r="AU110" s="17"/>
      <c r="AV110" s="17"/>
      <c r="AW110" s="17"/>
      <c r="AX110" s="17"/>
      <c r="AY110" s="91"/>
      <c r="AZ110" s="17"/>
      <c r="BA110" s="17"/>
      <c r="BB110" s="17"/>
      <c r="BC110" s="17"/>
      <c r="BD110" s="17"/>
      <c r="BE110" s="91"/>
      <c r="BF110" s="17"/>
      <c r="BG110" s="17"/>
      <c r="BH110" s="17"/>
      <c r="BI110" s="91"/>
      <c r="BJ110" s="17"/>
      <c r="BK110" s="17"/>
      <c r="BL110" s="17"/>
      <c r="BM110" s="17"/>
      <c r="BN110" s="17"/>
      <c r="BO110" s="17"/>
      <c r="BP110" s="91"/>
      <c r="BQ110" s="17"/>
      <c r="BR110" s="17"/>
      <c r="BS110" s="17"/>
      <c r="BT110" s="17"/>
      <c r="BU110" s="17"/>
      <c r="BV110" s="17"/>
      <c r="BW110" s="91"/>
      <c r="BX110" s="17"/>
      <c r="BY110" s="17"/>
      <c r="BZ110" s="17"/>
      <c r="CA110" s="17"/>
      <c r="CB110" s="17"/>
      <c r="CC110" s="128"/>
      <c r="CD110" s="132"/>
      <c r="CE110" s="17"/>
      <c r="CF110" s="91"/>
      <c r="CG110" s="17"/>
      <c r="CH110" s="17"/>
      <c r="CI110" s="17"/>
      <c r="CJ110" s="17"/>
      <c r="CK110" s="17"/>
      <c r="CL110" s="17"/>
      <c r="CM110" s="17"/>
      <c r="CN110" s="17"/>
      <c r="CO110" s="91"/>
      <c r="CP110" s="17"/>
      <c r="CQ110" s="17"/>
      <c r="CR110" s="17"/>
      <c r="CS110" s="17"/>
      <c r="CT110" s="91"/>
      <c r="ID110" s="91"/>
      <c r="IE110" s="17"/>
      <c r="IF110" s="17"/>
      <c r="IG110" s="17"/>
      <c r="IH110" s="17"/>
      <c r="II110" s="17"/>
      <c r="IJ110" s="17"/>
      <c r="IK110" s="17"/>
      <c r="IL110" s="17"/>
      <c r="IM110" s="91"/>
      <c r="IN110" s="17"/>
      <c r="IO110" s="17"/>
      <c r="IP110" s="17"/>
      <c r="IQ110" s="17"/>
    </row>
    <row r="111" spans="1:252" ht="15.75" customHeight="1" x14ac:dyDescent="0.25">
      <c r="A111" s="17"/>
      <c r="B111" s="17"/>
      <c r="C111" s="17"/>
      <c r="D111" s="17"/>
      <c r="E111" s="17"/>
      <c r="F111" s="91"/>
      <c r="G111" s="17"/>
      <c r="H111" s="17"/>
      <c r="I111" s="17"/>
      <c r="J111" s="17"/>
      <c r="K111" s="17"/>
      <c r="L111" s="17"/>
      <c r="M111" s="17"/>
      <c r="N111" s="91"/>
      <c r="O111" s="17"/>
      <c r="P111" s="100"/>
      <c r="Q111" s="17"/>
      <c r="R111" s="17"/>
      <c r="S111" s="17"/>
      <c r="T111" s="17"/>
      <c r="U111" s="17"/>
      <c r="V111" s="17"/>
      <c r="W111" s="91"/>
      <c r="X111" s="17"/>
      <c r="Y111" s="17"/>
      <c r="Z111" s="17"/>
      <c r="AA111" s="17"/>
      <c r="AB111" s="17"/>
      <c r="AC111" s="17"/>
      <c r="AD111" s="17"/>
      <c r="AE111" s="17"/>
      <c r="AF111" s="17"/>
      <c r="AG111" s="91"/>
      <c r="AH111" s="17"/>
      <c r="AI111" s="17"/>
      <c r="AJ111" s="17"/>
      <c r="AK111" s="17"/>
      <c r="AL111" s="17"/>
      <c r="AM111" s="17"/>
      <c r="AN111" s="17"/>
      <c r="AO111" s="17"/>
      <c r="AP111" s="91"/>
      <c r="AQ111" s="17"/>
      <c r="AR111" s="17"/>
      <c r="AS111" s="17"/>
      <c r="AT111" s="17"/>
      <c r="AU111" s="17"/>
      <c r="AV111" s="17"/>
      <c r="AW111" s="17"/>
      <c r="AX111" s="17"/>
      <c r="AY111" s="91"/>
      <c r="AZ111" s="17"/>
      <c r="BA111" s="17"/>
      <c r="BB111" s="17"/>
      <c r="BC111" s="17"/>
      <c r="BD111" s="17"/>
      <c r="BE111" s="91"/>
      <c r="BF111" s="17"/>
      <c r="BG111" s="17"/>
      <c r="BH111" s="17"/>
      <c r="BI111" s="91"/>
      <c r="BJ111" s="17"/>
      <c r="BK111" s="17"/>
      <c r="BL111" s="17"/>
      <c r="BM111" s="17"/>
      <c r="BN111" s="17"/>
      <c r="BO111" s="17"/>
      <c r="BP111" s="91"/>
      <c r="BQ111" s="17"/>
      <c r="BR111" s="17"/>
      <c r="BS111" s="17"/>
      <c r="BT111" s="17"/>
      <c r="BU111" s="17"/>
      <c r="BV111" s="17"/>
      <c r="BW111" s="91"/>
      <c r="BX111" s="17"/>
      <c r="BY111" s="17"/>
      <c r="BZ111" s="17"/>
      <c r="CA111" s="17"/>
      <c r="CB111" s="17"/>
      <c r="CC111" s="128"/>
      <c r="CD111" s="132"/>
      <c r="CE111" s="17"/>
      <c r="CF111" s="91"/>
      <c r="CG111" s="17"/>
      <c r="CH111" s="17"/>
      <c r="CI111" s="17"/>
      <c r="CJ111" s="17"/>
      <c r="CK111" s="17"/>
      <c r="CL111" s="17"/>
      <c r="CM111" s="17"/>
      <c r="CN111" s="17"/>
      <c r="CO111" s="91"/>
      <c r="CP111" s="17"/>
      <c r="CQ111" s="17"/>
      <c r="CR111" s="17"/>
      <c r="CS111" s="17"/>
      <c r="CT111" s="91"/>
      <c r="ID111" s="91"/>
      <c r="IE111" s="17"/>
      <c r="IF111" s="17"/>
      <c r="IG111" s="17"/>
      <c r="IH111" s="17"/>
      <c r="II111" s="17"/>
      <c r="IJ111" s="17"/>
      <c r="IK111" s="17"/>
      <c r="IL111" s="17"/>
      <c r="IM111" s="91"/>
      <c r="IN111" s="17"/>
      <c r="IO111" s="17"/>
      <c r="IP111" s="17"/>
      <c r="IQ111" s="17"/>
    </row>
    <row r="112" spans="1:252" ht="15.75" customHeight="1" x14ac:dyDescent="0.25">
      <c r="A112" s="17"/>
      <c r="B112" s="17"/>
      <c r="C112" s="17"/>
      <c r="D112" s="17"/>
      <c r="E112" s="17"/>
      <c r="F112" s="91"/>
      <c r="G112" s="17"/>
      <c r="H112" s="17"/>
      <c r="I112" s="17"/>
      <c r="J112" s="17"/>
      <c r="K112" s="17"/>
      <c r="L112" s="17"/>
      <c r="M112" s="17"/>
      <c r="N112" s="91"/>
      <c r="O112" s="17"/>
      <c r="P112" s="100"/>
      <c r="Q112" s="17"/>
      <c r="R112" s="17"/>
      <c r="S112" s="17"/>
      <c r="T112" s="17"/>
      <c r="U112" s="17"/>
      <c r="V112" s="17"/>
      <c r="W112" s="91"/>
      <c r="X112" s="17"/>
      <c r="Y112" s="17"/>
      <c r="Z112" s="17"/>
      <c r="AA112" s="17"/>
      <c r="AB112" s="17"/>
      <c r="AC112" s="17"/>
      <c r="AD112" s="17"/>
      <c r="AE112" s="17"/>
      <c r="AF112" s="17"/>
      <c r="AG112" s="91"/>
      <c r="AH112" s="17"/>
      <c r="AI112" s="17"/>
      <c r="AJ112" s="17"/>
      <c r="AK112" s="17"/>
      <c r="AL112" s="17"/>
      <c r="AM112" s="17"/>
      <c r="AN112" s="17"/>
      <c r="AO112" s="17"/>
      <c r="AP112" s="91"/>
      <c r="AQ112" s="17"/>
      <c r="AR112" s="17"/>
      <c r="AS112" s="17"/>
      <c r="AT112" s="17"/>
      <c r="AU112" s="17"/>
      <c r="AV112" s="17"/>
      <c r="AW112" s="17"/>
      <c r="AX112" s="17"/>
      <c r="AY112" s="91"/>
      <c r="AZ112" s="17"/>
      <c r="BA112" s="17"/>
      <c r="BB112" s="17"/>
      <c r="BC112" s="17"/>
      <c r="BD112" s="17"/>
      <c r="BE112" s="91"/>
      <c r="BF112" s="17"/>
      <c r="BG112" s="17"/>
      <c r="BH112" s="17"/>
      <c r="BI112" s="91"/>
      <c r="BJ112" s="17"/>
      <c r="BK112" s="17"/>
      <c r="BL112" s="17"/>
      <c r="BM112" s="17"/>
      <c r="BN112" s="17"/>
      <c r="BO112" s="17"/>
      <c r="BP112" s="91"/>
      <c r="BQ112" s="17"/>
      <c r="BR112" s="17"/>
      <c r="BS112" s="17"/>
      <c r="BT112" s="17"/>
      <c r="BU112" s="17"/>
      <c r="BV112" s="17"/>
      <c r="BW112" s="91"/>
      <c r="BX112" s="17"/>
      <c r="BY112" s="17"/>
      <c r="BZ112" s="17"/>
      <c r="CA112" s="17"/>
      <c r="CB112" s="17"/>
      <c r="CC112" s="128"/>
      <c r="CD112" s="132"/>
      <c r="CE112" s="17"/>
      <c r="CF112" s="91"/>
      <c r="CG112" s="17"/>
      <c r="CH112" s="17"/>
      <c r="CI112" s="17"/>
      <c r="CJ112" s="17"/>
      <c r="CK112" s="17"/>
      <c r="CL112" s="17"/>
      <c r="CM112" s="17"/>
      <c r="CN112" s="17"/>
      <c r="CO112" s="91"/>
      <c r="CP112" s="17"/>
      <c r="CQ112" s="17"/>
      <c r="CR112" s="17"/>
      <c r="CS112" s="17"/>
      <c r="CT112" s="91"/>
      <c r="ID112" s="91"/>
      <c r="IE112" s="17"/>
      <c r="IF112" s="17"/>
      <c r="IG112" s="17"/>
      <c r="IH112" s="17"/>
      <c r="II112" s="17"/>
      <c r="IJ112" s="17"/>
      <c r="IK112" s="17"/>
      <c r="IL112" s="17"/>
      <c r="IM112" s="91"/>
      <c r="IN112" s="17"/>
      <c r="IO112" s="17"/>
      <c r="IP112" s="17"/>
      <c r="IQ112" s="17"/>
    </row>
    <row r="113" spans="1:251" ht="15.75" customHeight="1" x14ac:dyDescent="0.25">
      <c r="A113" s="17"/>
      <c r="B113" s="17"/>
      <c r="C113" s="17"/>
      <c r="D113" s="17"/>
      <c r="E113" s="17"/>
      <c r="F113" s="91"/>
      <c r="G113" s="17"/>
      <c r="H113" s="17"/>
      <c r="I113" s="17"/>
      <c r="J113" s="17"/>
      <c r="K113" s="17"/>
      <c r="L113" s="17"/>
      <c r="M113" s="17"/>
      <c r="N113" s="91"/>
      <c r="O113" s="17"/>
      <c r="P113" s="100"/>
      <c r="Q113" s="17"/>
      <c r="R113" s="17"/>
      <c r="S113" s="17"/>
      <c r="T113" s="17"/>
      <c r="U113" s="17"/>
      <c r="V113" s="17"/>
      <c r="W113" s="91"/>
      <c r="X113" s="17"/>
      <c r="Y113" s="17"/>
      <c r="Z113" s="17"/>
      <c r="AA113" s="17"/>
      <c r="AB113" s="17"/>
      <c r="AC113" s="17"/>
      <c r="AD113" s="17"/>
      <c r="AE113" s="17"/>
      <c r="AF113" s="17"/>
      <c r="AG113" s="91"/>
      <c r="AH113" s="17"/>
      <c r="AI113" s="17"/>
      <c r="AJ113" s="17"/>
      <c r="AK113" s="17"/>
      <c r="AL113" s="17"/>
      <c r="AM113" s="17"/>
      <c r="AN113" s="17"/>
      <c r="AO113" s="17"/>
      <c r="AP113" s="91"/>
      <c r="AQ113" s="17"/>
      <c r="AR113" s="17"/>
      <c r="AS113" s="17"/>
      <c r="AT113" s="17"/>
      <c r="AU113" s="17"/>
      <c r="AV113" s="17"/>
      <c r="AW113" s="17"/>
      <c r="AX113" s="17"/>
      <c r="AY113" s="91"/>
      <c r="AZ113" s="17"/>
      <c r="BA113" s="17"/>
      <c r="BB113" s="17"/>
      <c r="BC113" s="17"/>
      <c r="BD113" s="17"/>
      <c r="BE113" s="91"/>
      <c r="BF113" s="17"/>
      <c r="BG113" s="17"/>
      <c r="BH113" s="17"/>
      <c r="BI113" s="91"/>
      <c r="BJ113" s="17"/>
      <c r="BK113" s="17"/>
      <c r="BL113" s="17"/>
      <c r="BM113" s="17"/>
      <c r="BN113" s="17"/>
      <c r="BO113" s="17"/>
      <c r="BP113" s="91"/>
      <c r="BQ113" s="17"/>
      <c r="BR113" s="17"/>
      <c r="BS113" s="17"/>
      <c r="BT113" s="17"/>
      <c r="BU113" s="17"/>
      <c r="BV113" s="17"/>
      <c r="BW113" s="91"/>
      <c r="BX113" s="17"/>
      <c r="BY113" s="17"/>
      <c r="BZ113" s="17"/>
      <c r="CA113" s="17"/>
      <c r="CB113" s="17"/>
      <c r="CC113" s="128"/>
      <c r="CD113" s="132"/>
      <c r="CE113" s="17"/>
      <c r="CF113" s="91"/>
      <c r="CG113" s="17"/>
      <c r="CH113" s="17"/>
      <c r="CI113" s="17"/>
      <c r="CJ113" s="17"/>
      <c r="CK113" s="17"/>
      <c r="CL113" s="17"/>
      <c r="CM113" s="17"/>
      <c r="CN113" s="17"/>
      <c r="CO113" s="91"/>
      <c r="CP113" s="17"/>
      <c r="CQ113" s="17"/>
      <c r="CR113" s="17"/>
      <c r="CS113" s="17"/>
      <c r="CT113" s="91"/>
      <c r="ID113" s="91"/>
      <c r="IE113" s="17"/>
      <c r="IF113" s="17"/>
      <c r="IG113" s="17"/>
      <c r="IH113" s="17"/>
      <c r="II113" s="17"/>
      <c r="IJ113" s="17"/>
      <c r="IK113" s="17"/>
      <c r="IL113" s="17"/>
      <c r="IM113" s="91"/>
      <c r="IN113" s="17"/>
      <c r="IO113" s="17"/>
      <c r="IP113" s="17"/>
      <c r="IQ113" s="17"/>
    </row>
    <row r="114" spans="1:251" ht="15.75" customHeight="1" x14ac:dyDescent="0.25">
      <c r="A114" s="17"/>
      <c r="B114" s="17"/>
      <c r="C114" s="17"/>
      <c r="D114" s="17"/>
      <c r="E114" s="17"/>
      <c r="F114" s="91"/>
      <c r="G114" s="17"/>
      <c r="H114" s="17"/>
      <c r="I114" s="17"/>
      <c r="J114" s="17"/>
      <c r="K114" s="17"/>
      <c r="L114" s="17"/>
      <c r="M114" s="17"/>
      <c r="N114" s="91"/>
      <c r="O114" s="17"/>
      <c r="P114" s="100"/>
      <c r="Q114" s="17"/>
      <c r="R114" s="17"/>
      <c r="S114" s="17"/>
      <c r="T114" s="17"/>
      <c r="U114" s="17"/>
      <c r="V114" s="17"/>
      <c r="W114" s="91"/>
      <c r="X114" s="17"/>
      <c r="Y114" s="17"/>
      <c r="Z114" s="17"/>
      <c r="AA114" s="17"/>
      <c r="AB114" s="17"/>
      <c r="AC114" s="17"/>
      <c r="AD114" s="17"/>
      <c r="AE114" s="17"/>
      <c r="AF114" s="17"/>
      <c r="AG114" s="91"/>
      <c r="AH114" s="17"/>
      <c r="AI114" s="17"/>
      <c r="AJ114" s="17"/>
      <c r="AK114" s="17"/>
      <c r="AL114" s="17"/>
      <c r="AM114" s="17"/>
      <c r="AN114" s="17"/>
      <c r="AO114" s="17"/>
      <c r="AP114" s="91"/>
      <c r="AQ114" s="17"/>
      <c r="AR114" s="17"/>
      <c r="AS114" s="17"/>
      <c r="AT114" s="17"/>
      <c r="AU114" s="17"/>
      <c r="AV114" s="17"/>
      <c r="AW114" s="17"/>
      <c r="AX114" s="17"/>
      <c r="AY114" s="91"/>
      <c r="AZ114" s="17"/>
      <c r="BA114" s="17"/>
      <c r="BB114" s="17"/>
      <c r="BC114" s="17"/>
      <c r="BD114" s="17"/>
      <c r="BE114" s="91"/>
      <c r="BF114" s="17"/>
      <c r="BG114" s="17"/>
      <c r="BH114" s="17"/>
      <c r="BI114" s="91"/>
      <c r="BJ114" s="17"/>
      <c r="BK114" s="17"/>
      <c r="BL114" s="17"/>
      <c r="BM114" s="17"/>
      <c r="BN114" s="17"/>
      <c r="BO114" s="17"/>
      <c r="BP114" s="91"/>
      <c r="BQ114" s="17"/>
      <c r="BR114" s="17"/>
      <c r="BS114" s="17"/>
      <c r="BT114" s="17"/>
      <c r="BU114" s="17"/>
      <c r="BV114" s="17"/>
      <c r="BW114" s="91"/>
      <c r="BX114" s="17"/>
      <c r="BY114" s="17"/>
      <c r="BZ114" s="17"/>
      <c r="CA114" s="17"/>
      <c r="CB114" s="17"/>
      <c r="CC114" s="128"/>
      <c r="CD114" s="132"/>
      <c r="CE114" s="17"/>
      <c r="CF114" s="91"/>
      <c r="CG114" s="17"/>
      <c r="CH114" s="17"/>
      <c r="CI114" s="17"/>
      <c r="CJ114" s="17"/>
      <c r="CK114" s="17"/>
      <c r="CL114" s="17"/>
      <c r="CM114" s="17"/>
      <c r="CN114" s="17"/>
      <c r="CO114" s="91"/>
      <c r="CP114" s="17"/>
      <c r="CQ114" s="17"/>
      <c r="CR114" s="17"/>
      <c r="CS114" s="17"/>
      <c r="CT114" s="91"/>
      <c r="ID114" s="91"/>
      <c r="IE114" s="17"/>
      <c r="IF114" s="17"/>
      <c r="IG114" s="17"/>
      <c r="IH114" s="17"/>
      <c r="II114" s="17"/>
      <c r="IJ114" s="17"/>
      <c r="IK114" s="17"/>
      <c r="IL114" s="17"/>
      <c r="IM114" s="91"/>
      <c r="IN114" s="17"/>
      <c r="IO114" s="17"/>
      <c r="IP114" s="17"/>
      <c r="IQ114" s="17"/>
    </row>
    <row r="115" spans="1:251" ht="15.75" customHeight="1" x14ac:dyDescent="0.25">
      <c r="A115" s="17"/>
      <c r="B115" s="17"/>
      <c r="C115" s="17"/>
      <c r="D115" s="17"/>
      <c r="E115" s="17"/>
      <c r="F115" s="91"/>
      <c r="G115" s="17"/>
      <c r="H115" s="17"/>
      <c r="I115" s="17"/>
      <c r="J115" s="17"/>
      <c r="K115" s="17"/>
      <c r="L115" s="17"/>
      <c r="M115" s="17"/>
      <c r="N115" s="91"/>
      <c r="O115" s="17"/>
      <c r="P115" s="100"/>
      <c r="Q115" s="17"/>
      <c r="R115" s="17"/>
      <c r="S115" s="17"/>
      <c r="T115" s="17"/>
      <c r="U115" s="17"/>
      <c r="V115" s="17"/>
      <c r="W115" s="91"/>
      <c r="X115" s="17"/>
      <c r="Y115" s="17"/>
      <c r="Z115" s="17"/>
      <c r="AA115" s="17"/>
      <c r="AB115" s="17"/>
      <c r="AC115" s="17"/>
      <c r="AD115" s="17"/>
      <c r="AE115" s="17"/>
      <c r="AF115" s="17"/>
      <c r="AG115" s="91"/>
      <c r="AH115" s="17"/>
      <c r="AI115" s="17"/>
      <c r="AJ115" s="17"/>
      <c r="AK115" s="17"/>
      <c r="AL115" s="17"/>
      <c r="AM115" s="17"/>
      <c r="AN115" s="17"/>
      <c r="AO115" s="17"/>
      <c r="AP115" s="91"/>
      <c r="AQ115" s="17"/>
      <c r="AR115" s="17"/>
      <c r="AS115" s="17"/>
      <c r="AT115" s="17"/>
      <c r="AU115" s="17"/>
      <c r="AV115" s="17"/>
      <c r="AW115" s="17"/>
      <c r="AX115" s="17"/>
      <c r="AY115" s="91"/>
      <c r="AZ115" s="17"/>
      <c r="BA115" s="17"/>
      <c r="BB115" s="17"/>
      <c r="BC115" s="17"/>
      <c r="BD115" s="17"/>
      <c r="BE115" s="91"/>
      <c r="BF115" s="17"/>
      <c r="BG115" s="17"/>
      <c r="BH115" s="17"/>
      <c r="BI115" s="91"/>
      <c r="BJ115" s="17"/>
      <c r="BK115" s="17"/>
      <c r="BL115" s="17"/>
      <c r="BM115" s="17"/>
      <c r="BN115" s="17"/>
      <c r="BO115" s="17"/>
      <c r="BP115" s="91"/>
      <c r="BQ115" s="17"/>
      <c r="BR115" s="17"/>
      <c r="BS115" s="17"/>
      <c r="BT115" s="17"/>
      <c r="BU115" s="17"/>
      <c r="BV115" s="17"/>
      <c r="BW115" s="91"/>
      <c r="BX115" s="17"/>
      <c r="BY115" s="17"/>
      <c r="BZ115" s="17"/>
      <c r="CA115" s="17"/>
      <c r="CB115" s="17"/>
      <c r="CC115" s="128"/>
      <c r="CD115" s="132"/>
      <c r="CE115" s="17"/>
      <c r="CF115" s="91"/>
      <c r="CG115" s="17"/>
      <c r="CH115" s="17"/>
      <c r="CI115" s="17"/>
      <c r="CJ115" s="17"/>
      <c r="CK115" s="17"/>
      <c r="CL115" s="17"/>
      <c r="CM115" s="17"/>
      <c r="CN115" s="17"/>
      <c r="CO115" s="91"/>
      <c r="CP115" s="17"/>
      <c r="CQ115" s="17"/>
      <c r="CR115" s="17"/>
      <c r="CS115" s="17"/>
      <c r="CT115" s="91"/>
      <c r="ID115" s="91"/>
      <c r="IE115" s="17"/>
      <c r="IF115" s="17"/>
      <c r="IG115" s="17"/>
      <c r="IH115" s="17"/>
      <c r="II115" s="17"/>
      <c r="IJ115" s="17"/>
      <c r="IK115" s="17"/>
      <c r="IL115" s="17"/>
      <c r="IM115" s="91"/>
      <c r="IN115" s="17"/>
      <c r="IO115" s="17"/>
      <c r="IP115" s="17"/>
      <c r="IQ115" s="17"/>
    </row>
    <row r="116" spans="1:251" ht="15.75" customHeight="1" x14ac:dyDescent="0.25">
      <c r="A116" s="17"/>
      <c r="B116" s="17"/>
      <c r="C116" s="17"/>
      <c r="D116" s="17"/>
      <c r="E116" s="17"/>
      <c r="F116" s="91"/>
      <c r="G116" s="17"/>
      <c r="H116" s="17"/>
      <c r="I116" s="17"/>
      <c r="J116" s="17"/>
      <c r="K116" s="17"/>
      <c r="L116" s="17"/>
      <c r="M116" s="17"/>
      <c r="N116" s="91"/>
      <c r="O116" s="17"/>
      <c r="P116" s="100"/>
      <c r="Q116" s="17"/>
      <c r="R116" s="17"/>
      <c r="S116" s="17"/>
      <c r="T116" s="17"/>
      <c r="U116" s="17"/>
      <c r="V116" s="17"/>
      <c r="W116" s="91"/>
      <c r="X116" s="17"/>
      <c r="Y116" s="17"/>
      <c r="Z116" s="17"/>
      <c r="AA116" s="17"/>
      <c r="AB116" s="17"/>
      <c r="AC116" s="17"/>
      <c r="AD116" s="17"/>
      <c r="AE116" s="17"/>
      <c r="AF116" s="17"/>
      <c r="AG116" s="91"/>
      <c r="AH116" s="17"/>
      <c r="AI116" s="17"/>
      <c r="AJ116" s="17"/>
      <c r="AK116" s="17"/>
      <c r="AL116" s="17"/>
      <c r="AM116" s="17"/>
      <c r="AN116" s="17"/>
      <c r="AO116" s="17"/>
      <c r="AP116" s="91"/>
      <c r="AQ116" s="17"/>
      <c r="AR116" s="17"/>
      <c r="AS116" s="17"/>
      <c r="AT116" s="17"/>
      <c r="AU116" s="17"/>
      <c r="AV116" s="17"/>
      <c r="AW116" s="17"/>
      <c r="AX116" s="17"/>
      <c r="AY116" s="91"/>
      <c r="AZ116" s="17"/>
      <c r="BA116" s="17"/>
      <c r="BB116" s="17"/>
      <c r="BC116" s="17"/>
      <c r="BD116" s="17"/>
      <c r="BE116" s="91"/>
      <c r="BF116" s="17"/>
      <c r="BG116" s="17"/>
      <c r="BH116" s="17"/>
      <c r="BI116" s="91"/>
      <c r="BJ116" s="17"/>
      <c r="BK116" s="17"/>
      <c r="BL116" s="17"/>
      <c r="BM116" s="17"/>
      <c r="BN116" s="17"/>
      <c r="BO116" s="17"/>
      <c r="BP116" s="91"/>
      <c r="BQ116" s="17"/>
      <c r="BR116" s="17"/>
      <c r="BS116" s="17"/>
      <c r="BT116" s="17"/>
      <c r="BU116" s="17"/>
      <c r="BV116" s="17"/>
      <c r="BW116" s="91"/>
      <c r="BX116" s="17"/>
      <c r="BY116" s="17"/>
      <c r="BZ116" s="17"/>
      <c r="CA116" s="17"/>
      <c r="CB116" s="17"/>
      <c r="CC116" s="128"/>
      <c r="CD116" s="132"/>
      <c r="CE116" s="17"/>
      <c r="CF116" s="91"/>
      <c r="CG116" s="17"/>
      <c r="CH116" s="17"/>
      <c r="CI116" s="17"/>
      <c r="CJ116" s="17"/>
      <c r="CK116" s="17"/>
      <c r="CL116" s="17"/>
      <c r="CM116" s="17"/>
      <c r="CN116" s="17"/>
      <c r="CO116" s="91"/>
      <c r="CP116" s="17"/>
      <c r="CQ116" s="17"/>
      <c r="CR116" s="17"/>
      <c r="CS116" s="17"/>
      <c r="CT116" s="91"/>
      <c r="ID116" s="91"/>
      <c r="IE116" s="17"/>
      <c r="IF116" s="17"/>
      <c r="IG116" s="17"/>
      <c r="IH116" s="17"/>
      <c r="II116" s="17"/>
      <c r="IJ116" s="17"/>
      <c r="IK116" s="17"/>
      <c r="IL116" s="17"/>
      <c r="IM116" s="91"/>
      <c r="IN116" s="17"/>
      <c r="IO116" s="17"/>
      <c r="IP116" s="17"/>
      <c r="IQ116" s="17"/>
    </row>
    <row r="117" spans="1:251" ht="15.75" customHeight="1" x14ac:dyDescent="0.25">
      <c r="A117" s="17"/>
      <c r="B117" s="17"/>
      <c r="C117" s="17"/>
      <c r="D117" s="17"/>
      <c r="E117" s="17"/>
      <c r="F117" s="91"/>
      <c r="G117" s="17"/>
      <c r="H117" s="17"/>
      <c r="I117" s="17"/>
      <c r="J117" s="17"/>
      <c r="K117" s="17"/>
      <c r="L117" s="17"/>
      <c r="M117" s="17"/>
      <c r="N117" s="91"/>
      <c r="O117" s="17"/>
      <c r="P117" s="100"/>
      <c r="Q117" s="17"/>
      <c r="R117" s="17"/>
      <c r="S117" s="17"/>
      <c r="T117" s="17"/>
      <c r="U117" s="17"/>
      <c r="V117" s="17"/>
      <c r="W117" s="91"/>
      <c r="X117" s="17"/>
      <c r="Y117" s="17"/>
      <c r="Z117" s="17"/>
      <c r="AA117" s="17"/>
      <c r="AB117" s="17"/>
      <c r="AC117" s="17"/>
      <c r="AD117" s="17"/>
      <c r="AE117" s="17"/>
      <c r="AF117" s="17"/>
      <c r="AG117" s="91"/>
      <c r="AH117" s="17"/>
      <c r="AI117" s="17"/>
      <c r="AJ117" s="17"/>
      <c r="AK117" s="17"/>
      <c r="AL117" s="17"/>
      <c r="AM117" s="17"/>
      <c r="AN117" s="17"/>
      <c r="AO117" s="17"/>
      <c r="AP117" s="91"/>
      <c r="AQ117" s="17"/>
      <c r="AR117" s="17"/>
      <c r="AS117" s="17"/>
      <c r="AT117" s="17"/>
      <c r="AU117" s="17"/>
      <c r="AV117" s="17"/>
      <c r="AW117" s="17"/>
      <c r="AX117" s="17"/>
      <c r="AY117" s="91"/>
      <c r="AZ117" s="17"/>
      <c r="BA117" s="17"/>
      <c r="BB117" s="17"/>
      <c r="BC117" s="17"/>
      <c r="BD117" s="17"/>
      <c r="BE117" s="91"/>
      <c r="BF117" s="17"/>
      <c r="BG117" s="17"/>
      <c r="BH117" s="17"/>
      <c r="BI117" s="91"/>
      <c r="BJ117" s="17"/>
      <c r="BK117" s="17"/>
      <c r="BL117" s="17"/>
      <c r="BM117" s="17"/>
      <c r="BN117" s="17"/>
      <c r="BO117" s="17"/>
      <c r="BP117" s="91"/>
      <c r="BQ117" s="17"/>
      <c r="BR117" s="17"/>
      <c r="BS117" s="17"/>
      <c r="BT117" s="17"/>
      <c r="BU117" s="17"/>
      <c r="BV117" s="17"/>
      <c r="BW117" s="91"/>
      <c r="BX117" s="17"/>
      <c r="BY117" s="17"/>
      <c r="BZ117" s="17"/>
      <c r="CA117" s="17"/>
      <c r="CB117" s="17"/>
      <c r="CC117" s="128"/>
      <c r="CD117" s="132"/>
      <c r="CE117" s="17"/>
      <c r="CF117" s="91"/>
      <c r="CG117" s="17"/>
      <c r="CH117" s="17"/>
      <c r="CI117" s="17"/>
      <c r="CJ117" s="17"/>
      <c r="CK117" s="17"/>
      <c r="CL117" s="17"/>
      <c r="CM117" s="17"/>
      <c r="CN117" s="17"/>
      <c r="CO117" s="91"/>
      <c r="CP117" s="17"/>
      <c r="CQ117" s="17"/>
      <c r="CR117" s="17"/>
      <c r="CS117" s="17"/>
      <c r="CT117" s="91"/>
      <c r="ID117" s="91"/>
      <c r="IE117" s="17"/>
      <c r="IF117" s="17"/>
      <c r="IG117" s="17"/>
      <c r="IH117" s="17"/>
      <c r="II117" s="17"/>
      <c r="IJ117" s="17"/>
      <c r="IK117" s="17"/>
      <c r="IL117" s="17"/>
      <c r="IM117" s="91"/>
      <c r="IN117" s="17"/>
      <c r="IO117" s="17"/>
      <c r="IP117" s="17"/>
      <c r="IQ117" s="17"/>
    </row>
    <row r="118" spans="1:251" ht="15.75" customHeight="1" x14ac:dyDescent="0.25">
      <c r="A118" s="17"/>
      <c r="B118" s="17"/>
      <c r="C118" s="17"/>
      <c r="D118" s="17"/>
      <c r="E118" s="17"/>
      <c r="F118" s="91"/>
      <c r="G118" s="17"/>
      <c r="H118" s="17"/>
      <c r="I118" s="17"/>
      <c r="J118" s="17"/>
      <c r="K118" s="17"/>
      <c r="L118" s="17"/>
      <c r="M118" s="17"/>
      <c r="N118" s="91"/>
      <c r="O118" s="17"/>
      <c r="P118" s="100"/>
      <c r="Q118" s="17"/>
      <c r="R118" s="17"/>
      <c r="S118" s="17"/>
      <c r="T118" s="17"/>
      <c r="U118" s="17"/>
      <c r="V118" s="17"/>
      <c r="W118" s="91"/>
      <c r="X118" s="17"/>
      <c r="Y118" s="17"/>
      <c r="Z118" s="17"/>
      <c r="AA118" s="17"/>
      <c r="AB118" s="17"/>
      <c r="AC118" s="17"/>
      <c r="AD118" s="17"/>
      <c r="AE118" s="17"/>
      <c r="AF118" s="17"/>
      <c r="AG118" s="91"/>
      <c r="AH118" s="17"/>
      <c r="AI118" s="17"/>
      <c r="AJ118" s="17"/>
      <c r="AK118" s="17"/>
      <c r="AL118" s="17"/>
      <c r="AM118" s="17"/>
      <c r="AN118" s="17"/>
      <c r="AO118" s="17"/>
      <c r="AP118" s="91"/>
      <c r="AQ118" s="17"/>
      <c r="AR118" s="17"/>
      <c r="AS118" s="17"/>
      <c r="AT118" s="17"/>
      <c r="AU118" s="17"/>
      <c r="AV118" s="17"/>
      <c r="AW118" s="17"/>
      <c r="AX118" s="17"/>
      <c r="AY118" s="91"/>
      <c r="AZ118" s="17"/>
      <c r="BA118" s="17"/>
      <c r="BB118" s="17"/>
      <c r="BC118" s="17"/>
      <c r="BD118" s="17"/>
      <c r="BE118" s="91"/>
      <c r="BF118" s="17"/>
      <c r="BG118" s="17"/>
      <c r="BH118" s="17"/>
      <c r="BI118" s="91"/>
      <c r="BJ118" s="17"/>
      <c r="BK118" s="17"/>
      <c r="BL118" s="17"/>
      <c r="BM118" s="17"/>
      <c r="BN118" s="17"/>
      <c r="BO118" s="17"/>
      <c r="BP118" s="91"/>
      <c r="BQ118" s="17"/>
      <c r="BR118" s="17"/>
      <c r="BS118" s="17"/>
      <c r="BT118" s="17"/>
      <c r="BU118" s="17"/>
      <c r="BV118" s="17"/>
      <c r="BW118" s="91"/>
      <c r="BX118" s="17"/>
      <c r="BY118" s="17"/>
      <c r="BZ118" s="17"/>
      <c r="CA118" s="17"/>
      <c r="CB118" s="17"/>
      <c r="CC118" s="128"/>
      <c r="CD118" s="132"/>
      <c r="CE118" s="17"/>
      <c r="CF118" s="91"/>
      <c r="CG118" s="17"/>
      <c r="CH118" s="17"/>
      <c r="CI118" s="17"/>
      <c r="CJ118" s="17"/>
      <c r="CK118" s="17"/>
      <c r="CL118" s="17"/>
      <c r="CM118" s="17"/>
      <c r="CN118" s="17"/>
      <c r="CO118" s="91"/>
      <c r="CP118" s="17"/>
      <c r="CQ118" s="17"/>
      <c r="CR118" s="17"/>
      <c r="CS118" s="17"/>
      <c r="CT118" s="91"/>
      <c r="ID118" s="91"/>
      <c r="IE118" s="17"/>
      <c r="IF118" s="17"/>
      <c r="IG118" s="17"/>
      <c r="IH118" s="17"/>
      <c r="II118" s="17"/>
      <c r="IJ118" s="17"/>
      <c r="IK118" s="17"/>
      <c r="IL118" s="17"/>
      <c r="IM118" s="91"/>
      <c r="IN118" s="17"/>
      <c r="IO118" s="17"/>
      <c r="IP118" s="17"/>
      <c r="IQ118" s="17"/>
    </row>
    <row r="119" spans="1:251" ht="15.75" customHeight="1" x14ac:dyDescent="0.25">
      <c r="T119" s="17"/>
    </row>
  </sheetData>
  <customSheetViews>
    <customSheetView guid="{30BFA3C6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"/>
      <headerFooter alignWithMargins="0"/>
    </customSheetView>
    <customSheetView guid="{30BFA3C5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"/>
      <headerFooter alignWithMargins="0"/>
    </customSheetView>
    <customSheetView guid="{30BFA3C4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3"/>
      <headerFooter alignWithMargins="0"/>
    </customSheetView>
    <customSheetView guid="{30BFA3C3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4"/>
      <headerFooter alignWithMargins="0"/>
    </customSheetView>
    <customSheetView guid="{30BFA3C2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5"/>
      <headerFooter alignWithMargins="0"/>
    </customSheetView>
    <customSheetView guid="{30BFA3C1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6"/>
      <headerFooter alignWithMargins="0"/>
    </customSheetView>
    <customSheetView guid="{30BFA3C0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7"/>
      <headerFooter alignWithMargins="0"/>
    </customSheetView>
    <customSheetView guid="{30BFA3BF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8"/>
      <headerFooter alignWithMargins="0"/>
    </customSheetView>
    <customSheetView guid="{30BFA3BE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9"/>
      <headerFooter alignWithMargins="0"/>
    </customSheetView>
    <customSheetView guid="{30BFA3BD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0"/>
      <headerFooter alignWithMargins="0"/>
    </customSheetView>
    <customSheetView guid="{30BFA3BC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1"/>
      <headerFooter alignWithMargins="0"/>
    </customSheetView>
    <customSheetView guid="{30BFA3BB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2"/>
      <headerFooter alignWithMargins="0"/>
    </customSheetView>
    <customSheetView guid="{30BFA3BA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3"/>
      <headerFooter alignWithMargins="0"/>
    </customSheetView>
    <customSheetView guid="{30BFA3B9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4"/>
      <headerFooter alignWithMargins="0"/>
    </customSheetView>
    <customSheetView guid="{30BFA3B8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5"/>
      <headerFooter alignWithMargins="0"/>
    </customSheetView>
    <customSheetView guid="{30BFA3B6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6"/>
      <headerFooter alignWithMargins="0"/>
    </customSheetView>
    <customSheetView guid="{30BFA3B5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7"/>
      <headerFooter alignWithMargins="0"/>
    </customSheetView>
    <customSheetView guid="{30BFA3B4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8"/>
      <headerFooter alignWithMargins="0"/>
    </customSheetView>
    <customSheetView guid="{30BFA3B3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19"/>
      <headerFooter alignWithMargins="0"/>
    </customSheetView>
    <customSheetView guid="{30BFA3B2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0"/>
      <headerFooter alignWithMargins="0"/>
    </customSheetView>
    <customSheetView guid="{30BFA3B1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1"/>
      <headerFooter alignWithMargins="0"/>
    </customSheetView>
    <customSheetView guid="{30BFA3AF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2"/>
      <headerFooter alignWithMargins="0"/>
    </customSheetView>
    <customSheetView guid="{30BFA3AE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3"/>
      <headerFooter alignWithMargins="0"/>
    </customSheetView>
    <customSheetView guid="{30BFA3AD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4"/>
      <headerFooter alignWithMargins="0"/>
    </customSheetView>
    <customSheetView guid="{30BFA3AC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5"/>
      <headerFooter alignWithMargins="0"/>
    </customSheetView>
    <customSheetView guid="{30BFA3AB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6"/>
      <headerFooter alignWithMargins="0"/>
    </customSheetView>
    <customSheetView guid="{30BFA3AA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7"/>
      <headerFooter alignWithMargins="0"/>
    </customSheetView>
    <customSheetView guid="{30BFA3A9-776B-11D4-A436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8"/>
      <headerFooter alignWithMargins="0"/>
    </customSheetView>
    <customSheetView guid="{4C29A34C-6ED4-11D4-A42C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29"/>
      <headerFooter alignWithMargins="0"/>
    </customSheetView>
    <customSheetView guid="{4C29A34D-6ED4-11D4-A42C-0050044063A3}" printArea="1" showRuler="0" topLeftCell="A95">
      <pane ySplit="8" topLeftCell="A75"/>
      <selection sqref="A1:E98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30"/>
      <headerFooter alignWithMargins="0"/>
    </customSheetView>
    <customSheetView guid="{6EC1D8DB-7337-11D4-A432-0050044063A3}" hiddenColumns="1" showRuler="0"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0" orientation="portrait" blackAndWhite="1" horizontalDpi="300" verticalDpi="300" r:id="rId31"/>
      <headerFooter alignWithMargins="0">
        <oddFooter>Seite &amp;P</oddFooter>
      </headerFooter>
    </customSheetView>
    <customSheetView guid="{67B6F32A-7771-11D4-A436-0050044063A3}" fitToPage="1" printArea="1" hiddenColumns="1" showRuler="0">
      <pane ySplit="8" topLeftCell="A87" activePane="bottomLeft"/>
      <selection pane="bottomLeft" activeCell="A57" sqref="A57:E102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horizontalDpi="300" verticalDpi="300" r:id="rId32"/>
      <headerFooter alignWithMargins="0">
        <oddFooter>Seite &amp;P</oddFooter>
      </headerFooter>
    </customSheetView>
    <customSheetView guid="{67B6F32B-7771-11D4-A436-0050044063A3}" fitToPage="1" printArea="1" hiddenColumns="1" showRuler="0">
      <selection activeCell="A56" sqref="A1:E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33"/>
      <headerFooter alignWithMargins="0">
        <oddFooter>Seite &amp;P</oddFooter>
      </headerFooter>
    </customSheetView>
    <customSheetView guid="{67B6F32C-7771-11D4-A436-0050044063A3}" fitToPage="1" printArea="1" hiddenColumns="1" showRuler="0">
      <pane ySplit="8" topLeftCell="A49" activePane="bottomLeft"/>
      <selection pane="bottomLeft" activeCell="G1" sqref="G1:M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34"/>
      <headerFooter alignWithMargins="0">
        <oddFooter>Seite &amp;P</oddFooter>
      </headerFooter>
    </customSheetView>
    <customSheetView guid="{67B6F32D-7771-11D4-A436-0050044063A3}" fitToPage="1" printArea="1" hiddenColumns="1" showRuler="0">
      <pane ySplit="8" topLeftCell="A87" activePane="bottomLeft"/>
      <selection pane="bottomLeft" activeCell="G57" sqref="G57:M102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horizontalDpi="300" verticalDpi="300" r:id="rId35"/>
      <headerFooter alignWithMargins="0">
        <oddFooter>Seite &amp;P</oddFooter>
      </headerFooter>
    </customSheetView>
    <customSheetView guid="{67B6F32E-7771-11D4-A436-0050044063A3}" fitToPage="1" printArea="1" hiddenColumns="1" showRuler="0" topLeftCell="J1">
      <pane ySplit="8" topLeftCell="A48" activePane="bottomLeft"/>
      <selection pane="bottomLeft" activeCell="O1" sqref="O1:V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36"/>
      <headerFooter alignWithMargins="0">
        <oddFooter>Seite &amp;P</oddFooter>
      </headerFooter>
    </customSheetView>
    <customSheetView guid="{67B6F32F-7771-11D4-A436-0050044063A3}" fitToPage="1" printArea="1" hiddenColumns="1" showRuler="0" topLeftCell="J1">
      <pane ySplit="8" topLeftCell="A87" activePane="bottomLeft"/>
      <selection pane="bottomLeft" activeCell="O57" sqref="O57:V102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horizontalDpi="300" verticalDpi="300" r:id="rId37"/>
      <headerFooter alignWithMargins="0">
        <oddFooter>Seite &amp;P</oddFooter>
      </headerFooter>
    </customSheetView>
    <customSheetView guid="{67B6F330-7771-11D4-A436-0050044063A3}" fitToPage="1" printArea="1" hiddenColumns="1" showRuler="0" topLeftCell="U1">
      <pane ySplit="8" topLeftCell="A44" activePane="bottomLeft"/>
      <selection pane="bottomLeft" activeCell="X1" sqref="X1:AF57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horizontalDpi="300" verticalDpi="300" r:id="rId38"/>
      <headerFooter alignWithMargins="0">
        <oddFooter>Seite &amp;P</oddFooter>
      </headerFooter>
    </customSheetView>
    <customSheetView guid="{67B6F332-7771-11D4-A436-0050044063A3}" fitToPage="1" printArea="1" hiddenColumns="1" showRuler="0" topLeftCell="AF1">
      <pane ySplit="8" topLeftCell="A43" activePane="bottomLeft"/>
      <selection pane="bottomLeft" activeCell="AH1" sqref="AH1:AO57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horizontalDpi="300" verticalDpi="300" r:id="rId39"/>
      <headerFooter alignWithMargins="0">
        <oddFooter>Seite &amp;P</oddFooter>
      </headerFooter>
    </customSheetView>
    <customSheetView guid="{67B6F333-7771-11D4-A436-0050044063A3}" fitToPage="1" printArea="1" hiddenColumns="1" showRuler="0" topLeftCell="AO1">
      <pane ySplit="8" topLeftCell="A50" activePane="bottomLeft"/>
      <selection pane="bottomLeft" activeCell="AQ1" sqref="AQ1:AX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0"/>
      <headerFooter alignWithMargins="0">
        <oddFooter>Seite &amp;P</oddFooter>
      </headerFooter>
    </customSheetView>
    <customSheetView guid="{67B6F334-7771-11D4-A436-0050044063A3}" fitToPage="1" printArea="1" hiddenColumns="1" showRuler="0" topLeftCell="AO1">
      <pane ySplit="8" topLeftCell="A87" activePane="bottomLeft"/>
      <selection pane="bottomLeft" activeCell="AQ57" sqref="AQ57:AX102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81" orientation="portrait" blackAndWhite="1" horizontalDpi="300" verticalDpi="300" r:id="rId41"/>
      <headerFooter alignWithMargins="0">
        <oddFooter>Seite &amp;P</oddFooter>
      </headerFooter>
    </customSheetView>
    <customSheetView guid="{67B6F335-7771-11D4-A436-0050044063A3}" fitToPage="1" printArea="1" hiddenColumns="1" showRuler="0" topLeftCell="AT1">
      <pane ySplit="8" topLeftCell="A48" activePane="bottomLeft"/>
      <selection pane="bottomLeft" activeCell="AZ1" sqref="AZ1:BD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2"/>
      <headerFooter alignWithMargins="0">
        <oddFooter>Seite &amp;P</oddFooter>
      </headerFooter>
    </customSheetView>
    <customSheetView guid="{67B6F336-7771-11D4-A436-0050044063A3}" fitToPage="1" printArea="1" hiddenColumns="1" showRuler="0" topLeftCell="AT1">
      <pane ySplit="8" topLeftCell="A87" activePane="bottomLeft"/>
      <selection pane="bottomLeft" activeCell="AZ57" sqref="AZ57:BD102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92" orientation="portrait" blackAndWhite="1" horizontalDpi="300" verticalDpi="300" r:id="rId43"/>
      <headerFooter alignWithMargins="0">
        <oddFooter>Seite &amp;P</oddFooter>
      </headerFooter>
    </customSheetView>
    <customSheetView guid="{67B6F337-7771-11D4-A436-0050044063A3}" fitToPage="1" printArea="1" hiddenColumns="1" showRuler="0" topLeftCell="AW1">
      <pane ySplit="8" topLeftCell="A46" activePane="bottomLeft"/>
      <selection pane="bottomLeft" activeCell="BF1" sqref="BF1:BH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4"/>
      <headerFooter alignWithMargins="0">
        <oddFooter>Seite &amp;P</oddFooter>
      </headerFooter>
    </customSheetView>
    <customSheetView guid="{67B6F338-7771-11D4-A436-0050044063A3}" fitToPage="1" printArea="1" hiddenColumns="1" showRuler="0" topLeftCell="BC1">
      <pane ySplit="8" topLeftCell="A45" activePane="bottomLeft"/>
      <selection pane="bottomLeft" activeCell="BJ1" sqref="BJ1:BO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5"/>
      <headerFooter alignWithMargins="0">
        <oddFooter>Seite &amp;P</oddFooter>
      </headerFooter>
    </customSheetView>
    <customSheetView guid="{67B6F339-7771-11D4-A436-0050044063A3}" fitToPage="1" printArea="1" hiddenColumns="1" showRuler="0" topLeftCell="BI1">
      <pane ySplit="8" topLeftCell="A48" activePane="bottomLeft"/>
      <selection pane="bottomLeft" activeCell="BQ1" sqref="BQ1:BV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6"/>
      <headerFooter alignWithMargins="0">
        <oddFooter>Seite &amp;P</oddFooter>
      </headerFooter>
    </customSheetView>
    <customSheetView guid="{67B6F33A-7771-11D4-A436-0050044063A3}" fitToPage="1" printArea="1" hiddenColumns="1" showRuler="0" topLeftCell="BR1">
      <pane ySplit="8" topLeftCell="A49" activePane="bottomLeft"/>
      <selection pane="bottomLeft" activeCell="BX1" sqref="BX1:CE57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horizontalDpi="300" verticalDpi="300" r:id="rId47"/>
      <headerFooter alignWithMargins="0">
        <oddFooter>Seite &amp;P</oddFooter>
      </headerFooter>
    </customSheetView>
    <customSheetView guid="{67B6F33B-7771-11D4-A436-0050044063A3}" fitToPage="1" printArea="1" hiddenColumns="1" showRuler="0" topLeftCell="CA1">
      <pane ySplit="8" topLeftCell="A44" activePane="bottomLeft"/>
      <selection pane="bottomLeft" activeCell="CG1" sqref="CG1:CN57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horizontalDpi="300" verticalDpi="300" r:id="rId48"/>
      <headerFooter alignWithMargins="0">
        <oddFooter>Seite &amp;P</oddFooter>
      </headerFooter>
    </customSheetView>
    <customSheetView guid="{67B6F33C-7771-11D4-A436-0050044063A3}" fitToPage="1" printArea="1" hiddenColumns="1" showRuler="0" topLeftCell="CI1">
      <pane ySplit="8" topLeftCell="A49" activePane="bottomLeft"/>
      <selection pane="bottomLeft" activeCell="CP1" sqref="CP1:CS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49"/>
      <headerFooter alignWithMargins="0">
        <oddFooter>Seite &amp;P</oddFooter>
      </headerFooter>
    </customSheetView>
    <customSheetView guid="{67B6F33D-7771-11D4-A436-0050044063A3}" fitToPage="1" printArea="1" hiddenColumns="1" showRuler="0" topLeftCell="CR1">
      <pane ySplit="8" topLeftCell="A48" activePane="bottomLeft"/>
      <selection pane="bottomLeft" activeCell="CU1" sqref="CU1:EH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0"/>
      <headerFooter alignWithMargins="0">
        <oddFooter>Seite &amp;P</oddFooter>
      </headerFooter>
    </customSheetView>
    <customSheetView guid="{67B6F33E-7771-11D4-A436-0050044063A3}" fitToPage="1" printArea="1" hiddenColumns="1" showRuler="0" topLeftCell="EF1">
      <pane ySplit="8" topLeftCell="A48" activePane="bottomLeft"/>
      <selection pane="bottomLeft" activeCell="EJ1" sqref="EJ1:ER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1"/>
      <headerFooter alignWithMargins="0">
        <oddFooter>Seite &amp;P</oddFooter>
      </headerFooter>
    </customSheetView>
    <customSheetView guid="{67B6F33F-7771-11D4-A436-0050044063A3}" fitToPage="1" printArea="1" hiddenColumns="1" showRuler="0" topLeftCell="EP1">
      <pane ySplit="8" topLeftCell="A48" activePane="bottomLeft"/>
      <selection pane="bottomLeft" activeCell="ET1" sqref="ET1:FB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2"/>
      <headerFooter alignWithMargins="0">
        <oddFooter>Seite &amp;P</oddFooter>
      </headerFooter>
    </customSheetView>
    <customSheetView guid="{67B6F340-7771-11D4-A436-0050044063A3}" fitToPage="1" printArea="1" hiddenColumns="1" showRuler="0" topLeftCell="EZ1">
      <pane ySplit="8" topLeftCell="A48" activePane="bottomLeft"/>
      <selection pane="bottomLeft" activeCell="FD1" sqref="FD1:FK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3"/>
      <headerFooter alignWithMargins="0">
        <oddFooter>Seite &amp;P</oddFooter>
      </headerFooter>
    </customSheetView>
    <customSheetView guid="{67B6F341-7771-11D4-A436-0050044063A3}" fitToPage="1" printArea="1" hiddenColumns="1" showRuler="0" topLeftCell="FI1">
      <pane ySplit="8" topLeftCell="A42" activePane="bottomLeft"/>
      <selection pane="bottomLeft" activeCell="FM1" sqref="FM1:GZ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4"/>
      <headerFooter alignWithMargins="0">
        <oddFooter>Seite &amp;P</oddFooter>
      </headerFooter>
    </customSheetView>
    <customSheetView guid="{67B6F342-7771-11D4-A436-0050044063A3}" fitToPage="1" printArea="1" hiddenColumns="1" showRuler="0" topLeftCell="GX1">
      <pane ySplit="8" topLeftCell="A48" activePane="bottomLeft"/>
      <selection pane="bottomLeft" activeCell="HB1" sqref="HB1:HJ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5"/>
      <headerFooter alignWithMargins="0">
        <oddFooter>Seite &amp;P</oddFooter>
      </headerFooter>
    </customSheetView>
    <customSheetView guid="{67B6F343-7771-11D4-A436-0050044063A3}" fitToPage="1" printArea="1" hiddenColumns="1" showRuler="0" topLeftCell="HH1">
      <pane ySplit="8" topLeftCell="A50" activePane="bottomLeft"/>
      <selection pane="bottomLeft" activeCell="HL1" sqref="HL1:HT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6"/>
      <headerFooter alignWithMargins="0">
        <oddFooter>Seite &amp;P</oddFooter>
      </headerFooter>
    </customSheetView>
    <customSheetView guid="{67B6F344-7771-11D4-A436-0050044063A3}" fitToPage="1" printArea="1" hiddenColumns="1" showRuler="0" topLeftCell="HR1">
      <pane ySplit="8" topLeftCell="A43" activePane="bottomLeft"/>
      <selection pane="bottomLeft" activeCell="HV1" sqref="HV1:IC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7"/>
      <headerFooter alignWithMargins="0">
        <oddFooter>Seite &amp;P</oddFooter>
      </headerFooter>
    </customSheetView>
    <customSheetView guid="{67B6F345-7771-11D4-A436-0050044063A3}" fitToPage="1" printArea="1" hiddenColumns="1" showRuler="0" topLeftCell="IA1">
      <pane ySplit="8" topLeftCell="A48" activePane="bottomLeft"/>
      <selection pane="bottomLeft" activeCell="IE1" sqref="IE1:IL57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6" orientation="portrait" blackAndWhite="1" horizontalDpi="300" verticalDpi="300" r:id="rId58"/>
      <headerFooter alignWithMargins="0">
        <oddFooter>Seite &amp;P</oddFooter>
      </headerFooter>
    </customSheetView>
    <customSheetView guid="{67B6F346-7771-11D4-A436-0050044063A3}" fitToPage="1" printArea="1" hiddenColumns="1" showRuler="0" topLeftCell="IG1">
      <pane ySplit="8" topLeftCell="A48" activePane="bottomLeft"/>
      <selection pane="bottomLeft" activeCell="IN1" sqref="IN1:IQ56"/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78740157480314965" right="0.78740157480314965" top="0.55118110236220474" bottom="0.55118110236220474" header="0.51181102362204722" footer="0.31496062992125984"/>
      <printOptions horizontalCentered="1"/>
      <pageSetup paperSize="9" scale="78" orientation="portrait" blackAndWhite="1" horizontalDpi="300" verticalDpi="300" r:id="rId59"/>
      <headerFooter alignWithMargins="0">
        <oddFooter>Seite &amp;P</oddFooter>
      </headerFooter>
    </customSheetView>
    <customSheetView guid="{E26AA399-7CC0-11D4-A43C-0050044063A3}" hiddenColumns="1" showRuler="0">
      <colBreaks count="15" manualBreakCount="15">
        <brk id="5" max="1048575" man="1"/>
        <brk id="13" max="1048575" man="1"/>
        <brk id="22" max="1048575" man="1"/>
        <brk id="32" max="1048575" man="1"/>
        <brk id="41" max="1048575" man="1"/>
        <brk id="42" max="113" man="1"/>
        <brk id="50" max="1048575" man="1"/>
        <brk id="56" max="1048575" man="1"/>
        <brk id="61" max="113" man="1"/>
        <brk id="83" max="113" man="1"/>
        <brk id="92" max="113" man="1"/>
        <brk id="97" max="113" man="1"/>
        <brk id="129" max="113" man="1"/>
        <brk id="162" max="113" man="1"/>
        <brk id="171" max="113" man="1"/>
      </colBreaks>
      <pageMargins left="0.98425196850393704" right="0.59055118110236227" top="0.39370078740157483" bottom="0.39370078740157483" header="0.27559055118110237" footer="0.27559055118110237"/>
      <printOptions horizontalCentered="1"/>
      <pageSetup paperSize="9" scale="90" orientation="portrait" horizontalDpi="300" verticalDpi="300" r:id="rId60"/>
      <headerFooter alignWithMargins="0"/>
    </customSheetView>
  </customSheetViews>
  <printOptions horizontalCentered="1"/>
  <pageMargins left="0.98425196850393704" right="0.59055118110236227" top="0.39370078740157483" bottom="0.39370078740157483" header="0.27559055118110237" footer="0.27559055118110237"/>
  <pageSetup paperSize="9" scale="90" orientation="portrait" horizontalDpi="300" verticalDpi="300" r:id="rId61"/>
  <headerFooter alignWithMargins="0"/>
  <colBreaks count="15" manualBreakCount="15">
    <brk id="5" max="1048575" man="1"/>
    <brk id="13" max="1048575" man="1"/>
    <brk id="22" max="1048575" man="1"/>
    <brk id="32" max="1048575" man="1"/>
    <brk id="41" max="1048575" man="1"/>
    <brk id="42" max="113" man="1"/>
    <brk id="50" max="1048575" man="1"/>
    <brk id="56" max="1048575" man="1"/>
    <brk id="61" max="113" man="1"/>
    <brk id="83" max="113" man="1"/>
    <brk id="92" max="113" man="1"/>
    <brk id="97" max="113" man="1"/>
    <brk id="129" max="113" man="1"/>
    <brk id="162" max="113" man="1"/>
    <brk id="171" max="113" man="1"/>
  </colBreaks>
  <drawing r:id="rId62"/>
  <legacyDrawing r:id="rId63"/>
  <oleObjects>
    <mc:AlternateContent xmlns:mc="http://schemas.openxmlformats.org/markup-compatibility/2006">
      <mc:Choice Requires="x14">
        <oleObject progId="Equation.3" shapeId="1049" r:id="rId64">
          <objectPr defaultSize="0" r:id="rId65">
            <anchor moveWithCells="1" sizeWithCells="1">
              <from>
                <xdr:col>0</xdr:col>
                <xdr:colOff>0</xdr:colOff>
                <xdr:row>4</xdr:row>
                <xdr:rowOff>190500</xdr:rowOff>
              </from>
              <to>
                <xdr:col>0</xdr:col>
                <xdr:colOff>0</xdr:colOff>
                <xdr:row>6</xdr:row>
                <xdr:rowOff>38100</xdr:rowOff>
              </to>
            </anchor>
          </objectPr>
        </oleObject>
      </mc:Choice>
      <mc:Fallback>
        <oleObject progId="Equation.3" shapeId="1049" r:id="rId64"/>
      </mc:Fallback>
    </mc:AlternateContent>
    <mc:AlternateContent xmlns:mc="http://schemas.openxmlformats.org/markup-compatibility/2006">
      <mc:Choice Requires="x14">
        <oleObject progId="Equation.3" shapeId="1052" r:id="rId66">
          <objectPr defaultSize="0" r:id="rId67">
            <anchor moveWithCells="1" sizeWithCells="1">
              <from>
                <xdr:col>0</xdr:col>
                <xdr:colOff>0</xdr:colOff>
                <xdr:row>5</xdr:row>
                <xdr:rowOff>9525</xdr:rowOff>
              </from>
              <to>
                <xdr:col>0</xdr:col>
                <xdr:colOff>0</xdr:colOff>
                <xdr:row>6</xdr:row>
                <xdr:rowOff>19050</xdr:rowOff>
              </to>
            </anchor>
          </objectPr>
        </oleObject>
      </mc:Choice>
      <mc:Fallback>
        <oleObject progId="Equation.3" shapeId="1052" r:id="rId66"/>
      </mc:Fallback>
    </mc:AlternateContent>
    <mc:AlternateContent xmlns:mc="http://schemas.openxmlformats.org/markup-compatibility/2006">
      <mc:Choice Requires="x14">
        <oleObject progId="Equation.3" shapeId="1053" r:id="rId68">
          <objectPr defaultSize="0" r:id="rId69">
            <anchor moveWithCells="1" sizeWithCells="1">
              <from>
                <xdr:col>0</xdr:col>
                <xdr:colOff>0</xdr:colOff>
                <xdr:row>4</xdr:row>
                <xdr:rowOff>190500</xdr:rowOff>
              </from>
              <to>
                <xdr:col>0</xdr:col>
                <xdr:colOff>0</xdr:colOff>
                <xdr:row>6</xdr:row>
                <xdr:rowOff>19050</xdr:rowOff>
              </to>
            </anchor>
          </objectPr>
        </oleObject>
      </mc:Choice>
      <mc:Fallback>
        <oleObject progId="Equation.3" shapeId="1053" r:id="rId68"/>
      </mc:Fallback>
    </mc:AlternateContent>
    <mc:AlternateContent xmlns:mc="http://schemas.openxmlformats.org/markup-compatibility/2006">
      <mc:Choice Requires="x14">
        <oleObject progId="Equation.3" shapeId="1055" r:id="rId70">
          <objectPr defaultSize="0" r:id="rId71">
            <anchor moveWithCells="1" siz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0</xdr:colOff>
                <xdr:row>6</xdr:row>
                <xdr:rowOff>28575</xdr:rowOff>
              </to>
            </anchor>
          </objectPr>
        </oleObject>
      </mc:Choice>
      <mc:Fallback>
        <oleObject progId="Equation.3" shapeId="1055" r:id="rId70"/>
      </mc:Fallback>
    </mc:AlternateContent>
    <mc:AlternateContent xmlns:mc="http://schemas.openxmlformats.org/markup-compatibility/2006">
      <mc:Choice Requires="x14">
        <oleObject progId="Equation.3" shapeId="1056" r:id="rId72">
          <objectPr defaultSize="0" r:id="rId73">
            <anchor moveWithCells="1" sizeWithCells="1">
              <from>
                <xdr:col>0</xdr:col>
                <xdr:colOff>0</xdr:colOff>
                <xdr:row>5</xdr:row>
                <xdr:rowOff>9525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Equation.3" shapeId="1056" r:id="rId72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3"/>
  <sheetViews>
    <sheetView topLeftCell="A2" workbookViewId="0">
      <selection activeCell="E52" sqref="E52"/>
    </sheetView>
  </sheetViews>
  <sheetFormatPr baseColWidth="10" defaultColWidth="9.140625" defaultRowHeight="15.75" x14ac:dyDescent="0.25"/>
  <cols>
    <col min="1" max="1" width="4.140625" style="1" customWidth="1"/>
    <col min="2" max="5" width="11.42578125" style="73"/>
    <col min="16" max="16" width="12.28515625" customWidth="1"/>
    <col min="17" max="17" width="9.140625" customWidth="1"/>
    <col min="25" max="25" width="12.28515625" bestFit="1" customWidth="1"/>
  </cols>
  <sheetData>
    <row r="1" spans="1:28" x14ac:dyDescent="0.25">
      <c r="E1" s="74" t="str">
        <f>Grundlagen</f>
        <v>EVK 2000, 2.25%</v>
      </c>
    </row>
    <row r="2" spans="1:28" x14ac:dyDescent="0.25">
      <c r="E2" s="74" t="str">
        <f>MT &amp;1</f>
        <v>Männer Tabelle 1</v>
      </c>
    </row>
    <row r="3" spans="1:28" x14ac:dyDescent="0.25">
      <c r="A3" s="4" t="s">
        <v>10</v>
      </c>
    </row>
    <row r="4" spans="1:28" x14ac:dyDescent="0.25">
      <c r="E4" s="74" t="str">
        <f>"Rücktrittsalter s = " &amp;RAM</f>
        <v>Rücktrittsalter s = 65</v>
      </c>
    </row>
    <row r="5" spans="1:28" ht="16.5" thickBot="1" x14ac:dyDescent="0.3">
      <c r="E5" s="76"/>
    </row>
    <row r="6" spans="1:28" x14ac:dyDescent="0.25">
      <c r="A6" s="7"/>
      <c r="B6" s="71"/>
      <c r="C6" s="71"/>
      <c r="D6" s="71"/>
      <c r="E6" s="71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</row>
    <row r="7" spans="1:28" ht="18.75" x14ac:dyDescent="0.2">
      <c r="A7" s="18" t="s">
        <v>16</v>
      </c>
      <c r="B7" s="133" t="s">
        <v>78</v>
      </c>
      <c r="C7" s="133" t="s">
        <v>75</v>
      </c>
      <c r="D7" s="133" t="s">
        <v>76</v>
      </c>
      <c r="E7" s="133" t="s">
        <v>77</v>
      </c>
      <c r="F7" s="18" t="s">
        <v>501</v>
      </c>
      <c r="G7" s="18" t="s">
        <v>502</v>
      </c>
      <c r="H7" s="18" t="s">
        <v>505</v>
      </c>
      <c r="I7" s="18" t="s">
        <v>506</v>
      </c>
      <c r="J7" s="18" t="s">
        <v>500</v>
      </c>
      <c r="K7" s="18" t="s">
        <v>507</v>
      </c>
      <c r="L7" s="18" t="s">
        <v>510</v>
      </c>
      <c r="M7" s="18" t="s">
        <v>511</v>
      </c>
      <c r="N7" s="18" t="s">
        <v>514</v>
      </c>
      <c r="O7" s="18" t="s">
        <v>513</v>
      </c>
      <c r="P7" s="18" t="s">
        <v>508</v>
      </c>
      <c r="Q7" s="18" t="s">
        <v>509</v>
      </c>
      <c r="R7" s="18" t="s">
        <v>504</v>
      </c>
      <c r="S7" s="18" t="s">
        <v>503</v>
      </c>
    </row>
    <row r="8" spans="1:28" ht="16.5" thickBot="1" x14ac:dyDescent="0.3">
      <c r="A8" s="8"/>
      <c r="B8" s="72"/>
      <c r="C8" s="72"/>
      <c r="D8" s="72"/>
      <c r="E8" s="72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</row>
    <row r="9" spans="1:28" x14ac:dyDescent="0.25">
      <c r="A9" s="35">
        <f>BeginnAlter</f>
        <v>17</v>
      </c>
      <c r="B9" s="77">
        <v>1.9996200000000001E-4</v>
      </c>
      <c r="C9" s="77">
        <v>3.7996200000000002E-4</v>
      </c>
      <c r="D9" s="77">
        <v>3.8162957629195299E-4</v>
      </c>
      <c r="E9" s="77">
        <v>1.9999999999997797E-4</v>
      </c>
      <c r="F9" s="198">
        <f>B9</f>
        <v>1.9996200000000001E-4</v>
      </c>
      <c r="G9" s="198">
        <f>C9</f>
        <v>3.7996200000000002E-4</v>
      </c>
      <c r="H9" s="199">
        <v>0</v>
      </c>
      <c r="I9" s="200">
        <v>0.15</v>
      </c>
      <c r="J9" s="196">
        <f>(1-F9)*(1-G9)*(1-H9)*(1-I9)</f>
        <v>0.84950712918126714</v>
      </c>
      <c r="K9" s="196">
        <f>1-J9</f>
        <v>0.15049287081873286</v>
      </c>
      <c r="L9" s="198">
        <f>1-F9</f>
        <v>0.99980003799999995</v>
      </c>
      <c r="M9" s="198">
        <f t="shared" ref="M9:O24" si="0">1-G9</f>
        <v>0.99962003799999999</v>
      </c>
      <c r="N9" s="198">
        <f t="shared" si="0"/>
        <v>1</v>
      </c>
      <c r="O9" s="208">
        <f t="shared" si="0"/>
        <v>0.85</v>
      </c>
      <c r="P9" s="196">
        <f>(LOG(L9)/LOG($J9))*$K9</f>
        <v>1.845251937161899E-4</v>
      </c>
      <c r="Q9" s="196">
        <f t="shared" ref="Q9:S24" si="1">(LOG(M9)/LOG($J9))*$K9</f>
        <v>3.5066099356169725E-4</v>
      </c>
      <c r="R9" s="196">
        <f t="shared" si="1"/>
        <v>0</v>
      </c>
      <c r="S9" s="196">
        <f t="shared" si="1"/>
        <v>0.14995768463145498</v>
      </c>
      <c r="Y9" s="143"/>
      <c r="Z9" s="143"/>
      <c r="AA9" s="143"/>
      <c r="AB9" s="143"/>
    </row>
    <row r="10" spans="1:28" x14ac:dyDescent="0.25">
      <c r="A10" s="35">
        <f>1+A9</f>
        <v>18</v>
      </c>
      <c r="B10" s="77">
        <v>3.0993955000000004E-4</v>
      </c>
      <c r="C10" s="77">
        <v>3.8993954999999998E-4</v>
      </c>
      <c r="D10" s="77">
        <v>2.1426113401113436E-3</v>
      </c>
      <c r="E10" s="77">
        <v>3.1006201240246778E-4</v>
      </c>
      <c r="F10" s="201">
        <f t="shared" ref="F10:G56" si="2">B10</f>
        <v>3.0993955000000004E-4</v>
      </c>
      <c r="G10" s="201">
        <f t="shared" si="2"/>
        <v>3.8993954999999998E-4</v>
      </c>
      <c r="H10" s="202">
        <v>0</v>
      </c>
      <c r="I10" s="203">
        <v>0.15</v>
      </c>
      <c r="J10" s="204">
        <f t="shared" ref="J10:J56" si="3">(1-F10)*(1-G10)*(1-H10)*(1-I10)</f>
        <v>0.84940520549403531</v>
      </c>
      <c r="K10" s="204">
        <f t="shared" ref="K10:K56" si="4">1-J10</f>
        <v>0.15059479450596469</v>
      </c>
      <c r="L10" s="201">
        <f t="shared" ref="L10:O56" si="5">1-F10</f>
        <v>0.99969006044999997</v>
      </c>
      <c r="M10" s="201">
        <f t="shared" si="0"/>
        <v>0.99961006045</v>
      </c>
      <c r="N10" s="201">
        <f t="shared" si="0"/>
        <v>1</v>
      </c>
      <c r="O10" s="209">
        <f t="shared" si="0"/>
        <v>0.85</v>
      </c>
      <c r="P10" s="204">
        <f t="shared" ref="P10:P55" si="6">(LOG(L10)/LOG(J10))*K10</f>
        <v>2.8601165824667204E-4</v>
      </c>
      <c r="Q10" s="204">
        <f t="shared" si="1"/>
        <v>3.5984991199850414E-4</v>
      </c>
      <c r="R10" s="204">
        <f t="shared" si="1"/>
        <v>0</v>
      </c>
      <c r="S10" s="204">
        <f t="shared" si="1"/>
        <v>0.14994893293571951</v>
      </c>
      <c r="Y10" s="143"/>
      <c r="Z10" s="143"/>
      <c r="AA10" s="143"/>
      <c r="AB10" s="143"/>
    </row>
    <row r="11" spans="1:28" x14ac:dyDescent="0.25">
      <c r="A11" s="35">
        <f>1+A10</f>
        <v>19</v>
      </c>
      <c r="B11" s="77">
        <v>4.4483429240367974E-4</v>
      </c>
      <c r="C11" s="77">
        <v>3.999110153445882E-4</v>
      </c>
      <c r="D11" s="77">
        <v>3.7929993067001696E-3</v>
      </c>
      <c r="E11" s="77">
        <v>4.4022451450242972E-4</v>
      </c>
      <c r="F11" s="201">
        <f t="shared" si="2"/>
        <v>4.4483429240367974E-4</v>
      </c>
      <c r="G11" s="201">
        <f t="shared" si="2"/>
        <v>3.999110153445882E-4</v>
      </c>
      <c r="H11" s="202">
        <v>0</v>
      </c>
      <c r="I11" s="203">
        <v>0.15</v>
      </c>
      <c r="J11" s="204">
        <f t="shared" si="3"/>
        <v>0.84928211769842743</v>
      </c>
      <c r="K11" s="204">
        <f t="shared" si="4"/>
        <v>0.15071788230157257</v>
      </c>
      <c r="L11" s="201">
        <f t="shared" si="5"/>
        <v>0.99955516570759628</v>
      </c>
      <c r="M11" s="201">
        <f t="shared" si="0"/>
        <v>0.99960008898465547</v>
      </c>
      <c r="N11" s="201">
        <f t="shared" si="0"/>
        <v>1</v>
      </c>
      <c r="O11" s="209">
        <f t="shared" si="0"/>
        <v>0.85</v>
      </c>
      <c r="P11" s="204">
        <f t="shared" si="6"/>
        <v>4.1049104345398815E-4</v>
      </c>
      <c r="Q11" s="204">
        <f t="shared" si="1"/>
        <v>3.6902775758018583E-4</v>
      </c>
      <c r="R11" s="204">
        <f t="shared" si="1"/>
        <v>0</v>
      </c>
      <c r="S11" s="204">
        <f t="shared" si="1"/>
        <v>0.14993836350053838</v>
      </c>
      <c r="Y11" s="143"/>
      <c r="Z11" s="143"/>
      <c r="AA11" s="143"/>
      <c r="AB11" s="143"/>
    </row>
    <row r="12" spans="1:28" x14ac:dyDescent="0.25">
      <c r="A12" s="35">
        <f>1+A11</f>
        <v>20</v>
      </c>
      <c r="B12" s="77">
        <v>5.6794516726026384E-4</v>
      </c>
      <c r="C12" s="77">
        <v>4.0988354736792203E-4</v>
      </c>
      <c r="D12" s="77">
        <v>5.3365369737359315E-3</v>
      </c>
      <c r="E12" s="77">
        <v>5.8055152394775877E-4</v>
      </c>
      <c r="F12" s="201">
        <f t="shared" si="2"/>
        <v>5.6794516726026384E-4</v>
      </c>
      <c r="G12" s="201">
        <f t="shared" si="2"/>
        <v>4.0988354736792203E-4</v>
      </c>
      <c r="H12" s="202">
        <v>0</v>
      </c>
      <c r="I12" s="203">
        <v>0.15</v>
      </c>
      <c r="J12" s="204">
        <f t="shared" si="3"/>
        <v>0.84916904346523892</v>
      </c>
      <c r="K12" s="204">
        <f t="shared" si="4"/>
        <v>0.15083095653476108</v>
      </c>
      <c r="L12" s="201">
        <f t="shared" si="5"/>
        <v>0.99943205483273978</v>
      </c>
      <c r="M12" s="201">
        <f t="shared" si="0"/>
        <v>0.99959011645263207</v>
      </c>
      <c r="N12" s="201">
        <f t="shared" si="0"/>
        <v>1</v>
      </c>
      <c r="O12" s="209">
        <f t="shared" si="0"/>
        <v>0.85</v>
      </c>
      <c r="P12" s="204">
        <f t="shared" si="6"/>
        <v>5.2409552665498072E-4</v>
      </c>
      <c r="Q12" s="204">
        <f t="shared" si="1"/>
        <v>3.7820754979115816E-4</v>
      </c>
      <c r="R12" s="204">
        <f t="shared" si="1"/>
        <v>0</v>
      </c>
      <c r="S12" s="204">
        <f t="shared" si="1"/>
        <v>0.14992865345831494</v>
      </c>
      <c r="Y12" s="143"/>
      <c r="Z12" s="143"/>
      <c r="AA12" s="143"/>
      <c r="AB12" s="143"/>
    </row>
    <row r="13" spans="1:28" x14ac:dyDescent="0.25">
      <c r="A13" s="35">
        <f>1+A12</f>
        <v>21</v>
      </c>
      <c r="B13" s="77">
        <v>6.3727977203327318E-4</v>
      </c>
      <c r="C13" s="77">
        <v>4.1986614313793198E-4</v>
      </c>
      <c r="D13" s="77">
        <v>6.7769678388961297E-3</v>
      </c>
      <c r="E13" s="77">
        <v>6.4098070047169386E-4</v>
      </c>
      <c r="F13" s="201">
        <f t="shared" si="2"/>
        <v>6.3727977203327318E-4</v>
      </c>
      <c r="G13" s="201">
        <f t="shared" si="2"/>
        <v>4.1986614313793198E-4</v>
      </c>
      <c r="H13" s="202">
        <v>0</v>
      </c>
      <c r="I13" s="203">
        <v>0.15</v>
      </c>
      <c r="J13" s="204">
        <f t="shared" si="3"/>
        <v>0.84910165340847432</v>
      </c>
      <c r="K13" s="204">
        <f t="shared" si="4"/>
        <v>0.15089834659152568</v>
      </c>
      <c r="L13" s="201">
        <f t="shared" si="5"/>
        <v>0.99936272022796668</v>
      </c>
      <c r="M13" s="201">
        <f t="shared" si="0"/>
        <v>0.99958013385686206</v>
      </c>
      <c r="N13" s="201">
        <f t="shared" si="0"/>
        <v>1</v>
      </c>
      <c r="O13" s="209">
        <f t="shared" si="0"/>
        <v>0.85</v>
      </c>
      <c r="P13" s="204">
        <f t="shared" si="6"/>
        <v>5.8807467543814157E-4</v>
      </c>
      <c r="Q13" s="204">
        <f t="shared" si="1"/>
        <v>3.8740566581918598E-4</v>
      </c>
      <c r="R13" s="204">
        <f t="shared" si="1"/>
        <v>0</v>
      </c>
      <c r="S13" s="204">
        <f t="shared" si="1"/>
        <v>0.14992286625026829</v>
      </c>
      <c r="Y13" s="143"/>
      <c r="Z13" s="143"/>
      <c r="AA13" s="143"/>
      <c r="AB13" s="143"/>
    </row>
    <row r="14" spans="1:28" x14ac:dyDescent="0.25">
      <c r="A14" s="35">
        <f t="shared" ref="A14:A77" si="7">1+A13</f>
        <v>22</v>
      </c>
      <c r="B14" s="77">
        <v>6.6731630574801235E-4</v>
      </c>
      <c r="C14" s="77">
        <v>4.2804853594978774E-4</v>
      </c>
      <c r="D14" s="77">
        <v>8.1180353998582672E-3</v>
      </c>
      <c r="E14" s="77">
        <v>6.8147880901558988E-4</v>
      </c>
      <c r="F14" s="201">
        <f t="shared" si="2"/>
        <v>6.6731630574801235E-4</v>
      </c>
      <c r="G14" s="201">
        <f t="shared" si="2"/>
        <v>4.2804853594978774E-4</v>
      </c>
      <c r="H14" s="202">
        <v>0</v>
      </c>
      <c r="I14" s="203">
        <v>0.15</v>
      </c>
      <c r="J14" s="204">
        <f t="shared" si="3"/>
        <v>0.84906918268175935</v>
      </c>
      <c r="K14" s="204">
        <f t="shared" si="4"/>
        <v>0.15093081731824065</v>
      </c>
      <c r="L14" s="201">
        <f t="shared" si="5"/>
        <v>0.99933268369425199</v>
      </c>
      <c r="M14" s="201">
        <f t="shared" si="0"/>
        <v>0.9995719514640502</v>
      </c>
      <c r="N14" s="201">
        <f t="shared" si="0"/>
        <v>1</v>
      </c>
      <c r="O14" s="209">
        <f t="shared" si="0"/>
        <v>0.85</v>
      </c>
      <c r="P14" s="204">
        <f t="shared" si="6"/>
        <v>6.1578985369883531E-4</v>
      </c>
      <c r="Q14" s="204">
        <f t="shared" si="1"/>
        <v>3.9494973597519324E-4</v>
      </c>
      <c r="R14" s="204">
        <f t="shared" si="1"/>
        <v>0</v>
      </c>
      <c r="S14" s="204">
        <f t="shared" si="1"/>
        <v>0.14992007772856661</v>
      </c>
      <c r="Y14" s="143"/>
      <c r="Z14" s="143"/>
      <c r="AA14" s="143"/>
      <c r="AB14" s="143"/>
    </row>
    <row r="15" spans="1:28" x14ac:dyDescent="0.25">
      <c r="A15" s="35">
        <f t="shared" si="7"/>
        <v>23</v>
      </c>
      <c r="B15" s="77">
        <v>6.702503599282408E-4</v>
      </c>
      <c r="C15" s="77">
        <v>4.4446999021731517E-4</v>
      </c>
      <c r="D15" s="77">
        <v>9.3634831542998408E-3</v>
      </c>
      <c r="E15" s="77">
        <v>6.9197212054350477E-4</v>
      </c>
      <c r="F15" s="201">
        <f t="shared" si="2"/>
        <v>6.702503599282408E-4</v>
      </c>
      <c r="G15" s="201">
        <f t="shared" si="2"/>
        <v>4.4446999021731517E-4</v>
      </c>
      <c r="H15" s="202">
        <v>0</v>
      </c>
      <c r="I15" s="203">
        <v>0.15</v>
      </c>
      <c r="J15" s="204">
        <f t="shared" si="3"/>
        <v>0.84905274092262151</v>
      </c>
      <c r="K15" s="204">
        <f t="shared" si="4"/>
        <v>0.15094725907737849</v>
      </c>
      <c r="L15" s="201">
        <f t="shared" si="5"/>
        <v>0.99932974964007171</v>
      </c>
      <c r="M15" s="201">
        <f t="shared" si="0"/>
        <v>0.9995555300097827</v>
      </c>
      <c r="N15" s="201">
        <f t="shared" si="0"/>
        <v>1</v>
      </c>
      <c r="O15" s="209">
        <f t="shared" si="0"/>
        <v>0.85</v>
      </c>
      <c r="P15" s="204">
        <f t="shared" si="6"/>
        <v>6.1849243916738453E-4</v>
      </c>
      <c r="Q15" s="204">
        <f t="shared" si="1"/>
        <v>4.101009092865704E-4</v>
      </c>
      <c r="R15" s="204">
        <f t="shared" si="1"/>
        <v>0</v>
      </c>
      <c r="S15" s="204">
        <f t="shared" si="1"/>
        <v>0.14991866572892454</v>
      </c>
      <c r="Y15" s="143"/>
      <c r="Z15" s="143"/>
      <c r="AA15" s="143"/>
      <c r="AB15" s="143"/>
    </row>
    <row r="16" spans="1:28" x14ac:dyDescent="0.25">
      <c r="A16" s="35">
        <f t="shared" si="7"/>
        <v>24</v>
      </c>
      <c r="B16" s="77">
        <v>6.5620751204398774E-4</v>
      </c>
      <c r="C16" s="77">
        <v>4.5967229047719818E-4</v>
      </c>
      <c r="D16" s="77">
        <v>1.0517054599898355E-2</v>
      </c>
      <c r="E16" s="77">
        <v>6.9245127752237678E-4</v>
      </c>
      <c r="F16" s="201">
        <f t="shared" si="2"/>
        <v>6.5620751204398774E-4</v>
      </c>
      <c r="G16" s="201">
        <f t="shared" si="2"/>
        <v>4.5967229047719818E-4</v>
      </c>
      <c r="H16" s="202">
        <v>0</v>
      </c>
      <c r="I16" s="203">
        <v>0.15</v>
      </c>
      <c r="J16" s="204">
        <f t="shared" si="3"/>
        <v>0.84905175856220561</v>
      </c>
      <c r="K16" s="204">
        <f t="shared" si="4"/>
        <v>0.15094824143779439</v>
      </c>
      <c r="L16" s="201">
        <f t="shared" si="5"/>
        <v>0.99934379248795602</v>
      </c>
      <c r="M16" s="201">
        <f t="shared" si="0"/>
        <v>0.99954032770952284</v>
      </c>
      <c r="N16" s="201">
        <f t="shared" si="0"/>
        <v>1</v>
      </c>
      <c r="O16" s="209">
        <f t="shared" si="0"/>
        <v>0.85</v>
      </c>
      <c r="P16" s="204">
        <f t="shared" si="6"/>
        <v>6.0552941008722876E-4</v>
      </c>
      <c r="Q16" s="204">
        <f t="shared" si="1"/>
        <v>4.2413066307841167E-4</v>
      </c>
      <c r="R16" s="204">
        <f t="shared" si="1"/>
        <v>0</v>
      </c>
      <c r="S16" s="204">
        <f t="shared" si="1"/>
        <v>0.14991858136462879</v>
      </c>
      <c r="Y16" s="143"/>
      <c r="Z16" s="143"/>
      <c r="AA16" s="143"/>
      <c r="AB16" s="143"/>
    </row>
    <row r="17" spans="1:28" x14ac:dyDescent="0.25">
      <c r="A17" s="35">
        <f t="shared" si="7"/>
        <v>25</v>
      </c>
      <c r="B17" s="77">
        <v>6.3342716833492531E-4</v>
      </c>
      <c r="C17" s="77">
        <v>4.7933783296527692E-4</v>
      </c>
      <c r="D17" s="77">
        <v>1.1582493234331311E-2</v>
      </c>
      <c r="E17" s="77">
        <v>6.6280365947957165E-4</v>
      </c>
      <c r="F17" s="201">
        <f t="shared" si="2"/>
        <v>6.3342716833492531E-4</v>
      </c>
      <c r="G17" s="201">
        <f t="shared" si="2"/>
        <v>4.7933783296527692E-4</v>
      </c>
      <c r="H17" s="202">
        <v>0</v>
      </c>
      <c r="I17" s="203">
        <v>0.12</v>
      </c>
      <c r="J17" s="204">
        <f t="shared" si="3"/>
        <v>0.87902103398938924</v>
      </c>
      <c r="K17" s="204">
        <f t="shared" si="4"/>
        <v>0.12097896601061076</v>
      </c>
      <c r="L17" s="201">
        <f t="shared" si="5"/>
        <v>0.99936657283166508</v>
      </c>
      <c r="M17" s="201">
        <f t="shared" si="0"/>
        <v>0.99952066216703472</v>
      </c>
      <c r="N17" s="201">
        <f t="shared" si="0"/>
        <v>1</v>
      </c>
      <c r="O17" s="209">
        <f t="shared" si="0"/>
        <v>0.88</v>
      </c>
      <c r="P17" s="204">
        <f t="shared" si="6"/>
        <v>5.94476567983433E-4</v>
      </c>
      <c r="Q17" s="204">
        <f t="shared" si="1"/>
        <v>4.4982779470177403E-4</v>
      </c>
      <c r="R17" s="204">
        <f t="shared" si="1"/>
        <v>0</v>
      </c>
      <c r="S17" s="204">
        <f t="shared" si="1"/>
        <v>0.11993466164792549</v>
      </c>
      <c r="Y17" s="143"/>
      <c r="Z17" s="143"/>
      <c r="AA17" s="143"/>
      <c r="AB17" s="143"/>
    </row>
    <row r="18" spans="1:28" x14ac:dyDescent="0.25">
      <c r="A18" s="35">
        <f t="shared" si="7"/>
        <v>26</v>
      </c>
      <c r="B18" s="77">
        <v>6.0845707405889028E-4</v>
      </c>
      <c r="C18" s="77">
        <v>5.0736509135772311E-4</v>
      </c>
      <c r="D18" s="77">
        <v>1.2563542555276207E-2</v>
      </c>
      <c r="E18" s="77">
        <v>6.6324325953914798E-4</v>
      </c>
      <c r="F18" s="201">
        <f t="shared" si="2"/>
        <v>6.0845707405889028E-4</v>
      </c>
      <c r="G18" s="201">
        <f t="shared" si="2"/>
        <v>5.0736509135772311E-4</v>
      </c>
      <c r="H18" s="202">
        <v>0</v>
      </c>
      <c r="I18" s="203">
        <v>0.12</v>
      </c>
      <c r="J18" s="204">
        <f t="shared" si="3"/>
        <v>0.87901834815912694</v>
      </c>
      <c r="K18" s="204">
        <f t="shared" si="4"/>
        <v>0.12098165184087306</v>
      </c>
      <c r="L18" s="201">
        <f t="shared" si="5"/>
        <v>0.99939154292594112</v>
      </c>
      <c r="M18" s="201">
        <f t="shared" si="0"/>
        <v>0.99949263490864226</v>
      </c>
      <c r="N18" s="201">
        <f t="shared" si="0"/>
        <v>1</v>
      </c>
      <c r="O18" s="209">
        <f t="shared" si="0"/>
        <v>0.88</v>
      </c>
      <c r="P18" s="204">
        <f t="shared" si="6"/>
        <v>5.710339438994988E-4</v>
      </c>
      <c r="Q18" s="204">
        <f t="shared" si="1"/>
        <v>4.7613554136253925E-4</v>
      </c>
      <c r="R18" s="204">
        <f t="shared" si="1"/>
        <v>0</v>
      </c>
      <c r="S18" s="204">
        <f t="shared" si="1"/>
        <v>0.11993448235561108</v>
      </c>
      <c r="Y18" s="143"/>
      <c r="Z18" s="143"/>
      <c r="AA18" s="143"/>
      <c r="AB18" s="143"/>
    </row>
    <row r="19" spans="1:28" x14ac:dyDescent="0.25">
      <c r="A19" s="35">
        <f t="shared" si="7"/>
        <v>27</v>
      </c>
      <c r="B19" s="77">
        <v>5.8633529420501897E-4</v>
      </c>
      <c r="C19" s="77">
        <v>5.460929805306844E-4</v>
      </c>
      <c r="D19" s="77">
        <v>1.3463946060410546E-2</v>
      </c>
      <c r="E19" s="77">
        <v>6.4357182362106968E-4</v>
      </c>
      <c r="F19" s="201">
        <f t="shared" si="2"/>
        <v>5.8633529420501897E-4</v>
      </c>
      <c r="G19" s="201">
        <f t="shared" si="2"/>
        <v>5.460929805306844E-4</v>
      </c>
      <c r="H19" s="202">
        <v>0</v>
      </c>
      <c r="I19" s="203">
        <v>0.12</v>
      </c>
      <c r="J19" s="204">
        <f t="shared" si="3"/>
        <v>0.87900374488859045</v>
      </c>
      <c r="K19" s="204">
        <f t="shared" si="4"/>
        <v>0.12099625511140955</v>
      </c>
      <c r="L19" s="201">
        <f t="shared" si="5"/>
        <v>0.99941366470579496</v>
      </c>
      <c r="M19" s="201">
        <f t="shared" si="0"/>
        <v>0.99945390701946935</v>
      </c>
      <c r="N19" s="201">
        <f t="shared" si="0"/>
        <v>1</v>
      </c>
      <c r="O19" s="209">
        <f t="shared" si="0"/>
        <v>0.88</v>
      </c>
      <c r="P19" s="204">
        <f t="shared" si="6"/>
        <v>5.5026220116574838E-4</v>
      </c>
      <c r="Q19" s="204">
        <f t="shared" si="1"/>
        <v>5.1248539767409203E-4</v>
      </c>
      <c r="R19" s="204">
        <f t="shared" si="1"/>
        <v>0</v>
      </c>
      <c r="S19" s="204">
        <f t="shared" si="1"/>
        <v>0.11993350751256977</v>
      </c>
      <c r="Y19" s="143"/>
      <c r="Z19" s="143"/>
      <c r="AA19" s="143"/>
      <c r="AB19" s="143"/>
    </row>
    <row r="20" spans="1:28" x14ac:dyDescent="0.25">
      <c r="A20" s="35">
        <f t="shared" si="7"/>
        <v>28</v>
      </c>
      <c r="B20" s="77">
        <v>5.7076544364169791E-4</v>
      </c>
      <c r="C20" s="77">
        <v>5.9652508843807195E-4</v>
      </c>
      <c r="D20" s="77">
        <v>1.4287447247411824E-2</v>
      </c>
      <c r="E20" s="77">
        <v>6.3392398949502216E-4</v>
      </c>
      <c r="F20" s="201">
        <f t="shared" si="2"/>
        <v>5.7076544364169791E-4</v>
      </c>
      <c r="G20" s="201">
        <f t="shared" si="2"/>
        <v>5.9652508843807195E-4</v>
      </c>
      <c r="H20" s="202">
        <v>0</v>
      </c>
      <c r="I20" s="203">
        <v>0.12</v>
      </c>
      <c r="J20" s="204">
        <f t="shared" si="3"/>
        <v>0.87897308395056772</v>
      </c>
      <c r="K20" s="204">
        <f t="shared" si="4"/>
        <v>0.12102691604943228</v>
      </c>
      <c r="L20" s="201">
        <f t="shared" si="5"/>
        <v>0.99942923455635835</v>
      </c>
      <c r="M20" s="201">
        <f t="shared" si="0"/>
        <v>0.9994034749115619</v>
      </c>
      <c r="N20" s="201">
        <f t="shared" si="0"/>
        <v>1</v>
      </c>
      <c r="O20" s="209">
        <f t="shared" si="0"/>
        <v>0.88</v>
      </c>
      <c r="P20" s="204">
        <f t="shared" si="6"/>
        <v>5.3563694080549799E-4</v>
      </c>
      <c r="Q20" s="204">
        <f t="shared" si="1"/>
        <v>5.5981838852635021E-4</v>
      </c>
      <c r="R20" s="204">
        <f t="shared" si="1"/>
        <v>0</v>
      </c>
      <c r="S20" s="204">
        <f t="shared" si="1"/>
        <v>0.1199314607201004</v>
      </c>
      <c r="Y20" s="143"/>
      <c r="Z20" s="143"/>
      <c r="AA20" s="143"/>
      <c r="AB20" s="143"/>
    </row>
    <row r="21" spans="1:28" x14ac:dyDescent="0.25">
      <c r="A21" s="35">
        <f t="shared" si="7"/>
        <v>29</v>
      </c>
      <c r="B21" s="77">
        <v>5.6428534312260084E-4</v>
      </c>
      <c r="C21" s="77">
        <v>6.5855395253076432E-4</v>
      </c>
      <c r="D21" s="77">
        <v>1.5037789613957551E-2</v>
      </c>
      <c r="E21" s="77">
        <v>6.4439477234745635E-4</v>
      </c>
      <c r="F21" s="201">
        <f t="shared" si="2"/>
        <v>5.6428534312260084E-4</v>
      </c>
      <c r="G21" s="201">
        <f t="shared" si="2"/>
        <v>6.5855395253076432E-4</v>
      </c>
      <c r="H21" s="202">
        <v>0</v>
      </c>
      <c r="I21" s="203">
        <v>0.12</v>
      </c>
      <c r="J21" s="204">
        <f t="shared" si="3"/>
        <v>0.87892422843868701</v>
      </c>
      <c r="K21" s="204">
        <f t="shared" si="4"/>
        <v>0.12107577156131299</v>
      </c>
      <c r="L21" s="201">
        <f t="shared" si="5"/>
        <v>0.99943571465687742</v>
      </c>
      <c r="M21" s="201">
        <f t="shared" si="0"/>
        <v>0.99934144604746922</v>
      </c>
      <c r="N21" s="201">
        <f t="shared" si="0"/>
        <v>1</v>
      </c>
      <c r="O21" s="209">
        <f t="shared" si="0"/>
        <v>0.88</v>
      </c>
      <c r="P21" s="204">
        <f t="shared" si="6"/>
        <v>5.2953954914905683E-4</v>
      </c>
      <c r="Q21" s="204">
        <f t="shared" si="1"/>
        <v>6.1803272634057473E-4</v>
      </c>
      <c r="R21" s="204">
        <f t="shared" si="1"/>
        <v>0</v>
      </c>
      <c r="S21" s="204">
        <f t="shared" si="1"/>
        <v>0.11992819928582343</v>
      </c>
      <c r="Y21" s="143"/>
      <c r="Z21" s="143"/>
      <c r="AA21" s="143"/>
      <c r="AB21" s="143"/>
    </row>
    <row r="22" spans="1:28" x14ac:dyDescent="0.25">
      <c r="A22" s="35">
        <f t="shared" si="7"/>
        <v>30</v>
      </c>
      <c r="B22" s="77">
        <v>5.6842917926785302E-4</v>
      </c>
      <c r="C22" s="77">
        <v>7.311854588342439E-4</v>
      </c>
      <c r="D22" s="77">
        <v>1.5718716657725219E-2</v>
      </c>
      <c r="E22" s="77">
        <v>6.5488544542280369E-4</v>
      </c>
      <c r="F22" s="201">
        <f t="shared" si="2"/>
        <v>5.6842917926785302E-4</v>
      </c>
      <c r="G22" s="201">
        <f t="shared" si="2"/>
        <v>7.311854588342439E-4</v>
      </c>
      <c r="H22" s="202">
        <v>0</v>
      </c>
      <c r="I22" s="203">
        <v>0.12</v>
      </c>
      <c r="J22" s="204">
        <f t="shared" si="3"/>
        <v>0.87885670487036249</v>
      </c>
      <c r="K22" s="204">
        <f t="shared" si="4"/>
        <v>0.12114329512963751</v>
      </c>
      <c r="L22" s="201">
        <f t="shared" si="5"/>
        <v>0.9994315708207322</v>
      </c>
      <c r="M22" s="201">
        <f t="shared" si="0"/>
        <v>0.99926881454116578</v>
      </c>
      <c r="N22" s="201">
        <f t="shared" si="0"/>
        <v>1</v>
      </c>
      <c r="O22" s="209">
        <f t="shared" si="0"/>
        <v>0.88</v>
      </c>
      <c r="P22" s="204">
        <f t="shared" si="6"/>
        <v>5.3340928481783998E-4</v>
      </c>
      <c r="Q22" s="204">
        <f t="shared" si="1"/>
        <v>6.8619431333726824E-4</v>
      </c>
      <c r="R22" s="204">
        <f t="shared" si="1"/>
        <v>0</v>
      </c>
      <c r="S22" s="204">
        <f t="shared" si="1"/>
        <v>0.11992369153148244</v>
      </c>
      <c r="Y22" s="143"/>
      <c r="Z22" s="143"/>
      <c r="AA22" s="143"/>
      <c r="AB22" s="143"/>
    </row>
    <row r="23" spans="1:28" x14ac:dyDescent="0.25">
      <c r="A23" s="35">
        <f t="shared" si="7"/>
        <v>31</v>
      </c>
      <c r="B23" s="77">
        <v>5.8388317941555554E-4</v>
      </c>
      <c r="C23" s="77">
        <v>8.1276337457995135E-4</v>
      </c>
      <c r="D23" s="77">
        <v>1.6333971876392333E-2</v>
      </c>
      <c r="E23" s="77">
        <v>6.9564165381241772E-4</v>
      </c>
      <c r="F23" s="201">
        <f t="shared" si="2"/>
        <v>5.8388317941555554E-4</v>
      </c>
      <c r="G23" s="201">
        <f t="shared" si="2"/>
        <v>8.1276337457995135E-4</v>
      </c>
      <c r="H23" s="202">
        <v>0</v>
      </c>
      <c r="I23" s="203">
        <v>0.12</v>
      </c>
      <c r="J23" s="204">
        <f t="shared" si="3"/>
        <v>0.87877136864428362</v>
      </c>
      <c r="K23" s="204">
        <f t="shared" si="4"/>
        <v>0.12122863135571638</v>
      </c>
      <c r="L23" s="201">
        <f t="shared" si="5"/>
        <v>0.9994161168205844</v>
      </c>
      <c r="M23" s="201">
        <f t="shared" si="0"/>
        <v>0.99918723662542008</v>
      </c>
      <c r="N23" s="201">
        <f t="shared" si="0"/>
        <v>1</v>
      </c>
      <c r="O23" s="209">
        <f t="shared" si="0"/>
        <v>0.88</v>
      </c>
      <c r="P23" s="204">
        <f t="shared" si="6"/>
        <v>5.4788939857317346E-4</v>
      </c>
      <c r="Q23" s="204">
        <f t="shared" si="1"/>
        <v>7.6274749035237733E-4</v>
      </c>
      <c r="R23" s="204">
        <f t="shared" si="1"/>
        <v>0</v>
      </c>
      <c r="S23" s="204">
        <f t="shared" si="1"/>
        <v>0.11991799446679081</v>
      </c>
      <c r="Y23" s="143"/>
      <c r="Z23" s="143"/>
      <c r="AA23" s="143"/>
      <c r="AB23" s="143"/>
    </row>
    <row r="24" spans="1:28" x14ac:dyDescent="0.25">
      <c r="A24" s="35">
        <f t="shared" si="7"/>
        <v>32</v>
      </c>
      <c r="B24" s="77">
        <v>6.1063477064310259E-4</v>
      </c>
      <c r="C24" s="77">
        <v>9.011939836897256E-4</v>
      </c>
      <c r="D24" s="77">
        <v>1.6887298767636394E-2</v>
      </c>
      <c r="E24" s="77">
        <v>7.3648103309120749E-4</v>
      </c>
      <c r="F24" s="201">
        <f t="shared" si="2"/>
        <v>6.1063477064310259E-4</v>
      </c>
      <c r="G24" s="201">
        <f t="shared" si="2"/>
        <v>9.011939836897256E-4</v>
      </c>
      <c r="H24" s="202">
        <v>0</v>
      </c>
      <c r="I24" s="203">
        <v>0.12</v>
      </c>
      <c r="J24" s="204">
        <f t="shared" si="3"/>
        <v>0.87867007496052285</v>
      </c>
      <c r="K24" s="204">
        <f t="shared" si="4"/>
        <v>0.12132992503947715</v>
      </c>
      <c r="L24" s="201">
        <f t="shared" si="5"/>
        <v>0.99938936522935695</v>
      </c>
      <c r="M24" s="201">
        <f t="shared" si="0"/>
        <v>0.99909880601631029</v>
      </c>
      <c r="N24" s="201">
        <f t="shared" si="0"/>
        <v>1</v>
      </c>
      <c r="O24" s="209">
        <f t="shared" si="0"/>
        <v>0.88</v>
      </c>
      <c r="P24" s="204">
        <f t="shared" si="6"/>
        <v>5.7296722857452808E-4</v>
      </c>
      <c r="Q24" s="204">
        <f t="shared" si="1"/>
        <v>8.4572597665578931E-4</v>
      </c>
      <c r="R24" s="204">
        <f t="shared" si="1"/>
        <v>0</v>
      </c>
      <c r="S24" s="204">
        <f t="shared" si="1"/>
        <v>0.11991123183424675</v>
      </c>
      <c r="Y24" s="143"/>
      <c r="Z24" s="143"/>
      <c r="AA24" s="143"/>
      <c r="AB24" s="143"/>
    </row>
    <row r="25" spans="1:28" x14ac:dyDescent="0.25">
      <c r="A25" s="35">
        <f t="shared" si="7"/>
        <v>33</v>
      </c>
      <c r="B25" s="77">
        <v>6.4811517117264702E-4</v>
      </c>
      <c r="C25" s="77">
        <v>9.9417077332774662E-4</v>
      </c>
      <c r="D25" s="77">
        <v>1.7382440829134906E-2</v>
      </c>
      <c r="E25" s="77">
        <v>7.8750492190571286E-4</v>
      </c>
      <c r="F25" s="201">
        <f t="shared" si="2"/>
        <v>6.4811517117264702E-4</v>
      </c>
      <c r="G25" s="201">
        <f t="shared" si="2"/>
        <v>9.9417077332774662E-4</v>
      </c>
      <c r="H25" s="202">
        <v>0</v>
      </c>
      <c r="I25" s="203">
        <v>0.12</v>
      </c>
      <c r="J25" s="204">
        <f t="shared" si="3"/>
        <v>0.8785553553855413</v>
      </c>
      <c r="K25" s="204">
        <f t="shared" si="4"/>
        <v>0.1214446446144587</v>
      </c>
      <c r="L25" s="201">
        <f t="shared" si="5"/>
        <v>0.99935188482882731</v>
      </c>
      <c r="M25" s="201">
        <f t="shared" si="5"/>
        <v>0.99900582922667225</v>
      </c>
      <c r="N25" s="201">
        <f t="shared" si="5"/>
        <v>1</v>
      </c>
      <c r="O25" s="209">
        <f t="shared" si="5"/>
        <v>0.88</v>
      </c>
      <c r="P25" s="204">
        <f t="shared" si="6"/>
        <v>6.081081751100881E-4</v>
      </c>
      <c r="Q25" s="204">
        <f t="shared" ref="Q25:S55" si="8">(LOG(M25)/LOG($J25))*$K25</f>
        <v>9.3296390607631519E-4</v>
      </c>
      <c r="R25" s="204">
        <f t="shared" si="8"/>
        <v>0</v>
      </c>
      <c r="S25" s="204">
        <f t="shared" si="8"/>
        <v>0.11990357253327237</v>
      </c>
      <c r="Y25" s="143"/>
      <c r="Z25" s="143"/>
      <c r="AA25" s="143"/>
      <c r="AB25" s="143"/>
    </row>
    <row r="26" spans="1:28" x14ac:dyDescent="0.25">
      <c r="A26" s="35">
        <f t="shared" si="7"/>
        <v>34</v>
      </c>
      <c r="B26" s="77">
        <v>6.9533535702911607E-4</v>
      </c>
      <c r="C26" s="77">
        <v>1.089399114388328E-3</v>
      </c>
      <c r="D26" s="77">
        <v>1.7823141558565368E-2</v>
      </c>
      <c r="E26" s="77">
        <v>8.4875061888067815E-4</v>
      </c>
      <c r="F26" s="201">
        <f t="shared" si="2"/>
        <v>6.9533535702911607E-4</v>
      </c>
      <c r="G26" s="201">
        <f t="shared" si="2"/>
        <v>1.089399114388328E-3</v>
      </c>
      <c r="H26" s="202">
        <v>0</v>
      </c>
      <c r="I26" s="203">
        <v>0.12</v>
      </c>
      <c r="J26" s="204">
        <f t="shared" si="3"/>
        <v>0.87843010026314805</v>
      </c>
      <c r="K26" s="204">
        <f t="shared" si="4"/>
        <v>0.12156989973685195</v>
      </c>
      <c r="L26" s="201">
        <f t="shared" si="5"/>
        <v>0.99930466464297085</v>
      </c>
      <c r="M26" s="201">
        <f t="shared" si="5"/>
        <v>0.99891060088561168</v>
      </c>
      <c r="N26" s="201">
        <f t="shared" si="5"/>
        <v>1</v>
      </c>
      <c r="O26" s="209">
        <f t="shared" si="5"/>
        <v>0.88</v>
      </c>
      <c r="P26" s="204">
        <f t="shared" si="6"/>
        <v>6.523834493124633E-4</v>
      </c>
      <c r="Q26" s="204">
        <f t="shared" si="8"/>
        <v>1.0223068545278542E-3</v>
      </c>
      <c r="R26" s="204">
        <f t="shared" si="8"/>
        <v>0</v>
      </c>
      <c r="S26" s="204">
        <f t="shared" si="8"/>
        <v>0.11989520943301155</v>
      </c>
      <c r="Y26" s="143"/>
      <c r="Z26" s="143"/>
      <c r="AA26" s="143"/>
      <c r="AB26" s="143"/>
    </row>
    <row r="27" spans="1:28" x14ac:dyDescent="0.25">
      <c r="A27" s="35">
        <f t="shared" si="7"/>
        <v>35</v>
      </c>
      <c r="B27" s="77">
        <v>7.5101535278360762E-4</v>
      </c>
      <c r="C27" s="77">
        <v>1.1848208847524333E-3</v>
      </c>
      <c r="D27" s="77">
        <v>1.8213144453605272E-2</v>
      </c>
      <c r="E27" s="77">
        <v>9.3037366638015762E-4</v>
      </c>
      <c r="F27" s="201">
        <f t="shared" si="2"/>
        <v>7.5101535278360762E-4</v>
      </c>
      <c r="G27" s="201">
        <f t="shared" si="2"/>
        <v>1.1848208847524333E-3</v>
      </c>
      <c r="H27" s="202">
        <v>0</v>
      </c>
      <c r="I27" s="203">
        <v>0.09</v>
      </c>
      <c r="J27" s="204">
        <f t="shared" si="3"/>
        <v>0.90823919875883619</v>
      </c>
      <c r="K27" s="204">
        <f t="shared" si="4"/>
        <v>9.1760801241163814E-2</v>
      </c>
      <c r="L27" s="201">
        <f t="shared" si="5"/>
        <v>0.99924898464721634</v>
      </c>
      <c r="M27" s="201">
        <f t="shared" si="5"/>
        <v>0.99881517911524753</v>
      </c>
      <c r="N27" s="201">
        <f t="shared" si="5"/>
        <v>1</v>
      </c>
      <c r="O27" s="209">
        <f t="shared" si="5"/>
        <v>0.91</v>
      </c>
      <c r="P27" s="204">
        <f t="shared" si="6"/>
        <v>7.162748217052977E-4</v>
      </c>
      <c r="Q27" s="204">
        <f t="shared" si="8"/>
        <v>1.1302586685707201E-3</v>
      </c>
      <c r="R27" s="204">
        <f t="shared" si="8"/>
        <v>0</v>
      </c>
      <c r="S27" s="204">
        <f t="shared" si="8"/>
        <v>8.9914267750887802E-2</v>
      </c>
      <c r="Y27" s="143"/>
      <c r="Z27" s="143"/>
      <c r="AA27" s="143"/>
      <c r="AB27" s="143"/>
    </row>
    <row r="28" spans="1:28" x14ac:dyDescent="0.25">
      <c r="A28" s="35">
        <f t="shared" si="7"/>
        <v>36</v>
      </c>
      <c r="B28" s="77">
        <v>8.1370680840480228E-4</v>
      </c>
      <c r="C28" s="77">
        <v>1.2788389973355362E-3</v>
      </c>
      <c r="D28" s="77">
        <v>1.8556193011932128E-2</v>
      </c>
      <c r="E28" s="77">
        <v>1.0223396394480888E-3</v>
      </c>
      <c r="F28" s="201">
        <f t="shared" si="2"/>
        <v>8.1370680840480228E-4</v>
      </c>
      <c r="G28" s="201">
        <f t="shared" si="2"/>
        <v>1.2788389973355362E-3</v>
      </c>
      <c r="H28" s="202">
        <v>0</v>
      </c>
      <c r="I28" s="203">
        <v>0.09</v>
      </c>
      <c r="J28" s="204">
        <f t="shared" si="3"/>
        <v>0.90809673026277549</v>
      </c>
      <c r="K28" s="204">
        <f t="shared" si="4"/>
        <v>9.1903269737224513E-2</v>
      </c>
      <c r="L28" s="201">
        <f t="shared" si="5"/>
        <v>0.99918629319159524</v>
      </c>
      <c r="M28" s="201">
        <f t="shared" si="5"/>
        <v>0.9987211610026645</v>
      </c>
      <c r="N28" s="201">
        <f t="shared" si="5"/>
        <v>1</v>
      </c>
      <c r="O28" s="209">
        <f t="shared" si="5"/>
        <v>0.91</v>
      </c>
      <c r="P28" s="204">
        <f t="shared" si="6"/>
        <v>7.7603073833846126E-4</v>
      </c>
      <c r="Q28" s="204">
        <f t="shared" si="8"/>
        <v>1.2199104053767246E-3</v>
      </c>
      <c r="R28" s="204">
        <f t="shared" si="8"/>
        <v>0</v>
      </c>
      <c r="S28" s="204">
        <f t="shared" si="8"/>
        <v>8.9907328593509334E-2</v>
      </c>
      <c r="Y28" s="143"/>
      <c r="Z28" s="143"/>
      <c r="AA28" s="143"/>
      <c r="AB28" s="143"/>
    </row>
    <row r="29" spans="1:28" x14ac:dyDescent="0.25">
      <c r="A29" s="35">
        <f t="shared" si="7"/>
        <v>37</v>
      </c>
      <c r="B29" s="77">
        <v>8.8190884091442624E-4</v>
      </c>
      <c r="C29" s="77">
        <v>1.3705418116228307E-3</v>
      </c>
      <c r="D29" s="77">
        <v>1.8856030731223439E-2</v>
      </c>
      <c r="E29" s="77">
        <v>1.1044461557168095E-3</v>
      </c>
      <c r="F29" s="201">
        <f t="shared" si="2"/>
        <v>8.8190884091442624E-4</v>
      </c>
      <c r="G29" s="201">
        <f t="shared" si="2"/>
        <v>1.3705418116228307E-3</v>
      </c>
      <c r="H29" s="202">
        <v>0</v>
      </c>
      <c r="I29" s="203">
        <v>0.09</v>
      </c>
      <c r="J29" s="204">
        <f t="shared" si="3"/>
        <v>0.90795136981676694</v>
      </c>
      <c r="K29" s="204">
        <f t="shared" si="4"/>
        <v>9.204863018323306E-2</v>
      </c>
      <c r="L29" s="201">
        <f t="shared" si="5"/>
        <v>0.99911809115908556</v>
      </c>
      <c r="M29" s="201">
        <f t="shared" si="5"/>
        <v>0.99862945818837712</v>
      </c>
      <c r="N29" s="201">
        <f t="shared" si="5"/>
        <v>1</v>
      </c>
      <c r="O29" s="209">
        <f t="shared" si="5"/>
        <v>0.91</v>
      </c>
      <c r="P29" s="204">
        <f t="shared" si="6"/>
        <v>8.4103735921110118E-4</v>
      </c>
      <c r="Q29" s="204">
        <f t="shared" si="8"/>
        <v>1.3073446250375391E-3</v>
      </c>
      <c r="R29" s="204">
        <f t="shared" si="8"/>
        <v>0</v>
      </c>
      <c r="S29" s="204">
        <f t="shared" si="8"/>
        <v>8.9900248198984414E-2</v>
      </c>
      <c r="Y29" s="143"/>
      <c r="Z29" s="143"/>
      <c r="AA29" s="143"/>
      <c r="AB29" s="143"/>
    </row>
    <row r="30" spans="1:28" x14ac:dyDescent="0.25">
      <c r="A30" s="35">
        <f t="shared" si="7"/>
        <v>38</v>
      </c>
      <c r="B30" s="77">
        <v>9.5417713630102511E-4</v>
      </c>
      <c r="C30" s="77">
        <v>1.4599274241461218E-3</v>
      </c>
      <c r="D30" s="77">
        <v>1.9116401109156696E-2</v>
      </c>
      <c r="E30" s="77">
        <v>1.1969609364698153E-3</v>
      </c>
      <c r="F30" s="201">
        <f t="shared" si="2"/>
        <v>9.5417713630102511E-4</v>
      </c>
      <c r="G30" s="201">
        <f t="shared" si="2"/>
        <v>1.4599274241461218E-3</v>
      </c>
      <c r="H30" s="202">
        <v>0</v>
      </c>
      <c r="I30" s="203">
        <v>0.09</v>
      </c>
      <c r="J30" s="204">
        <f t="shared" si="3"/>
        <v>0.90780443250671872</v>
      </c>
      <c r="K30" s="204">
        <f t="shared" si="4"/>
        <v>9.2195567493281283E-2</v>
      </c>
      <c r="L30" s="201">
        <f t="shared" si="5"/>
        <v>0.99904582286369903</v>
      </c>
      <c r="M30" s="201">
        <f t="shared" si="5"/>
        <v>0.99854007257585387</v>
      </c>
      <c r="N30" s="201">
        <f t="shared" si="5"/>
        <v>1</v>
      </c>
      <c r="O30" s="209">
        <f t="shared" si="5"/>
        <v>0.91</v>
      </c>
      <c r="P30" s="204">
        <f t="shared" si="6"/>
        <v>9.0991688386911991E-4</v>
      </c>
      <c r="Q30" s="204">
        <f t="shared" si="8"/>
        <v>1.3925600030281541E-3</v>
      </c>
      <c r="R30" s="204">
        <f t="shared" si="8"/>
        <v>0</v>
      </c>
      <c r="S30" s="204">
        <f t="shared" si="8"/>
        <v>8.9893090606383966E-2</v>
      </c>
      <c r="Y30" s="143"/>
      <c r="Z30" s="143"/>
      <c r="AA30" s="143"/>
      <c r="AB30" s="143"/>
    </row>
    <row r="31" spans="1:28" x14ac:dyDescent="0.25">
      <c r="A31" s="35">
        <f t="shared" si="7"/>
        <v>39</v>
      </c>
      <c r="B31" s="77">
        <v>1.0292263209344804E-3</v>
      </c>
      <c r="C31" s="77">
        <v>1.5481278471447238E-3</v>
      </c>
      <c r="D31" s="77">
        <v>1.9341047643409406E-2</v>
      </c>
      <c r="E31" s="77">
        <v>1.2999542984817314E-3</v>
      </c>
      <c r="F31" s="201">
        <f t="shared" si="2"/>
        <v>1.0292263209344804E-3</v>
      </c>
      <c r="G31" s="201">
        <f t="shared" si="2"/>
        <v>1.5481278471447238E-3</v>
      </c>
      <c r="H31" s="202">
        <v>0</v>
      </c>
      <c r="I31" s="203">
        <v>0.09</v>
      </c>
      <c r="J31" s="204">
        <f t="shared" si="3"/>
        <v>0.90765605767732283</v>
      </c>
      <c r="K31" s="204">
        <f t="shared" si="4"/>
        <v>9.2343942322677175E-2</v>
      </c>
      <c r="L31" s="201">
        <f t="shared" si="5"/>
        <v>0.9989707736790655</v>
      </c>
      <c r="M31" s="201">
        <f t="shared" si="5"/>
        <v>0.99845187215285525</v>
      </c>
      <c r="N31" s="201">
        <f t="shared" si="5"/>
        <v>1</v>
      </c>
      <c r="O31" s="209">
        <f t="shared" si="5"/>
        <v>0.91</v>
      </c>
      <c r="P31" s="204">
        <f t="shared" si="6"/>
        <v>9.8144279336301841E-4</v>
      </c>
      <c r="Q31" s="204">
        <f t="shared" si="8"/>
        <v>1.4766369380310896E-3</v>
      </c>
      <c r="R31" s="204">
        <f t="shared" si="8"/>
        <v>0</v>
      </c>
      <c r="S31" s="204">
        <f t="shared" si="8"/>
        <v>8.9885862591283089E-2</v>
      </c>
      <c r="Y31" s="143"/>
      <c r="Z31" s="143"/>
      <c r="AA31" s="143"/>
      <c r="AB31" s="143"/>
    </row>
    <row r="32" spans="1:28" x14ac:dyDescent="0.25">
      <c r="A32" s="35">
        <f t="shared" si="7"/>
        <v>40</v>
      </c>
      <c r="B32" s="77">
        <v>1.1060256198297026E-3</v>
      </c>
      <c r="C32" s="77">
        <v>1.6376330927589321E-3</v>
      </c>
      <c r="D32" s="77">
        <v>1.9533713831659076E-2</v>
      </c>
      <c r="E32" s="77">
        <v>1.4033375026694106E-3</v>
      </c>
      <c r="F32" s="201">
        <f t="shared" si="2"/>
        <v>1.1060256198297026E-3</v>
      </c>
      <c r="G32" s="201">
        <f t="shared" si="2"/>
        <v>1.6376330927589321E-3</v>
      </c>
      <c r="H32" s="202">
        <v>0</v>
      </c>
      <c r="I32" s="203">
        <v>0.09</v>
      </c>
      <c r="J32" s="204">
        <f t="shared" si="3"/>
        <v>0.90750491882192674</v>
      </c>
      <c r="K32" s="204">
        <f t="shared" si="4"/>
        <v>9.2495081178073257E-2</v>
      </c>
      <c r="L32" s="201">
        <f t="shared" si="5"/>
        <v>0.99889397438017025</v>
      </c>
      <c r="M32" s="201">
        <f t="shared" si="5"/>
        <v>0.99836236690724112</v>
      </c>
      <c r="N32" s="201">
        <f t="shared" si="5"/>
        <v>1</v>
      </c>
      <c r="O32" s="209">
        <f t="shared" si="5"/>
        <v>0.91</v>
      </c>
      <c r="P32" s="204">
        <f t="shared" si="6"/>
        <v>1.0546306963126878E-3</v>
      </c>
      <c r="Q32" s="204">
        <f t="shared" si="8"/>
        <v>1.5619509654214198E-3</v>
      </c>
      <c r="R32" s="204">
        <f t="shared" si="8"/>
        <v>0</v>
      </c>
      <c r="S32" s="204">
        <f t="shared" si="8"/>
        <v>8.9878499516339125E-2</v>
      </c>
      <c r="Y32" s="143"/>
      <c r="Z32" s="143"/>
      <c r="AA32" s="143"/>
      <c r="AB32" s="143"/>
    </row>
    <row r="33" spans="1:28" x14ac:dyDescent="0.25">
      <c r="A33" s="35">
        <f t="shared" si="7"/>
        <v>41</v>
      </c>
      <c r="B33" s="77">
        <v>1.1838878191635421E-3</v>
      </c>
      <c r="C33" s="77">
        <v>1.7325151801599985E-3</v>
      </c>
      <c r="D33" s="77">
        <v>1.9698143171583193E-2</v>
      </c>
      <c r="E33" s="77">
        <v>1.5071436572673402E-3</v>
      </c>
      <c r="F33" s="201">
        <f t="shared" si="2"/>
        <v>1.1838878191635421E-3</v>
      </c>
      <c r="G33" s="201">
        <f t="shared" si="2"/>
        <v>1.7325151801599985E-3</v>
      </c>
      <c r="H33" s="202">
        <v>0</v>
      </c>
      <c r="I33" s="203">
        <v>0.09</v>
      </c>
      <c r="J33" s="204">
        <f t="shared" si="3"/>
        <v>0.90734793977490813</v>
      </c>
      <c r="K33" s="204">
        <f t="shared" si="4"/>
        <v>9.265206022509187E-2</v>
      </c>
      <c r="L33" s="201">
        <f t="shared" si="5"/>
        <v>0.99881611218083644</v>
      </c>
      <c r="M33" s="201">
        <f t="shared" si="5"/>
        <v>0.99826748481983996</v>
      </c>
      <c r="N33" s="201">
        <f t="shared" si="5"/>
        <v>1</v>
      </c>
      <c r="O33" s="209">
        <f t="shared" si="5"/>
        <v>0.91</v>
      </c>
      <c r="P33" s="204">
        <f t="shared" si="6"/>
        <v>1.1288227142274739E-3</v>
      </c>
      <c r="Q33" s="204">
        <f t="shared" si="8"/>
        <v>1.6523860275719595E-3</v>
      </c>
      <c r="R33" s="204">
        <f t="shared" si="8"/>
        <v>0</v>
      </c>
      <c r="S33" s="204">
        <f t="shared" si="8"/>
        <v>8.9870851483292352E-2</v>
      </c>
      <c r="Y33" s="143"/>
      <c r="Z33" s="143"/>
      <c r="AA33" s="143"/>
      <c r="AB33" s="143"/>
    </row>
    <row r="34" spans="1:28" x14ac:dyDescent="0.25">
      <c r="A34" s="35">
        <f t="shared" si="7"/>
        <v>42</v>
      </c>
      <c r="B34" s="77">
        <v>1.2625515404283882E-3</v>
      </c>
      <c r="C34" s="77">
        <v>1.8386520730000985E-3</v>
      </c>
      <c r="D34" s="77">
        <v>1.9838079160859265E-2</v>
      </c>
      <c r="E34" s="77">
        <v>1.6216050830689666E-3</v>
      </c>
      <c r="F34" s="201">
        <f t="shared" si="2"/>
        <v>1.2625515404283882E-3</v>
      </c>
      <c r="G34" s="201">
        <f t="shared" si="2"/>
        <v>1.8386520730000985E-3</v>
      </c>
      <c r="H34" s="202">
        <v>0</v>
      </c>
      <c r="I34" s="203">
        <v>0.09</v>
      </c>
      <c r="J34" s="204">
        <f t="shared" si="3"/>
        <v>0.90718001717941654</v>
      </c>
      <c r="K34" s="204">
        <f t="shared" si="4"/>
        <v>9.2819982820583458E-2</v>
      </c>
      <c r="L34" s="201">
        <f t="shared" si="5"/>
        <v>0.99873744845957158</v>
      </c>
      <c r="M34" s="201">
        <f t="shared" si="5"/>
        <v>0.99816134792699995</v>
      </c>
      <c r="N34" s="201">
        <f t="shared" si="5"/>
        <v>1</v>
      </c>
      <c r="O34" s="209">
        <f t="shared" si="5"/>
        <v>0.91</v>
      </c>
      <c r="P34" s="204">
        <f t="shared" si="6"/>
        <v>1.2037654200253334E-3</v>
      </c>
      <c r="Q34" s="204">
        <f t="shared" si="8"/>
        <v>1.7535476171939141E-3</v>
      </c>
      <c r="R34" s="204">
        <f t="shared" si="8"/>
        <v>0</v>
      </c>
      <c r="S34" s="204">
        <f t="shared" si="8"/>
        <v>8.9862669783364171E-2</v>
      </c>
      <c r="Y34" s="143"/>
      <c r="Z34" s="143"/>
      <c r="AA34" s="143"/>
      <c r="AB34" s="143"/>
    </row>
    <row r="35" spans="1:28" x14ac:dyDescent="0.25">
      <c r="A35" s="35">
        <f t="shared" si="7"/>
        <v>43</v>
      </c>
      <c r="B35" s="77">
        <v>1.3422568118282299E-3</v>
      </c>
      <c r="C35" s="77">
        <v>1.9639515327881229E-3</v>
      </c>
      <c r="D35" s="77">
        <v>1.9957265297164802E-2</v>
      </c>
      <c r="E35" s="77">
        <v>1.716177011400366E-3</v>
      </c>
      <c r="F35" s="201">
        <f t="shared" si="2"/>
        <v>1.3422568118282299E-3</v>
      </c>
      <c r="G35" s="201">
        <f t="shared" si="2"/>
        <v>1.9639515327881229E-3</v>
      </c>
      <c r="H35" s="202">
        <v>0</v>
      </c>
      <c r="I35" s="203">
        <v>0.09</v>
      </c>
      <c r="J35" s="204">
        <f t="shared" si="3"/>
        <v>0.90699374928226306</v>
      </c>
      <c r="K35" s="204">
        <f t="shared" si="4"/>
        <v>9.3006250717736938E-2</v>
      </c>
      <c r="L35" s="201">
        <f t="shared" si="5"/>
        <v>0.9986577431881718</v>
      </c>
      <c r="M35" s="201">
        <f t="shared" si="5"/>
        <v>0.99803604846721183</v>
      </c>
      <c r="N35" s="201">
        <f t="shared" si="5"/>
        <v>1</v>
      </c>
      <c r="O35" s="209">
        <f t="shared" si="5"/>
        <v>0.91</v>
      </c>
      <c r="P35" s="204">
        <f t="shared" si="6"/>
        <v>1.2796813025871166E-3</v>
      </c>
      <c r="Q35" s="204">
        <f t="shared" si="8"/>
        <v>1.8729757708806955E-3</v>
      </c>
      <c r="R35" s="204">
        <f t="shared" si="8"/>
        <v>0</v>
      </c>
      <c r="S35" s="204">
        <f t="shared" si="8"/>
        <v>8.985359364426912E-2</v>
      </c>
      <c r="Y35" s="143"/>
      <c r="Z35" s="143"/>
      <c r="AA35" s="143"/>
      <c r="AB35" s="143"/>
    </row>
    <row r="36" spans="1:28" x14ac:dyDescent="0.25">
      <c r="A36" s="35">
        <f t="shared" si="7"/>
        <v>44</v>
      </c>
      <c r="B36" s="77">
        <v>1.4238138876484995E-3</v>
      </c>
      <c r="C36" s="77">
        <v>2.118574838922574E-3</v>
      </c>
      <c r="D36" s="77">
        <v>2.005944507817729E-2</v>
      </c>
      <c r="E36" s="77">
        <v>1.8419221480905357E-3</v>
      </c>
      <c r="F36" s="201">
        <f t="shared" si="2"/>
        <v>1.4238138876484995E-3</v>
      </c>
      <c r="G36" s="201">
        <f t="shared" si="2"/>
        <v>2.118574838922574E-3</v>
      </c>
      <c r="H36" s="202">
        <v>0</v>
      </c>
      <c r="I36" s="203">
        <v>0.09</v>
      </c>
      <c r="J36" s="204">
        <f t="shared" si="3"/>
        <v>0.90677917123403307</v>
      </c>
      <c r="K36" s="204">
        <f t="shared" si="4"/>
        <v>9.3220828765966934E-2</v>
      </c>
      <c r="L36" s="201">
        <f t="shared" si="5"/>
        <v>0.99857618611235155</v>
      </c>
      <c r="M36" s="201">
        <f t="shared" si="5"/>
        <v>0.99788142516107747</v>
      </c>
      <c r="N36" s="201">
        <f t="shared" si="5"/>
        <v>1</v>
      </c>
      <c r="O36" s="209">
        <f t="shared" si="5"/>
        <v>0.91</v>
      </c>
      <c r="P36" s="204">
        <f t="shared" si="6"/>
        <v>1.3573336644672393E-3</v>
      </c>
      <c r="Q36" s="204">
        <f t="shared" si="8"/>
        <v>2.0203578270677979E-3</v>
      </c>
      <c r="R36" s="204">
        <f t="shared" si="8"/>
        <v>0</v>
      </c>
      <c r="S36" s="204">
        <f t="shared" si="8"/>
        <v>8.9843137274431828E-2</v>
      </c>
      <c r="Y36" s="143"/>
      <c r="Z36" s="143"/>
      <c r="AA36" s="143"/>
      <c r="AB36" s="143"/>
    </row>
    <row r="37" spans="1:28" x14ac:dyDescent="0.25">
      <c r="A37" s="35">
        <f t="shared" si="7"/>
        <v>45</v>
      </c>
      <c r="B37" s="77">
        <v>1.5086652173654624E-3</v>
      </c>
      <c r="C37" s="77">
        <v>2.3151602771473456E-3</v>
      </c>
      <c r="D37" s="77">
        <v>2.014836200157423E-2</v>
      </c>
      <c r="E37" s="77">
        <v>1.9580907077831888E-3</v>
      </c>
      <c r="F37" s="201">
        <f t="shared" si="2"/>
        <v>1.5086652173654624E-3</v>
      </c>
      <c r="G37" s="201">
        <f t="shared" si="2"/>
        <v>2.3151602771473456E-3</v>
      </c>
      <c r="H37" s="202">
        <v>0</v>
      </c>
      <c r="I37" s="203">
        <v>0.06</v>
      </c>
      <c r="J37" s="204">
        <f t="shared" si="3"/>
        <v>0.93640888726883365</v>
      </c>
      <c r="K37" s="204">
        <f t="shared" si="4"/>
        <v>6.3591112731166355E-2</v>
      </c>
      <c r="L37" s="201">
        <f t="shared" si="5"/>
        <v>0.99849133478263452</v>
      </c>
      <c r="M37" s="201">
        <f t="shared" si="5"/>
        <v>0.9976848397228526</v>
      </c>
      <c r="N37" s="201">
        <f t="shared" si="5"/>
        <v>1</v>
      </c>
      <c r="O37" s="209">
        <f t="shared" si="5"/>
        <v>0.94</v>
      </c>
      <c r="P37" s="204">
        <f t="shared" si="6"/>
        <v>1.4612736856519973E-3</v>
      </c>
      <c r="Q37" s="204">
        <f t="shared" si="8"/>
        <v>2.2433402886337319E-3</v>
      </c>
      <c r="R37" s="204">
        <f t="shared" si="8"/>
        <v>0</v>
      </c>
      <c r="S37" s="204">
        <f t="shared" si="8"/>
        <v>5.9886498756880638E-2</v>
      </c>
      <c r="Y37" s="143"/>
      <c r="Z37" s="143"/>
      <c r="AA37" s="143"/>
      <c r="AB37" s="143"/>
    </row>
    <row r="38" spans="1:28" x14ac:dyDescent="0.25">
      <c r="A38" s="35">
        <f t="shared" si="7"/>
        <v>46</v>
      </c>
      <c r="B38" s="77">
        <v>1.5989404025518392E-3</v>
      </c>
      <c r="C38" s="77">
        <v>2.569046234486963E-3</v>
      </c>
      <c r="D38" s="77">
        <v>2.0227759565033143E-2</v>
      </c>
      <c r="E38" s="77">
        <v>2.085195114685745E-3</v>
      </c>
      <c r="F38" s="201">
        <f t="shared" si="2"/>
        <v>1.5989404025518392E-3</v>
      </c>
      <c r="G38" s="201">
        <f t="shared" si="2"/>
        <v>2.569046234486963E-3</v>
      </c>
      <c r="H38" s="202">
        <v>0</v>
      </c>
      <c r="I38" s="203">
        <v>0.06</v>
      </c>
      <c r="J38" s="204">
        <f t="shared" si="3"/>
        <v>0.93608595384789461</v>
      </c>
      <c r="K38" s="204">
        <f t="shared" si="4"/>
        <v>6.3914046152105386E-2</v>
      </c>
      <c r="L38" s="201">
        <f t="shared" si="5"/>
        <v>0.99840105959744818</v>
      </c>
      <c r="M38" s="201">
        <f t="shared" si="5"/>
        <v>0.99743095376551305</v>
      </c>
      <c r="N38" s="201">
        <f t="shared" si="5"/>
        <v>1</v>
      </c>
      <c r="O38" s="209">
        <f t="shared" si="5"/>
        <v>0.94</v>
      </c>
      <c r="P38" s="204">
        <f t="shared" si="6"/>
        <v>1.548518913305324E-3</v>
      </c>
      <c r="Q38" s="204">
        <f t="shared" si="8"/>
        <v>2.4892423443411168E-3</v>
      </c>
      <c r="R38" s="204">
        <f t="shared" si="8"/>
        <v>0</v>
      </c>
      <c r="S38" s="204">
        <f t="shared" si="8"/>
        <v>5.9876284894458925E-2</v>
      </c>
      <c r="Y38" s="143"/>
      <c r="Z38" s="143"/>
      <c r="AA38" s="143"/>
      <c r="AB38" s="143"/>
    </row>
    <row r="39" spans="1:28" x14ac:dyDescent="0.25">
      <c r="A39" s="35">
        <f t="shared" si="7"/>
        <v>47</v>
      </c>
      <c r="B39" s="77">
        <v>1.6975039008744377E-3</v>
      </c>
      <c r="C39" s="77">
        <v>2.8984936599574145E-3</v>
      </c>
      <c r="D39" s="77">
        <v>2.0301381266231502E-2</v>
      </c>
      <c r="E39" s="77">
        <v>2.2233659289757624E-3</v>
      </c>
      <c r="F39" s="201">
        <f t="shared" si="2"/>
        <v>1.6975039008744377E-3</v>
      </c>
      <c r="G39" s="201">
        <f t="shared" si="2"/>
        <v>2.8984936599574145E-3</v>
      </c>
      <c r="H39" s="202">
        <v>0</v>
      </c>
      <c r="I39" s="203">
        <v>0.06</v>
      </c>
      <c r="J39" s="204">
        <f t="shared" si="3"/>
        <v>0.93568438728485481</v>
      </c>
      <c r="K39" s="204">
        <f t="shared" si="4"/>
        <v>6.4315612715145187E-2</v>
      </c>
      <c r="L39" s="201">
        <f t="shared" si="5"/>
        <v>0.99830249609912558</v>
      </c>
      <c r="M39" s="201">
        <f t="shared" si="5"/>
        <v>0.99710150634004258</v>
      </c>
      <c r="N39" s="201">
        <f t="shared" si="5"/>
        <v>1</v>
      </c>
      <c r="O39" s="209">
        <f t="shared" si="5"/>
        <v>0.94</v>
      </c>
      <c r="P39" s="204">
        <f t="shared" si="6"/>
        <v>1.6437066296789739E-3</v>
      </c>
      <c r="Q39" s="204">
        <f t="shared" si="8"/>
        <v>2.8083237493130358E-3</v>
      </c>
      <c r="R39" s="204">
        <f t="shared" si="8"/>
        <v>0</v>
      </c>
      <c r="S39" s="204">
        <f t="shared" si="8"/>
        <v>5.9863582336153208E-2</v>
      </c>
      <c r="Y39" s="143"/>
      <c r="Z39" s="143"/>
      <c r="AA39" s="143"/>
      <c r="AB39" s="143"/>
    </row>
    <row r="40" spans="1:28" x14ac:dyDescent="0.25">
      <c r="A40" s="35">
        <f t="shared" si="7"/>
        <v>48</v>
      </c>
      <c r="B40" s="77">
        <v>1.80799514270136E-3</v>
      </c>
      <c r="C40" s="77">
        <v>3.3249075565693507E-3</v>
      </c>
      <c r="D40" s="77">
        <v>2.0372970602846832E-2</v>
      </c>
      <c r="E40" s="77">
        <v>2.3727484680298172E-3</v>
      </c>
      <c r="F40" s="201">
        <f t="shared" si="2"/>
        <v>1.80799514270136E-3</v>
      </c>
      <c r="G40" s="201">
        <f t="shared" si="2"/>
        <v>3.3249075565693507E-3</v>
      </c>
      <c r="H40" s="202">
        <v>0</v>
      </c>
      <c r="I40" s="203">
        <v>0.06</v>
      </c>
      <c r="J40" s="204">
        <f t="shared" si="3"/>
        <v>0.93518072219439496</v>
      </c>
      <c r="K40" s="204">
        <f t="shared" si="4"/>
        <v>6.4819277805605036E-2</v>
      </c>
      <c r="L40" s="201">
        <f t="shared" si="5"/>
        <v>0.99819200485729864</v>
      </c>
      <c r="M40" s="201">
        <f t="shared" si="5"/>
        <v>0.99667509244343067</v>
      </c>
      <c r="N40" s="201">
        <f t="shared" si="5"/>
        <v>1</v>
      </c>
      <c r="O40" s="209">
        <f t="shared" si="5"/>
        <v>0.94</v>
      </c>
      <c r="P40" s="204">
        <f t="shared" si="6"/>
        <v>1.7503270121176436E-3</v>
      </c>
      <c r="Q40" s="204">
        <f t="shared" si="8"/>
        <v>3.2213032461875482E-3</v>
      </c>
      <c r="R40" s="204">
        <f t="shared" si="8"/>
        <v>0</v>
      </c>
      <c r="S40" s="204">
        <f t="shared" si="8"/>
        <v>5.9847647547299841E-2</v>
      </c>
      <c r="Y40" s="143"/>
      <c r="Z40" s="143"/>
      <c r="AA40" s="143"/>
      <c r="AB40" s="143"/>
    </row>
    <row r="41" spans="1:28" x14ac:dyDescent="0.25">
      <c r="A41" s="35">
        <f t="shared" si="7"/>
        <v>49</v>
      </c>
      <c r="B41" s="77">
        <v>1.934860617419202E-3</v>
      </c>
      <c r="C41" s="77">
        <v>3.8730570617254772E-3</v>
      </c>
      <c r="D41" s="77">
        <v>2.0446271072556615E-2</v>
      </c>
      <c r="E41" s="77">
        <v>2.5541859695565883E-3</v>
      </c>
      <c r="F41" s="201">
        <f t="shared" si="2"/>
        <v>1.934860617419202E-3</v>
      </c>
      <c r="G41" s="201">
        <f t="shared" si="2"/>
        <v>3.8730570617254772E-3</v>
      </c>
      <c r="H41" s="202">
        <v>0</v>
      </c>
      <c r="I41" s="203">
        <v>0.06</v>
      </c>
      <c r="J41" s="204">
        <f t="shared" si="3"/>
        <v>0.93454760157764705</v>
      </c>
      <c r="K41" s="204">
        <f t="shared" si="4"/>
        <v>6.5452398422352953E-2</v>
      </c>
      <c r="L41" s="201">
        <f t="shared" si="5"/>
        <v>0.99806513938258079</v>
      </c>
      <c r="M41" s="201">
        <f t="shared" si="5"/>
        <v>0.99612694293827453</v>
      </c>
      <c r="N41" s="201">
        <f t="shared" si="5"/>
        <v>1</v>
      </c>
      <c r="O41" s="209">
        <f t="shared" si="5"/>
        <v>0.94</v>
      </c>
      <c r="P41" s="204">
        <f t="shared" si="6"/>
        <v>1.8726378784391943E-3</v>
      </c>
      <c r="Q41" s="204">
        <f t="shared" si="8"/>
        <v>3.7521475606976124E-3</v>
      </c>
      <c r="R41" s="204">
        <f t="shared" si="8"/>
        <v>0</v>
      </c>
      <c r="S41" s="204">
        <f t="shared" si="8"/>
        <v>5.9827612983216157E-2</v>
      </c>
      <c r="Y41" s="143"/>
      <c r="Z41" s="143"/>
      <c r="AA41" s="143"/>
      <c r="AB41" s="143"/>
    </row>
    <row r="42" spans="1:28" x14ac:dyDescent="0.25">
      <c r="A42" s="35">
        <f t="shared" si="7"/>
        <v>50</v>
      </c>
      <c r="B42" s="77">
        <v>2.0833773642258565E-3</v>
      </c>
      <c r="C42" s="77">
        <v>4.5712935507758465E-3</v>
      </c>
      <c r="D42" s="77">
        <v>2.0525026173038363E-2</v>
      </c>
      <c r="E42" s="77">
        <v>2.778440133945681E-3</v>
      </c>
      <c r="F42" s="201">
        <f t="shared" si="2"/>
        <v>2.0833773642258565E-3</v>
      </c>
      <c r="G42" s="201">
        <f t="shared" si="2"/>
        <v>4.5712935507758465E-3</v>
      </c>
      <c r="H42" s="202">
        <v>0</v>
      </c>
      <c r="I42" s="203">
        <v>0.06</v>
      </c>
      <c r="J42" s="204">
        <f t="shared" si="3"/>
        <v>0.93375356164563672</v>
      </c>
      <c r="K42" s="204">
        <f t="shared" si="4"/>
        <v>6.624643835436328E-2</v>
      </c>
      <c r="L42" s="201">
        <f t="shared" si="5"/>
        <v>0.99791662263577419</v>
      </c>
      <c r="M42" s="201">
        <f t="shared" si="5"/>
        <v>0.9954287064492241</v>
      </c>
      <c r="N42" s="201">
        <f t="shared" si="5"/>
        <v>1</v>
      </c>
      <c r="O42" s="209">
        <f t="shared" si="5"/>
        <v>0.94</v>
      </c>
      <c r="P42" s="204">
        <f t="shared" si="6"/>
        <v>2.0156813685437269E-3</v>
      </c>
      <c r="Q42" s="204">
        <f t="shared" si="8"/>
        <v>4.4282771907181214E-3</v>
      </c>
      <c r="R42" s="204">
        <f t="shared" si="8"/>
        <v>0</v>
      </c>
      <c r="S42" s="204">
        <f t="shared" si="8"/>
        <v>5.9802479795101435E-2</v>
      </c>
      <c r="Y42" s="143"/>
      <c r="Z42" s="143"/>
      <c r="AA42" s="143"/>
      <c r="AB42" s="143"/>
    </row>
    <row r="43" spans="1:28" x14ac:dyDescent="0.25">
      <c r="A43" s="35">
        <f t="shared" si="7"/>
        <v>51</v>
      </c>
      <c r="B43" s="77">
        <v>2.259667166976021E-3</v>
      </c>
      <c r="C43" s="77">
        <v>5.4517660633100181E-3</v>
      </c>
      <c r="D43" s="77">
        <v>2.0612979401969593E-2</v>
      </c>
      <c r="E43" s="77">
        <v>3.0148977533813737E-3</v>
      </c>
      <c r="F43" s="201">
        <f t="shared" si="2"/>
        <v>2.259667166976021E-3</v>
      </c>
      <c r="G43" s="201">
        <f t="shared" si="2"/>
        <v>5.4517660633100181E-3</v>
      </c>
      <c r="H43" s="202">
        <v>0</v>
      </c>
      <c r="I43" s="203">
        <v>0.06</v>
      </c>
      <c r="J43" s="204">
        <f t="shared" si="3"/>
        <v>0.93276283278969985</v>
      </c>
      <c r="K43" s="204">
        <f t="shared" si="4"/>
        <v>6.7237167210300153E-2</v>
      </c>
      <c r="L43" s="201">
        <f t="shared" si="5"/>
        <v>0.99774033283302399</v>
      </c>
      <c r="M43" s="201">
        <f t="shared" si="5"/>
        <v>0.99454823393669001</v>
      </c>
      <c r="N43" s="201">
        <f t="shared" si="5"/>
        <v>1</v>
      </c>
      <c r="O43" s="209">
        <f t="shared" si="5"/>
        <v>0.94</v>
      </c>
      <c r="P43" s="204">
        <f t="shared" si="6"/>
        <v>2.1852891029347952E-3</v>
      </c>
      <c r="Q43" s="204">
        <f t="shared" si="8"/>
        <v>5.2807672637010319E-3</v>
      </c>
      <c r="R43" s="204">
        <f t="shared" si="8"/>
        <v>0</v>
      </c>
      <c r="S43" s="204">
        <f t="shared" si="8"/>
        <v>5.9771110843664293E-2</v>
      </c>
      <c r="Y43" s="143"/>
      <c r="Z43" s="143"/>
      <c r="AA43" s="143"/>
      <c r="AB43" s="143"/>
    </row>
    <row r="44" spans="1:28" x14ac:dyDescent="0.25">
      <c r="A44" s="35">
        <f t="shared" si="7"/>
        <v>52</v>
      </c>
      <c r="B44" s="77">
        <v>2.4707006060251512E-3</v>
      </c>
      <c r="C44" s="77">
        <v>6.5506332051306054E-3</v>
      </c>
      <c r="D44" s="77">
        <v>2.0713874257027767E-2</v>
      </c>
      <c r="E44" s="77">
        <v>3.3264163338512232E-3</v>
      </c>
      <c r="F44" s="201">
        <f t="shared" si="2"/>
        <v>2.4707006060251512E-3</v>
      </c>
      <c r="G44" s="201">
        <f t="shared" si="2"/>
        <v>6.5506332051306054E-3</v>
      </c>
      <c r="H44" s="202">
        <v>0</v>
      </c>
      <c r="I44" s="203">
        <v>0.06</v>
      </c>
      <c r="J44" s="204">
        <f t="shared" si="3"/>
        <v>0.93153515979173751</v>
      </c>
      <c r="K44" s="204">
        <f t="shared" si="4"/>
        <v>6.846484020826249E-2</v>
      </c>
      <c r="L44" s="201">
        <f t="shared" si="5"/>
        <v>0.99752929939397483</v>
      </c>
      <c r="M44" s="201">
        <f t="shared" si="5"/>
        <v>0.99344936679486939</v>
      </c>
      <c r="N44" s="201">
        <f t="shared" si="5"/>
        <v>1</v>
      </c>
      <c r="O44" s="209">
        <f t="shared" si="5"/>
        <v>0.94</v>
      </c>
      <c r="P44" s="204">
        <f t="shared" si="6"/>
        <v>2.3880742216163637E-3</v>
      </c>
      <c r="Q44" s="204">
        <f t="shared" si="8"/>
        <v>6.3445419304133032E-3</v>
      </c>
      <c r="R44" s="204">
        <f t="shared" si="8"/>
        <v>0</v>
      </c>
      <c r="S44" s="204">
        <f t="shared" si="8"/>
        <v>5.9732224056232831E-2</v>
      </c>
      <c r="Y44" s="143"/>
      <c r="Z44" s="143"/>
      <c r="AA44" s="143"/>
      <c r="AB44" s="143"/>
    </row>
    <row r="45" spans="1:28" x14ac:dyDescent="0.25">
      <c r="A45" s="35">
        <f t="shared" si="7"/>
        <v>53</v>
      </c>
      <c r="B45" s="77">
        <v>2.7242899636893496E-3</v>
      </c>
      <c r="C45" s="77">
        <v>7.908270522525929E-3</v>
      </c>
      <c r="D45" s="77">
        <v>2.0831454235890404E-2</v>
      </c>
      <c r="E45" s="77">
        <v>3.6827788240217929E-3</v>
      </c>
      <c r="F45" s="201">
        <f t="shared" si="2"/>
        <v>2.7242899636893496E-3</v>
      </c>
      <c r="G45" s="201">
        <f t="shared" si="2"/>
        <v>7.908270522525929E-3</v>
      </c>
      <c r="H45" s="202">
        <v>0</v>
      </c>
      <c r="I45" s="203">
        <v>0.06</v>
      </c>
      <c r="J45" s="204">
        <f t="shared" si="3"/>
        <v>0.93002564489965134</v>
      </c>
      <c r="K45" s="204">
        <f t="shared" si="4"/>
        <v>6.9974355100348662E-2</v>
      </c>
      <c r="L45" s="201">
        <f t="shared" si="5"/>
        <v>0.99727571003631066</v>
      </c>
      <c r="M45" s="201">
        <f t="shared" si="5"/>
        <v>0.99209172947747404</v>
      </c>
      <c r="N45" s="201">
        <f t="shared" si="5"/>
        <v>1</v>
      </c>
      <c r="O45" s="209">
        <f t="shared" si="5"/>
        <v>0.94</v>
      </c>
      <c r="P45" s="204">
        <f t="shared" si="6"/>
        <v>2.6314084270699766E-3</v>
      </c>
      <c r="Q45" s="204">
        <f t="shared" si="8"/>
        <v>7.6585605056273091E-3</v>
      </c>
      <c r="R45" s="204">
        <f t="shared" si="8"/>
        <v>0</v>
      </c>
      <c r="S45" s="204">
        <f t="shared" si="8"/>
        <v>5.9684386167651371E-2</v>
      </c>
      <c r="Y45" s="143"/>
      <c r="Z45" s="143"/>
      <c r="AA45" s="143"/>
      <c r="AB45" s="143"/>
    </row>
    <row r="46" spans="1:28" x14ac:dyDescent="0.25">
      <c r="A46" s="35">
        <f t="shared" si="7"/>
        <v>54</v>
      </c>
      <c r="B46" s="77">
        <v>3.0290698160154142E-3</v>
      </c>
      <c r="C46" s="77">
        <v>9.5694721815366562E-3</v>
      </c>
      <c r="D46" s="77">
        <v>2.0969462836235013E-2</v>
      </c>
      <c r="E46" s="77">
        <v>4.1164363422522277E-3</v>
      </c>
      <c r="F46" s="201">
        <f t="shared" si="2"/>
        <v>3.0290698160154142E-3</v>
      </c>
      <c r="G46" s="201">
        <f t="shared" si="2"/>
        <v>9.5694721815366562E-3</v>
      </c>
      <c r="H46" s="202">
        <v>0</v>
      </c>
      <c r="I46" s="203">
        <v>0.06</v>
      </c>
      <c r="J46" s="204">
        <f t="shared" si="3"/>
        <v>0.92818461792568085</v>
      </c>
      <c r="K46" s="204">
        <f t="shared" si="4"/>
        <v>7.1815382074319145E-2</v>
      </c>
      <c r="L46" s="201">
        <f t="shared" si="5"/>
        <v>0.99697093018398464</v>
      </c>
      <c r="M46" s="201">
        <f t="shared" si="5"/>
        <v>0.9904305278184633</v>
      </c>
      <c r="N46" s="201">
        <f t="shared" si="5"/>
        <v>1</v>
      </c>
      <c r="O46" s="209">
        <f t="shared" si="5"/>
        <v>0.94</v>
      </c>
      <c r="P46" s="204">
        <f t="shared" si="6"/>
        <v>2.923381871723705E-3</v>
      </c>
      <c r="Q46" s="204">
        <f t="shared" si="8"/>
        <v>9.265993314001018E-3</v>
      </c>
      <c r="R46" s="204">
        <f t="shared" si="8"/>
        <v>0</v>
      </c>
      <c r="S46" s="204">
        <f t="shared" si="8"/>
        <v>5.9626006888594388E-2</v>
      </c>
      <c r="Y46" s="143"/>
      <c r="Z46" s="143"/>
      <c r="AA46" s="143"/>
      <c r="AB46" s="143"/>
    </row>
    <row r="47" spans="1:28" x14ac:dyDescent="0.25">
      <c r="A47" s="35">
        <f t="shared" si="7"/>
        <v>55</v>
      </c>
      <c r="B47" s="77">
        <v>3.3944639744681992E-3</v>
      </c>
      <c r="C47" s="77">
        <v>1.1583645615822676E-2</v>
      </c>
      <c r="D47" s="77">
        <v>2.1131643555739085E-2</v>
      </c>
      <c r="E47" s="77">
        <v>4.629043823020762E-3</v>
      </c>
      <c r="F47" s="201">
        <f t="shared" si="2"/>
        <v>3.3944639744681992E-3</v>
      </c>
      <c r="G47" s="201">
        <f t="shared" si="2"/>
        <v>1.1583645615822676E-2</v>
      </c>
      <c r="H47" s="202">
        <v>0.05</v>
      </c>
      <c r="I47" s="203">
        <v>0.04</v>
      </c>
      <c r="J47" s="204">
        <f t="shared" si="3"/>
        <v>0.89837582413782979</v>
      </c>
      <c r="K47" s="204">
        <f t="shared" si="4"/>
        <v>0.10162417586217021</v>
      </c>
      <c r="L47" s="201">
        <f t="shared" si="5"/>
        <v>0.99660553602553181</v>
      </c>
      <c r="M47" s="201">
        <f t="shared" si="5"/>
        <v>0.9884163543841773</v>
      </c>
      <c r="N47" s="201">
        <f t="shared" si="5"/>
        <v>0.95</v>
      </c>
      <c r="O47" s="209">
        <f t="shared" si="5"/>
        <v>0.96</v>
      </c>
      <c r="P47" s="204">
        <f t="shared" si="6"/>
        <v>3.2243796993811492E-3</v>
      </c>
      <c r="Q47" s="204">
        <f t="shared" si="8"/>
        <v>1.1048661693687423E-2</v>
      </c>
      <c r="R47" s="204">
        <f t="shared" si="8"/>
        <v>4.8640432099111314E-2</v>
      </c>
      <c r="S47" s="204">
        <f t="shared" si="8"/>
        <v>3.8710702369990323E-2</v>
      </c>
      <c r="Y47" s="143"/>
      <c r="Z47" s="143"/>
      <c r="AA47" s="143"/>
      <c r="AB47" s="143"/>
    </row>
    <row r="48" spans="1:28" x14ac:dyDescent="0.25">
      <c r="A48" s="35">
        <f t="shared" si="7"/>
        <v>56</v>
      </c>
      <c r="B48" s="77">
        <v>3.8306372696779744E-3</v>
      </c>
      <c r="C48" s="77">
        <v>1.4004997635273303E-2</v>
      </c>
      <c r="D48" s="77">
        <v>2.1321739892080124E-2</v>
      </c>
      <c r="E48" s="77">
        <v>5.2438107143235602E-3</v>
      </c>
      <c r="F48" s="201">
        <f t="shared" si="2"/>
        <v>3.8306372696779744E-3</v>
      </c>
      <c r="G48" s="201">
        <f t="shared" si="2"/>
        <v>1.4004997635273303E-2</v>
      </c>
      <c r="H48" s="202">
        <v>7.0000000000000007E-2</v>
      </c>
      <c r="I48" s="203">
        <v>0.04</v>
      </c>
      <c r="J48" s="204">
        <f t="shared" si="3"/>
        <v>0.87692424215009801</v>
      </c>
      <c r="K48" s="204">
        <f t="shared" si="4"/>
        <v>0.12307575784990199</v>
      </c>
      <c r="L48" s="201">
        <f t="shared" si="5"/>
        <v>0.99616936273032197</v>
      </c>
      <c r="M48" s="201">
        <f t="shared" si="5"/>
        <v>0.9859950023647267</v>
      </c>
      <c r="N48" s="201">
        <f t="shared" si="5"/>
        <v>0.92999999999999994</v>
      </c>
      <c r="O48" s="209">
        <f t="shared" si="5"/>
        <v>0.96</v>
      </c>
      <c r="P48" s="204">
        <f t="shared" si="6"/>
        <v>3.5966426782129304E-3</v>
      </c>
      <c r="Q48" s="204">
        <f t="shared" si="8"/>
        <v>1.3217070421401751E-2</v>
      </c>
      <c r="R48" s="204">
        <f t="shared" si="8"/>
        <v>6.8007121000898008E-2</v>
      </c>
      <c r="S48" s="204">
        <f t="shared" si="8"/>
        <v>3.8254923749389366E-2</v>
      </c>
      <c r="Y48" s="143"/>
      <c r="Z48" s="143"/>
      <c r="AA48" s="143"/>
      <c r="AB48" s="143"/>
    </row>
    <row r="49" spans="1:28" x14ac:dyDescent="0.25">
      <c r="A49" s="35">
        <f t="shared" si="7"/>
        <v>57</v>
      </c>
      <c r="B49" s="77">
        <v>4.3484304986697924E-3</v>
      </c>
      <c r="C49" s="77">
        <v>1.6892710316783147E-2</v>
      </c>
      <c r="D49" s="77">
        <v>2.1543495342935641E-2</v>
      </c>
      <c r="E49" s="77">
        <v>5.9743136461417601E-3</v>
      </c>
      <c r="F49" s="201">
        <f t="shared" si="2"/>
        <v>4.3484304986697924E-3</v>
      </c>
      <c r="G49" s="201">
        <f t="shared" si="2"/>
        <v>1.6892710316783147E-2</v>
      </c>
      <c r="H49" s="202">
        <v>0.09</v>
      </c>
      <c r="I49" s="203">
        <v>0.04</v>
      </c>
      <c r="J49" s="204">
        <f t="shared" si="3"/>
        <v>0.85510791122378627</v>
      </c>
      <c r="K49" s="204">
        <f t="shared" si="4"/>
        <v>0.14489208877621373</v>
      </c>
      <c r="L49" s="201">
        <f t="shared" si="5"/>
        <v>0.99565156950133016</v>
      </c>
      <c r="M49" s="201">
        <f t="shared" si="5"/>
        <v>0.98310728968321681</v>
      </c>
      <c r="N49" s="201">
        <f t="shared" si="5"/>
        <v>0.91</v>
      </c>
      <c r="O49" s="209">
        <f t="shared" si="5"/>
        <v>0.96</v>
      </c>
      <c r="P49" s="204">
        <f t="shared" si="6"/>
        <v>4.0339659514021711E-3</v>
      </c>
      <c r="Q49" s="204">
        <f t="shared" si="8"/>
        <v>1.5770568683948959E-2</v>
      </c>
      <c r="R49" s="204">
        <f t="shared" si="8"/>
        <v>8.7300072410043519E-2</v>
      </c>
      <c r="S49" s="204">
        <f t="shared" si="8"/>
        <v>3.7787481730819202E-2</v>
      </c>
      <c r="Y49" s="143"/>
      <c r="Z49" s="143"/>
      <c r="AA49" s="143"/>
      <c r="AB49" s="143"/>
    </row>
    <row r="50" spans="1:28" x14ac:dyDescent="0.25">
      <c r="A50" s="35">
        <f t="shared" si="7"/>
        <v>58</v>
      </c>
      <c r="B50" s="77">
        <v>4.9592766904909043E-3</v>
      </c>
      <c r="C50" s="77">
        <v>2.0311104832108694E-2</v>
      </c>
      <c r="D50" s="77">
        <v>2.1800653405983125E-2</v>
      </c>
      <c r="E50" s="77">
        <v>6.8244394210476012E-3</v>
      </c>
      <c r="F50" s="201">
        <f t="shared" si="2"/>
        <v>4.9592766904909043E-3</v>
      </c>
      <c r="G50" s="201">
        <f t="shared" si="2"/>
        <v>2.0311104832108694E-2</v>
      </c>
      <c r="H50" s="202">
        <v>0.12</v>
      </c>
      <c r="I50" s="203">
        <v>0.04</v>
      </c>
      <c r="J50" s="204">
        <f t="shared" si="3"/>
        <v>0.82353667703252553</v>
      </c>
      <c r="K50" s="204">
        <f t="shared" si="4"/>
        <v>0.17646332296747447</v>
      </c>
      <c r="L50" s="201">
        <f t="shared" si="5"/>
        <v>0.9950407233095091</v>
      </c>
      <c r="M50" s="201">
        <f t="shared" si="5"/>
        <v>0.97968889516789126</v>
      </c>
      <c r="N50" s="201">
        <f t="shared" si="5"/>
        <v>0.88</v>
      </c>
      <c r="O50" s="209">
        <f t="shared" si="5"/>
        <v>0.96</v>
      </c>
      <c r="P50" s="204">
        <f t="shared" si="6"/>
        <v>4.5187758929502685E-3</v>
      </c>
      <c r="Q50" s="204">
        <f t="shared" si="8"/>
        <v>1.8651131069739091E-2</v>
      </c>
      <c r="R50" s="204">
        <f t="shared" si="8"/>
        <v>0.11618968704889633</v>
      </c>
      <c r="S50" s="204">
        <f t="shared" si="8"/>
        <v>3.7103728955888822E-2</v>
      </c>
      <c r="Y50" s="143"/>
      <c r="Z50" s="143"/>
      <c r="AA50" s="143"/>
      <c r="AB50" s="143"/>
    </row>
    <row r="51" spans="1:28" x14ac:dyDescent="0.25">
      <c r="A51" s="35">
        <f t="shared" si="7"/>
        <v>59</v>
      </c>
      <c r="B51" s="77">
        <v>5.6750966866694254E-3</v>
      </c>
      <c r="C51" s="77">
        <v>2.4329791209240711E-2</v>
      </c>
      <c r="D51" s="77">
        <v>2.2096957578900074E-2</v>
      </c>
      <c r="E51" s="77">
        <v>7.8098032447359023E-3</v>
      </c>
      <c r="F51" s="201">
        <f t="shared" si="2"/>
        <v>5.6750966866694254E-3</v>
      </c>
      <c r="G51" s="201">
        <f t="shared" si="2"/>
        <v>2.4329791209240711E-2</v>
      </c>
      <c r="H51" s="202">
        <v>0.16</v>
      </c>
      <c r="I51" s="203">
        <v>0.04</v>
      </c>
      <c r="J51" s="204">
        <f t="shared" si="3"/>
        <v>0.78231540120779297</v>
      </c>
      <c r="K51" s="204">
        <f t="shared" si="4"/>
        <v>0.21768459879220703</v>
      </c>
      <c r="L51" s="201">
        <f t="shared" si="5"/>
        <v>0.99432490331333057</v>
      </c>
      <c r="M51" s="201">
        <f t="shared" si="5"/>
        <v>0.97567020879075927</v>
      </c>
      <c r="N51" s="201">
        <f t="shared" si="5"/>
        <v>0.84</v>
      </c>
      <c r="O51" s="209">
        <f t="shared" si="5"/>
        <v>0.96</v>
      </c>
      <c r="P51" s="204">
        <f t="shared" si="6"/>
        <v>5.0464911492511724E-3</v>
      </c>
      <c r="Q51" s="204">
        <f t="shared" si="8"/>
        <v>2.1840213379793603E-2</v>
      </c>
      <c r="R51" s="204">
        <f t="shared" si="8"/>
        <v>0.15460067442408273</v>
      </c>
      <c r="S51" s="204">
        <f t="shared" si="8"/>
        <v>3.6197219839079496E-2</v>
      </c>
      <c r="Y51" s="143"/>
      <c r="Z51" s="143"/>
      <c r="AA51" s="143"/>
      <c r="AB51" s="143"/>
    </row>
    <row r="52" spans="1:28" x14ac:dyDescent="0.25">
      <c r="A52" s="35">
        <f t="shared" si="7"/>
        <v>60</v>
      </c>
      <c r="B52" s="77">
        <v>6.3072000000000007E-3</v>
      </c>
      <c r="C52" s="77">
        <v>2.8907200000000001E-2</v>
      </c>
      <c r="D52" s="77">
        <v>2.2436151359363991E-2</v>
      </c>
      <c r="E52" s="77">
        <v>8.7736464448793239E-3</v>
      </c>
      <c r="F52" s="201">
        <f t="shared" si="2"/>
        <v>6.3072000000000007E-3</v>
      </c>
      <c r="G52" s="201">
        <f t="shared" si="2"/>
        <v>2.8907200000000001E-2</v>
      </c>
      <c r="H52" s="202">
        <v>0.19</v>
      </c>
      <c r="I52" s="203">
        <v>0.03</v>
      </c>
      <c r="J52" s="204">
        <f t="shared" si="3"/>
        <v>0.75817529748753865</v>
      </c>
      <c r="K52" s="204">
        <f t="shared" si="4"/>
        <v>0.24182470251246135</v>
      </c>
      <c r="L52" s="201">
        <f t="shared" si="5"/>
        <v>0.99369280000000004</v>
      </c>
      <c r="M52" s="201">
        <f t="shared" si="5"/>
        <v>0.97109279999999998</v>
      </c>
      <c r="N52" s="201">
        <f t="shared" si="5"/>
        <v>0.81</v>
      </c>
      <c r="O52" s="209">
        <f t="shared" si="5"/>
        <v>0.97</v>
      </c>
      <c r="P52" s="204">
        <f t="shared" si="6"/>
        <v>5.5268871583500868E-3</v>
      </c>
      <c r="Q52" s="204">
        <f t="shared" si="8"/>
        <v>2.5623053371152806E-2</v>
      </c>
      <c r="R52" s="204">
        <f t="shared" si="8"/>
        <v>0.18406816138023552</v>
      </c>
      <c r="S52" s="204">
        <f t="shared" si="8"/>
        <v>2.6606600602722821E-2</v>
      </c>
      <c r="Y52" s="143"/>
      <c r="Z52" s="143"/>
      <c r="AA52" s="143"/>
      <c r="AB52" s="143"/>
    </row>
    <row r="53" spans="1:28" x14ac:dyDescent="0.25">
      <c r="A53" s="35">
        <f t="shared" si="7"/>
        <v>61</v>
      </c>
      <c r="B53" s="77">
        <v>7.0775999999999999E-3</v>
      </c>
      <c r="C53" s="77">
        <v>3.3877600000000001E-2</v>
      </c>
      <c r="D53" s="77">
        <v>2.2821978245052381E-2</v>
      </c>
      <c r="E53" s="77">
        <v>9.904247968148483E-3</v>
      </c>
      <c r="F53" s="201">
        <f t="shared" si="2"/>
        <v>7.0775999999999999E-3</v>
      </c>
      <c r="G53" s="201">
        <f t="shared" si="2"/>
        <v>3.3877600000000001E-2</v>
      </c>
      <c r="H53" s="202">
        <v>0.21</v>
      </c>
      <c r="I53" s="203">
        <v>0.02</v>
      </c>
      <c r="J53" s="204">
        <f t="shared" si="3"/>
        <v>0.74267811572118259</v>
      </c>
      <c r="K53" s="204">
        <f t="shared" si="4"/>
        <v>0.25732188427881741</v>
      </c>
      <c r="L53" s="201">
        <f t="shared" si="5"/>
        <v>0.99292239999999998</v>
      </c>
      <c r="M53" s="201">
        <f t="shared" si="5"/>
        <v>0.96612240000000005</v>
      </c>
      <c r="N53" s="201">
        <f t="shared" si="5"/>
        <v>0.79</v>
      </c>
      <c r="O53" s="209">
        <f t="shared" si="5"/>
        <v>0.98</v>
      </c>
      <c r="P53" s="204">
        <f t="shared" si="6"/>
        <v>6.1436727572553784E-3</v>
      </c>
      <c r="Q53" s="204">
        <f t="shared" si="8"/>
        <v>2.9810941604160635E-2</v>
      </c>
      <c r="R53" s="204">
        <f t="shared" si="8"/>
        <v>0.20389255095607781</v>
      </c>
      <c r="S53" s="204">
        <f t="shared" si="8"/>
        <v>1.7474718961323511E-2</v>
      </c>
      <c r="Y53" s="143"/>
      <c r="Z53" s="143"/>
      <c r="AA53" s="143"/>
      <c r="AB53" s="143"/>
    </row>
    <row r="54" spans="1:28" x14ac:dyDescent="0.25">
      <c r="A54" s="35">
        <f t="shared" si="7"/>
        <v>62</v>
      </c>
      <c r="B54" s="77">
        <v>7.8460000000000005E-3</v>
      </c>
      <c r="C54" s="77">
        <v>3.8345999999999998E-2</v>
      </c>
      <c r="D54" s="77">
        <v>2.3258181733642747E-2</v>
      </c>
      <c r="E54" s="77">
        <v>1.1066799601196387E-2</v>
      </c>
      <c r="F54" s="201">
        <f t="shared" si="2"/>
        <v>7.8460000000000005E-3</v>
      </c>
      <c r="G54" s="201">
        <f t="shared" si="2"/>
        <v>3.8345999999999998E-2</v>
      </c>
      <c r="H54" s="202">
        <v>0.34</v>
      </c>
      <c r="I54" s="203">
        <v>0.01</v>
      </c>
      <c r="J54" s="204">
        <f t="shared" si="3"/>
        <v>0.62341473089863442</v>
      </c>
      <c r="K54" s="204">
        <f t="shared" si="4"/>
        <v>0.37658526910136558</v>
      </c>
      <c r="L54" s="201">
        <f t="shared" si="5"/>
        <v>0.99215399999999998</v>
      </c>
      <c r="M54" s="201">
        <f t="shared" si="5"/>
        <v>0.96165400000000001</v>
      </c>
      <c r="N54" s="201">
        <f t="shared" si="5"/>
        <v>0.65999999999999992</v>
      </c>
      <c r="O54" s="209">
        <f t="shared" si="5"/>
        <v>0.99</v>
      </c>
      <c r="P54" s="204">
        <f t="shared" si="6"/>
        <v>6.2773937635649899E-3</v>
      </c>
      <c r="Q54" s="204">
        <f t="shared" si="8"/>
        <v>3.1160521396948936E-2</v>
      </c>
      <c r="R54" s="204">
        <f t="shared" si="8"/>
        <v>0.33113791104717666</v>
      </c>
      <c r="S54" s="204">
        <f t="shared" si="8"/>
        <v>8.0094428936750856E-3</v>
      </c>
      <c r="Y54" s="143"/>
      <c r="Z54" s="143"/>
      <c r="AA54" s="143"/>
      <c r="AB54" s="143"/>
    </row>
    <row r="55" spans="1:28" x14ac:dyDescent="0.25">
      <c r="A55" s="35">
        <f t="shared" si="7"/>
        <v>63</v>
      </c>
      <c r="B55" s="77">
        <v>8.6108000000000001E-3</v>
      </c>
      <c r="C55" s="77">
        <v>4.2810799999999996E-2</v>
      </c>
      <c r="D55" s="77">
        <v>2.3748505322812599E-2</v>
      </c>
      <c r="E55" s="77">
        <v>1.2254819594269106E-2</v>
      </c>
      <c r="F55" s="201">
        <f t="shared" si="2"/>
        <v>8.6108000000000001E-3</v>
      </c>
      <c r="G55" s="201">
        <f t="shared" si="2"/>
        <v>4.2810799999999996E-2</v>
      </c>
      <c r="H55" s="202">
        <v>0.45</v>
      </c>
      <c r="I55" s="203">
        <v>5.0000000000000001E-3</v>
      </c>
      <c r="J55" s="204">
        <f t="shared" si="3"/>
        <v>0.51931126503325131</v>
      </c>
      <c r="K55" s="204">
        <f t="shared" si="4"/>
        <v>0.48068873496674869</v>
      </c>
      <c r="L55" s="201">
        <f t="shared" si="5"/>
        <v>0.99138919999999997</v>
      </c>
      <c r="M55" s="201">
        <f t="shared" si="5"/>
        <v>0.95718919999999996</v>
      </c>
      <c r="N55" s="201">
        <f t="shared" si="5"/>
        <v>0.55000000000000004</v>
      </c>
      <c r="O55" s="209">
        <f t="shared" si="5"/>
        <v>0.995</v>
      </c>
      <c r="P55" s="204">
        <f t="shared" si="6"/>
        <v>6.3441837800945512E-3</v>
      </c>
      <c r="Q55" s="204">
        <f t="shared" si="8"/>
        <v>3.2097817585883856E-2</v>
      </c>
      <c r="R55" s="204">
        <f t="shared" si="8"/>
        <v>0.43856956360738253</v>
      </c>
      <c r="S55" s="204">
        <f t="shared" si="8"/>
        <v>3.6771699933878742E-3</v>
      </c>
      <c r="Y55" s="143"/>
      <c r="Z55" s="143"/>
      <c r="AA55" s="143"/>
      <c r="AB55" s="143"/>
    </row>
    <row r="56" spans="1:28" ht="16.5" thickBot="1" x14ac:dyDescent="0.3">
      <c r="A56" s="36">
        <f t="shared" si="7"/>
        <v>64</v>
      </c>
      <c r="B56" s="79">
        <v>9.4672000000000003E-3</v>
      </c>
      <c r="C56" s="79">
        <v>4.7767200000000003E-2</v>
      </c>
      <c r="D56" s="79">
        <v>2.4296692510239415E-2</v>
      </c>
      <c r="E56" s="79">
        <v>1.3540946051691538E-2</v>
      </c>
      <c r="F56" s="205">
        <f t="shared" si="2"/>
        <v>9.4672000000000003E-3</v>
      </c>
      <c r="G56" s="205">
        <f t="shared" si="2"/>
        <v>4.7767200000000003E-2</v>
      </c>
      <c r="H56" s="206">
        <v>1</v>
      </c>
      <c r="I56" s="207">
        <v>0</v>
      </c>
      <c r="J56" s="204">
        <f t="shared" si="3"/>
        <v>0</v>
      </c>
      <c r="K56" s="204">
        <f t="shared" si="4"/>
        <v>1</v>
      </c>
      <c r="L56" s="201">
        <f t="shared" si="5"/>
        <v>0.99053279999999999</v>
      </c>
      <c r="M56" s="201">
        <f t="shared" si="5"/>
        <v>0.95223279999999999</v>
      </c>
      <c r="N56" s="201">
        <f t="shared" si="5"/>
        <v>0</v>
      </c>
      <c r="O56" s="209">
        <f t="shared" si="5"/>
        <v>1</v>
      </c>
      <c r="P56" s="204">
        <f>F56*(1-(G56+H56+I56)/2 + (G56*I56+H56*I56+G56*H56)/3 - (G56*H56*I56)/4)</f>
        <v>4.6582297273600002E-3</v>
      </c>
      <c r="Q56" s="204">
        <f>G56*(1-(F56+H56+I56)/3+(F56*H56+F56*I56+H56*I56)/3-(F56*H56*I56)/4)</f>
        <v>3.1844799999999999E-2</v>
      </c>
      <c r="R56" s="204">
        <f>H56*(1-(F56+G56+I56)/2+(F56*G56+F56*I56+G56*I56)/3-(F56*G56*I56)/4)</f>
        <v>0.97153354054527996</v>
      </c>
      <c r="S56" s="204">
        <f>I56*(1-(F56+G56+H56)/2+(F56*G56+F56*H56+G56*H56)/3 - (F56*G56*H56)/4)</f>
        <v>0</v>
      </c>
      <c r="Y56" s="143"/>
      <c r="Z56" s="143"/>
      <c r="AA56" s="143"/>
      <c r="AB56" s="143"/>
    </row>
    <row r="57" spans="1:28" x14ac:dyDescent="0.25">
      <c r="A57" s="35">
        <f t="shared" si="7"/>
        <v>65</v>
      </c>
      <c r="B57" s="77"/>
      <c r="C57" s="77"/>
      <c r="D57" s="77"/>
      <c r="E57" s="77">
        <v>1.4800000000000001E-2</v>
      </c>
      <c r="J57" s="211"/>
      <c r="K57" s="211"/>
      <c r="L57" s="212"/>
      <c r="M57" s="212"/>
      <c r="N57" s="212"/>
      <c r="O57" s="212"/>
      <c r="P57" s="211"/>
      <c r="Q57" s="211"/>
      <c r="R57" s="211"/>
      <c r="S57" s="211"/>
      <c r="Y57" s="143"/>
      <c r="Z57" s="143"/>
      <c r="AA57" s="143"/>
      <c r="AB57" s="143"/>
    </row>
    <row r="58" spans="1:28" x14ac:dyDescent="0.25">
      <c r="A58" s="35">
        <f t="shared" si="7"/>
        <v>66</v>
      </c>
      <c r="B58" s="77"/>
      <c r="C58" s="77"/>
      <c r="D58" s="77"/>
      <c r="E58" s="77">
        <v>1.6199999999999999E-2</v>
      </c>
      <c r="J58" s="210"/>
      <c r="K58" s="210"/>
      <c r="L58" s="213"/>
      <c r="M58" s="213"/>
      <c r="N58" s="213"/>
      <c r="O58" s="213"/>
      <c r="P58" s="210"/>
      <c r="Q58" s="210"/>
      <c r="R58" s="210"/>
      <c r="S58" s="210"/>
      <c r="Y58" s="143"/>
      <c r="Z58" s="143"/>
      <c r="AA58" s="143"/>
      <c r="AB58" s="143"/>
    </row>
    <row r="59" spans="1:28" x14ac:dyDescent="0.25">
      <c r="A59" s="35">
        <f t="shared" si="7"/>
        <v>67</v>
      </c>
      <c r="B59" s="77"/>
      <c r="C59" s="77"/>
      <c r="D59" s="77"/>
      <c r="E59" s="77">
        <v>1.7999999999999999E-2</v>
      </c>
      <c r="J59" s="210"/>
      <c r="K59" s="210"/>
      <c r="L59" s="213"/>
      <c r="M59" s="213"/>
      <c r="N59" s="213"/>
      <c r="O59" s="213"/>
      <c r="P59" s="210"/>
      <c r="Q59" s="210"/>
      <c r="R59" s="210"/>
      <c r="S59" s="210"/>
      <c r="Y59" s="143"/>
      <c r="Z59" s="143"/>
      <c r="AA59" s="143"/>
      <c r="AB59" s="143"/>
    </row>
    <row r="60" spans="1:28" x14ac:dyDescent="0.25">
      <c r="A60" s="35">
        <f t="shared" si="7"/>
        <v>68</v>
      </c>
      <c r="B60" s="77"/>
      <c r="C60" s="77"/>
      <c r="D60" s="77"/>
      <c r="E60" s="77">
        <v>1.9599999999999999E-2</v>
      </c>
      <c r="J60" s="210"/>
      <c r="K60" s="210"/>
      <c r="L60" s="213"/>
      <c r="M60" s="213"/>
      <c r="N60" s="213"/>
      <c r="O60" s="213"/>
      <c r="P60" s="210"/>
      <c r="Q60" s="210"/>
      <c r="R60" s="210"/>
      <c r="S60" s="210"/>
      <c r="Y60" s="143"/>
      <c r="Z60" s="143"/>
      <c r="AA60" s="143"/>
      <c r="AB60" s="143"/>
    </row>
    <row r="61" spans="1:28" x14ac:dyDescent="0.25">
      <c r="A61" s="35">
        <f t="shared" si="7"/>
        <v>69</v>
      </c>
      <c r="B61" s="77"/>
      <c r="C61" s="77"/>
      <c r="D61" s="77"/>
      <c r="E61" s="77">
        <v>2.1299999999999999E-2</v>
      </c>
      <c r="J61" s="210"/>
      <c r="K61" s="210"/>
      <c r="L61" s="213"/>
      <c r="M61" s="213"/>
      <c r="N61" s="213"/>
      <c r="O61" s="213"/>
      <c r="P61" s="210"/>
      <c r="Q61" s="210"/>
      <c r="R61" s="210"/>
      <c r="S61" s="210"/>
      <c r="Y61" s="143"/>
      <c r="Z61" s="143"/>
      <c r="AA61" s="143"/>
      <c r="AB61" s="143"/>
    </row>
    <row r="62" spans="1:28" x14ac:dyDescent="0.25">
      <c r="A62" s="35">
        <f t="shared" si="7"/>
        <v>70</v>
      </c>
      <c r="B62" s="77"/>
      <c r="C62" s="77"/>
      <c r="D62" s="77"/>
      <c r="E62" s="77">
        <v>2.3400000000000001E-2</v>
      </c>
      <c r="J62" s="210"/>
      <c r="K62" s="210"/>
      <c r="L62" s="213"/>
      <c r="M62" s="213"/>
      <c r="N62" s="213"/>
      <c r="O62" s="213"/>
      <c r="P62" s="210"/>
      <c r="Q62" s="210"/>
      <c r="R62" s="210"/>
      <c r="S62" s="210"/>
      <c r="Y62" s="143"/>
      <c r="Z62" s="143"/>
      <c r="AA62" s="143"/>
      <c r="AB62" s="143"/>
    </row>
    <row r="63" spans="1:28" x14ac:dyDescent="0.25">
      <c r="A63" s="35">
        <f t="shared" si="7"/>
        <v>71</v>
      </c>
      <c r="B63" s="77"/>
      <c r="C63" s="77"/>
      <c r="D63" s="77"/>
      <c r="E63" s="77">
        <v>2.58E-2</v>
      </c>
      <c r="J63" s="210"/>
      <c r="K63" s="210"/>
      <c r="L63" s="213"/>
      <c r="M63" s="213"/>
      <c r="N63" s="213"/>
      <c r="O63" s="213"/>
      <c r="P63" s="210"/>
      <c r="Q63" s="210"/>
      <c r="R63" s="210"/>
      <c r="S63" s="210"/>
      <c r="Y63" s="143"/>
      <c r="Z63" s="143"/>
      <c r="AA63" s="143"/>
      <c r="AB63" s="143"/>
    </row>
    <row r="64" spans="1:28" x14ac:dyDescent="0.25">
      <c r="A64" s="35">
        <f t="shared" si="7"/>
        <v>72</v>
      </c>
      <c r="B64" s="77"/>
      <c r="C64" s="77"/>
      <c r="D64" s="77"/>
      <c r="E64" s="77">
        <v>2.845E-2</v>
      </c>
      <c r="J64" s="210"/>
      <c r="K64" s="210"/>
      <c r="L64" s="213"/>
      <c r="M64" s="213"/>
      <c r="N64" s="213"/>
      <c r="O64" s="213"/>
      <c r="P64" s="210"/>
      <c r="Q64" s="210"/>
      <c r="R64" s="210"/>
      <c r="S64" s="210"/>
      <c r="Y64" s="143"/>
      <c r="Z64" s="143"/>
      <c r="AA64" s="143"/>
      <c r="AB64" s="143"/>
    </row>
    <row r="65" spans="1:28" x14ac:dyDescent="0.25">
      <c r="A65" s="35">
        <f t="shared" si="7"/>
        <v>73</v>
      </c>
      <c r="B65" s="77"/>
      <c r="C65" s="77"/>
      <c r="D65" s="77"/>
      <c r="E65" s="77">
        <v>3.0924124940508758E-2</v>
      </c>
      <c r="J65" s="210"/>
      <c r="K65" s="210"/>
      <c r="L65" s="213"/>
      <c r="M65" s="213"/>
      <c r="N65" s="213"/>
      <c r="O65" s="213"/>
      <c r="P65" s="210"/>
      <c r="Q65" s="210"/>
      <c r="R65" s="210"/>
      <c r="S65" s="210"/>
      <c r="Y65" s="143"/>
      <c r="Z65" s="143"/>
      <c r="AA65" s="143"/>
      <c r="AB65" s="143"/>
    </row>
    <row r="66" spans="1:28" x14ac:dyDescent="0.25">
      <c r="A66" s="35">
        <f t="shared" si="7"/>
        <v>74</v>
      </c>
      <c r="B66" s="77"/>
      <c r="C66" s="77"/>
      <c r="D66" s="77"/>
      <c r="E66" s="77">
        <v>3.4189001902074072E-2</v>
      </c>
      <c r="J66" s="210"/>
      <c r="K66" s="210"/>
      <c r="L66" s="213"/>
      <c r="M66" s="213"/>
      <c r="N66" s="213"/>
      <c r="O66" s="213"/>
      <c r="P66" s="210"/>
      <c r="Q66" s="210"/>
      <c r="R66" s="210"/>
      <c r="S66" s="210"/>
      <c r="Y66" s="143"/>
      <c r="Z66" s="143"/>
      <c r="AA66" s="143"/>
      <c r="AB66" s="143"/>
    </row>
    <row r="67" spans="1:28" x14ac:dyDescent="0.25">
      <c r="A67" s="35">
        <f t="shared" si="7"/>
        <v>75</v>
      </c>
      <c r="B67" s="77"/>
      <c r="C67" s="77"/>
      <c r="D67" s="77"/>
      <c r="E67" s="77">
        <v>3.7659697786111605E-2</v>
      </c>
      <c r="J67" s="210"/>
      <c r="K67" s="210"/>
      <c r="L67" s="213"/>
      <c r="M67" s="213"/>
      <c r="N67" s="213"/>
      <c r="O67" s="213"/>
      <c r="P67" s="210"/>
      <c r="Q67" s="210"/>
      <c r="R67" s="210"/>
      <c r="S67" s="210"/>
      <c r="Y67" s="143"/>
      <c r="Z67" s="143"/>
      <c r="AA67" s="143"/>
      <c r="AB67" s="143"/>
    </row>
    <row r="68" spans="1:28" x14ac:dyDescent="0.25">
      <c r="A68" s="35">
        <f t="shared" si="7"/>
        <v>76</v>
      </c>
      <c r="B68" s="77"/>
      <c r="C68" s="77"/>
      <c r="D68" s="77"/>
      <c r="E68" s="77">
        <v>4.1388308639620557E-2</v>
      </c>
      <c r="J68" s="210"/>
      <c r="K68" s="210"/>
      <c r="L68" s="213"/>
      <c r="M68" s="213"/>
      <c r="N68" s="213"/>
      <c r="O68" s="213"/>
      <c r="P68" s="210"/>
      <c r="Q68" s="210"/>
      <c r="R68" s="210"/>
      <c r="S68" s="210"/>
      <c r="Y68" s="143"/>
      <c r="Z68" s="143"/>
      <c r="AA68" s="143"/>
      <c r="AB68" s="143"/>
    </row>
    <row r="69" spans="1:28" x14ac:dyDescent="0.25">
      <c r="A69" s="35">
        <f t="shared" si="7"/>
        <v>77</v>
      </c>
      <c r="B69" s="77"/>
      <c r="C69" s="77"/>
      <c r="D69" s="77"/>
      <c r="E69" s="77">
        <v>4.5441207308062219E-2</v>
      </c>
      <c r="J69" s="210"/>
      <c r="K69" s="210"/>
      <c r="L69" s="213"/>
      <c r="M69" s="213"/>
      <c r="N69" s="213"/>
      <c r="O69" s="213"/>
      <c r="P69" s="210"/>
      <c r="Q69" s="210"/>
      <c r="R69" s="210"/>
      <c r="S69" s="210"/>
      <c r="Y69" s="143"/>
      <c r="Z69" s="143"/>
      <c r="AA69" s="143"/>
      <c r="AB69" s="143"/>
    </row>
    <row r="70" spans="1:28" x14ac:dyDescent="0.25">
      <c r="A70" s="35">
        <f t="shared" si="7"/>
        <v>78</v>
      </c>
      <c r="B70" s="77"/>
      <c r="C70" s="77"/>
      <c r="D70" s="77"/>
      <c r="E70" s="77">
        <v>4.9899043435360245E-2</v>
      </c>
      <c r="J70" s="210"/>
      <c r="K70" s="210"/>
      <c r="L70" s="213"/>
      <c r="M70" s="213"/>
      <c r="N70" s="213"/>
      <c r="O70" s="213"/>
      <c r="P70" s="210"/>
      <c r="Q70" s="210"/>
      <c r="R70" s="210"/>
      <c r="S70" s="210"/>
      <c r="Y70" s="143"/>
      <c r="Z70" s="143"/>
      <c r="AA70" s="143"/>
      <c r="AB70" s="143"/>
    </row>
    <row r="71" spans="1:28" x14ac:dyDescent="0.25">
      <c r="A71" s="35">
        <f t="shared" si="7"/>
        <v>79</v>
      </c>
      <c r="B71" s="77"/>
      <c r="C71" s="77"/>
      <c r="D71" s="77"/>
      <c r="E71" s="77">
        <v>5.4856743463900424E-2</v>
      </c>
      <c r="J71" s="210"/>
      <c r="K71" s="210"/>
      <c r="L71" s="213"/>
      <c r="M71" s="213"/>
      <c r="N71" s="213"/>
      <c r="O71" s="213"/>
      <c r="P71" s="210"/>
      <c r="Q71" s="210"/>
      <c r="R71" s="210"/>
      <c r="S71" s="210"/>
      <c r="Y71" s="143"/>
      <c r="Z71" s="143"/>
      <c r="AA71" s="143"/>
      <c r="AB71" s="143"/>
    </row>
    <row r="72" spans="1:28" x14ac:dyDescent="0.25">
      <c r="A72" s="35">
        <f t="shared" si="7"/>
        <v>80</v>
      </c>
      <c r="B72" s="77"/>
      <c r="C72" s="77"/>
      <c r="D72" s="77"/>
      <c r="E72" s="77">
        <v>6.0423510634530664E-2</v>
      </c>
      <c r="J72" s="210"/>
      <c r="K72" s="210"/>
      <c r="L72" s="213"/>
      <c r="M72" s="213"/>
      <c r="N72" s="213"/>
      <c r="O72" s="213"/>
      <c r="P72" s="210"/>
      <c r="Q72" s="210"/>
      <c r="R72" s="210"/>
      <c r="S72" s="210"/>
      <c r="Y72" s="143"/>
      <c r="Z72" s="143"/>
      <c r="AA72" s="143"/>
      <c r="AB72" s="143"/>
    </row>
    <row r="73" spans="1:28" x14ac:dyDescent="0.25">
      <c r="A73" s="35">
        <f t="shared" si="7"/>
        <v>81</v>
      </c>
      <c r="B73" s="77"/>
      <c r="C73" s="77"/>
      <c r="D73" s="77"/>
      <c r="E73" s="77">
        <v>6.6722824986561319E-2</v>
      </c>
      <c r="J73" s="210"/>
      <c r="K73" s="210"/>
      <c r="L73" s="213"/>
      <c r="M73" s="213"/>
      <c r="N73" s="213"/>
      <c r="O73" s="213"/>
      <c r="P73" s="210"/>
      <c r="Q73" s="210"/>
      <c r="R73" s="210"/>
      <c r="S73" s="210"/>
      <c r="Y73" s="143"/>
      <c r="Z73" s="143"/>
      <c r="AA73" s="143"/>
      <c r="AB73" s="143"/>
    </row>
    <row r="74" spans="1:28" x14ac:dyDescent="0.25">
      <c r="A74" s="35">
        <f t="shared" si="7"/>
        <v>82</v>
      </c>
      <c r="B74" s="77"/>
      <c r="C74" s="77"/>
      <c r="D74" s="77"/>
      <c r="E74" s="77">
        <v>7.3892443357764653E-2</v>
      </c>
      <c r="J74" s="210"/>
      <c r="K74" s="210"/>
      <c r="L74" s="213"/>
      <c r="M74" s="213"/>
      <c r="N74" s="213"/>
      <c r="O74" s="213"/>
      <c r="P74" s="210"/>
      <c r="Q74" s="210"/>
      <c r="R74" s="210"/>
      <c r="S74" s="210"/>
      <c r="Y74" s="143"/>
      <c r="Z74" s="143"/>
      <c r="AA74" s="143"/>
      <c r="AB74" s="143"/>
    </row>
    <row r="75" spans="1:28" x14ac:dyDescent="0.25">
      <c r="A75" s="35">
        <f t="shared" si="7"/>
        <v>83</v>
      </c>
      <c r="B75" s="77"/>
      <c r="C75" s="77"/>
      <c r="D75" s="77"/>
      <c r="E75" s="77">
        <v>8.2084399384375395E-2</v>
      </c>
      <c r="J75" s="210"/>
      <c r="K75" s="210"/>
      <c r="L75" s="213"/>
      <c r="M75" s="213"/>
      <c r="N75" s="213"/>
      <c r="O75" s="213"/>
      <c r="P75" s="210"/>
      <c r="Q75" s="210"/>
      <c r="R75" s="210"/>
      <c r="S75" s="210"/>
      <c r="Y75" s="143"/>
      <c r="Z75" s="143"/>
      <c r="AA75" s="143"/>
      <c r="AB75" s="143"/>
    </row>
    <row r="76" spans="1:28" x14ac:dyDescent="0.25">
      <c r="A76" s="35">
        <f t="shared" si="7"/>
        <v>84</v>
      </c>
      <c r="B76" s="77"/>
      <c r="C76" s="77"/>
      <c r="D76" s="77"/>
      <c r="E76" s="77">
        <v>9.1465003501090325E-2</v>
      </c>
      <c r="J76" s="210"/>
      <c r="K76" s="210"/>
      <c r="L76" s="213"/>
      <c r="M76" s="213"/>
      <c r="N76" s="213"/>
      <c r="O76" s="213"/>
      <c r="P76" s="210"/>
      <c r="Q76" s="210"/>
      <c r="R76" s="210"/>
      <c r="S76" s="210"/>
      <c r="Y76" s="143"/>
      <c r="Z76" s="143"/>
      <c r="AA76" s="143"/>
      <c r="AB76" s="143"/>
    </row>
    <row r="77" spans="1:28" x14ac:dyDescent="0.25">
      <c r="A77" s="35">
        <f t="shared" si="7"/>
        <v>85</v>
      </c>
      <c r="B77" s="77"/>
      <c r="C77" s="77"/>
      <c r="D77" s="77"/>
      <c r="E77" s="77">
        <v>0.10221484294106847</v>
      </c>
      <c r="J77" s="210"/>
      <c r="K77" s="210"/>
      <c r="L77" s="213"/>
      <c r="M77" s="213"/>
      <c r="N77" s="213"/>
      <c r="O77" s="213"/>
      <c r="P77" s="210"/>
      <c r="Q77" s="210"/>
      <c r="R77" s="210"/>
      <c r="S77" s="210"/>
      <c r="Y77" s="143"/>
      <c r="Z77" s="143"/>
      <c r="AA77" s="143"/>
      <c r="AB77" s="143"/>
    </row>
    <row r="78" spans="1:28" x14ac:dyDescent="0.25">
      <c r="A78" s="35">
        <f t="shared" ref="A78:A102" si="9">1+A77</f>
        <v>86</v>
      </c>
      <c r="B78" s="77"/>
      <c r="C78" s="77"/>
      <c r="D78" s="77"/>
      <c r="E78" s="77">
        <v>0.11452878173593117</v>
      </c>
      <c r="J78" s="210"/>
      <c r="K78" s="210"/>
      <c r="L78" s="213"/>
      <c r="M78" s="213"/>
      <c r="N78" s="213"/>
      <c r="O78" s="213"/>
      <c r="P78" s="210"/>
      <c r="Q78" s="210"/>
      <c r="R78" s="210"/>
      <c r="S78" s="210"/>
      <c r="Y78" s="143"/>
      <c r="Z78" s="143"/>
      <c r="AA78" s="143"/>
      <c r="AB78" s="143"/>
    </row>
    <row r="79" spans="1:28" x14ac:dyDescent="0.25">
      <c r="A79" s="35">
        <f t="shared" si="9"/>
        <v>87</v>
      </c>
      <c r="B79" s="77"/>
      <c r="C79" s="77"/>
      <c r="D79" s="77"/>
      <c r="E79" s="77">
        <v>0.12861596071576181</v>
      </c>
      <c r="J79" s="210"/>
      <c r="K79" s="210"/>
      <c r="L79" s="213"/>
      <c r="M79" s="213"/>
      <c r="N79" s="213"/>
      <c r="O79" s="213"/>
      <c r="P79" s="210"/>
      <c r="Q79" s="210"/>
      <c r="R79" s="210"/>
      <c r="S79" s="210"/>
      <c r="Y79" s="143"/>
      <c r="Z79" s="143"/>
      <c r="AA79" s="143"/>
      <c r="AB79" s="143"/>
    </row>
    <row r="80" spans="1:28" x14ac:dyDescent="0.25">
      <c r="A80" s="35">
        <f t="shared" si="9"/>
        <v>88</v>
      </c>
      <c r="B80" s="77"/>
      <c r="C80" s="77"/>
      <c r="D80" s="77"/>
      <c r="E80" s="77">
        <v>0.144699797509106</v>
      </c>
      <c r="J80" s="210"/>
      <c r="K80" s="210"/>
      <c r="L80" s="213"/>
      <c r="M80" s="213"/>
      <c r="N80" s="213"/>
      <c r="O80" s="213"/>
      <c r="P80" s="210"/>
      <c r="Q80" s="210"/>
      <c r="R80" s="210"/>
      <c r="S80" s="210"/>
      <c r="Y80" s="143"/>
      <c r="Z80" s="143"/>
      <c r="AA80" s="143"/>
      <c r="AB80" s="143"/>
    </row>
    <row r="81" spans="1:28" x14ac:dyDescent="0.25">
      <c r="A81" s="35">
        <f t="shared" si="9"/>
        <v>89</v>
      </c>
      <c r="B81" s="77"/>
      <c r="C81" s="77"/>
      <c r="D81" s="77"/>
      <c r="E81" s="77">
        <v>0.16301798654297178</v>
      </c>
      <c r="J81" s="210"/>
      <c r="K81" s="210"/>
      <c r="L81" s="213"/>
      <c r="M81" s="213"/>
      <c r="N81" s="213"/>
      <c r="O81" s="213"/>
      <c r="P81" s="210"/>
      <c r="Q81" s="210"/>
      <c r="R81" s="210"/>
      <c r="S81" s="210"/>
      <c r="Y81" s="143"/>
      <c r="Z81" s="143"/>
      <c r="AA81" s="143"/>
      <c r="AB81" s="143"/>
    </row>
    <row r="82" spans="1:28" x14ac:dyDescent="0.25">
      <c r="A82" s="35">
        <f t="shared" si="9"/>
        <v>90</v>
      </c>
      <c r="B82" s="77"/>
      <c r="C82" s="77"/>
      <c r="D82" s="77"/>
      <c r="E82" s="77">
        <v>0.18382249904282899</v>
      </c>
      <c r="J82" s="210"/>
      <c r="K82" s="210"/>
      <c r="L82" s="213"/>
      <c r="M82" s="213"/>
      <c r="N82" s="213"/>
      <c r="O82" s="213"/>
      <c r="P82" s="210"/>
      <c r="Q82" s="210"/>
      <c r="R82" s="210"/>
      <c r="S82" s="210"/>
      <c r="Y82" s="143"/>
      <c r="Z82" s="143"/>
      <c r="AA82" s="143"/>
      <c r="AB82" s="143"/>
    </row>
    <row r="83" spans="1:28" x14ac:dyDescent="0.25">
      <c r="A83" s="35">
        <f t="shared" si="9"/>
        <v>91</v>
      </c>
      <c r="B83" s="77"/>
      <c r="C83" s="77"/>
      <c r="D83" s="77"/>
      <c r="E83" s="77">
        <v>0.20737958303261017</v>
      </c>
      <c r="J83" s="210"/>
      <c r="K83" s="210"/>
      <c r="L83" s="213"/>
      <c r="M83" s="213"/>
      <c r="N83" s="213"/>
      <c r="O83" s="213"/>
      <c r="P83" s="210"/>
      <c r="Q83" s="210"/>
      <c r="R83" s="210"/>
      <c r="S83" s="210"/>
      <c r="Y83" s="143"/>
      <c r="Z83" s="143"/>
      <c r="AA83" s="143"/>
      <c r="AB83" s="143"/>
    </row>
    <row r="84" spans="1:28" x14ac:dyDescent="0.25">
      <c r="A84" s="35">
        <f t="shared" si="9"/>
        <v>92</v>
      </c>
      <c r="B84" s="77"/>
      <c r="C84" s="77"/>
      <c r="D84" s="77"/>
      <c r="E84" s="77">
        <v>0.23396976333470976</v>
      </c>
      <c r="J84" s="210"/>
      <c r="K84" s="210"/>
      <c r="L84" s="213"/>
      <c r="M84" s="213"/>
      <c r="N84" s="213"/>
      <c r="O84" s="213"/>
      <c r="P84" s="210"/>
      <c r="Q84" s="210"/>
      <c r="R84" s="210"/>
      <c r="S84" s="210"/>
      <c r="Y84" s="143"/>
      <c r="Z84" s="143"/>
      <c r="AA84" s="143"/>
      <c r="AB84" s="143"/>
    </row>
    <row r="85" spans="1:28" x14ac:dyDescent="0.25">
      <c r="A85" s="35">
        <f t="shared" si="9"/>
        <v>93</v>
      </c>
      <c r="B85" s="77"/>
      <c r="C85" s="77"/>
      <c r="D85" s="77"/>
      <c r="E85" s="77">
        <v>0.26388784156998435</v>
      </c>
      <c r="J85" s="210"/>
      <c r="K85" s="210"/>
      <c r="L85" s="213"/>
      <c r="M85" s="213"/>
      <c r="N85" s="213"/>
      <c r="O85" s="213"/>
      <c r="P85" s="210"/>
      <c r="Q85" s="210"/>
      <c r="R85" s="210"/>
      <c r="S85" s="210"/>
      <c r="Y85" s="143"/>
      <c r="Z85" s="143"/>
      <c r="AA85" s="143"/>
      <c r="AB85" s="143"/>
    </row>
    <row r="86" spans="1:28" x14ac:dyDescent="0.25">
      <c r="A86" s="35">
        <f t="shared" si="9"/>
        <v>94</v>
      </c>
      <c r="B86" s="77"/>
      <c r="C86" s="77"/>
      <c r="D86" s="77"/>
      <c r="E86" s="77">
        <v>0.29744289615775266</v>
      </c>
      <c r="J86" s="210"/>
      <c r="K86" s="210"/>
      <c r="L86" s="213"/>
      <c r="M86" s="213"/>
      <c r="N86" s="213"/>
      <c r="O86" s="213"/>
      <c r="P86" s="210"/>
      <c r="Q86" s="210"/>
      <c r="R86" s="210"/>
      <c r="S86" s="210"/>
      <c r="Y86" s="143"/>
      <c r="Z86" s="143"/>
      <c r="AA86" s="143"/>
      <c r="AB86" s="143"/>
    </row>
    <row r="87" spans="1:28" x14ac:dyDescent="0.25">
      <c r="A87" s="35">
        <f t="shared" si="9"/>
        <v>95</v>
      </c>
      <c r="B87" s="77"/>
      <c r="C87" s="77"/>
      <c r="D87" s="77"/>
      <c r="E87" s="77">
        <v>0.33495828231579639</v>
      </c>
      <c r="J87" s="210"/>
      <c r="K87" s="210"/>
      <c r="L87" s="213"/>
      <c r="M87" s="213"/>
      <c r="N87" s="213"/>
      <c r="O87" s="213"/>
      <c r="P87" s="210"/>
      <c r="Q87" s="210"/>
      <c r="R87" s="210"/>
      <c r="S87" s="210"/>
      <c r="Y87" s="143"/>
      <c r="Z87" s="143"/>
      <c r="AA87" s="143"/>
      <c r="AB87" s="143"/>
    </row>
    <row r="88" spans="1:28" x14ac:dyDescent="0.25">
      <c r="A88" s="35">
        <f t="shared" si="9"/>
        <v>96</v>
      </c>
      <c r="B88" s="77"/>
      <c r="C88" s="77"/>
      <c r="D88" s="77"/>
      <c r="E88" s="77">
        <v>0.37677163206035857</v>
      </c>
      <c r="J88" s="210"/>
      <c r="K88" s="210"/>
      <c r="L88" s="213"/>
      <c r="M88" s="213"/>
      <c r="N88" s="213"/>
      <c r="O88" s="213"/>
      <c r="P88" s="210"/>
      <c r="Q88" s="210"/>
      <c r="R88" s="210"/>
      <c r="S88" s="210"/>
      <c r="Y88" s="143"/>
      <c r="Z88" s="143"/>
      <c r="AA88" s="143"/>
      <c r="AB88" s="143"/>
    </row>
    <row r="89" spans="1:28" x14ac:dyDescent="0.25">
      <c r="A89" s="35">
        <f t="shared" si="9"/>
        <v>97</v>
      </c>
      <c r="B89" s="77"/>
      <c r="C89" s="77"/>
      <c r="D89" s="77"/>
      <c r="E89" s="77">
        <v>0.42323485420614471</v>
      </c>
      <c r="J89" s="210"/>
      <c r="K89" s="210"/>
      <c r="L89" s="213"/>
      <c r="M89" s="213"/>
      <c r="N89" s="213"/>
      <c r="O89" s="213"/>
      <c r="P89" s="210"/>
      <c r="Q89" s="210"/>
      <c r="R89" s="210"/>
      <c r="S89" s="210"/>
      <c r="Y89" s="143"/>
      <c r="Z89" s="143"/>
      <c r="AA89" s="143"/>
      <c r="AB89" s="143"/>
    </row>
    <row r="90" spans="1:28" x14ac:dyDescent="0.25">
      <c r="A90" s="35">
        <f t="shared" si="9"/>
        <v>98</v>
      </c>
      <c r="B90" s="77"/>
      <c r="C90" s="77"/>
      <c r="D90" s="77"/>
      <c r="E90" s="77">
        <v>0.47471413436632248</v>
      </c>
      <c r="J90" s="210"/>
      <c r="K90" s="210"/>
      <c r="L90" s="213"/>
      <c r="M90" s="213"/>
      <c r="N90" s="213"/>
      <c r="O90" s="213"/>
      <c r="P90" s="210"/>
      <c r="Q90" s="210"/>
      <c r="R90" s="210"/>
      <c r="S90" s="210"/>
      <c r="Y90" s="143"/>
      <c r="Z90" s="143"/>
      <c r="AA90" s="143"/>
      <c r="AB90" s="143"/>
    </row>
    <row r="91" spans="1:28" x14ac:dyDescent="0.25">
      <c r="A91" s="35">
        <f t="shared" si="9"/>
        <v>99</v>
      </c>
      <c r="B91" s="77"/>
      <c r="C91" s="77"/>
      <c r="D91" s="77"/>
      <c r="E91" s="77">
        <v>0.53158993495252216</v>
      </c>
      <c r="J91" s="210"/>
      <c r="K91" s="210"/>
      <c r="L91" s="213"/>
      <c r="M91" s="213"/>
      <c r="N91" s="213"/>
      <c r="O91" s="213"/>
      <c r="P91" s="210"/>
      <c r="Q91" s="210"/>
      <c r="R91" s="210"/>
      <c r="S91" s="210"/>
      <c r="Y91" s="143"/>
      <c r="Z91" s="143"/>
      <c r="AA91" s="143"/>
      <c r="AB91" s="143"/>
    </row>
    <row r="92" spans="1:28" x14ac:dyDescent="0.25">
      <c r="A92" s="35">
        <f t="shared" si="9"/>
        <v>100</v>
      </c>
      <c r="B92" s="77"/>
      <c r="C92" s="77"/>
      <c r="D92" s="77"/>
      <c r="E92" s="77">
        <v>0.59425699517483555</v>
      </c>
      <c r="J92" s="210"/>
      <c r="K92" s="210"/>
      <c r="L92" s="213"/>
      <c r="M92" s="213"/>
      <c r="N92" s="213"/>
      <c r="O92" s="213"/>
      <c r="P92" s="210"/>
      <c r="Q92" s="210"/>
      <c r="R92" s="210"/>
      <c r="S92" s="210"/>
      <c r="Y92" s="143"/>
      <c r="Z92" s="143"/>
      <c r="AA92" s="143"/>
      <c r="AB92" s="143"/>
    </row>
    <row r="93" spans="1:28" x14ac:dyDescent="0.25">
      <c r="A93" s="35">
        <f t="shared" si="9"/>
        <v>101</v>
      </c>
      <c r="B93" s="77"/>
      <c r="C93" s="77"/>
      <c r="D93" s="77"/>
      <c r="E93" s="77">
        <v>0.66312433104181689</v>
      </c>
      <c r="J93" s="210"/>
      <c r="K93" s="210"/>
      <c r="L93" s="213"/>
      <c r="M93" s="213"/>
      <c r="N93" s="213"/>
      <c r="O93" s="213"/>
      <c r="P93" s="210"/>
      <c r="Q93" s="210"/>
      <c r="R93" s="210"/>
      <c r="S93" s="210"/>
      <c r="Y93" s="143"/>
      <c r="Z93" s="143"/>
      <c r="AA93" s="143"/>
      <c r="AB93" s="143"/>
    </row>
    <row r="94" spans="1:28" x14ac:dyDescent="0.25">
      <c r="A94" s="35">
        <f t="shared" si="9"/>
        <v>102</v>
      </c>
      <c r="B94" s="77"/>
      <c r="C94" s="77"/>
      <c r="D94" s="77"/>
      <c r="E94" s="77">
        <v>0.73861523536048357</v>
      </c>
      <c r="J94" s="210"/>
      <c r="K94" s="210"/>
      <c r="L94" s="213"/>
      <c r="M94" s="213"/>
      <c r="N94" s="213"/>
      <c r="O94" s="213"/>
      <c r="P94" s="210"/>
      <c r="Q94" s="210"/>
      <c r="R94" s="210"/>
      <c r="S94" s="210"/>
      <c r="Y94" s="143"/>
      <c r="Z94" s="143"/>
      <c r="AA94" s="143"/>
      <c r="AB94" s="143"/>
    </row>
    <row r="95" spans="1:28" x14ac:dyDescent="0.25">
      <c r="A95" s="35">
        <f t="shared" si="9"/>
        <v>103</v>
      </c>
      <c r="B95" s="77"/>
      <c r="C95" s="77"/>
      <c r="D95" s="77"/>
      <c r="E95" s="77">
        <v>0.82116727773631371</v>
      </c>
      <c r="J95" s="210"/>
      <c r="K95" s="210"/>
      <c r="L95" s="213"/>
      <c r="M95" s="213"/>
      <c r="N95" s="213"/>
      <c r="O95" s="213"/>
      <c r="P95" s="210"/>
      <c r="Q95" s="210"/>
      <c r="R95" s="210"/>
      <c r="S95" s="210"/>
      <c r="Y95" s="143"/>
      <c r="Z95" s="143"/>
      <c r="AA95" s="143"/>
      <c r="AB95" s="143"/>
    </row>
    <row r="96" spans="1:28" x14ac:dyDescent="0.25">
      <c r="A96" s="35">
        <f t="shared" si="9"/>
        <v>104</v>
      </c>
      <c r="B96" s="77"/>
      <c r="C96" s="77"/>
      <c r="D96" s="77"/>
      <c r="E96" s="77">
        <v>0.91123230457324822</v>
      </c>
      <c r="J96" s="210"/>
      <c r="K96" s="210"/>
      <c r="L96" s="213"/>
      <c r="M96" s="213"/>
      <c r="N96" s="213"/>
      <c r="O96" s="213"/>
      <c r="P96" s="210"/>
      <c r="Q96" s="210"/>
      <c r="R96" s="210"/>
      <c r="S96" s="210"/>
      <c r="Y96" s="143"/>
      <c r="Z96" s="143"/>
      <c r="AA96" s="143"/>
      <c r="AB96" s="143"/>
    </row>
    <row r="97" spans="1:28" x14ac:dyDescent="0.25">
      <c r="A97" s="35">
        <f t="shared" si="9"/>
        <v>105</v>
      </c>
      <c r="B97" s="77"/>
      <c r="C97" s="77"/>
      <c r="D97" s="77"/>
      <c r="E97" s="77">
        <v>1</v>
      </c>
      <c r="J97" s="210"/>
      <c r="K97" s="210"/>
      <c r="L97" s="213"/>
      <c r="M97" s="213"/>
      <c r="N97" s="213"/>
      <c r="O97" s="213"/>
      <c r="P97" s="210"/>
      <c r="Q97" s="210"/>
      <c r="R97" s="210"/>
      <c r="S97" s="210"/>
      <c r="Y97" s="143"/>
      <c r="Z97" s="143"/>
      <c r="AA97" s="143"/>
      <c r="AB97" s="143"/>
    </row>
    <row r="98" spans="1:28" x14ac:dyDescent="0.25">
      <c r="A98" s="35">
        <f t="shared" si="9"/>
        <v>106</v>
      </c>
      <c r="B98" s="77"/>
      <c r="C98" s="77"/>
      <c r="D98" s="77"/>
      <c r="E98" s="77"/>
      <c r="J98" s="210"/>
      <c r="K98" s="210"/>
      <c r="L98" s="213"/>
      <c r="M98" s="213"/>
      <c r="N98" s="213"/>
      <c r="O98" s="213"/>
      <c r="P98" s="210"/>
      <c r="Q98" s="210"/>
      <c r="R98" s="210"/>
      <c r="S98" s="210"/>
    </row>
    <row r="99" spans="1:28" x14ac:dyDescent="0.25">
      <c r="A99" s="35">
        <f t="shared" si="9"/>
        <v>107</v>
      </c>
      <c r="B99" s="77"/>
      <c r="C99" s="77"/>
      <c r="D99" s="77"/>
      <c r="E99" s="77"/>
      <c r="J99" s="210"/>
      <c r="K99" s="210"/>
      <c r="L99" s="213"/>
      <c r="M99" s="213"/>
      <c r="N99" s="213"/>
      <c r="O99" s="213"/>
      <c r="P99" s="210"/>
      <c r="Q99" s="210"/>
      <c r="R99" s="210"/>
      <c r="S99" s="210"/>
    </row>
    <row r="100" spans="1:28" x14ac:dyDescent="0.25">
      <c r="A100" s="35">
        <f t="shared" si="9"/>
        <v>108</v>
      </c>
      <c r="B100" s="77"/>
      <c r="C100" s="77"/>
      <c r="D100" s="77"/>
      <c r="E100" s="77"/>
      <c r="J100" s="210"/>
      <c r="K100" s="210"/>
      <c r="L100" s="213"/>
      <c r="M100" s="213"/>
      <c r="N100" s="213"/>
      <c r="O100" s="213"/>
      <c r="P100" s="210"/>
      <c r="Q100" s="210"/>
      <c r="R100" s="210"/>
      <c r="S100" s="210"/>
    </row>
    <row r="101" spans="1:28" x14ac:dyDescent="0.25">
      <c r="A101" s="35">
        <f t="shared" si="9"/>
        <v>109</v>
      </c>
      <c r="B101" s="77"/>
      <c r="C101" s="77"/>
      <c r="D101" s="77"/>
      <c r="E101" s="77"/>
      <c r="J101" s="210"/>
      <c r="K101" s="210"/>
      <c r="L101" s="213"/>
      <c r="M101" s="213"/>
      <c r="N101" s="213"/>
      <c r="O101" s="213"/>
      <c r="P101" s="210"/>
      <c r="Q101" s="210"/>
      <c r="R101" s="210"/>
      <c r="S101" s="210"/>
    </row>
    <row r="102" spans="1:28" ht="16.5" thickBot="1" x14ac:dyDescent="0.3">
      <c r="A102" s="36">
        <f t="shared" si="9"/>
        <v>110</v>
      </c>
      <c r="B102" s="79"/>
      <c r="C102" s="79"/>
      <c r="D102" s="79"/>
      <c r="E102" s="79"/>
      <c r="J102" s="210"/>
      <c r="K102" s="210"/>
      <c r="L102" s="213"/>
      <c r="M102" s="213"/>
      <c r="N102" s="213"/>
      <c r="O102" s="213"/>
      <c r="P102" s="210"/>
      <c r="Q102" s="210"/>
      <c r="R102" s="210"/>
      <c r="S102" s="210"/>
    </row>
    <row r="103" spans="1:28" x14ac:dyDescent="0.25"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U103"/>
  <sheetViews>
    <sheetView topLeftCell="A48" workbookViewId="0">
      <selection activeCell="T52" sqref="T52"/>
    </sheetView>
  </sheetViews>
  <sheetFormatPr baseColWidth="10" defaultRowHeight="12.75" x14ac:dyDescent="0.2"/>
  <cols>
    <col min="16" max="16" width="12.28515625" bestFit="1" customWidth="1"/>
  </cols>
  <sheetData>
    <row r="1" spans="1:19" ht="15.75" x14ac:dyDescent="0.25">
      <c r="A1" s="1"/>
      <c r="B1" s="1"/>
      <c r="C1" s="1"/>
      <c r="D1" s="1"/>
      <c r="E1" s="2" t="str">
        <f>Grundlagen</f>
        <v>EVK 2000, 2.25%</v>
      </c>
    </row>
    <row r="2" spans="1:19" ht="15.75" x14ac:dyDescent="0.25">
      <c r="A2" s="1"/>
      <c r="B2" s="1"/>
      <c r="C2" s="3"/>
      <c r="D2" s="1"/>
      <c r="E2" s="2" t="str">
        <f>FT &amp;1</f>
        <v>Frauen Tabelle 1</v>
      </c>
    </row>
    <row r="3" spans="1:19" ht="15.75" x14ac:dyDescent="0.25">
      <c r="A3" s="4" t="s">
        <v>10</v>
      </c>
      <c r="B3" s="1"/>
      <c r="C3" s="1"/>
      <c r="D3" s="1"/>
      <c r="E3" s="1"/>
    </row>
    <row r="4" spans="1:19" ht="15.75" x14ac:dyDescent="0.25">
      <c r="A4" s="1"/>
      <c r="B4" s="1"/>
      <c r="C4" s="1"/>
      <c r="D4" s="1"/>
      <c r="E4" s="2" t="str">
        <f>"Rücktrittsalter s = " &amp;RAF</f>
        <v>Rücktrittsalter s = 64</v>
      </c>
    </row>
    <row r="5" spans="1:19" ht="16.5" thickBot="1" x14ac:dyDescent="0.3">
      <c r="A5" s="1"/>
      <c r="B5" s="1"/>
      <c r="C5" s="1"/>
      <c r="D5" s="1"/>
      <c r="E5" s="4"/>
    </row>
    <row r="6" spans="1:19" ht="15.75" x14ac:dyDescent="0.25">
      <c r="A6" s="7"/>
      <c r="B6" s="7"/>
      <c r="C6" s="7"/>
      <c r="D6" s="7"/>
      <c r="E6" s="7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</row>
    <row r="7" spans="1:19" ht="18.75" x14ac:dyDescent="0.2">
      <c r="A7" s="18" t="s">
        <v>17</v>
      </c>
      <c r="B7" s="18" t="s">
        <v>94</v>
      </c>
      <c r="C7" s="18" t="s">
        <v>95</v>
      </c>
      <c r="D7" s="18" t="s">
        <v>96</v>
      </c>
      <c r="E7" s="18" t="s">
        <v>97</v>
      </c>
      <c r="F7" s="18" t="s">
        <v>501</v>
      </c>
      <c r="G7" s="18" t="s">
        <v>502</v>
      </c>
      <c r="H7" s="18" t="s">
        <v>505</v>
      </c>
      <c r="I7" s="18" t="s">
        <v>506</v>
      </c>
      <c r="J7" s="18" t="s">
        <v>500</v>
      </c>
      <c r="K7" s="18" t="s">
        <v>507</v>
      </c>
      <c r="L7" s="18" t="s">
        <v>510</v>
      </c>
      <c r="M7" s="18" t="s">
        <v>511</v>
      </c>
      <c r="N7" s="18" t="s">
        <v>512</v>
      </c>
      <c r="O7" s="18" t="s">
        <v>513</v>
      </c>
      <c r="P7" s="18" t="s">
        <v>508</v>
      </c>
      <c r="Q7" s="18" t="s">
        <v>509</v>
      </c>
      <c r="R7" s="18" t="s">
        <v>504</v>
      </c>
      <c r="S7" s="18" t="s">
        <v>503</v>
      </c>
    </row>
    <row r="8" spans="1:19" ht="16.5" thickBot="1" x14ac:dyDescent="0.3">
      <c r="A8" s="8"/>
      <c r="B8" s="8"/>
      <c r="C8" s="8"/>
      <c r="D8" s="8"/>
      <c r="E8" s="8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</row>
    <row r="9" spans="1:19" ht="15.75" x14ac:dyDescent="0.25">
      <c r="A9" s="35">
        <f>BeginnAlter</f>
        <v>17</v>
      </c>
      <c r="B9" s="93">
        <v>8.9209693543454619E-5</v>
      </c>
      <c r="C9" s="93">
        <v>4.9997769701903961E-5</v>
      </c>
      <c r="D9" s="93">
        <v>4.8233510298904001E-3</v>
      </c>
      <c r="E9" s="93">
        <v>9.0000000000034497E-5</v>
      </c>
      <c r="F9" s="198">
        <f>B9</f>
        <v>8.9209693543454619E-5</v>
      </c>
      <c r="G9" s="198">
        <f>C9</f>
        <v>4.9997769701903961E-5</v>
      </c>
      <c r="H9" s="199">
        <v>0</v>
      </c>
      <c r="I9" s="200">
        <v>0.15</v>
      </c>
      <c r="J9" s="196">
        <f>(1-F9)*(1-G9)*(1-H9)*(1-I9)</f>
        <v>0.84988167744748422</v>
      </c>
      <c r="K9" s="196">
        <f>1-J9</f>
        <v>0.15011832255251578</v>
      </c>
      <c r="L9" s="198">
        <f>1-F9</f>
        <v>0.99991079030645658</v>
      </c>
      <c r="M9" s="198">
        <f t="shared" ref="M9:O24" si="0">1-G9</f>
        <v>0.99995000223029806</v>
      </c>
      <c r="N9" s="198">
        <f t="shared" si="0"/>
        <v>1</v>
      </c>
      <c r="O9" s="208">
        <f t="shared" si="0"/>
        <v>0.85</v>
      </c>
      <c r="P9" s="196">
        <f>(LOG(L9)/LOG($J9))*$K9</f>
        <v>8.2335914783478002E-5</v>
      </c>
      <c r="Q9" s="196">
        <f t="shared" ref="Q9:S24" si="1">(LOG(M9)/LOG($J9))*$K9</f>
        <v>4.6144440452631375E-5</v>
      </c>
      <c r="R9" s="196">
        <f t="shared" si="1"/>
        <v>0</v>
      </c>
      <c r="S9" s="196">
        <f t="shared" si="1"/>
        <v>0.14998984219727962</v>
      </c>
    </row>
    <row r="10" spans="1:19" ht="15.75" x14ac:dyDescent="0.2">
      <c r="A10" s="9">
        <f t="shared" ref="A10:A73" si="2">1+A9</f>
        <v>18</v>
      </c>
      <c r="B10" s="93">
        <v>9.5799841220998156E-5</v>
      </c>
      <c r="C10" s="93">
        <v>6.9996646888198348E-5</v>
      </c>
      <c r="D10" s="93">
        <v>7.2658729084646486E-3</v>
      </c>
      <c r="E10" s="93">
        <v>1.0000900081008623E-4</v>
      </c>
      <c r="F10" s="201">
        <f t="shared" ref="F10:F55" si="3">B10</f>
        <v>9.5799841220998156E-5</v>
      </c>
      <c r="G10" s="201">
        <f t="shared" ref="G10:G55" si="4">C10</f>
        <v>6.9996646888198348E-5</v>
      </c>
      <c r="H10" s="202">
        <v>0</v>
      </c>
      <c r="I10" s="203">
        <v>0.15</v>
      </c>
      <c r="J10" s="204">
        <f t="shared" ref="J10:J55" si="5">(1-F10)*(1-G10)*(1-H10)*(1-I10)</f>
        <v>0.84985907868492472</v>
      </c>
      <c r="K10" s="204">
        <f t="shared" ref="K10:K55" si="6">1-J10</f>
        <v>0.15014092131507528</v>
      </c>
      <c r="L10" s="201">
        <f t="shared" ref="L10:O55" si="7">1-F10</f>
        <v>0.99990420015877901</v>
      </c>
      <c r="M10" s="201">
        <f t="shared" si="0"/>
        <v>0.99993000335311177</v>
      </c>
      <c r="N10" s="201">
        <f t="shared" si="0"/>
        <v>1</v>
      </c>
      <c r="O10" s="209">
        <f t="shared" si="0"/>
        <v>0.85</v>
      </c>
      <c r="P10" s="204">
        <f t="shared" ref="P10:P54" si="8">(LOG(L10)/LOG(J10))*K10</f>
        <v>8.8417426556817419E-5</v>
      </c>
      <c r="Q10" s="204">
        <f t="shared" si="1"/>
        <v>6.4601814101019847E-5</v>
      </c>
      <c r="R10" s="204">
        <f t="shared" si="1"/>
        <v>0</v>
      </c>
      <c r="S10" s="204">
        <f t="shared" si="1"/>
        <v>0.14998790207441753</v>
      </c>
    </row>
    <row r="11" spans="1:19" ht="15.75" x14ac:dyDescent="0.2">
      <c r="A11" s="9">
        <f t="shared" si="2"/>
        <v>19</v>
      </c>
      <c r="B11" s="93">
        <v>1.2308512291999787E-4</v>
      </c>
      <c r="C11" s="93">
        <v>8.9994460920210019E-5</v>
      </c>
      <c r="D11" s="93">
        <v>9.4883480693243975E-3</v>
      </c>
      <c r="E11" s="93">
        <v>1.2002280433287549E-4</v>
      </c>
      <c r="F11" s="201">
        <f t="shared" si="3"/>
        <v>1.2308512291999787E-4</v>
      </c>
      <c r="G11" s="201">
        <f t="shared" si="4"/>
        <v>8.9994460920210019E-5</v>
      </c>
      <c r="H11" s="202">
        <v>0</v>
      </c>
      <c r="I11" s="203">
        <v>0.15</v>
      </c>
      <c r="J11" s="204">
        <f t="shared" si="5"/>
        <v>0.84981889176916825</v>
      </c>
      <c r="K11" s="204">
        <f t="shared" si="6"/>
        <v>0.15018110823083175</v>
      </c>
      <c r="L11" s="201">
        <f t="shared" si="7"/>
        <v>0.99987691487707997</v>
      </c>
      <c r="M11" s="201">
        <f t="shared" si="0"/>
        <v>0.99991000553907983</v>
      </c>
      <c r="N11" s="201">
        <f t="shared" si="0"/>
        <v>1</v>
      </c>
      <c r="O11" s="209">
        <f t="shared" si="0"/>
        <v>0.85</v>
      </c>
      <c r="P11" s="204">
        <f t="shared" si="8"/>
        <v>1.135990187908819E-4</v>
      </c>
      <c r="Q11" s="204">
        <f t="shared" si="1"/>
        <v>8.305726194526828E-5</v>
      </c>
      <c r="R11" s="204">
        <f t="shared" si="1"/>
        <v>0</v>
      </c>
      <c r="S11" s="204">
        <f t="shared" si="1"/>
        <v>0.14998445195009566</v>
      </c>
    </row>
    <row r="12" spans="1:19" ht="15.75" x14ac:dyDescent="0.2">
      <c r="A12" s="9">
        <f t="shared" si="2"/>
        <v>20</v>
      </c>
      <c r="B12" s="93">
        <v>1.6220083205984611E-4</v>
      </c>
      <c r="C12" s="93">
        <v>1.0998959028340705E-4</v>
      </c>
      <c r="D12" s="93">
        <v>1.1499831612048823E-2</v>
      </c>
      <c r="E12" s="93">
        <v>1.6004961538074181E-4</v>
      </c>
      <c r="F12" s="201">
        <f t="shared" si="3"/>
        <v>1.6220083205984611E-4</v>
      </c>
      <c r="G12" s="201">
        <f t="shared" si="4"/>
        <v>1.0998959028340705E-4</v>
      </c>
      <c r="H12" s="202">
        <v>0</v>
      </c>
      <c r="I12" s="203">
        <v>0.15</v>
      </c>
      <c r="J12" s="204">
        <f t="shared" si="5"/>
        <v>0.84976865330535079</v>
      </c>
      <c r="K12" s="204">
        <f t="shared" si="6"/>
        <v>0.15023134669464921</v>
      </c>
      <c r="L12" s="201">
        <f t="shared" si="7"/>
        <v>0.99983779916794013</v>
      </c>
      <c r="M12" s="201">
        <f t="shared" si="0"/>
        <v>0.99989001040971659</v>
      </c>
      <c r="N12" s="201">
        <f t="shared" si="0"/>
        <v>1</v>
      </c>
      <c r="O12" s="209">
        <f t="shared" si="0"/>
        <v>0.85</v>
      </c>
      <c r="P12" s="204">
        <f t="shared" si="8"/>
        <v>1.4969872442998852E-4</v>
      </c>
      <c r="Q12" s="204">
        <f t="shared" si="1"/>
        <v>1.0150916784365257E-4</v>
      </c>
      <c r="R12" s="204">
        <f t="shared" si="1"/>
        <v>0</v>
      </c>
      <c r="S12" s="204">
        <f t="shared" si="1"/>
        <v>0.14998013880237557</v>
      </c>
    </row>
    <row r="13" spans="1:19" ht="15.75" x14ac:dyDescent="0.2">
      <c r="A13" s="9">
        <f t="shared" si="2"/>
        <v>21</v>
      </c>
      <c r="B13" s="93">
        <v>2.0622884845939305E-4</v>
      </c>
      <c r="C13" s="93">
        <v>2.1466582488845534E-4</v>
      </c>
      <c r="D13" s="93">
        <v>1.33093786362171E-2</v>
      </c>
      <c r="E13" s="93">
        <v>2.1009874641075843E-4</v>
      </c>
      <c r="F13" s="201">
        <f t="shared" si="3"/>
        <v>2.0622884845939305E-4</v>
      </c>
      <c r="G13" s="201">
        <f t="shared" si="4"/>
        <v>2.1466582488845534E-4</v>
      </c>
      <c r="H13" s="202">
        <v>0</v>
      </c>
      <c r="I13" s="203">
        <v>0.15</v>
      </c>
      <c r="J13" s="204">
        <f t="shared" si="5"/>
        <v>0.84964227715739726</v>
      </c>
      <c r="K13" s="204">
        <f t="shared" si="6"/>
        <v>0.15035772284260274</v>
      </c>
      <c r="L13" s="201">
        <f t="shared" si="7"/>
        <v>0.99979377115154056</v>
      </c>
      <c r="M13" s="201">
        <f t="shared" si="0"/>
        <v>0.99978533417511151</v>
      </c>
      <c r="N13" s="201">
        <f t="shared" si="0"/>
        <v>1</v>
      </c>
      <c r="O13" s="209">
        <f t="shared" si="0"/>
        <v>0.85</v>
      </c>
      <c r="P13" s="204">
        <f t="shared" si="8"/>
        <v>1.903235724291287E-4</v>
      </c>
      <c r="Q13" s="204">
        <f t="shared" si="1"/>
        <v>1.9811068799265125E-4</v>
      </c>
      <c r="R13" s="204">
        <f t="shared" si="1"/>
        <v>0</v>
      </c>
      <c r="S13" s="204">
        <f t="shared" si="1"/>
        <v>0.14996928858218103</v>
      </c>
    </row>
    <row r="14" spans="1:19" ht="15.75" x14ac:dyDescent="0.2">
      <c r="A14" s="9">
        <f t="shared" si="2"/>
        <v>22</v>
      </c>
      <c r="B14" s="93">
        <v>2.4998220969393506E-4</v>
      </c>
      <c r="C14" s="93">
        <v>3.405546946087939E-4</v>
      </c>
      <c r="D14" s="93">
        <v>1.492604424140841E-2</v>
      </c>
      <c r="E14" s="93">
        <v>2.6017692030577688E-4</v>
      </c>
      <c r="F14" s="201">
        <f t="shared" si="3"/>
        <v>2.4998220969393506E-4</v>
      </c>
      <c r="G14" s="201">
        <f t="shared" si="4"/>
        <v>3.405546946087939E-4</v>
      </c>
      <c r="H14" s="202">
        <v>0</v>
      </c>
      <c r="I14" s="203">
        <v>0.15</v>
      </c>
      <c r="J14" s="204">
        <f t="shared" si="5"/>
        <v>0.84949811599406544</v>
      </c>
      <c r="K14" s="204">
        <f t="shared" si="6"/>
        <v>0.15050188400593456</v>
      </c>
      <c r="L14" s="201">
        <f t="shared" si="7"/>
        <v>0.99975001779030603</v>
      </c>
      <c r="M14" s="201">
        <f t="shared" si="0"/>
        <v>0.99965944530539119</v>
      </c>
      <c r="N14" s="201">
        <f t="shared" si="0"/>
        <v>1</v>
      </c>
      <c r="O14" s="209">
        <f t="shared" si="0"/>
        <v>0.85</v>
      </c>
      <c r="P14" s="204">
        <f t="shared" si="8"/>
        <v>2.3068848832453437E-4</v>
      </c>
      <c r="Q14" s="204">
        <f t="shared" si="1"/>
        <v>3.1428479059970789E-4</v>
      </c>
      <c r="R14" s="204">
        <f t="shared" si="1"/>
        <v>0</v>
      </c>
      <c r="S14" s="204">
        <f t="shared" si="1"/>
        <v>0.14995691072701031</v>
      </c>
    </row>
    <row r="15" spans="1:19" ht="15.75" x14ac:dyDescent="0.2">
      <c r="A15" s="9">
        <f t="shared" si="2"/>
        <v>23</v>
      </c>
      <c r="B15" s="93">
        <v>2.8976985767877489E-4</v>
      </c>
      <c r="C15" s="93">
        <v>4.7885466143393146E-4</v>
      </c>
      <c r="D15" s="93">
        <v>1.6358883527201926E-2</v>
      </c>
      <c r="E15" s="93">
        <v>3.1029167417373493E-4</v>
      </c>
      <c r="F15" s="201">
        <f t="shared" si="3"/>
        <v>2.8976985767877489E-4</v>
      </c>
      <c r="G15" s="201">
        <f t="shared" si="4"/>
        <v>4.7885466143393146E-4</v>
      </c>
      <c r="H15" s="202">
        <v>0</v>
      </c>
      <c r="I15" s="203">
        <v>0.15</v>
      </c>
      <c r="J15" s="204">
        <f t="shared" si="5"/>
        <v>0.84934678710275413</v>
      </c>
      <c r="K15" s="204">
        <f t="shared" si="6"/>
        <v>0.15065321289724587</v>
      </c>
      <c r="L15" s="201">
        <f t="shared" si="7"/>
        <v>0.99971023014232119</v>
      </c>
      <c r="M15" s="201">
        <f t="shared" si="0"/>
        <v>0.99952114533856606</v>
      </c>
      <c r="N15" s="201">
        <f t="shared" si="0"/>
        <v>1</v>
      </c>
      <c r="O15" s="209">
        <f t="shared" si="0"/>
        <v>0.85</v>
      </c>
      <c r="P15" s="204">
        <f t="shared" si="8"/>
        <v>2.6738745991943799E-4</v>
      </c>
      <c r="Q15" s="204">
        <f t="shared" si="1"/>
        <v>4.4190876943414658E-4</v>
      </c>
      <c r="R15" s="204">
        <f t="shared" si="1"/>
        <v>0</v>
      </c>
      <c r="S15" s="204">
        <f t="shared" si="1"/>
        <v>0.14994391666789225</v>
      </c>
    </row>
    <row r="16" spans="1:19" ht="15.75" x14ac:dyDescent="0.2">
      <c r="A16" s="9">
        <f t="shared" si="2"/>
        <v>24</v>
      </c>
      <c r="B16" s="93">
        <v>3.2319020745738108E-4</v>
      </c>
      <c r="C16" s="93">
        <v>6.2322473249640665E-4</v>
      </c>
      <c r="D16" s="93">
        <v>1.7616951593176822E-2</v>
      </c>
      <c r="E16" s="93">
        <v>3.5043804755940933E-4</v>
      </c>
      <c r="F16" s="201">
        <f t="shared" si="3"/>
        <v>3.2319020745738108E-4</v>
      </c>
      <c r="G16" s="201">
        <f t="shared" si="4"/>
        <v>6.2322473249640665E-4</v>
      </c>
      <c r="H16" s="202">
        <v>0</v>
      </c>
      <c r="I16" s="203">
        <v>0.15</v>
      </c>
      <c r="J16" s="204">
        <f t="shared" si="5"/>
        <v>0.84919571850815023</v>
      </c>
      <c r="K16" s="204">
        <f t="shared" si="6"/>
        <v>0.15080428149184977</v>
      </c>
      <c r="L16" s="201">
        <f t="shared" si="7"/>
        <v>0.99967680979254259</v>
      </c>
      <c r="M16" s="201">
        <f t="shared" si="0"/>
        <v>0.99937677526750357</v>
      </c>
      <c r="N16" s="201">
        <f t="shared" si="0"/>
        <v>1</v>
      </c>
      <c r="O16" s="209">
        <f t="shared" si="0"/>
        <v>0.85</v>
      </c>
      <c r="P16" s="204">
        <f t="shared" si="8"/>
        <v>2.9820553872816652E-4</v>
      </c>
      <c r="Q16" s="204">
        <f t="shared" si="1"/>
        <v>5.7513178454792076E-4</v>
      </c>
      <c r="R16" s="204">
        <f t="shared" si="1"/>
        <v>0</v>
      </c>
      <c r="S16" s="204">
        <f t="shared" si="1"/>
        <v>0.14993094416857372</v>
      </c>
    </row>
    <row r="17" spans="1:19" ht="15.75" x14ac:dyDescent="0.2">
      <c r="A17" s="9">
        <f t="shared" si="2"/>
        <v>25</v>
      </c>
      <c r="B17" s="93">
        <v>3.4893431423651844E-4</v>
      </c>
      <c r="C17" s="93">
        <v>7.6939770148985254E-4</v>
      </c>
      <c r="D17" s="93">
        <v>1.8709303538912283E-2</v>
      </c>
      <c r="E17" s="93">
        <v>3.906249999999778E-4</v>
      </c>
      <c r="F17" s="201">
        <f t="shared" si="3"/>
        <v>3.4893431423651844E-4</v>
      </c>
      <c r="G17" s="201">
        <f t="shared" si="4"/>
        <v>7.6939770148985254E-4</v>
      </c>
      <c r="H17" s="202">
        <v>0</v>
      </c>
      <c r="I17" s="203">
        <v>0.12</v>
      </c>
      <c r="J17" s="204">
        <f t="shared" si="5"/>
        <v>0.87901610407910902</v>
      </c>
      <c r="K17" s="204">
        <f t="shared" si="6"/>
        <v>0.12098389592089098</v>
      </c>
      <c r="L17" s="201">
        <f t="shared" si="7"/>
        <v>0.99965106568576345</v>
      </c>
      <c r="M17" s="201">
        <f t="shared" si="0"/>
        <v>0.99923060229851013</v>
      </c>
      <c r="N17" s="201">
        <f t="shared" si="0"/>
        <v>1</v>
      </c>
      <c r="O17" s="209">
        <f t="shared" si="0"/>
        <v>0.88</v>
      </c>
      <c r="P17" s="204">
        <f t="shared" si="8"/>
        <v>3.2743020542037968E-4</v>
      </c>
      <c r="Q17" s="204">
        <f t="shared" si="1"/>
        <v>7.2213316332629077E-4</v>
      </c>
      <c r="R17" s="204">
        <f t="shared" si="1"/>
        <v>0</v>
      </c>
      <c r="S17" s="204">
        <f t="shared" si="1"/>
        <v>0.11993433255214436</v>
      </c>
    </row>
    <row r="18" spans="1:19" ht="15.75" x14ac:dyDescent="0.2">
      <c r="A18" s="9">
        <f t="shared" si="2"/>
        <v>26</v>
      </c>
      <c r="B18" s="93">
        <v>3.6660205491143689E-4</v>
      </c>
      <c r="C18" s="93">
        <v>9.148249124612479E-4</v>
      </c>
      <c r="D18" s="93">
        <v>1.9644994463987476E-2</v>
      </c>
      <c r="E18" s="93">
        <v>4.3085740623838298E-4</v>
      </c>
      <c r="F18" s="201">
        <f t="shared" si="3"/>
        <v>3.6660205491143689E-4</v>
      </c>
      <c r="G18" s="201">
        <f t="shared" si="4"/>
        <v>9.148249124612479E-4</v>
      </c>
      <c r="H18" s="202">
        <v>0</v>
      </c>
      <c r="I18" s="203">
        <v>0.12</v>
      </c>
      <c r="J18" s="204">
        <f t="shared" si="5"/>
        <v>0.87887263940020166</v>
      </c>
      <c r="K18" s="204">
        <f t="shared" si="6"/>
        <v>0.12112736059979834</v>
      </c>
      <c r="L18" s="201">
        <f t="shared" si="7"/>
        <v>0.99963339794508854</v>
      </c>
      <c r="M18" s="201">
        <f t="shared" si="0"/>
        <v>0.9990851750875388</v>
      </c>
      <c r="N18" s="201">
        <f t="shared" si="0"/>
        <v>1</v>
      </c>
      <c r="O18" s="209">
        <f t="shared" si="0"/>
        <v>0.88</v>
      </c>
      <c r="P18" s="204">
        <f t="shared" si="8"/>
        <v>3.4398468840586267E-4</v>
      </c>
      <c r="Q18" s="204">
        <f t="shared" si="1"/>
        <v>8.5862060816636432E-4</v>
      </c>
      <c r="R18" s="204">
        <f t="shared" si="1"/>
        <v>0</v>
      </c>
      <c r="S18" s="204">
        <f t="shared" si="1"/>
        <v>0.11992475530322605</v>
      </c>
    </row>
    <row r="19" spans="1:19" ht="15.75" x14ac:dyDescent="0.2">
      <c r="A19" s="9">
        <f t="shared" si="2"/>
        <v>27</v>
      </c>
      <c r="B19" s="93">
        <v>3.7653142409123716E-4</v>
      </c>
      <c r="C19" s="93">
        <v>1.0583526459874808E-3</v>
      </c>
      <c r="D19" s="93">
        <v>2.0433079467981584E-2</v>
      </c>
      <c r="E19" s="93">
        <v>4.6111590047914763E-4</v>
      </c>
      <c r="F19" s="201">
        <f t="shared" si="3"/>
        <v>3.7653142409123716E-4</v>
      </c>
      <c r="G19" s="201">
        <f t="shared" si="4"/>
        <v>1.0583526459874808E-3</v>
      </c>
      <c r="H19" s="202">
        <v>0</v>
      </c>
      <c r="I19" s="203">
        <v>0.12</v>
      </c>
      <c r="J19" s="204">
        <f t="shared" si="5"/>
        <v>0.87873765270099624</v>
      </c>
      <c r="K19" s="204">
        <f t="shared" si="6"/>
        <v>0.12126234729900376</v>
      </c>
      <c r="L19" s="201">
        <f t="shared" si="7"/>
        <v>0.99962346857590878</v>
      </c>
      <c r="M19" s="201">
        <f t="shared" si="0"/>
        <v>0.99894164735401247</v>
      </c>
      <c r="N19" s="201">
        <f t="shared" si="0"/>
        <v>1</v>
      </c>
      <c r="O19" s="209">
        <f t="shared" si="0"/>
        <v>0.88</v>
      </c>
      <c r="P19" s="204">
        <f t="shared" si="8"/>
        <v>3.5327667467299496E-4</v>
      </c>
      <c r="Q19" s="204">
        <f t="shared" si="1"/>
        <v>9.9332709304645532E-4</v>
      </c>
      <c r="R19" s="204">
        <f t="shared" si="1"/>
        <v>0</v>
      </c>
      <c r="S19" s="204">
        <f t="shared" si="1"/>
        <v>0.11991574353128433</v>
      </c>
    </row>
    <row r="20" spans="1:19" ht="15.75" x14ac:dyDescent="0.2">
      <c r="A20" s="9">
        <f t="shared" si="2"/>
        <v>28</v>
      </c>
      <c r="B20" s="93">
        <v>3.7964096489413474E-4</v>
      </c>
      <c r="C20" s="93">
        <v>1.1999301480059516E-3</v>
      </c>
      <c r="D20" s="93">
        <v>2.1082613650473772E-2</v>
      </c>
      <c r="E20" s="93">
        <v>4.9141527599483315E-4</v>
      </c>
      <c r="F20" s="201">
        <f t="shared" si="3"/>
        <v>3.7964096489413474E-4</v>
      </c>
      <c r="G20" s="201">
        <f t="shared" si="4"/>
        <v>1.1999301480059516E-3</v>
      </c>
      <c r="H20" s="202">
        <v>0</v>
      </c>
      <c r="I20" s="203">
        <v>0.12</v>
      </c>
      <c r="J20" s="204">
        <f t="shared" si="5"/>
        <v>0.87861037829817035</v>
      </c>
      <c r="K20" s="204">
        <f t="shared" si="6"/>
        <v>0.12138962170182965</v>
      </c>
      <c r="L20" s="201">
        <f t="shared" si="7"/>
        <v>0.99962035903510582</v>
      </c>
      <c r="M20" s="201">
        <f t="shared" si="0"/>
        <v>0.9988000698519941</v>
      </c>
      <c r="N20" s="201">
        <f t="shared" si="0"/>
        <v>1</v>
      </c>
      <c r="O20" s="209">
        <f t="shared" si="0"/>
        <v>0.88</v>
      </c>
      <c r="P20" s="204">
        <f t="shared" si="8"/>
        <v>3.5616948256940429E-4</v>
      </c>
      <c r="Q20" s="204">
        <f t="shared" si="1"/>
        <v>1.126206015434473E-3</v>
      </c>
      <c r="R20" s="204">
        <f t="shared" si="1"/>
        <v>0</v>
      </c>
      <c r="S20" s="204">
        <f t="shared" si="1"/>
        <v>0.11990724620382569</v>
      </c>
    </row>
    <row r="21" spans="1:19" ht="15.75" x14ac:dyDescent="0.2">
      <c r="A21" s="9">
        <f t="shared" si="2"/>
        <v>29</v>
      </c>
      <c r="B21" s="93">
        <v>3.7728531104672038E-4</v>
      </c>
      <c r="C21" s="93">
        <v>1.3403492778332855E-3</v>
      </c>
      <c r="D21" s="93">
        <v>2.1602652111043234E-2</v>
      </c>
      <c r="E21" s="93">
        <v>5.1172451160408361E-4</v>
      </c>
      <c r="F21" s="201">
        <f t="shared" si="3"/>
        <v>3.7728531104672038E-4</v>
      </c>
      <c r="G21" s="201">
        <f t="shared" si="4"/>
        <v>1.3403492778332855E-3</v>
      </c>
      <c r="H21" s="202">
        <v>0</v>
      </c>
      <c r="I21" s="203">
        <v>0.12</v>
      </c>
      <c r="J21" s="204">
        <f t="shared" si="5"/>
        <v>0.87848892657258837</v>
      </c>
      <c r="K21" s="204">
        <f t="shared" si="6"/>
        <v>0.12151107342741163</v>
      </c>
      <c r="L21" s="201">
        <f t="shared" si="7"/>
        <v>0.99962271468895325</v>
      </c>
      <c r="M21" s="201">
        <f t="shared" si="0"/>
        <v>0.99865965072216667</v>
      </c>
      <c r="N21" s="201">
        <f t="shared" si="0"/>
        <v>1</v>
      </c>
      <c r="O21" s="209">
        <f t="shared" si="0"/>
        <v>0.88</v>
      </c>
      <c r="P21" s="204">
        <f t="shared" si="8"/>
        <v>3.5393511389297469E-4</v>
      </c>
      <c r="Q21" s="204">
        <f t="shared" si="1"/>
        <v>1.2580010837857994E-3</v>
      </c>
      <c r="R21" s="204">
        <f t="shared" si="1"/>
        <v>0</v>
      </c>
      <c r="S21" s="204">
        <f t="shared" si="1"/>
        <v>0.11989913722973279</v>
      </c>
    </row>
    <row r="22" spans="1:19" ht="15.75" x14ac:dyDescent="0.2">
      <c r="A22" s="9">
        <f t="shared" si="2"/>
        <v>30</v>
      </c>
      <c r="B22" s="93">
        <v>3.7112379833631633E-4</v>
      </c>
      <c r="C22" s="93">
        <v>1.4810157334213129E-3</v>
      </c>
      <c r="D22" s="93">
        <v>2.2002249949269137E-2</v>
      </c>
      <c r="E22" s="93">
        <v>5.320644099104932E-4</v>
      </c>
      <c r="F22" s="201">
        <f t="shared" si="3"/>
        <v>3.7112379833631633E-4</v>
      </c>
      <c r="G22" s="201">
        <f t="shared" si="4"/>
        <v>1.4810157334213129E-3</v>
      </c>
      <c r="H22" s="202">
        <v>0</v>
      </c>
      <c r="I22" s="203">
        <v>0.12</v>
      </c>
      <c r="J22" s="204">
        <f t="shared" si="5"/>
        <v>0.87837060089541552</v>
      </c>
      <c r="K22" s="204">
        <f t="shared" si="6"/>
        <v>0.12162939910458448</v>
      </c>
      <c r="L22" s="201">
        <f t="shared" si="7"/>
        <v>0.99962887620166363</v>
      </c>
      <c r="M22" s="201">
        <f t="shared" si="0"/>
        <v>0.9985189842665787</v>
      </c>
      <c r="N22" s="201">
        <f t="shared" si="0"/>
        <v>1</v>
      </c>
      <c r="O22" s="209">
        <f t="shared" si="0"/>
        <v>0.88</v>
      </c>
      <c r="P22" s="204">
        <f t="shared" si="8"/>
        <v>3.4813092321867993E-4</v>
      </c>
      <c r="Q22" s="204">
        <f t="shared" si="1"/>
        <v>1.3900315758993171E-3</v>
      </c>
      <c r="R22" s="204">
        <f t="shared" si="1"/>
        <v>0</v>
      </c>
      <c r="S22" s="204">
        <f t="shared" si="1"/>
        <v>0.11989123660546648</v>
      </c>
    </row>
    <row r="23" spans="1:19" ht="15.75" x14ac:dyDescent="0.2">
      <c r="A23" s="9">
        <f t="shared" si="2"/>
        <v>31</v>
      </c>
      <c r="B23" s="93">
        <v>3.630021014958333E-4</v>
      </c>
      <c r="C23" s="93">
        <v>1.6237518099296256E-3</v>
      </c>
      <c r="D23" s="93">
        <v>2.2290462264730655E-2</v>
      </c>
      <c r="E23" s="93">
        <v>5.5243624383527479E-4</v>
      </c>
      <c r="F23" s="201">
        <f t="shared" si="3"/>
        <v>3.630021014958333E-4</v>
      </c>
      <c r="G23" s="201">
        <f t="shared" si="4"/>
        <v>1.6237518099296256E-3</v>
      </c>
      <c r="H23" s="202">
        <v>0</v>
      </c>
      <c r="I23" s="203">
        <v>0.12</v>
      </c>
      <c r="J23" s="204">
        <f t="shared" si="5"/>
        <v>0.87825217525222665</v>
      </c>
      <c r="K23" s="204">
        <f t="shared" si="6"/>
        <v>0.12174782474777335</v>
      </c>
      <c r="L23" s="201">
        <f t="shared" si="7"/>
        <v>0.99963699789850413</v>
      </c>
      <c r="M23" s="201">
        <f t="shared" si="0"/>
        <v>0.99837624819007043</v>
      </c>
      <c r="N23" s="201">
        <f t="shared" si="0"/>
        <v>1</v>
      </c>
      <c r="O23" s="209">
        <f t="shared" si="0"/>
        <v>0.88</v>
      </c>
      <c r="P23" s="204">
        <f t="shared" si="8"/>
        <v>3.4048856165901857E-4</v>
      </c>
      <c r="Q23" s="204">
        <f t="shared" si="1"/>
        <v>1.524007242627921E-3</v>
      </c>
      <c r="R23" s="204">
        <f t="shared" si="1"/>
        <v>0</v>
      </c>
      <c r="S23" s="204">
        <f t="shared" si="1"/>
        <v>0.11988332894348644</v>
      </c>
    </row>
    <row r="24" spans="1:19" ht="15.75" x14ac:dyDescent="0.2">
      <c r="A24" s="9">
        <f t="shared" si="2"/>
        <v>32</v>
      </c>
      <c r="B24" s="93">
        <v>3.5484686024036752E-4</v>
      </c>
      <c r="C24" s="93">
        <v>1.7706306553340726E-3</v>
      </c>
      <c r="D24" s="93">
        <v>2.2476344157006972E-2</v>
      </c>
      <c r="E24" s="93">
        <v>5.8289114005471987E-4</v>
      </c>
      <c r="F24" s="201">
        <f t="shared" si="3"/>
        <v>3.5484686024036752E-4</v>
      </c>
      <c r="G24" s="201">
        <f t="shared" si="4"/>
        <v>1.7706306553340726E-3</v>
      </c>
      <c r="H24" s="202">
        <v>0</v>
      </c>
      <c r="I24" s="203">
        <v>0.12</v>
      </c>
      <c r="J24" s="204">
        <f t="shared" si="5"/>
        <v>0.8781301326926958</v>
      </c>
      <c r="K24" s="204">
        <f t="shared" si="6"/>
        <v>0.1218698673073042</v>
      </c>
      <c r="L24" s="201">
        <f t="shared" si="7"/>
        <v>0.99964515313975966</v>
      </c>
      <c r="M24" s="201">
        <f t="shared" si="0"/>
        <v>0.99822936934466588</v>
      </c>
      <c r="N24" s="201">
        <f t="shared" si="0"/>
        <v>1</v>
      </c>
      <c r="O24" s="209">
        <f t="shared" si="0"/>
        <v>0.88</v>
      </c>
      <c r="P24" s="204">
        <f t="shared" si="8"/>
        <v>3.3281512823469086E-4</v>
      </c>
      <c r="Q24" s="204">
        <f t="shared" si="1"/>
        <v>1.6618727907306168E-3</v>
      </c>
      <c r="R24" s="204">
        <f t="shared" si="1"/>
        <v>0</v>
      </c>
      <c r="S24" s="204">
        <f t="shared" si="1"/>
        <v>0.11987517938833897</v>
      </c>
    </row>
    <row r="25" spans="1:19" ht="15.75" x14ac:dyDescent="0.2">
      <c r="A25" s="9">
        <f t="shared" si="2"/>
        <v>33</v>
      </c>
      <c r="B25" s="93">
        <v>3.4857327016019746E-4</v>
      </c>
      <c r="C25" s="93">
        <v>1.9238419987757393E-3</v>
      </c>
      <c r="D25" s="93">
        <v>2.2568950725677259E-2</v>
      </c>
      <c r="E25" s="93">
        <v>6.1339822617301198E-4</v>
      </c>
      <c r="F25" s="201">
        <f t="shared" si="3"/>
        <v>3.4857327016019746E-4</v>
      </c>
      <c r="G25" s="201">
        <f t="shared" si="4"/>
        <v>1.9238419987757393E-3</v>
      </c>
      <c r="H25" s="202">
        <v>0</v>
      </c>
      <c r="I25" s="203">
        <v>0.12</v>
      </c>
      <c r="J25" s="204">
        <f t="shared" si="5"/>
        <v>0.87800086469124561</v>
      </c>
      <c r="K25" s="204">
        <f t="shared" si="6"/>
        <v>0.12199913530875439</v>
      </c>
      <c r="L25" s="201">
        <f t="shared" si="7"/>
        <v>0.99965142672983975</v>
      </c>
      <c r="M25" s="201">
        <f t="shared" si="7"/>
        <v>0.99807615800122429</v>
      </c>
      <c r="N25" s="201">
        <f t="shared" si="7"/>
        <v>1</v>
      </c>
      <c r="O25" s="209">
        <f t="shared" si="7"/>
        <v>0.88</v>
      </c>
      <c r="P25" s="204">
        <f t="shared" si="8"/>
        <v>3.2690648408272434E-4</v>
      </c>
      <c r="Q25" s="204">
        <f t="shared" ref="Q25:S54" si="9">(LOG(M25)/LOG($J25))*$K25</f>
        <v>1.8056819007665084E-3</v>
      </c>
      <c r="R25" s="204">
        <f t="shared" si="9"/>
        <v>0</v>
      </c>
      <c r="S25" s="204">
        <f t="shared" si="9"/>
        <v>0.11986654692390523</v>
      </c>
    </row>
    <row r="26" spans="1:19" ht="15.75" x14ac:dyDescent="0.2">
      <c r="A26" s="9">
        <f t="shared" si="2"/>
        <v>34</v>
      </c>
      <c r="B26" s="93">
        <v>3.4600562669376863E-4</v>
      </c>
      <c r="C26" s="93">
        <v>2.0855893398740713E-3</v>
      </c>
      <c r="D26" s="93">
        <v>2.257733707032069E-2</v>
      </c>
      <c r="E26" s="93">
        <v>6.5402223675603555E-4</v>
      </c>
      <c r="F26" s="201">
        <f t="shared" si="3"/>
        <v>3.4600562669376863E-4</v>
      </c>
      <c r="G26" s="201">
        <f t="shared" si="4"/>
        <v>2.0855893398740713E-3</v>
      </c>
      <c r="H26" s="202">
        <v>0</v>
      </c>
      <c r="I26" s="203">
        <v>0.12</v>
      </c>
      <c r="J26" s="204">
        <f t="shared" si="5"/>
        <v>0.87786083145998939</v>
      </c>
      <c r="K26" s="204">
        <f t="shared" si="6"/>
        <v>0.12213916854001061</v>
      </c>
      <c r="L26" s="201">
        <f t="shared" si="7"/>
        <v>0.99965399437330626</v>
      </c>
      <c r="M26" s="201">
        <f t="shared" si="7"/>
        <v>0.99791441066012598</v>
      </c>
      <c r="N26" s="201">
        <f t="shared" si="7"/>
        <v>1</v>
      </c>
      <c r="O26" s="209">
        <f t="shared" si="7"/>
        <v>0.88</v>
      </c>
      <c r="P26" s="204">
        <f t="shared" si="8"/>
        <v>3.2447270775939912E-4</v>
      </c>
      <c r="Q26" s="204">
        <f t="shared" si="9"/>
        <v>1.9575007589505596E-3</v>
      </c>
      <c r="R26" s="204">
        <f t="shared" si="9"/>
        <v>0</v>
      </c>
      <c r="S26" s="204">
        <f t="shared" si="9"/>
        <v>0.11985719507330067</v>
      </c>
    </row>
    <row r="27" spans="1:19" ht="15.75" x14ac:dyDescent="0.2">
      <c r="A27" s="9">
        <f t="shared" si="2"/>
        <v>35</v>
      </c>
      <c r="B27" s="93">
        <v>3.4881082090896642E-4</v>
      </c>
      <c r="C27" s="93">
        <v>2.2580185977324162E-3</v>
      </c>
      <c r="D27" s="93">
        <v>2.2510558290516451E-2</v>
      </c>
      <c r="E27" s="93">
        <v>6.9472412404347761E-4</v>
      </c>
      <c r="F27" s="201">
        <f t="shared" si="3"/>
        <v>3.4881082090896642E-4</v>
      </c>
      <c r="G27" s="201">
        <f t="shared" si="4"/>
        <v>2.2580185977324162E-3</v>
      </c>
      <c r="H27" s="202">
        <v>0</v>
      </c>
      <c r="I27" s="203">
        <v>0.09</v>
      </c>
      <c r="J27" s="204">
        <f t="shared" si="5"/>
        <v>0.90762850196443823</v>
      </c>
      <c r="K27" s="204">
        <f t="shared" si="6"/>
        <v>9.2371498035561772E-2</v>
      </c>
      <c r="L27" s="201">
        <f t="shared" si="7"/>
        <v>0.99965118917909102</v>
      </c>
      <c r="M27" s="201">
        <f t="shared" si="7"/>
        <v>0.99774198140226755</v>
      </c>
      <c r="N27" s="201">
        <f t="shared" si="7"/>
        <v>1</v>
      </c>
      <c r="O27" s="209">
        <f t="shared" si="7"/>
        <v>0.91</v>
      </c>
      <c r="P27" s="204">
        <f t="shared" si="8"/>
        <v>3.3249853355912844E-4</v>
      </c>
      <c r="Q27" s="204">
        <f t="shared" si="9"/>
        <v>2.1544793193224855E-3</v>
      </c>
      <c r="R27" s="204">
        <f t="shared" si="9"/>
        <v>0</v>
      </c>
      <c r="S27" s="204">
        <f t="shared" si="9"/>
        <v>8.9884520182680214E-2</v>
      </c>
    </row>
    <row r="28" spans="1:19" ht="15.75" x14ac:dyDescent="0.2">
      <c r="A28" s="9">
        <f t="shared" si="2"/>
        <v>36</v>
      </c>
      <c r="B28" s="93">
        <v>3.5844479283861868E-4</v>
      </c>
      <c r="C28" s="93">
        <v>2.4431782253819178E-3</v>
      </c>
      <c r="D28" s="93">
        <v>2.2377669485843708E-2</v>
      </c>
      <c r="E28" s="93">
        <v>7.4558442736094577E-4</v>
      </c>
      <c r="F28" s="201">
        <f t="shared" si="3"/>
        <v>3.5844479283861868E-4</v>
      </c>
      <c r="G28" s="201">
        <f t="shared" si="4"/>
        <v>2.4431782253819178E-3</v>
      </c>
      <c r="H28" s="202">
        <v>0</v>
      </c>
      <c r="I28" s="203">
        <v>0.09</v>
      </c>
      <c r="J28" s="204">
        <f t="shared" si="5"/>
        <v>0.9074513199809261</v>
      </c>
      <c r="K28" s="204">
        <f t="shared" si="6"/>
        <v>9.2548680019073903E-2</v>
      </c>
      <c r="L28" s="201">
        <f t="shared" si="7"/>
        <v>0.99964155520716136</v>
      </c>
      <c r="M28" s="201">
        <f t="shared" si="7"/>
        <v>0.99755682177461813</v>
      </c>
      <c r="N28" s="201">
        <f t="shared" si="7"/>
        <v>1</v>
      </c>
      <c r="O28" s="209">
        <f t="shared" si="7"/>
        <v>0.91</v>
      </c>
      <c r="P28" s="204">
        <f t="shared" si="8"/>
        <v>3.4165080184215445E-4</v>
      </c>
      <c r="Q28" s="204">
        <f t="shared" si="9"/>
        <v>2.3311409907731599E-3</v>
      </c>
      <c r="R28" s="204">
        <f t="shared" si="9"/>
        <v>0</v>
      </c>
      <c r="S28" s="204">
        <f t="shared" si="9"/>
        <v>8.9875888226458617E-2</v>
      </c>
    </row>
    <row r="29" spans="1:19" ht="15.75" x14ac:dyDescent="0.2">
      <c r="A29" s="9">
        <f t="shared" si="2"/>
        <v>37</v>
      </c>
      <c r="B29" s="93">
        <v>3.7611195106030949E-4</v>
      </c>
      <c r="C29" s="93">
        <v>2.6430107983538894E-3</v>
      </c>
      <c r="D29" s="93">
        <v>2.218772575588164E-2</v>
      </c>
      <c r="E29" s="93">
        <v>8.0663863597407737E-4</v>
      </c>
      <c r="F29" s="201">
        <f t="shared" si="3"/>
        <v>3.7611195106030949E-4</v>
      </c>
      <c r="G29" s="201">
        <f t="shared" si="4"/>
        <v>2.6430107983538894E-3</v>
      </c>
      <c r="H29" s="202">
        <v>0</v>
      </c>
      <c r="I29" s="203">
        <v>0.09</v>
      </c>
      <c r="J29" s="204">
        <f t="shared" si="5"/>
        <v>0.90725350289986573</v>
      </c>
      <c r="K29" s="204">
        <f t="shared" si="6"/>
        <v>9.2746497100134273E-2</v>
      </c>
      <c r="L29" s="201">
        <f t="shared" si="7"/>
        <v>0.99962388804893965</v>
      </c>
      <c r="M29" s="201">
        <f t="shared" si="7"/>
        <v>0.99735698920164606</v>
      </c>
      <c r="N29" s="201">
        <f t="shared" si="7"/>
        <v>1</v>
      </c>
      <c r="O29" s="209">
        <f t="shared" si="7"/>
        <v>0.91</v>
      </c>
      <c r="P29" s="204">
        <f t="shared" si="8"/>
        <v>3.5845493601934647E-4</v>
      </c>
      <c r="Q29" s="204">
        <f t="shared" si="9"/>
        <v>2.5217918696661423E-3</v>
      </c>
      <c r="R29" s="204">
        <f t="shared" si="9"/>
        <v>0</v>
      </c>
      <c r="S29" s="204">
        <f t="shared" si="9"/>
        <v>8.9866250294448766E-2</v>
      </c>
    </row>
    <row r="30" spans="1:19" ht="15.75" x14ac:dyDescent="0.2">
      <c r="A30" s="9">
        <f t="shared" si="2"/>
        <v>38</v>
      </c>
      <c r="B30" s="93">
        <v>4.027375661928197E-4</v>
      </c>
      <c r="C30" s="93">
        <v>2.8593760850528769E-3</v>
      </c>
      <c r="D30" s="93">
        <v>2.1949782200209426E-2</v>
      </c>
      <c r="E30" s="93">
        <v>8.7792768701377977E-4</v>
      </c>
      <c r="F30" s="201">
        <f t="shared" si="3"/>
        <v>4.027375661928197E-4</v>
      </c>
      <c r="G30" s="201">
        <f t="shared" si="4"/>
        <v>2.8593760850528769E-3</v>
      </c>
      <c r="H30" s="202">
        <v>0</v>
      </c>
      <c r="I30" s="203">
        <v>0.09</v>
      </c>
      <c r="J30" s="204">
        <f t="shared" si="5"/>
        <v>0.90703252451349692</v>
      </c>
      <c r="K30" s="204">
        <f t="shared" si="6"/>
        <v>9.2967475486503082E-2</v>
      </c>
      <c r="L30" s="201">
        <f t="shared" si="7"/>
        <v>0.9995972624338072</v>
      </c>
      <c r="M30" s="201">
        <f t="shared" si="7"/>
        <v>0.99714062391494718</v>
      </c>
      <c r="N30" s="201">
        <f t="shared" si="7"/>
        <v>1</v>
      </c>
      <c r="O30" s="209">
        <f t="shared" si="7"/>
        <v>0.91</v>
      </c>
      <c r="P30" s="204">
        <f t="shared" si="8"/>
        <v>3.8378970324091845E-4</v>
      </c>
      <c r="Q30" s="204">
        <f t="shared" si="9"/>
        <v>2.7282027147223133E-3</v>
      </c>
      <c r="R30" s="204">
        <f t="shared" si="9"/>
        <v>0</v>
      </c>
      <c r="S30" s="204">
        <f t="shared" si="9"/>
        <v>8.9855483068539813E-2</v>
      </c>
    </row>
    <row r="31" spans="1:19" ht="15.75" x14ac:dyDescent="0.2">
      <c r="A31" s="9">
        <f t="shared" si="2"/>
        <v>39</v>
      </c>
      <c r="B31" s="93">
        <v>4.3895314162170352E-4</v>
      </c>
      <c r="C31" s="93">
        <v>3.0941056022431076E-3</v>
      </c>
      <c r="D31" s="93">
        <v>2.1672893918406252E-2</v>
      </c>
      <c r="E31" s="93">
        <v>9.5949904050096624E-4</v>
      </c>
      <c r="F31" s="201">
        <f t="shared" si="3"/>
        <v>4.3895314162170352E-4</v>
      </c>
      <c r="G31" s="201">
        <f t="shared" si="4"/>
        <v>3.0941056022431076E-3</v>
      </c>
      <c r="H31" s="202">
        <v>0</v>
      </c>
      <c r="I31" s="203">
        <v>0.09</v>
      </c>
      <c r="J31" s="204">
        <f t="shared" si="5"/>
        <v>0.90678615247539396</v>
      </c>
      <c r="K31" s="204">
        <f t="shared" si="6"/>
        <v>9.3213847524606042E-2</v>
      </c>
      <c r="L31" s="201">
        <f t="shared" si="7"/>
        <v>0.99956104685837832</v>
      </c>
      <c r="M31" s="201">
        <f t="shared" si="7"/>
        <v>0.9969058943977569</v>
      </c>
      <c r="N31" s="201">
        <f t="shared" si="7"/>
        <v>1</v>
      </c>
      <c r="O31" s="209">
        <f t="shared" si="7"/>
        <v>0.91</v>
      </c>
      <c r="P31" s="204">
        <f t="shared" si="8"/>
        <v>4.1825310733203838E-4</v>
      </c>
      <c r="Q31" s="204">
        <f t="shared" si="9"/>
        <v>2.9521169343583674E-3</v>
      </c>
      <c r="R31" s="204">
        <f t="shared" si="9"/>
        <v>0</v>
      </c>
      <c r="S31" s="204">
        <f t="shared" si="9"/>
        <v>8.9843477482915601E-2</v>
      </c>
    </row>
    <row r="32" spans="1:19" ht="15.75" x14ac:dyDescent="0.2">
      <c r="A32" s="9">
        <f t="shared" si="2"/>
        <v>40</v>
      </c>
      <c r="B32" s="93">
        <v>4.8509475800617312E-4</v>
      </c>
      <c r="C32" s="93">
        <v>3.3490886522002284E-3</v>
      </c>
      <c r="D32" s="93">
        <v>2.1366116010051284E-2</v>
      </c>
      <c r="E32" s="93">
        <v>1.0514077743517536E-3</v>
      </c>
      <c r="F32" s="201">
        <f t="shared" si="3"/>
        <v>4.8509475800617312E-4</v>
      </c>
      <c r="G32" s="201">
        <f t="shared" si="4"/>
        <v>3.3490886522002284E-3</v>
      </c>
      <c r="H32" s="202">
        <v>0</v>
      </c>
      <c r="I32" s="203">
        <v>0.09</v>
      </c>
      <c r="J32" s="204">
        <f t="shared" si="5"/>
        <v>0.90651237150578001</v>
      </c>
      <c r="K32" s="204">
        <f t="shared" si="6"/>
        <v>9.3487628494219988E-2</v>
      </c>
      <c r="L32" s="201">
        <f t="shared" si="7"/>
        <v>0.99951490524199382</v>
      </c>
      <c r="M32" s="201">
        <f t="shared" si="7"/>
        <v>0.99665091134779982</v>
      </c>
      <c r="N32" s="201">
        <f t="shared" si="7"/>
        <v>1</v>
      </c>
      <c r="O32" s="209">
        <f t="shared" si="7"/>
        <v>0.91</v>
      </c>
      <c r="P32" s="204">
        <f t="shared" si="8"/>
        <v>4.6216081283386216E-4</v>
      </c>
      <c r="Q32" s="204">
        <f t="shared" si="9"/>
        <v>3.1953327040394031E-3</v>
      </c>
      <c r="R32" s="204">
        <f t="shared" si="9"/>
        <v>0</v>
      </c>
      <c r="S32" s="204">
        <f t="shared" si="9"/>
        <v>8.983013497734664E-2</v>
      </c>
    </row>
    <row r="33" spans="1:19" ht="15.75" x14ac:dyDescent="0.2">
      <c r="A33" s="9">
        <f t="shared" si="2"/>
        <v>41</v>
      </c>
      <c r="B33" s="93">
        <v>5.4121438002994538E-4</v>
      </c>
      <c r="C33" s="93">
        <v>3.6263898299912704E-3</v>
      </c>
      <c r="D33" s="93">
        <v>2.1038503574723678E-2</v>
      </c>
      <c r="E33" s="93">
        <v>1.1537177034945945E-3</v>
      </c>
      <c r="F33" s="201">
        <f t="shared" si="3"/>
        <v>5.4121438002994538E-4</v>
      </c>
      <c r="G33" s="201">
        <f t="shared" si="4"/>
        <v>3.6263898299912704E-3</v>
      </c>
      <c r="H33" s="202">
        <v>0</v>
      </c>
      <c r="I33" s="203">
        <v>0.09</v>
      </c>
      <c r="J33" s="204">
        <f t="shared" si="5"/>
        <v>0.90620926618431519</v>
      </c>
      <c r="K33" s="204">
        <f t="shared" si="6"/>
        <v>9.3790733815684812E-2</v>
      </c>
      <c r="L33" s="201">
        <f t="shared" si="7"/>
        <v>0.99945878561997004</v>
      </c>
      <c r="M33" s="201">
        <f t="shared" si="7"/>
        <v>0.99637361017000869</v>
      </c>
      <c r="N33" s="201">
        <f t="shared" si="7"/>
        <v>1</v>
      </c>
      <c r="O33" s="209">
        <f t="shared" si="7"/>
        <v>0.91</v>
      </c>
      <c r="P33" s="204">
        <f t="shared" si="8"/>
        <v>5.1555692745488537E-4</v>
      </c>
      <c r="Q33" s="204">
        <f t="shared" si="9"/>
        <v>3.4598151088769034E-3</v>
      </c>
      <c r="R33" s="204">
        <f t="shared" si="9"/>
        <v>0</v>
      </c>
      <c r="S33" s="204">
        <f t="shared" si="9"/>
        <v>8.9815361779353065E-2</v>
      </c>
    </row>
    <row r="34" spans="1:19" ht="15.75" x14ac:dyDescent="0.2">
      <c r="A34" s="9">
        <f t="shared" si="2"/>
        <v>42</v>
      </c>
      <c r="B34" s="93">
        <v>6.0710410545611153E-4</v>
      </c>
      <c r="C34" s="93">
        <v>3.9283979809427568E-3</v>
      </c>
      <c r="D34" s="93">
        <v>2.0699111712002657E-2</v>
      </c>
      <c r="E34" s="93">
        <v>1.2766345481625141E-3</v>
      </c>
      <c r="F34" s="201">
        <f t="shared" si="3"/>
        <v>6.0710410545611153E-4</v>
      </c>
      <c r="G34" s="201">
        <f t="shared" si="4"/>
        <v>3.9283979809427568E-3</v>
      </c>
      <c r="H34" s="202">
        <v>0</v>
      </c>
      <c r="I34" s="203">
        <v>0.09</v>
      </c>
      <c r="J34" s="204">
        <f t="shared" si="5"/>
        <v>0.90587486340273038</v>
      </c>
      <c r="K34" s="204">
        <f t="shared" si="6"/>
        <v>9.4125136597269621E-2</v>
      </c>
      <c r="L34" s="201">
        <f t="shared" si="7"/>
        <v>0.99939289589454394</v>
      </c>
      <c r="M34" s="201">
        <f t="shared" si="7"/>
        <v>0.9960716020190572</v>
      </c>
      <c r="N34" s="201">
        <f t="shared" si="7"/>
        <v>1</v>
      </c>
      <c r="O34" s="209">
        <f t="shared" si="7"/>
        <v>0.91</v>
      </c>
      <c r="P34" s="204">
        <f t="shared" si="8"/>
        <v>5.7823710527354639E-4</v>
      </c>
      <c r="Q34" s="204">
        <f t="shared" si="9"/>
        <v>3.7478382754975509E-3</v>
      </c>
      <c r="R34" s="204">
        <f t="shared" si="9"/>
        <v>0</v>
      </c>
      <c r="S34" s="204">
        <f t="shared" si="9"/>
        <v>8.9799061216498513E-2</v>
      </c>
    </row>
    <row r="35" spans="1:19" ht="15.75" x14ac:dyDescent="0.2">
      <c r="A35" s="9">
        <f t="shared" si="2"/>
        <v>43</v>
      </c>
      <c r="B35" s="93">
        <v>6.823333285995031E-4</v>
      </c>
      <c r="C35" s="93">
        <v>4.2580065804103291E-3</v>
      </c>
      <c r="D35" s="93">
        <v>2.0356995521467358E-2</v>
      </c>
      <c r="E35" s="93">
        <v>1.3898611153382312E-3</v>
      </c>
      <c r="F35" s="201">
        <f t="shared" si="3"/>
        <v>6.823333285995031E-4</v>
      </c>
      <c r="G35" s="201">
        <f t="shared" si="4"/>
        <v>4.2580065804103291E-3</v>
      </c>
      <c r="H35" s="202">
        <v>0</v>
      </c>
      <c r="I35" s="203">
        <v>0.09</v>
      </c>
      <c r="J35" s="204">
        <f t="shared" si="5"/>
        <v>0.90550693457842202</v>
      </c>
      <c r="K35" s="204">
        <f t="shared" si="6"/>
        <v>9.4493065421577982E-2</v>
      </c>
      <c r="L35" s="201">
        <f t="shared" si="7"/>
        <v>0.99931766667140054</v>
      </c>
      <c r="M35" s="201">
        <f t="shared" si="7"/>
        <v>0.99574199341958969</v>
      </c>
      <c r="N35" s="201">
        <f t="shared" si="7"/>
        <v>1</v>
      </c>
      <c r="O35" s="209">
        <f t="shared" si="7"/>
        <v>0.91</v>
      </c>
      <c r="P35" s="204">
        <f t="shared" si="8"/>
        <v>6.4978391815289271E-4</v>
      </c>
      <c r="Q35" s="204">
        <f t="shared" si="9"/>
        <v>4.0621574428063275E-3</v>
      </c>
      <c r="R35" s="204">
        <f t="shared" si="9"/>
        <v>0</v>
      </c>
      <c r="S35" s="204">
        <f t="shared" si="9"/>
        <v>8.9781124060618708E-2</v>
      </c>
    </row>
    <row r="36" spans="1:19" ht="15.75" x14ac:dyDescent="0.2">
      <c r="A36" s="9">
        <f t="shared" si="2"/>
        <v>44</v>
      </c>
      <c r="B36" s="93">
        <v>7.662987831740471E-4</v>
      </c>
      <c r="C36" s="93">
        <v>4.6188255008075456E-3</v>
      </c>
      <c r="D36" s="93">
        <v>2.0021210102696974E-2</v>
      </c>
      <c r="E36" s="93">
        <v>1.534022797000989E-3</v>
      </c>
      <c r="F36" s="201">
        <f t="shared" si="3"/>
        <v>7.662987831740471E-4</v>
      </c>
      <c r="G36" s="201">
        <f t="shared" si="4"/>
        <v>4.6188255008075456E-3</v>
      </c>
      <c r="H36" s="202">
        <v>0</v>
      </c>
      <c r="I36" s="203">
        <v>0.09</v>
      </c>
      <c r="J36" s="204">
        <f t="shared" si="5"/>
        <v>0.90510275775590532</v>
      </c>
      <c r="K36" s="204">
        <f t="shared" si="6"/>
        <v>9.4897242244094682E-2</v>
      </c>
      <c r="L36" s="201">
        <f t="shared" si="7"/>
        <v>0.99923370121682598</v>
      </c>
      <c r="M36" s="201">
        <f t="shared" si="7"/>
        <v>0.9953811744991925</v>
      </c>
      <c r="N36" s="201">
        <f t="shared" si="7"/>
        <v>1</v>
      </c>
      <c r="O36" s="209">
        <f t="shared" si="7"/>
        <v>0.91</v>
      </c>
      <c r="P36" s="204">
        <f t="shared" si="8"/>
        <v>7.2961442946610023E-4</v>
      </c>
      <c r="Q36" s="204">
        <f t="shared" si="9"/>
        <v>4.4062109085654085E-3</v>
      </c>
      <c r="R36" s="204">
        <f t="shared" si="9"/>
        <v>0</v>
      </c>
      <c r="S36" s="204">
        <f t="shared" si="9"/>
        <v>8.9761416906063166E-2</v>
      </c>
    </row>
    <row r="37" spans="1:19" ht="15.75" x14ac:dyDescent="0.2">
      <c r="A37" s="9">
        <f t="shared" si="2"/>
        <v>45</v>
      </c>
      <c r="B37" s="93">
        <v>8.5828742281979253E-4</v>
      </c>
      <c r="C37" s="93">
        <v>5.0154241241986445E-3</v>
      </c>
      <c r="D37" s="93">
        <v>1.9700810555270676E-2</v>
      </c>
      <c r="E37" s="93">
        <v>1.6788254326790542E-3</v>
      </c>
      <c r="F37" s="201">
        <f t="shared" si="3"/>
        <v>8.5828742281979253E-4</v>
      </c>
      <c r="G37" s="201">
        <f t="shared" si="4"/>
        <v>5.0154241241986445E-3</v>
      </c>
      <c r="H37" s="202">
        <v>0</v>
      </c>
      <c r="I37" s="203">
        <v>0.06</v>
      </c>
      <c r="J37" s="204">
        <f t="shared" si="5"/>
        <v>0.93448275754072174</v>
      </c>
      <c r="K37" s="204">
        <f t="shared" si="6"/>
        <v>6.5517242459278258E-2</v>
      </c>
      <c r="L37" s="201">
        <f t="shared" si="7"/>
        <v>0.99914171257718021</v>
      </c>
      <c r="M37" s="201">
        <f t="shared" si="7"/>
        <v>0.99498457587580136</v>
      </c>
      <c r="N37" s="201">
        <f t="shared" si="7"/>
        <v>1</v>
      </c>
      <c r="O37" s="209">
        <f t="shared" si="7"/>
        <v>0.94</v>
      </c>
      <c r="P37" s="204">
        <f t="shared" si="8"/>
        <v>8.3020992813794556E-4</v>
      </c>
      <c r="Q37" s="204">
        <f t="shared" si="9"/>
        <v>4.8614717406469526E-3</v>
      </c>
      <c r="R37" s="204">
        <f t="shared" si="9"/>
        <v>0</v>
      </c>
      <c r="S37" s="204">
        <f t="shared" si="9"/>
        <v>5.9825560790493323E-2</v>
      </c>
    </row>
    <row r="38" spans="1:19" ht="15.75" x14ac:dyDescent="0.2">
      <c r="A38" s="9">
        <f t="shared" si="2"/>
        <v>46</v>
      </c>
      <c r="B38" s="93">
        <v>9.5755209036423614E-4</v>
      </c>
      <c r="C38" s="93">
        <v>5.4536057515095987E-3</v>
      </c>
      <c r="D38" s="93">
        <v>1.9404851978767658E-2</v>
      </c>
      <c r="E38" s="93">
        <v>1.8447175849487518E-3</v>
      </c>
      <c r="F38" s="201">
        <f t="shared" si="3"/>
        <v>9.5755209036423614E-4</v>
      </c>
      <c r="G38" s="201">
        <f t="shared" si="4"/>
        <v>5.4536057515095987E-3</v>
      </c>
      <c r="H38" s="202">
        <v>0</v>
      </c>
      <c r="I38" s="203">
        <v>0.06</v>
      </c>
      <c r="J38" s="204">
        <f t="shared" si="5"/>
        <v>0.93397842041353074</v>
      </c>
      <c r="K38" s="204">
        <f t="shared" si="6"/>
        <v>6.6021579586469259E-2</v>
      </c>
      <c r="L38" s="201">
        <f t="shared" si="7"/>
        <v>0.99904244790963581</v>
      </c>
      <c r="M38" s="201">
        <f t="shared" si="7"/>
        <v>0.99454639424849045</v>
      </c>
      <c r="N38" s="201">
        <f t="shared" si="7"/>
        <v>1</v>
      </c>
      <c r="O38" s="209">
        <f t="shared" si="7"/>
        <v>0.94</v>
      </c>
      <c r="P38" s="204">
        <f t="shared" si="8"/>
        <v>9.2602616520112485E-4</v>
      </c>
      <c r="Q38" s="204">
        <f t="shared" si="9"/>
        <v>5.285955598485507E-3</v>
      </c>
      <c r="R38" s="204">
        <f t="shared" si="9"/>
        <v>0</v>
      </c>
      <c r="S38" s="204">
        <f t="shared" si="9"/>
        <v>5.9809597822782598E-2</v>
      </c>
    </row>
    <row r="39" spans="1:19" ht="15.75" x14ac:dyDescent="0.2">
      <c r="A39" s="9">
        <f t="shared" si="2"/>
        <v>47</v>
      </c>
      <c r="B39" s="93">
        <v>1.0633999169239084E-3</v>
      </c>
      <c r="C39" s="93">
        <v>5.9407132494633244E-3</v>
      </c>
      <c r="D39" s="93">
        <v>1.9142389472767071E-2</v>
      </c>
      <c r="E39" s="93">
        <v>2.0217078325862614E-3</v>
      </c>
      <c r="F39" s="201">
        <f t="shared" si="3"/>
        <v>1.0633999169239084E-3</v>
      </c>
      <c r="G39" s="201">
        <f t="shared" si="4"/>
        <v>5.9407132494633244E-3</v>
      </c>
      <c r="H39" s="202">
        <v>0</v>
      </c>
      <c r="I39" s="203">
        <v>0.06</v>
      </c>
      <c r="J39" s="204">
        <f t="shared" si="5"/>
        <v>0.93342207193633331</v>
      </c>
      <c r="K39" s="204">
        <f t="shared" si="6"/>
        <v>6.6577928063666691E-2</v>
      </c>
      <c r="L39" s="201">
        <f t="shared" si="7"/>
        <v>0.99893660008307605</v>
      </c>
      <c r="M39" s="201">
        <f t="shared" si="7"/>
        <v>0.99405928675053667</v>
      </c>
      <c r="N39" s="201">
        <f t="shared" si="7"/>
        <v>1</v>
      </c>
      <c r="O39" s="209">
        <f t="shared" si="7"/>
        <v>0.94</v>
      </c>
      <c r="P39" s="204">
        <f t="shared" si="8"/>
        <v>1.0281407357580295E-3</v>
      </c>
      <c r="Q39" s="204">
        <f t="shared" si="9"/>
        <v>5.7578020755473212E-3</v>
      </c>
      <c r="R39" s="204">
        <f t="shared" si="9"/>
        <v>0</v>
      </c>
      <c r="S39" s="204">
        <f t="shared" si="9"/>
        <v>5.9791985252361346E-2</v>
      </c>
    </row>
    <row r="40" spans="1:19" ht="15.75" x14ac:dyDescent="0.2">
      <c r="A40" s="9">
        <f t="shared" si="2"/>
        <v>48</v>
      </c>
      <c r="B40" s="93">
        <v>1.1752933760158298E-3</v>
      </c>
      <c r="C40" s="93">
        <v>6.4859658604094709E-3</v>
      </c>
      <c r="D40" s="93">
        <v>1.8922478136848081E-2</v>
      </c>
      <c r="E40" s="93">
        <v>2.1997360316762249E-3</v>
      </c>
      <c r="F40" s="201">
        <f t="shared" si="3"/>
        <v>1.1752933760158298E-3</v>
      </c>
      <c r="G40" s="201">
        <f t="shared" si="4"/>
        <v>6.4859658604094709E-3</v>
      </c>
      <c r="H40" s="202">
        <v>0</v>
      </c>
      <c r="I40" s="203">
        <v>0.06</v>
      </c>
      <c r="J40" s="204">
        <f t="shared" si="5"/>
        <v>0.93280558185571016</v>
      </c>
      <c r="K40" s="204">
        <f t="shared" si="6"/>
        <v>6.7194418144289836E-2</v>
      </c>
      <c r="L40" s="201">
        <f t="shared" si="7"/>
        <v>0.99882470662398415</v>
      </c>
      <c r="M40" s="201">
        <f t="shared" si="7"/>
        <v>0.9935140341395905</v>
      </c>
      <c r="N40" s="201">
        <f t="shared" si="7"/>
        <v>1</v>
      </c>
      <c r="O40" s="209">
        <f t="shared" si="7"/>
        <v>0.94</v>
      </c>
      <c r="P40" s="204">
        <f t="shared" si="8"/>
        <v>1.1360167719423444E-3</v>
      </c>
      <c r="Q40" s="204">
        <f t="shared" si="9"/>
        <v>6.2859367545668662E-3</v>
      </c>
      <c r="R40" s="204">
        <f t="shared" si="9"/>
        <v>0</v>
      </c>
      <c r="S40" s="204">
        <f t="shared" si="9"/>
        <v>5.9772464617780643E-2</v>
      </c>
    </row>
    <row r="41" spans="1:19" ht="15.75" x14ac:dyDescent="0.2">
      <c r="A41" s="9">
        <f t="shared" si="2"/>
        <v>49</v>
      </c>
      <c r="B41" s="93">
        <v>1.2929638912567833E-3</v>
      </c>
      <c r="C41" s="93">
        <v>7.1008270736256244E-3</v>
      </c>
      <c r="D41" s="93">
        <v>1.8754173070589922E-2</v>
      </c>
      <c r="E41" s="93">
        <v>2.3994093761535717E-3</v>
      </c>
      <c r="F41" s="201">
        <f t="shared" si="3"/>
        <v>1.2929638912567833E-3</v>
      </c>
      <c r="G41" s="201">
        <f t="shared" si="4"/>
        <v>7.1008270736256244E-3</v>
      </c>
      <c r="H41" s="202">
        <v>0</v>
      </c>
      <c r="I41" s="203">
        <v>0.06</v>
      </c>
      <c r="J41" s="204">
        <f t="shared" si="5"/>
        <v>0.9321184667392346</v>
      </c>
      <c r="K41" s="204">
        <f t="shared" si="6"/>
        <v>6.7881533260765403E-2</v>
      </c>
      <c r="L41" s="201">
        <f t="shared" si="7"/>
        <v>0.99870703610874323</v>
      </c>
      <c r="M41" s="201">
        <f t="shared" si="7"/>
        <v>0.99289917292637442</v>
      </c>
      <c r="N41" s="201">
        <f t="shared" si="7"/>
        <v>1</v>
      </c>
      <c r="O41" s="209">
        <f t="shared" si="7"/>
        <v>0.94</v>
      </c>
      <c r="P41" s="204">
        <f t="shared" si="8"/>
        <v>1.2493734770090278E-3</v>
      </c>
      <c r="Q41" s="204">
        <f t="shared" si="9"/>
        <v>6.8814572096789466E-3</v>
      </c>
      <c r="R41" s="204">
        <f t="shared" si="9"/>
        <v>0</v>
      </c>
      <c r="S41" s="204">
        <f t="shared" si="9"/>
        <v>5.975070257407749E-2</v>
      </c>
    </row>
    <row r="42" spans="1:19" ht="15.75" x14ac:dyDescent="0.2">
      <c r="A42" s="9">
        <f t="shared" si="2"/>
        <v>50</v>
      </c>
      <c r="B42" s="93">
        <v>1.416537852744146E-3</v>
      </c>
      <c r="C42" s="93">
        <v>7.7994034131845108E-3</v>
      </c>
      <c r="D42" s="93">
        <v>1.8646529373571724E-2</v>
      </c>
      <c r="E42" s="93">
        <v>2.6107513619076927E-3</v>
      </c>
      <c r="F42" s="201">
        <f t="shared" si="3"/>
        <v>1.416537852744146E-3</v>
      </c>
      <c r="G42" s="201">
        <f t="shared" si="4"/>
        <v>7.7994034131845108E-3</v>
      </c>
      <c r="H42" s="202">
        <v>0</v>
      </c>
      <c r="I42" s="203">
        <v>0.06</v>
      </c>
      <c r="J42" s="204">
        <f t="shared" si="5"/>
        <v>0.93134740047118081</v>
      </c>
      <c r="K42" s="204">
        <f t="shared" si="6"/>
        <v>6.8652599528819191E-2</v>
      </c>
      <c r="L42" s="201">
        <f t="shared" si="7"/>
        <v>0.99858346214725591</v>
      </c>
      <c r="M42" s="201">
        <f t="shared" si="7"/>
        <v>0.99220059658681548</v>
      </c>
      <c r="N42" s="201">
        <f t="shared" si="7"/>
        <v>1</v>
      </c>
      <c r="O42" s="209">
        <f t="shared" si="7"/>
        <v>0.94</v>
      </c>
      <c r="P42" s="204">
        <f t="shared" si="8"/>
        <v>1.3683063700831103E-3</v>
      </c>
      <c r="Q42" s="204">
        <f t="shared" si="9"/>
        <v>7.5580179399781944E-3</v>
      </c>
      <c r="R42" s="204">
        <f t="shared" si="9"/>
        <v>0</v>
      </c>
      <c r="S42" s="204">
        <f t="shared" si="9"/>
        <v>5.9726275218757861E-2</v>
      </c>
    </row>
    <row r="43" spans="1:19" ht="15.75" x14ac:dyDescent="0.2">
      <c r="A43" s="9">
        <f t="shared" si="2"/>
        <v>51</v>
      </c>
      <c r="B43" s="93">
        <v>1.5466748288494845E-3</v>
      </c>
      <c r="C43" s="93">
        <v>8.5988739291179422E-3</v>
      </c>
      <c r="D43" s="93">
        <v>1.860860214537266E-2</v>
      </c>
      <c r="E43" s="93">
        <v>2.8443052063151786E-3</v>
      </c>
      <c r="F43" s="201">
        <f t="shared" si="3"/>
        <v>1.5466748288494845E-3</v>
      </c>
      <c r="G43" s="201">
        <f t="shared" si="4"/>
        <v>8.5988739291179422E-3</v>
      </c>
      <c r="H43" s="202">
        <v>0</v>
      </c>
      <c r="I43" s="203">
        <v>0.06</v>
      </c>
      <c r="J43" s="204">
        <f t="shared" si="5"/>
        <v>0.93047568584966134</v>
      </c>
      <c r="K43" s="204">
        <f t="shared" si="6"/>
        <v>6.9524314150338662E-2</v>
      </c>
      <c r="L43" s="201">
        <f t="shared" si="7"/>
        <v>0.99845332517115049</v>
      </c>
      <c r="M43" s="201">
        <f t="shared" si="7"/>
        <v>0.99140112607088204</v>
      </c>
      <c r="N43" s="201">
        <f t="shared" si="7"/>
        <v>1</v>
      </c>
      <c r="O43" s="209">
        <f t="shared" si="7"/>
        <v>0.94</v>
      </c>
      <c r="P43" s="204">
        <f t="shared" si="8"/>
        <v>1.4934186250975569E-3</v>
      </c>
      <c r="Q43" s="204">
        <f t="shared" si="9"/>
        <v>8.3322444152829894E-3</v>
      </c>
      <c r="R43" s="204">
        <f t="shared" si="9"/>
        <v>0</v>
      </c>
      <c r="S43" s="204">
        <f t="shared" si="9"/>
        <v>5.9698651109958069E-2</v>
      </c>
    </row>
    <row r="44" spans="1:19" ht="15.75" x14ac:dyDescent="0.2">
      <c r="A44" s="9">
        <f t="shared" si="2"/>
        <v>52</v>
      </c>
      <c r="B44" s="93">
        <v>1.6847176569763597E-3</v>
      </c>
      <c r="C44" s="93">
        <v>9.5199500754291743E-3</v>
      </c>
      <c r="D44" s="93">
        <v>1.864944648557193E-2</v>
      </c>
      <c r="E44" s="93">
        <v>3.0901198842496758E-3</v>
      </c>
      <c r="F44" s="201">
        <f t="shared" si="3"/>
        <v>1.6847176569763597E-3</v>
      </c>
      <c r="G44" s="201">
        <f t="shared" si="4"/>
        <v>9.5199500754291743E-3</v>
      </c>
      <c r="H44" s="202">
        <v>0</v>
      </c>
      <c r="I44" s="203">
        <v>0.06</v>
      </c>
      <c r="J44" s="204">
        <f t="shared" si="5"/>
        <v>0.9294826884538453</v>
      </c>
      <c r="K44" s="204">
        <f t="shared" si="6"/>
        <v>7.0517311546154704E-2</v>
      </c>
      <c r="L44" s="201">
        <f t="shared" si="7"/>
        <v>0.99831528234302369</v>
      </c>
      <c r="M44" s="201">
        <f t="shared" si="7"/>
        <v>0.99048004992457084</v>
      </c>
      <c r="N44" s="201">
        <f t="shared" si="7"/>
        <v>1</v>
      </c>
      <c r="O44" s="209">
        <f t="shared" si="7"/>
        <v>0.94</v>
      </c>
      <c r="P44" s="204">
        <f t="shared" si="8"/>
        <v>1.6259629016764886E-3</v>
      </c>
      <c r="Q44" s="204">
        <f t="shared" si="9"/>
        <v>9.2241756606065532E-3</v>
      </c>
      <c r="R44" s="204">
        <f t="shared" si="9"/>
        <v>0</v>
      </c>
      <c r="S44" s="204">
        <f t="shared" si="9"/>
        <v>5.9667172983871683E-2</v>
      </c>
    </row>
    <row r="45" spans="1:19" ht="15.75" x14ac:dyDescent="0.2">
      <c r="A45" s="9">
        <f t="shared" si="2"/>
        <v>53</v>
      </c>
      <c r="B45" s="93">
        <v>1.8328539467736325E-3</v>
      </c>
      <c r="C45" s="93">
        <v>1.0587365508444796E-2</v>
      </c>
      <c r="D45" s="93">
        <v>1.8778117493748719E-2</v>
      </c>
      <c r="E45" s="93">
        <v>3.3692373083422655E-3</v>
      </c>
      <c r="F45" s="201">
        <f t="shared" si="3"/>
        <v>1.8328539467736325E-3</v>
      </c>
      <c r="G45" s="201">
        <f t="shared" si="4"/>
        <v>1.0587365508444796E-2</v>
      </c>
      <c r="H45" s="202">
        <v>0</v>
      </c>
      <c r="I45" s="203">
        <v>0.06</v>
      </c>
      <c r="J45" s="204">
        <f t="shared" si="5"/>
        <v>0.92834323450107326</v>
      </c>
      <c r="K45" s="204">
        <f t="shared" si="6"/>
        <v>7.1656765498926744E-2</v>
      </c>
      <c r="L45" s="201">
        <f t="shared" si="7"/>
        <v>0.99816714605322632</v>
      </c>
      <c r="M45" s="201">
        <f t="shared" si="7"/>
        <v>0.98941263449155525</v>
      </c>
      <c r="N45" s="201">
        <f t="shared" si="7"/>
        <v>1</v>
      </c>
      <c r="O45" s="209">
        <f t="shared" si="7"/>
        <v>0.94</v>
      </c>
      <c r="P45" s="204">
        <f t="shared" si="8"/>
        <v>1.7679927812925451E-3</v>
      </c>
      <c r="Q45" s="204">
        <f t="shared" si="9"/>
        <v>1.0257734533110007E-2</v>
      </c>
      <c r="R45" s="204">
        <f t="shared" si="9"/>
        <v>0</v>
      </c>
      <c r="S45" s="204">
        <f t="shared" si="9"/>
        <v>5.9631038184524213E-2</v>
      </c>
    </row>
    <row r="46" spans="1:19" ht="15.75" x14ac:dyDescent="0.2">
      <c r="A46" s="9">
        <f t="shared" si="2"/>
        <v>54</v>
      </c>
      <c r="B46" s="93">
        <v>1.9942883179643934E-3</v>
      </c>
      <c r="C46" s="93">
        <v>1.1830395127666716E-2</v>
      </c>
      <c r="D46" s="93">
        <v>1.9003670269482131E-2</v>
      </c>
      <c r="E46" s="93">
        <v>3.6926853624033029E-3</v>
      </c>
      <c r="F46" s="201">
        <f t="shared" si="3"/>
        <v>1.9942883179643934E-3</v>
      </c>
      <c r="G46" s="201">
        <f t="shared" si="4"/>
        <v>1.1830395127666716E-2</v>
      </c>
      <c r="H46" s="202">
        <v>0</v>
      </c>
      <c r="I46" s="203">
        <v>0.06</v>
      </c>
      <c r="J46" s="204">
        <f t="shared" si="5"/>
        <v>0.92702697518677868</v>
      </c>
      <c r="K46" s="204">
        <f t="shared" si="6"/>
        <v>7.2973024813221321E-2</v>
      </c>
      <c r="L46" s="201">
        <f t="shared" si="7"/>
        <v>0.99800571168203556</v>
      </c>
      <c r="M46" s="201">
        <f t="shared" si="7"/>
        <v>0.9881696048723333</v>
      </c>
      <c r="N46" s="201">
        <f t="shared" si="7"/>
        <v>1</v>
      </c>
      <c r="O46" s="209">
        <f t="shared" si="7"/>
        <v>0.94</v>
      </c>
      <c r="P46" s="204">
        <f t="shared" si="8"/>
        <v>1.9225225227051705E-3</v>
      </c>
      <c r="Q46" s="204">
        <f t="shared" si="9"/>
        <v>1.1461224462359637E-2</v>
      </c>
      <c r="R46" s="204">
        <f t="shared" si="9"/>
        <v>0</v>
      </c>
      <c r="S46" s="204">
        <f t="shared" si="9"/>
        <v>5.9589277828156512E-2</v>
      </c>
    </row>
    <row r="47" spans="1:19" ht="15.75" x14ac:dyDescent="0.2">
      <c r="A47" s="9">
        <f t="shared" si="2"/>
        <v>55</v>
      </c>
      <c r="B47" s="93">
        <v>2.1734244054505631E-3</v>
      </c>
      <c r="C47" s="93">
        <v>1.3283402391783439E-2</v>
      </c>
      <c r="D47" s="93">
        <v>1.9335159912351463E-2</v>
      </c>
      <c r="E47" s="93">
        <v>4.0613482841064252E-3</v>
      </c>
      <c r="F47" s="201">
        <f t="shared" si="3"/>
        <v>2.1734244054505631E-3</v>
      </c>
      <c r="G47" s="201">
        <f t="shared" si="4"/>
        <v>1.3283402391783439E-2</v>
      </c>
      <c r="H47" s="202">
        <v>0.05</v>
      </c>
      <c r="I47" s="203">
        <v>0.04</v>
      </c>
      <c r="J47" s="204">
        <f t="shared" si="5"/>
        <v>0.89792970383042503</v>
      </c>
      <c r="K47" s="204">
        <f t="shared" si="6"/>
        <v>0.10207029616957497</v>
      </c>
      <c r="L47" s="201">
        <f t="shared" si="7"/>
        <v>0.99782657559454946</v>
      </c>
      <c r="M47" s="201">
        <f t="shared" si="7"/>
        <v>0.98671659760821662</v>
      </c>
      <c r="N47" s="201">
        <f t="shared" si="7"/>
        <v>0.95</v>
      </c>
      <c r="O47" s="209">
        <f t="shared" si="7"/>
        <v>0.96</v>
      </c>
      <c r="P47" s="204">
        <f t="shared" si="8"/>
        <v>2.0627558305617668E-3</v>
      </c>
      <c r="Q47" s="204">
        <f t="shared" si="9"/>
        <v>1.2677709003908938E-2</v>
      </c>
      <c r="R47" s="204">
        <f t="shared" si="9"/>
        <v>4.8628569704318191E-2</v>
      </c>
      <c r="S47" s="204">
        <f t="shared" si="9"/>
        <v>3.8701261630786021E-2</v>
      </c>
    </row>
    <row r="48" spans="1:19" ht="15.75" x14ac:dyDescent="0.2">
      <c r="A48" s="9">
        <f t="shared" si="2"/>
        <v>56</v>
      </c>
      <c r="B48" s="93">
        <v>2.3760552770854797E-3</v>
      </c>
      <c r="C48" s="93">
        <v>1.4986413555233839E-2</v>
      </c>
      <c r="D48" s="93">
        <v>1.9781641521935789E-2</v>
      </c>
      <c r="E48" s="93">
        <v>4.4867494129486873E-3</v>
      </c>
      <c r="F48" s="201">
        <f t="shared" si="3"/>
        <v>2.3760552770854797E-3</v>
      </c>
      <c r="G48" s="201">
        <f t="shared" si="4"/>
        <v>1.4986413555233839E-2</v>
      </c>
      <c r="H48" s="202">
        <v>7.0000000000000007E-2</v>
      </c>
      <c r="I48" s="203">
        <v>0.04</v>
      </c>
      <c r="J48" s="204">
        <f t="shared" si="5"/>
        <v>0.87733057913727786</v>
      </c>
      <c r="K48" s="204">
        <f t="shared" si="6"/>
        <v>0.12266942086272214</v>
      </c>
      <c r="L48" s="201">
        <f t="shared" si="7"/>
        <v>0.99762394472291449</v>
      </c>
      <c r="M48" s="201">
        <f t="shared" si="7"/>
        <v>0.98501358644476611</v>
      </c>
      <c r="N48" s="201">
        <f t="shared" si="7"/>
        <v>0.92999999999999994</v>
      </c>
      <c r="O48" s="209">
        <f t="shared" si="7"/>
        <v>0.96</v>
      </c>
      <c r="P48" s="204">
        <f t="shared" si="8"/>
        <v>2.2297928773488442E-3</v>
      </c>
      <c r="Q48" s="204">
        <f t="shared" si="9"/>
        <v>1.4153504755203454E-2</v>
      </c>
      <c r="R48" s="204">
        <f t="shared" si="9"/>
        <v>6.8022531094866473E-2</v>
      </c>
      <c r="S48" s="204">
        <f t="shared" si="9"/>
        <v>3.826359213530333E-2</v>
      </c>
    </row>
    <row r="49" spans="1:21" ht="15.75" x14ac:dyDescent="0.2">
      <c r="A49" s="9">
        <f t="shared" si="2"/>
        <v>57</v>
      </c>
      <c r="B49" s="93">
        <v>2.6095604019899079E-3</v>
      </c>
      <c r="C49" s="93">
        <v>1.69857169631983E-2</v>
      </c>
      <c r="D49" s="93">
        <v>2.0352170197814323E-2</v>
      </c>
      <c r="E49" s="93">
        <v>4.9808348426771953E-3</v>
      </c>
      <c r="F49" s="201">
        <f t="shared" si="3"/>
        <v>2.6095604019899079E-3</v>
      </c>
      <c r="G49" s="201">
        <f t="shared" si="4"/>
        <v>1.69857169631983E-2</v>
      </c>
      <c r="H49" s="202">
        <v>0.09</v>
      </c>
      <c r="I49" s="203">
        <v>0.04</v>
      </c>
      <c r="J49" s="204">
        <f t="shared" si="5"/>
        <v>0.85652028823600368</v>
      </c>
      <c r="K49" s="204">
        <f t="shared" si="6"/>
        <v>0.14347971176399632</v>
      </c>
      <c r="L49" s="201">
        <f t="shared" si="7"/>
        <v>0.9973904395980101</v>
      </c>
      <c r="M49" s="201">
        <f t="shared" si="7"/>
        <v>0.98301428303680172</v>
      </c>
      <c r="N49" s="201">
        <f t="shared" si="7"/>
        <v>0.91</v>
      </c>
      <c r="O49" s="209">
        <f t="shared" si="7"/>
        <v>0.96</v>
      </c>
      <c r="P49" s="204">
        <f t="shared" si="8"/>
        <v>2.420680260976154E-3</v>
      </c>
      <c r="Q49" s="204">
        <f t="shared" si="9"/>
        <v>1.5870896421065976E-2</v>
      </c>
      <c r="R49" s="204">
        <f t="shared" si="9"/>
        <v>8.7370269029528658E-2</v>
      </c>
      <c r="S49" s="204">
        <f t="shared" si="9"/>
        <v>3.78178660524255E-2</v>
      </c>
    </row>
    <row r="50" spans="1:21" ht="15.75" x14ac:dyDescent="0.2">
      <c r="A50" s="9">
        <f t="shared" si="2"/>
        <v>58</v>
      </c>
      <c r="B50" s="93">
        <v>2.8831066539521436E-3</v>
      </c>
      <c r="C50" s="93">
        <v>1.9334484889558561E-2</v>
      </c>
      <c r="D50" s="93">
        <v>2.1055801039566238E-2</v>
      </c>
      <c r="E50" s="93">
        <v>5.5666677249684993E-3</v>
      </c>
      <c r="F50" s="201">
        <f t="shared" si="3"/>
        <v>2.8831066539521436E-3</v>
      </c>
      <c r="G50" s="201">
        <f t="shared" si="4"/>
        <v>1.9334484889558561E-2</v>
      </c>
      <c r="H50" s="202">
        <v>0.12</v>
      </c>
      <c r="I50" s="203">
        <v>0.04</v>
      </c>
      <c r="J50" s="204">
        <f t="shared" si="5"/>
        <v>0.82607767067318594</v>
      </c>
      <c r="K50" s="204">
        <f t="shared" si="6"/>
        <v>0.17392232932681406</v>
      </c>
      <c r="L50" s="201">
        <f t="shared" si="7"/>
        <v>0.99711689334604781</v>
      </c>
      <c r="M50" s="201">
        <f t="shared" si="7"/>
        <v>0.98066551511044142</v>
      </c>
      <c r="N50" s="201">
        <f t="shared" si="7"/>
        <v>0.88</v>
      </c>
      <c r="O50" s="209">
        <f t="shared" si="7"/>
        <v>0.96</v>
      </c>
      <c r="P50" s="204">
        <f t="shared" si="8"/>
        <v>2.6281997307842308E-3</v>
      </c>
      <c r="Q50" s="204">
        <f t="shared" si="9"/>
        <v>1.7771991733709719E-2</v>
      </c>
      <c r="R50" s="204">
        <f t="shared" si="9"/>
        <v>0.11636304818690764</v>
      </c>
      <c r="S50" s="204">
        <f t="shared" si="9"/>
        <v>3.7159089675412482E-2</v>
      </c>
    </row>
    <row r="51" spans="1:21" ht="15.75" x14ac:dyDescent="0.2">
      <c r="A51" s="9">
        <f t="shared" si="2"/>
        <v>59</v>
      </c>
      <c r="B51" s="93">
        <v>3.2078500064825527E-3</v>
      </c>
      <c r="C51" s="93">
        <v>2.2093414574394839E-2</v>
      </c>
      <c r="D51" s="93">
        <v>2.190158914677072E-2</v>
      </c>
      <c r="E51" s="93">
        <v>6.2576491246740806E-3</v>
      </c>
      <c r="F51" s="201">
        <f t="shared" si="3"/>
        <v>3.2078500064825527E-3</v>
      </c>
      <c r="G51" s="201">
        <f t="shared" si="4"/>
        <v>2.2093414574394839E-2</v>
      </c>
      <c r="H51" s="202">
        <v>0.16</v>
      </c>
      <c r="I51" s="203">
        <v>0.04</v>
      </c>
      <c r="J51" s="204">
        <f t="shared" si="5"/>
        <v>0.78605421171315348</v>
      </c>
      <c r="K51" s="204">
        <f t="shared" si="6"/>
        <v>0.21394578828684652</v>
      </c>
      <c r="L51" s="201">
        <f t="shared" si="7"/>
        <v>0.9967921499935174</v>
      </c>
      <c r="M51" s="201">
        <f t="shared" si="7"/>
        <v>0.97790658542560516</v>
      </c>
      <c r="N51" s="201">
        <f t="shared" si="7"/>
        <v>0.84</v>
      </c>
      <c r="O51" s="209">
        <f t="shared" si="7"/>
        <v>0.96</v>
      </c>
      <c r="P51" s="204">
        <f t="shared" si="8"/>
        <v>2.8555249444267472E-3</v>
      </c>
      <c r="Q51" s="204">
        <f t="shared" si="9"/>
        <v>1.9855440254521486E-2</v>
      </c>
      <c r="R51" s="204">
        <f t="shared" si="9"/>
        <v>0.15495471130295074</v>
      </c>
      <c r="S51" s="204">
        <f t="shared" si="9"/>
        <v>3.6280111784947555E-2</v>
      </c>
    </row>
    <row r="52" spans="1:21" ht="15.75" x14ac:dyDescent="0.2">
      <c r="A52" s="9">
        <f t="shared" si="2"/>
        <v>60</v>
      </c>
      <c r="B52" s="93">
        <v>3.5551800000000002E-3</v>
      </c>
      <c r="C52" s="93">
        <v>2.4855179999999998E-2</v>
      </c>
      <c r="D52" s="93">
        <v>2.2849999999999999E-2</v>
      </c>
      <c r="E52" s="93">
        <v>7.0467031495978771E-3</v>
      </c>
      <c r="F52" s="201">
        <f t="shared" si="3"/>
        <v>3.5551800000000002E-3</v>
      </c>
      <c r="G52" s="201">
        <f t="shared" si="4"/>
        <v>2.4855179999999998E-2</v>
      </c>
      <c r="H52" s="202">
        <v>0.19</v>
      </c>
      <c r="I52" s="203">
        <v>0.03</v>
      </c>
      <c r="J52" s="204">
        <f t="shared" si="5"/>
        <v>0.76344740824473067</v>
      </c>
      <c r="K52" s="204">
        <f t="shared" si="6"/>
        <v>0.23655259175526933</v>
      </c>
      <c r="L52" s="201">
        <f t="shared" si="7"/>
        <v>0.99644482000000001</v>
      </c>
      <c r="M52" s="201">
        <f t="shared" si="7"/>
        <v>0.97514482000000002</v>
      </c>
      <c r="N52" s="201">
        <f t="shared" si="7"/>
        <v>0.81</v>
      </c>
      <c r="O52" s="209">
        <f t="shared" si="7"/>
        <v>0.97</v>
      </c>
      <c r="P52" s="204">
        <f t="shared" si="8"/>
        <v>3.1213451980303319E-3</v>
      </c>
      <c r="Q52" s="204">
        <f t="shared" si="9"/>
        <v>2.205860041574632E-2</v>
      </c>
      <c r="R52" s="204">
        <f t="shared" si="9"/>
        <v>0.18467790814206261</v>
      </c>
      <c r="S52" s="204">
        <f t="shared" si="9"/>
        <v>2.6694737999430038E-2</v>
      </c>
    </row>
    <row r="53" spans="1:21" ht="15.75" x14ac:dyDescent="0.2">
      <c r="A53" s="9">
        <f t="shared" si="2"/>
        <v>61</v>
      </c>
      <c r="B53" s="93">
        <v>3.8960825000000001E-3</v>
      </c>
      <c r="C53" s="93">
        <v>2.7246082500000001E-2</v>
      </c>
      <c r="D53" s="93">
        <v>2.3699999999999999E-2</v>
      </c>
      <c r="E53" s="93">
        <v>7.851680885255452E-3</v>
      </c>
      <c r="F53" s="201">
        <f t="shared" si="3"/>
        <v>3.8960825000000001E-3</v>
      </c>
      <c r="G53" s="201">
        <f t="shared" si="4"/>
        <v>2.7246082500000001E-2</v>
      </c>
      <c r="H53" s="202">
        <v>0.21</v>
      </c>
      <c r="I53" s="203">
        <v>0.02</v>
      </c>
      <c r="J53" s="204">
        <f t="shared" si="5"/>
        <v>0.75017191949815876</v>
      </c>
      <c r="K53" s="204">
        <f t="shared" si="6"/>
        <v>0.24982808050184124</v>
      </c>
      <c r="L53" s="201">
        <f t="shared" si="7"/>
        <v>0.99610391750000005</v>
      </c>
      <c r="M53" s="201">
        <f t="shared" si="7"/>
        <v>0.97275391749999995</v>
      </c>
      <c r="N53" s="201">
        <f t="shared" si="7"/>
        <v>0.79</v>
      </c>
      <c r="O53" s="209">
        <f t="shared" si="7"/>
        <v>0.98</v>
      </c>
      <c r="P53" s="204">
        <f t="shared" si="8"/>
        <v>3.3927365907464495E-3</v>
      </c>
      <c r="Q53" s="204">
        <f t="shared" si="9"/>
        <v>2.4008407977205545E-2</v>
      </c>
      <c r="R53" s="204">
        <f t="shared" si="9"/>
        <v>0.20486856700101438</v>
      </c>
      <c r="S53" s="204">
        <f t="shared" si="9"/>
        <v>1.7558368932874865E-2</v>
      </c>
    </row>
    <row r="54" spans="1:21" ht="15.75" x14ac:dyDescent="0.2">
      <c r="A54" s="9">
        <f t="shared" si="2"/>
        <v>62</v>
      </c>
      <c r="B54" s="93">
        <v>4.2162279999999998E-3</v>
      </c>
      <c r="C54" s="93">
        <v>2.9736228E-2</v>
      </c>
      <c r="D54" s="93">
        <v>2.4500000000000001E-2</v>
      </c>
      <c r="E54" s="93">
        <v>8.6747616614668566E-3</v>
      </c>
      <c r="F54" s="201">
        <f t="shared" si="3"/>
        <v>4.2162279999999998E-3</v>
      </c>
      <c r="G54" s="201">
        <f t="shared" si="4"/>
        <v>2.9736228E-2</v>
      </c>
      <c r="H54" s="202">
        <v>0.34</v>
      </c>
      <c r="I54" s="203">
        <v>0.01</v>
      </c>
      <c r="J54" s="204">
        <f t="shared" si="5"/>
        <v>0.6312973850897583</v>
      </c>
      <c r="K54" s="204">
        <f t="shared" si="6"/>
        <v>0.3687026149102417</v>
      </c>
      <c r="L54" s="201">
        <f t="shared" si="7"/>
        <v>0.99578377200000001</v>
      </c>
      <c r="M54" s="201">
        <f t="shared" si="7"/>
        <v>0.97026377200000002</v>
      </c>
      <c r="N54" s="201">
        <f t="shared" si="7"/>
        <v>0.65999999999999992</v>
      </c>
      <c r="O54" s="209">
        <f t="shared" si="7"/>
        <v>0.99</v>
      </c>
      <c r="P54" s="204">
        <f t="shared" si="8"/>
        <v>3.3867269010528496E-3</v>
      </c>
      <c r="Q54" s="204">
        <f t="shared" si="9"/>
        <v>2.4197105316823519E-2</v>
      </c>
      <c r="R54" s="204">
        <f t="shared" si="9"/>
        <v>0.33306278172940051</v>
      </c>
      <c r="S54" s="204">
        <f t="shared" si="9"/>
        <v>8.0560009629647867E-3</v>
      </c>
    </row>
    <row r="55" spans="1:21" ht="16.5" thickBot="1" x14ac:dyDescent="0.25">
      <c r="A55" s="9">
        <f t="shared" si="2"/>
        <v>63</v>
      </c>
      <c r="B55" s="93">
        <v>4.52594E-3</v>
      </c>
      <c r="C55" s="93">
        <v>3.2125939999999999E-2</v>
      </c>
      <c r="D55" s="93">
        <v>2.5399999999999999E-2</v>
      </c>
      <c r="E55" s="93">
        <v>9.5621374447599772E-3</v>
      </c>
      <c r="F55" s="201">
        <f t="shared" si="3"/>
        <v>4.52594E-3</v>
      </c>
      <c r="G55" s="201">
        <f t="shared" si="4"/>
        <v>3.2125939999999999E-2</v>
      </c>
      <c r="H55" s="202">
        <v>1</v>
      </c>
      <c r="I55" s="203">
        <v>0</v>
      </c>
      <c r="J55" s="204">
        <f t="shared" si="5"/>
        <v>0</v>
      </c>
      <c r="K55" s="204">
        <f t="shared" si="6"/>
        <v>1</v>
      </c>
      <c r="L55" s="201">
        <f t="shared" si="7"/>
        <v>0.99547406000000005</v>
      </c>
      <c r="M55" s="201">
        <f t="shared" si="7"/>
        <v>0.96787405999999998</v>
      </c>
      <c r="N55" s="201">
        <f t="shared" si="7"/>
        <v>0</v>
      </c>
      <c r="O55" s="209">
        <f t="shared" si="7"/>
        <v>1</v>
      </c>
      <c r="P55" s="204">
        <f>F55*(1-(G55+H55+I55)/2 + (G55*I55+H55*I55+G55*H55)/3 - (G55*H55*I55)/4)</f>
        <v>2.2387366538527331E-3</v>
      </c>
      <c r="Q55" s="204">
        <f>G55*(1-(F55+H55+I55)/3+(F55*H55+F55*I55+H55*I55)/3-(F55*H55*I55)/4)</f>
        <v>2.141729333333333E-2</v>
      </c>
      <c r="R55" s="204">
        <f>H55*(1-(F55+G55+I55)/2+(F55*G55+F55*I55+G55*I55)/3-(F55*G55*I55)/4)</f>
        <v>0.98172252669229454</v>
      </c>
      <c r="S55" s="204">
        <f>I55*(1-(F55+G55+H55)/2+(F55*G55+F55*H55+G55*H55)/3 - (F55*G55*H55)/4)</f>
        <v>0</v>
      </c>
      <c r="T55" s="218"/>
      <c r="U55" s="210"/>
    </row>
    <row r="56" spans="1:21" ht="16.5" thickBot="1" x14ac:dyDescent="0.25">
      <c r="A56" s="12">
        <f t="shared" si="2"/>
        <v>64</v>
      </c>
      <c r="B56" s="96">
        <v>4.8343919999999999E-3</v>
      </c>
      <c r="C56" s="96">
        <v>3.4714391999999997E-2</v>
      </c>
      <c r="D56" s="96">
        <v>2.63E-2</v>
      </c>
      <c r="E56" s="96">
        <v>1.0484826341603859E-2</v>
      </c>
      <c r="F56" s="208"/>
      <c r="G56" s="214"/>
      <c r="H56" s="215"/>
      <c r="I56" s="216"/>
      <c r="J56" s="217"/>
      <c r="K56" s="217"/>
      <c r="L56" s="214"/>
      <c r="M56" s="214"/>
      <c r="N56" s="214"/>
      <c r="O56" s="214"/>
      <c r="P56" s="217"/>
      <c r="Q56" s="217"/>
      <c r="R56" s="217"/>
      <c r="S56" s="217"/>
      <c r="T56" s="210"/>
      <c r="U56" s="210"/>
    </row>
    <row r="57" spans="1:21" ht="15.75" x14ac:dyDescent="0.2">
      <c r="A57" s="9">
        <f>1+A56</f>
        <v>65</v>
      </c>
      <c r="B57" s="93"/>
      <c r="C57" s="93"/>
      <c r="D57" s="93"/>
      <c r="E57" s="93">
        <v>1.1435000000000001E-2</v>
      </c>
      <c r="F57" s="218"/>
      <c r="G57" s="210"/>
      <c r="H57" s="210"/>
      <c r="I57" s="210"/>
      <c r="J57" s="210"/>
      <c r="K57" s="210"/>
      <c r="L57" s="213"/>
      <c r="M57" s="213"/>
      <c r="N57" s="213"/>
      <c r="O57" s="213"/>
      <c r="P57" s="210"/>
      <c r="Q57" s="210"/>
      <c r="R57" s="210"/>
      <c r="S57" s="210"/>
      <c r="T57" s="210"/>
      <c r="U57" s="210"/>
    </row>
    <row r="58" spans="1:21" ht="15.75" x14ac:dyDescent="0.2">
      <c r="A58" s="9">
        <f t="shared" si="2"/>
        <v>66</v>
      </c>
      <c r="B58" s="93"/>
      <c r="C58" s="93"/>
      <c r="D58" s="93"/>
      <c r="E58" s="93">
        <v>1.21E-2</v>
      </c>
      <c r="F58" s="218"/>
      <c r="G58" s="210"/>
      <c r="H58" s="210"/>
      <c r="I58" s="210"/>
      <c r="J58" s="210"/>
      <c r="K58" s="210"/>
      <c r="L58" s="213"/>
      <c r="M58" s="213"/>
      <c r="N58" s="213"/>
      <c r="O58" s="213"/>
      <c r="P58" s="210"/>
      <c r="Q58" s="210"/>
      <c r="R58" s="210"/>
      <c r="S58" s="210"/>
      <c r="T58" s="210"/>
      <c r="U58" s="210"/>
    </row>
    <row r="59" spans="1:21" ht="15.75" x14ac:dyDescent="0.2">
      <c r="A59" s="9">
        <f t="shared" si="2"/>
        <v>67</v>
      </c>
      <c r="B59" s="93"/>
      <c r="C59" s="93"/>
      <c r="D59" s="93"/>
      <c r="E59" s="93">
        <v>1.2999999999999999E-2</v>
      </c>
      <c r="J59" s="210"/>
      <c r="K59" s="210"/>
      <c r="L59" s="213"/>
      <c r="M59" s="213"/>
      <c r="N59" s="213"/>
      <c r="O59" s="213"/>
      <c r="P59" s="210"/>
      <c r="Q59" s="210"/>
      <c r="R59" s="210"/>
      <c r="S59" s="210"/>
      <c r="T59" s="210"/>
    </row>
    <row r="60" spans="1:21" ht="15.75" x14ac:dyDescent="0.2">
      <c r="A60" s="9">
        <f t="shared" si="2"/>
        <v>68</v>
      </c>
      <c r="B60" s="93"/>
      <c r="C60" s="93"/>
      <c r="D60" s="93"/>
      <c r="E60" s="93">
        <v>1.4E-2</v>
      </c>
      <c r="J60" s="210"/>
      <c r="K60" s="210"/>
      <c r="L60" s="213"/>
      <c r="M60" s="213"/>
      <c r="N60" s="213"/>
      <c r="O60" s="213"/>
      <c r="P60" s="210"/>
      <c r="Q60" s="210"/>
      <c r="R60" s="210"/>
      <c r="S60" s="210"/>
      <c r="T60" s="210"/>
    </row>
    <row r="61" spans="1:21" ht="15.75" x14ac:dyDescent="0.2">
      <c r="A61" s="9">
        <f t="shared" si="2"/>
        <v>69</v>
      </c>
      <c r="B61" s="93"/>
      <c r="C61" s="93"/>
      <c r="D61" s="93"/>
      <c r="E61" s="93">
        <v>1.4800000000000001E-2</v>
      </c>
      <c r="J61" s="210"/>
      <c r="K61" s="210"/>
      <c r="L61" s="213"/>
      <c r="M61" s="213"/>
      <c r="N61" s="213"/>
      <c r="O61" s="213"/>
      <c r="P61" s="210"/>
      <c r="Q61" s="210"/>
      <c r="R61" s="210"/>
      <c r="S61" s="210"/>
      <c r="T61" s="210"/>
    </row>
    <row r="62" spans="1:21" ht="15.75" x14ac:dyDescent="0.2">
      <c r="A62" s="9">
        <f t="shared" si="2"/>
        <v>70</v>
      </c>
      <c r="B62" s="93"/>
      <c r="C62" s="93"/>
      <c r="D62" s="93"/>
      <c r="E62" s="93">
        <v>1.55E-2</v>
      </c>
      <c r="J62" s="210"/>
      <c r="K62" s="210"/>
      <c r="L62" s="213"/>
      <c r="M62" s="213"/>
      <c r="N62" s="213"/>
      <c r="O62" s="213"/>
      <c r="P62" s="210"/>
      <c r="Q62" s="210"/>
      <c r="R62" s="210"/>
      <c r="S62" s="210"/>
      <c r="T62" s="210"/>
    </row>
    <row r="63" spans="1:21" ht="15.75" x14ac:dyDescent="0.2">
      <c r="A63" s="9">
        <f t="shared" si="2"/>
        <v>71</v>
      </c>
      <c r="B63" s="93"/>
      <c r="C63" s="93"/>
      <c r="D63" s="93"/>
      <c r="E63" s="93">
        <v>1.6500000000000001E-2</v>
      </c>
      <c r="J63" s="210"/>
      <c r="K63" s="210"/>
      <c r="L63" s="213"/>
      <c r="M63" s="213"/>
      <c r="N63" s="213"/>
      <c r="O63" s="213"/>
      <c r="P63" s="210"/>
      <c r="Q63" s="210"/>
      <c r="R63" s="210"/>
      <c r="S63" s="210"/>
      <c r="T63" s="210"/>
    </row>
    <row r="64" spans="1:21" ht="15.75" x14ac:dyDescent="0.2">
      <c r="A64" s="9">
        <f t="shared" si="2"/>
        <v>72</v>
      </c>
      <c r="B64" s="93"/>
      <c r="C64" s="93"/>
      <c r="D64" s="93"/>
      <c r="E64" s="93">
        <v>1.7299999999999999E-2</v>
      </c>
      <c r="J64" s="210"/>
      <c r="K64" s="210"/>
      <c r="L64" s="213"/>
      <c r="M64" s="213"/>
      <c r="N64" s="213"/>
      <c r="O64" s="213"/>
      <c r="P64" s="210"/>
      <c r="Q64" s="210"/>
      <c r="R64" s="210"/>
      <c r="S64" s="210"/>
      <c r="T64" s="210"/>
    </row>
    <row r="65" spans="1:20" ht="15.75" x14ac:dyDescent="0.2">
      <c r="A65" s="9">
        <f t="shared" si="2"/>
        <v>73</v>
      </c>
      <c r="B65" s="93"/>
      <c r="C65" s="93"/>
      <c r="D65" s="93"/>
      <c r="E65" s="93">
        <v>1.8100000000000002E-2</v>
      </c>
      <c r="J65" s="210"/>
      <c r="K65" s="210"/>
      <c r="L65" s="213"/>
      <c r="M65" s="213"/>
      <c r="N65" s="213"/>
      <c r="O65" s="213"/>
      <c r="P65" s="210"/>
      <c r="Q65" s="210"/>
      <c r="R65" s="210"/>
      <c r="S65" s="210"/>
      <c r="T65" s="210"/>
    </row>
    <row r="66" spans="1:20" ht="15.75" x14ac:dyDescent="0.2">
      <c r="A66" s="9">
        <f t="shared" si="2"/>
        <v>74</v>
      </c>
      <c r="B66" s="93"/>
      <c r="C66" s="93"/>
      <c r="D66" s="93"/>
      <c r="E66" s="93">
        <v>1.8832042478195216E-2</v>
      </c>
      <c r="J66" s="210"/>
      <c r="K66" s="210"/>
      <c r="L66" s="213"/>
      <c r="M66" s="213"/>
      <c r="N66" s="213"/>
      <c r="O66" s="213"/>
      <c r="P66" s="210"/>
      <c r="Q66" s="210"/>
      <c r="R66" s="210"/>
      <c r="S66" s="210"/>
      <c r="T66" s="210"/>
    </row>
    <row r="67" spans="1:20" ht="15.75" x14ac:dyDescent="0.2">
      <c r="A67" s="9">
        <f t="shared" si="2"/>
        <v>75</v>
      </c>
      <c r="B67" s="93"/>
      <c r="C67" s="93"/>
      <c r="D67" s="93"/>
      <c r="E67" s="93">
        <v>1.9892571184338004E-2</v>
      </c>
      <c r="J67" s="210"/>
      <c r="K67" s="210"/>
      <c r="L67" s="213"/>
      <c r="M67" s="213"/>
      <c r="N67" s="213"/>
      <c r="O67" s="213"/>
      <c r="P67" s="210"/>
      <c r="Q67" s="210"/>
      <c r="R67" s="210"/>
      <c r="S67" s="210"/>
      <c r="T67" s="210"/>
    </row>
    <row r="68" spans="1:20" ht="15.75" x14ac:dyDescent="0.2">
      <c r="A68" s="9">
        <f t="shared" si="2"/>
        <v>76</v>
      </c>
      <c r="B68" s="93"/>
      <c r="C68" s="93"/>
      <c r="D68" s="93"/>
      <c r="E68" s="93">
        <v>2.1552769541976175E-2</v>
      </c>
      <c r="J68" s="210"/>
      <c r="K68" s="210"/>
      <c r="L68" s="213"/>
      <c r="M68" s="213"/>
      <c r="N68" s="213"/>
      <c r="O68" s="213"/>
      <c r="P68" s="210"/>
      <c r="Q68" s="210"/>
      <c r="R68" s="210"/>
      <c r="S68" s="210"/>
      <c r="T68" s="210"/>
    </row>
    <row r="69" spans="1:20" ht="15.75" x14ac:dyDescent="0.2">
      <c r="A69" s="9">
        <f t="shared" si="2"/>
        <v>77</v>
      </c>
      <c r="B69" s="93"/>
      <c r="C69" s="93"/>
      <c r="D69" s="93"/>
      <c r="E69" s="93">
        <v>2.398828892403514E-2</v>
      </c>
      <c r="J69" s="210"/>
      <c r="K69" s="210"/>
      <c r="L69" s="213"/>
      <c r="M69" s="213"/>
      <c r="N69" s="213"/>
      <c r="O69" s="213"/>
      <c r="P69" s="210"/>
      <c r="Q69" s="210"/>
      <c r="R69" s="210"/>
      <c r="S69" s="210"/>
      <c r="T69" s="210"/>
    </row>
    <row r="70" spans="1:20" ht="15.75" x14ac:dyDescent="0.2">
      <c r="A70" s="9">
        <f t="shared" si="2"/>
        <v>78</v>
      </c>
      <c r="B70" s="93"/>
      <c r="C70" s="93"/>
      <c r="D70" s="93"/>
      <c r="E70" s="93">
        <v>2.7349039427544231E-2</v>
      </c>
      <c r="J70" s="210"/>
      <c r="K70" s="210"/>
      <c r="L70" s="213"/>
      <c r="M70" s="213"/>
      <c r="N70" s="213"/>
      <c r="O70" s="213"/>
      <c r="P70" s="210"/>
      <c r="Q70" s="210"/>
      <c r="R70" s="210"/>
      <c r="S70" s="210"/>
      <c r="T70" s="210"/>
    </row>
    <row r="71" spans="1:20" ht="15.75" x14ac:dyDescent="0.2">
      <c r="A71" s="9">
        <f t="shared" si="2"/>
        <v>79</v>
      </c>
      <c r="B71" s="93"/>
      <c r="C71" s="93"/>
      <c r="D71" s="93"/>
      <c r="E71" s="93">
        <v>3.1753858962966716E-2</v>
      </c>
      <c r="J71" s="210"/>
      <c r="K71" s="210"/>
      <c r="L71" s="213"/>
      <c r="M71" s="213"/>
      <c r="N71" s="213"/>
      <c r="O71" s="213"/>
      <c r="P71" s="210"/>
      <c r="Q71" s="210"/>
      <c r="R71" s="210"/>
      <c r="S71" s="210"/>
      <c r="T71" s="210"/>
    </row>
    <row r="72" spans="1:20" ht="15.75" x14ac:dyDescent="0.2">
      <c r="A72" s="9">
        <f t="shared" si="2"/>
        <v>80</v>
      </c>
      <c r="B72" s="93"/>
      <c r="C72" s="93"/>
      <c r="D72" s="93"/>
      <c r="E72" s="93">
        <v>3.7287319628732205E-2</v>
      </c>
      <c r="J72" s="210"/>
      <c r="K72" s="210"/>
      <c r="L72" s="213"/>
      <c r="M72" s="213"/>
      <c r="N72" s="213"/>
      <c r="O72" s="213"/>
      <c r="P72" s="210"/>
      <c r="Q72" s="210"/>
      <c r="R72" s="210"/>
      <c r="S72" s="210"/>
      <c r="T72" s="210"/>
    </row>
    <row r="73" spans="1:20" ht="15.75" x14ac:dyDescent="0.2">
      <c r="A73" s="9">
        <f t="shared" si="2"/>
        <v>81</v>
      </c>
      <c r="B73" s="93"/>
      <c r="C73" s="93"/>
      <c r="D73" s="93"/>
      <c r="E73" s="93">
        <v>4.3998671370974782E-2</v>
      </c>
      <c r="J73" s="210"/>
      <c r="K73" s="210"/>
      <c r="L73" s="213"/>
      <c r="M73" s="213"/>
      <c r="N73" s="213"/>
      <c r="O73" s="213"/>
      <c r="P73" s="210"/>
      <c r="Q73" s="210"/>
      <c r="R73" s="210"/>
      <c r="S73" s="210"/>
      <c r="T73" s="210"/>
    </row>
    <row r="74" spans="1:20" ht="15.75" x14ac:dyDescent="0.2">
      <c r="A74" s="9">
        <f t="shared" ref="A74:A102" si="10">1+A73</f>
        <v>82</v>
      </c>
      <c r="B74" s="93"/>
      <c r="C74" s="93"/>
      <c r="D74" s="93"/>
      <c r="E74" s="93">
        <v>5.190292292846814E-2</v>
      </c>
      <c r="J74" s="210"/>
      <c r="K74" s="210"/>
      <c r="L74" s="213"/>
      <c r="M74" s="213"/>
      <c r="N74" s="213"/>
      <c r="O74" s="213"/>
      <c r="P74" s="210"/>
      <c r="Q74" s="210"/>
      <c r="R74" s="210"/>
      <c r="S74" s="210"/>
      <c r="T74" s="210"/>
    </row>
    <row r="75" spans="1:20" ht="15.75" x14ac:dyDescent="0.2">
      <c r="A75" s="9">
        <f t="shared" si="10"/>
        <v>83</v>
      </c>
      <c r="B75" s="93"/>
      <c r="C75" s="93"/>
      <c r="D75" s="93"/>
      <c r="E75" s="93">
        <v>6.0984060062763898E-2</v>
      </c>
      <c r="J75" s="210"/>
      <c r="K75" s="210"/>
      <c r="L75" s="213"/>
      <c r="M75" s="213"/>
      <c r="N75" s="213"/>
      <c r="O75" s="213"/>
      <c r="P75" s="210"/>
      <c r="Q75" s="210"/>
      <c r="R75" s="210"/>
      <c r="S75" s="210"/>
      <c r="T75" s="210"/>
    </row>
    <row r="76" spans="1:20" ht="15.75" x14ac:dyDescent="0.2">
      <c r="A76" s="9">
        <f t="shared" si="10"/>
        <v>84</v>
      </c>
      <c r="B76" s="93"/>
      <c r="C76" s="93"/>
      <c r="D76" s="93"/>
      <c r="E76" s="93">
        <v>7.1200401073537742E-2</v>
      </c>
      <c r="J76" s="210"/>
      <c r="K76" s="210"/>
      <c r="L76" s="213"/>
      <c r="M76" s="213"/>
      <c r="N76" s="213"/>
      <c r="O76" s="213"/>
      <c r="P76" s="210"/>
      <c r="Q76" s="210"/>
      <c r="R76" s="210"/>
      <c r="S76" s="210"/>
      <c r="T76" s="210"/>
    </row>
    <row r="77" spans="1:20" ht="15.75" x14ac:dyDescent="0.2">
      <c r="A77" s="9">
        <f t="shared" si="10"/>
        <v>85</v>
      </c>
      <c r="B77" s="93"/>
      <c r="C77" s="93"/>
      <c r="D77" s="93"/>
      <c r="E77" s="93">
        <v>8.2492089599128834E-2</v>
      </c>
      <c r="J77" s="210"/>
      <c r="K77" s="210"/>
      <c r="L77" s="213"/>
      <c r="M77" s="213"/>
      <c r="N77" s="213"/>
      <c r="O77" s="213"/>
      <c r="P77" s="210"/>
      <c r="Q77" s="210"/>
      <c r="R77" s="210"/>
      <c r="S77" s="210"/>
      <c r="T77" s="210"/>
    </row>
    <row r="78" spans="1:20" ht="15.75" x14ac:dyDescent="0.2">
      <c r="A78" s="9">
        <f t="shared" si="10"/>
        <v>86</v>
      </c>
      <c r="B78" s="93"/>
      <c r="C78" s="93"/>
      <c r="D78" s="93"/>
      <c r="E78" s="93">
        <v>9.4790724702288151E-2</v>
      </c>
      <c r="J78" s="210"/>
      <c r="K78" s="210"/>
      <c r="L78" s="213"/>
      <c r="M78" s="213"/>
      <c r="N78" s="213"/>
      <c r="O78" s="213"/>
      <c r="P78" s="210"/>
      <c r="Q78" s="210"/>
      <c r="R78" s="210"/>
      <c r="S78" s="210"/>
      <c r="T78" s="210"/>
    </row>
    <row r="79" spans="1:20" ht="15.75" x14ac:dyDescent="0.2">
      <c r="A79" s="9">
        <f t="shared" si="10"/>
        <v>87</v>
      </c>
      <c r="B79" s="93"/>
      <c r="C79" s="93"/>
      <c r="D79" s="93"/>
      <c r="E79" s="93">
        <v>0.1080311282411248</v>
      </c>
      <c r="J79" s="210"/>
      <c r="K79" s="210"/>
      <c r="L79" s="213"/>
      <c r="M79" s="213"/>
      <c r="N79" s="213"/>
      <c r="O79" s="213"/>
      <c r="P79" s="210"/>
      <c r="Q79" s="210"/>
      <c r="R79" s="210"/>
      <c r="S79" s="210"/>
      <c r="T79" s="210"/>
    </row>
    <row r="80" spans="1:20" ht="15.75" x14ac:dyDescent="0.2">
      <c r="A80" s="9">
        <f t="shared" si="10"/>
        <v>88</v>
      </c>
      <c r="B80" s="93"/>
      <c r="C80" s="93"/>
      <c r="D80" s="93"/>
      <c r="E80" s="93">
        <v>0.12216524952525408</v>
      </c>
      <c r="J80" s="210"/>
      <c r="K80" s="210"/>
      <c r="L80" s="213"/>
      <c r="M80" s="213"/>
      <c r="N80" s="213"/>
      <c r="O80" s="213"/>
      <c r="P80" s="210"/>
      <c r="Q80" s="210"/>
      <c r="R80" s="210"/>
      <c r="S80" s="210"/>
      <c r="T80" s="210"/>
    </row>
    <row r="81" spans="1:20" ht="15.75" x14ac:dyDescent="0.2">
      <c r="A81" s="9">
        <f t="shared" si="10"/>
        <v>89</v>
      </c>
      <c r="B81" s="93"/>
      <c r="C81" s="93"/>
      <c r="D81" s="93"/>
      <c r="E81" s="93">
        <v>0.13717820725715896</v>
      </c>
      <c r="J81" s="210"/>
      <c r="K81" s="210"/>
      <c r="L81" s="213"/>
      <c r="M81" s="213"/>
      <c r="N81" s="213"/>
      <c r="O81" s="213"/>
      <c r="P81" s="210"/>
      <c r="Q81" s="210"/>
      <c r="R81" s="210"/>
      <c r="S81" s="210"/>
      <c r="T81" s="210"/>
    </row>
    <row r="82" spans="1:20" ht="15.75" x14ac:dyDescent="0.2">
      <c r="A82" s="9">
        <f t="shared" si="10"/>
        <v>90</v>
      </c>
      <c r="B82" s="93"/>
      <c r="C82" s="93"/>
      <c r="D82" s="93"/>
      <c r="E82" s="93">
        <v>0.15310646875872974</v>
      </c>
      <c r="J82" s="210"/>
      <c r="K82" s="210"/>
      <c r="L82" s="213"/>
      <c r="M82" s="213"/>
      <c r="N82" s="213"/>
      <c r="O82" s="213"/>
      <c r="P82" s="210"/>
      <c r="Q82" s="210"/>
      <c r="R82" s="210"/>
      <c r="S82" s="210"/>
      <c r="T82" s="210"/>
    </row>
    <row r="83" spans="1:20" ht="15.75" x14ac:dyDescent="0.2">
      <c r="A83" s="9">
        <f t="shared" si="10"/>
        <v>91</v>
      </c>
      <c r="B83" s="93"/>
      <c r="C83" s="93"/>
      <c r="D83" s="93"/>
      <c r="E83" s="93">
        <v>0.17005816648303351</v>
      </c>
      <c r="J83" s="210"/>
      <c r="K83" s="210"/>
      <c r="L83" s="213"/>
      <c r="M83" s="213"/>
      <c r="N83" s="213"/>
      <c r="O83" s="213"/>
      <c r="P83" s="210"/>
      <c r="Q83" s="210"/>
      <c r="R83" s="210"/>
      <c r="S83" s="210"/>
      <c r="T83" s="210"/>
    </row>
    <row r="84" spans="1:20" ht="15.75" x14ac:dyDescent="0.2">
      <c r="A84" s="9">
        <f t="shared" si="10"/>
        <v>92</v>
      </c>
      <c r="B84" s="93"/>
      <c r="C84" s="93"/>
      <c r="D84" s="93"/>
      <c r="E84" s="93">
        <v>0.188235551811266</v>
      </c>
      <c r="J84" s="210"/>
      <c r="K84" s="210"/>
      <c r="L84" s="213"/>
      <c r="M84" s="213"/>
      <c r="N84" s="213"/>
      <c r="O84" s="213"/>
      <c r="P84" s="210"/>
      <c r="Q84" s="210"/>
      <c r="R84" s="210"/>
      <c r="S84" s="210"/>
      <c r="T84" s="210"/>
    </row>
    <row r="85" spans="1:20" ht="15.75" x14ac:dyDescent="0.2">
      <c r="A85" s="9">
        <f t="shared" si="10"/>
        <v>93</v>
      </c>
      <c r="B85" s="93"/>
      <c r="C85" s="93"/>
      <c r="D85" s="93"/>
      <c r="E85" s="93">
        <v>0.20795958613491222</v>
      </c>
      <c r="J85" s="210"/>
      <c r="K85" s="210"/>
      <c r="L85" s="213"/>
      <c r="M85" s="213"/>
      <c r="N85" s="213"/>
      <c r="O85" s="213"/>
      <c r="P85" s="210"/>
      <c r="Q85" s="210"/>
      <c r="R85" s="210"/>
      <c r="S85" s="210"/>
      <c r="T85" s="210"/>
    </row>
    <row r="86" spans="1:20" ht="15.75" x14ac:dyDescent="0.2">
      <c r="A86" s="9">
        <f t="shared" si="10"/>
        <v>94</v>
      </c>
      <c r="B86" s="93"/>
      <c r="C86" s="93"/>
      <c r="D86" s="93"/>
      <c r="E86" s="93">
        <v>0.22969666922310927</v>
      </c>
      <c r="J86" s="210"/>
      <c r="K86" s="210"/>
      <c r="L86" s="213"/>
      <c r="M86" s="213"/>
      <c r="N86" s="213"/>
      <c r="O86" s="213"/>
      <c r="P86" s="210"/>
      <c r="Q86" s="210"/>
      <c r="R86" s="210"/>
      <c r="S86" s="210"/>
      <c r="T86" s="210"/>
    </row>
    <row r="87" spans="1:20" ht="15.75" x14ac:dyDescent="0.2">
      <c r="A87" s="9">
        <f t="shared" si="10"/>
        <v>95</v>
      </c>
      <c r="B87" s="93"/>
      <c r="C87" s="93"/>
      <c r="D87" s="93"/>
      <c r="E87" s="93">
        <v>0.25408750487521359</v>
      </c>
      <c r="J87" s="210"/>
      <c r="K87" s="210"/>
      <c r="L87" s="213"/>
      <c r="M87" s="213"/>
      <c r="N87" s="213"/>
      <c r="O87" s="213"/>
      <c r="P87" s="210"/>
      <c r="Q87" s="210"/>
      <c r="R87" s="210"/>
      <c r="S87" s="210"/>
      <c r="T87" s="210"/>
    </row>
    <row r="88" spans="1:20" ht="15.75" x14ac:dyDescent="0.2">
      <c r="A88" s="9">
        <f t="shared" si="10"/>
        <v>96</v>
      </c>
      <c r="B88" s="93"/>
      <c r="C88" s="93"/>
      <c r="D88" s="93"/>
      <c r="E88" s="93">
        <v>0.28197810385856825</v>
      </c>
      <c r="J88" s="210"/>
      <c r="K88" s="210"/>
      <c r="L88" s="213"/>
      <c r="M88" s="213"/>
      <c r="N88" s="213"/>
      <c r="O88" s="213"/>
      <c r="P88" s="210"/>
      <c r="Q88" s="210"/>
      <c r="R88" s="210"/>
      <c r="S88" s="210"/>
      <c r="T88" s="210"/>
    </row>
    <row r="89" spans="1:20" ht="15.75" x14ac:dyDescent="0.2">
      <c r="A89" s="9">
        <f t="shared" si="10"/>
        <v>97</v>
      </c>
      <c r="B89" s="93"/>
      <c r="C89" s="93"/>
      <c r="D89" s="93"/>
      <c r="E89" s="93">
        <v>0.3144529241314592</v>
      </c>
      <c r="J89" s="210"/>
      <c r="K89" s="210"/>
      <c r="L89" s="213"/>
      <c r="M89" s="213"/>
      <c r="N89" s="213"/>
      <c r="O89" s="213"/>
      <c r="P89" s="210"/>
      <c r="Q89" s="210"/>
      <c r="R89" s="210"/>
      <c r="S89" s="210"/>
      <c r="T89" s="210"/>
    </row>
    <row r="90" spans="1:20" ht="15.75" x14ac:dyDescent="0.2">
      <c r="A90" s="9">
        <f t="shared" si="10"/>
        <v>98</v>
      </c>
      <c r="B90" s="93"/>
      <c r="C90" s="93"/>
      <c r="D90" s="93"/>
      <c r="E90" s="93">
        <v>0.35287014835131159</v>
      </c>
      <c r="J90" s="210"/>
      <c r="K90" s="210"/>
      <c r="L90" s="213"/>
      <c r="M90" s="213"/>
      <c r="N90" s="213"/>
      <c r="O90" s="213"/>
      <c r="P90" s="210"/>
      <c r="Q90" s="210"/>
      <c r="R90" s="210"/>
      <c r="S90" s="210"/>
      <c r="T90" s="210"/>
    </row>
    <row r="91" spans="1:20" ht="15.75" x14ac:dyDescent="0.2">
      <c r="A91" s="9">
        <f t="shared" si="10"/>
        <v>99</v>
      </c>
      <c r="B91" s="93"/>
      <c r="C91" s="93"/>
      <c r="D91" s="93"/>
      <c r="E91" s="93">
        <v>0.39889909866803974</v>
      </c>
      <c r="J91" s="210"/>
      <c r="K91" s="210"/>
      <c r="L91" s="213"/>
      <c r="M91" s="213"/>
      <c r="N91" s="213"/>
      <c r="O91" s="213"/>
      <c r="P91" s="210"/>
      <c r="Q91" s="210"/>
      <c r="R91" s="210"/>
      <c r="S91" s="210"/>
      <c r="T91" s="210"/>
    </row>
    <row r="92" spans="1:20" ht="15.75" x14ac:dyDescent="0.2">
      <c r="A92" s="9">
        <f t="shared" si="10"/>
        <v>100</v>
      </c>
      <c r="B92" s="93"/>
      <c r="C92" s="93"/>
      <c r="D92" s="93"/>
      <c r="E92" s="93">
        <v>0.45455978880263315</v>
      </c>
      <c r="J92" s="210"/>
      <c r="K92" s="210"/>
      <c r="L92" s="213"/>
      <c r="M92" s="213"/>
      <c r="N92" s="213"/>
      <c r="O92" s="213"/>
      <c r="P92" s="210"/>
      <c r="Q92" s="210"/>
      <c r="R92" s="210"/>
      <c r="S92" s="210"/>
      <c r="T92" s="210"/>
    </row>
    <row r="93" spans="1:20" ht="15.75" x14ac:dyDescent="0.2">
      <c r="A93" s="9">
        <f t="shared" si="10"/>
        <v>101</v>
      </c>
      <c r="B93" s="93"/>
      <c r="C93" s="93"/>
      <c r="D93" s="93"/>
      <c r="E93" s="93">
        <v>0.52226461341092145</v>
      </c>
      <c r="J93" s="210"/>
      <c r="K93" s="210"/>
      <c r="L93" s="213"/>
      <c r="M93" s="213"/>
      <c r="N93" s="213"/>
      <c r="O93" s="213"/>
      <c r="P93" s="210"/>
      <c r="Q93" s="210"/>
      <c r="R93" s="210"/>
      <c r="S93" s="210"/>
      <c r="T93" s="210"/>
    </row>
    <row r="94" spans="1:20" ht="15.75" x14ac:dyDescent="0.2">
      <c r="A94" s="9">
        <f t="shared" si="10"/>
        <v>102</v>
      </c>
      <c r="B94" s="93"/>
      <c r="C94" s="93"/>
      <c r="D94" s="93"/>
      <c r="E94" s="93">
        <v>0.60486217473258064</v>
      </c>
      <c r="J94" s="210"/>
      <c r="K94" s="210"/>
      <c r="L94" s="213"/>
      <c r="M94" s="213"/>
      <c r="N94" s="213"/>
      <c r="O94" s="213"/>
      <c r="P94" s="210"/>
      <c r="Q94" s="210"/>
      <c r="R94" s="210"/>
      <c r="S94" s="210"/>
      <c r="T94" s="210"/>
    </row>
    <row r="95" spans="1:20" ht="15.75" x14ac:dyDescent="0.2">
      <c r="A95" s="9">
        <f t="shared" si="10"/>
        <v>103</v>
      </c>
      <c r="B95" s="93"/>
      <c r="C95" s="93"/>
      <c r="D95" s="93"/>
      <c r="E95" s="93">
        <v>0.70568324652528114</v>
      </c>
      <c r="J95" s="210"/>
      <c r="K95" s="210"/>
      <c r="L95" s="213"/>
      <c r="M95" s="213"/>
      <c r="N95" s="213"/>
      <c r="O95" s="213"/>
      <c r="P95" s="210"/>
      <c r="Q95" s="210"/>
      <c r="R95" s="210"/>
      <c r="S95" s="210"/>
      <c r="T95" s="210"/>
    </row>
    <row r="96" spans="1:20" ht="15.75" x14ac:dyDescent="0.2">
      <c r="A96" s="9">
        <f t="shared" si="10"/>
        <v>104</v>
      </c>
      <c r="B96" s="93"/>
      <c r="C96" s="93"/>
      <c r="D96" s="93"/>
      <c r="E96" s="93">
        <v>0.82858887528409608</v>
      </c>
      <c r="J96" s="210"/>
      <c r="K96" s="210"/>
      <c r="L96" s="213"/>
      <c r="M96" s="213"/>
      <c r="N96" s="213"/>
      <c r="O96" s="213"/>
      <c r="P96" s="210"/>
      <c r="Q96" s="210"/>
      <c r="R96" s="210"/>
      <c r="S96" s="210"/>
      <c r="T96" s="210"/>
    </row>
    <row r="97" spans="1:20" ht="15.75" x14ac:dyDescent="0.2">
      <c r="A97" s="9">
        <f t="shared" si="10"/>
        <v>105</v>
      </c>
      <c r="B97" s="93"/>
      <c r="C97" s="93"/>
      <c r="D97" s="93"/>
      <c r="E97" s="93">
        <v>1</v>
      </c>
      <c r="J97" s="210"/>
      <c r="K97" s="210"/>
      <c r="L97" s="213"/>
      <c r="M97" s="213"/>
      <c r="N97" s="213"/>
      <c r="O97" s="213"/>
      <c r="P97" s="210"/>
      <c r="Q97" s="210"/>
      <c r="R97" s="210"/>
      <c r="S97" s="210"/>
      <c r="T97" s="210"/>
    </row>
    <row r="98" spans="1:20" ht="15.75" x14ac:dyDescent="0.2">
      <c r="A98" s="9">
        <f t="shared" si="10"/>
        <v>106</v>
      </c>
      <c r="B98" s="98"/>
      <c r="C98" s="98"/>
      <c r="D98" s="94"/>
      <c r="E98" s="93"/>
      <c r="J98" s="210"/>
      <c r="K98" s="210"/>
      <c r="L98" s="213"/>
      <c r="M98" s="213"/>
      <c r="N98" s="213"/>
      <c r="O98" s="213"/>
      <c r="P98" s="210"/>
      <c r="Q98" s="210"/>
      <c r="R98" s="210"/>
      <c r="S98" s="210"/>
      <c r="T98" s="210"/>
    </row>
    <row r="99" spans="1:20" ht="15.75" x14ac:dyDescent="0.2">
      <c r="A99" s="9">
        <f t="shared" si="10"/>
        <v>107</v>
      </c>
      <c r="B99" s="98"/>
      <c r="C99" s="98"/>
      <c r="D99" s="94"/>
      <c r="E99" s="94"/>
      <c r="J99" s="210"/>
      <c r="K99" s="210"/>
      <c r="L99" s="213"/>
      <c r="M99" s="213"/>
      <c r="N99" s="213"/>
      <c r="O99" s="213"/>
      <c r="P99" s="210"/>
      <c r="Q99" s="210"/>
      <c r="R99" s="210"/>
      <c r="S99" s="210"/>
      <c r="T99" s="210"/>
    </row>
    <row r="100" spans="1:20" ht="15.75" x14ac:dyDescent="0.2">
      <c r="A100" s="9">
        <f t="shared" si="10"/>
        <v>108</v>
      </c>
      <c r="B100" s="98"/>
      <c r="C100" s="98"/>
      <c r="D100" s="94"/>
      <c r="E100" s="94"/>
      <c r="J100" s="210"/>
      <c r="K100" s="210"/>
      <c r="L100" s="213"/>
      <c r="M100" s="213"/>
      <c r="N100" s="213"/>
      <c r="O100" s="213"/>
      <c r="P100" s="210"/>
      <c r="Q100" s="210"/>
      <c r="R100" s="210"/>
      <c r="S100" s="210"/>
      <c r="T100" s="210"/>
    </row>
    <row r="101" spans="1:20" ht="15.75" x14ac:dyDescent="0.2">
      <c r="A101" s="9">
        <f t="shared" si="10"/>
        <v>109</v>
      </c>
      <c r="B101" s="98"/>
      <c r="C101" s="98"/>
      <c r="D101" s="94"/>
      <c r="E101" s="94"/>
      <c r="J101" s="210"/>
      <c r="K101" s="210"/>
      <c r="L101" s="213"/>
      <c r="M101" s="213"/>
      <c r="N101" s="213"/>
      <c r="O101" s="213"/>
      <c r="P101" s="210"/>
      <c r="Q101" s="210"/>
      <c r="R101" s="210"/>
      <c r="S101" s="210"/>
      <c r="T101" s="210"/>
    </row>
    <row r="102" spans="1:20" ht="16.5" thickBot="1" x14ac:dyDescent="0.25">
      <c r="A102" s="12">
        <f t="shared" si="10"/>
        <v>110</v>
      </c>
      <c r="B102" s="81"/>
      <c r="C102" s="81"/>
      <c r="D102" s="39"/>
      <c r="E102" s="39"/>
      <c r="J102" s="210"/>
      <c r="K102" s="210"/>
      <c r="L102" s="213"/>
      <c r="M102" s="213"/>
      <c r="N102" s="213"/>
      <c r="O102" s="213"/>
      <c r="P102" s="210"/>
      <c r="Q102" s="210"/>
      <c r="R102" s="210"/>
      <c r="S102" s="210"/>
      <c r="T102" s="210"/>
    </row>
    <row r="103" spans="1:20" x14ac:dyDescent="0.2"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14"/>
  <sheetViews>
    <sheetView workbookViewId="0">
      <selection activeCell="H30" sqref="H30"/>
    </sheetView>
  </sheetViews>
  <sheetFormatPr baseColWidth="10" defaultColWidth="11.42578125" defaultRowHeight="12.75" x14ac:dyDescent="0.2"/>
  <cols>
    <col min="1" max="16384" width="11.42578125" style="75"/>
  </cols>
  <sheetData>
    <row r="1" spans="1:6" ht="15.75" customHeight="1" x14ac:dyDescent="0.25">
      <c r="A1" s="106" t="s">
        <v>0</v>
      </c>
      <c r="B1" s="107"/>
      <c r="C1" s="108"/>
      <c r="D1" s="106" t="s">
        <v>67</v>
      </c>
      <c r="E1" s="108"/>
      <c r="F1" s="108"/>
    </row>
    <row r="2" spans="1:6" ht="15.75" customHeight="1" x14ac:dyDescent="0.25">
      <c r="A2" s="107"/>
      <c r="B2" s="107"/>
      <c r="C2" s="108"/>
      <c r="D2" s="108"/>
      <c r="E2" s="108"/>
      <c r="F2" s="108"/>
    </row>
    <row r="3" spans="1:6" ht="15.75" customHeight="1" x14ac:dyDescent="0.25">
      <c r="A3" s="107" t="s">
        <v>1</v>
      </c>
      <c r="B3" s="107">
        <v>0</v>
      </c>
      <c r="C3" s="108"/>
      <c r="D3" s="107" t="str">
        <f>"Frauen Tabelle "</f>
        <v xml:space="preserve">Frauen Tabelle </v>
      </c>
      <c r="E3" s="108"/>
      <c r="F3" s="108"/>
    </row>
    <row r="4" spans="1:6" ht="15.75" customHeight="1" x14ac:dyDescent="0.25">
      <c r="A4" s="107" t="s">
        <v>2</v>
      </c>
      <c r="B4" s="107">
        <v>0</v>
      </c>
      <c r="C4" s="108"/>
      <c r="D4" s="107" t="str">
        <f>"Männer Tabelle "</f>
        <v xml:space="preserve">Männer Tabelle </v>
      </c>
      <c r="E4" s="108"/>
      <c r="F4" s="108"/>
    </row>
    <row r="5" spans="1:6" ht="15.75" customHeight="1" x14ac:dyDescent="0.25">
      <c r="A5" s="107" t="s">
        <v>4</v>
      </c>
      <c r="B5" s="107">
        <v>3</v>
      </c>
      <c r="C5" s="108"/>
      <c r="D5" s="108"/>
      <c r="E5" s="108"/>
      <c r="F5" s="108"/>
    </row>
    <row r="6" spans="1:6" ht="15.75" customHeight="1" x14ac:dyDescent="0.25">
      <c r="A6" s="107" t="s">
        <v>7</v>
      </c>
      <c r="B6" s="107">
        <v>0</v>
      </c>
      <c r="C6" s="108"/>
      <c r="D6" s="106" t="s">
        <v>68</v>
      </c>
      <c r="E6" s="108"/>
      <c r="F6" s="108"/>
    </row>
    <row r="7" spans="1:6" ht="15.75" customHeight="1" x14ac:dyDescent="0.25">
      <c r="A7" s="107" t="s">
        <v>8</v>
      </c>
      <c r="B7" s="107">
        <v>2</v>
      </c>
      <c r="C7" s="108"/>
      <c r="D7" s="108"/>
      <c r="E7" s="108"/>
      <c r="F7" s="108"/>
    </row>
    <row r="8" spans="1:6" ht="15.75" customHeight="1" x14ac:dyDescent="0.25">
      <c r="A8" s="107" t="s">
        <v>9</v>
      </c>
      <c r="B8" s="107">
        <v>0</v>
      </c>
      <c r="C8" s="108"/>
      <c r="D8" s="109" t="s">
        <v>5</v>
      </c>
      <c r="E8" s="109"/>
      <c r="F8" s="110">
        <v>17</v>
      </c>
    </row>
    <row r="9" spans="1:6" ht="15.75" customHeight="1" x14ac:dyDescent="0.2">
      <c r="A9" s="108"/>
      <c r="B9" s="108"/>
      <c r="C9" s="108"/>
      <c r="D9" s="109" t="s">
        <v>6</v>
      </c>
      <c r="E9" s="109"/>
      <c r="F9" s="110">
        <v>0.5</v>
      </c>
    </row>
    <row r="10" spans="1:6" ht="15.75" customHeight="1" x14ac:dyDescent="0.2">
      <c r="A10" s="108"/>
      <c r="B10" s="108"/>
      <c r="C10" s="108"/>
      <c r="D10" s="111" t="s">
        <v>3</v>
      </c>
      <c r="E10" s="108"/>
      <c r="F10" s="112">
        <f>1/(1+Zins)</f>
        <v>0.97799511002444994</v>
      </c>
    </row>
    <row r="11" spans="1:6" ht="15.75" customHeight="1" x14ac:dyDescent="0.2"/>
    <row r="12" spans="1:6" ht="15.75" customHeight="1" x14ac:dyDescent="0.3">
      <c r="A12" s="137" t="s">
        <v>422</v>
      </c>
    </row>
    <row r="13" spans="1:6" ht="15.75" customHeight="1" x14ac:dyDescent="0.2"/>
    <row r="14" spans="1:6" ht="15.75" customHeight="1" x14ac:dyDescent="0.2"/>
  </sheetData>
  <customSheetViews>
    <customSheetView guid="{30BFA3C6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30BFA3C5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  <customSheetView guid="{30BFA3C4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"/>
      <headerFooter alignWithMargins="0"/>
    </customSheetView>
    <customSheetView guid="{30BFA3C3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"/>
      <headerFooter alignWithMargins="0"/>
    </customSheetView>
    <customSheetView guid="{30BFA3C2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"/>
      <headerFooter alignWithMargins="0"/>
    </customSheetView>
    <customSheetView guid="{30BFA3C1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6"/>
      <headerFooter alignWithMargins="0"/>
    </customSheetView>
    <customSheetView guid="{30BFA3C0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7"/>
      <headerFooter alignWithMargins="0"/>
    </customSheetView>
    <customSheetView guid="{30BFA3BF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8"/>
      <headerFooter alignWithMargins="0"/>
    </customSheetView>
    <customSheetView guid="{30BFA3BE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9"/>
      <headerFooter alignWithMargins="0"/>
    </customSheetView>
    <customSheetView guid="{30BFA3BD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0"/>
      <headerFooter alignWithMargins="0"/>
    </customSheetView>
    <customSheetView guid="{30BFA3BC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1"/>
      <headerFooter alignWithMargins="0"/>
    </customSheetView>
    <customSheetView guid="{30BFA3BB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2"/>
      <headerFooter alignWithMargins="0"/>
    </customSheetView>
    <customSheetView guid="{30BFA3BA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3"/>
      <headerFooter alignWithMargins="0"/>
    </customSheetView>
    <customSheetView guid="{30BFA3B9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4"/>
      <headerFooter alignWithMargins="0"/>
    </customSheetView>
    <customSheetView guid="{30BFA3B8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5"/>
      <headerFooter alignWithMargins="0"/>
    </customSheetView>
    <customSheetView guid="{30BFA3B6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6"/>
      <headerFooter alignWithMargins="0"/>
    </customSheetView>
    <customSheetView guid="{30BFA3B5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7"/>
      <headerFooter alignWithMargins="0"/>
    </customSheetView>
    <customSheetView guid="{30BFA3B4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8"/>
      <headerFooter alignWithMargins="0"/>
    </customSheetView>
    <customSheetView guid="{30BFA3B3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19"/>
      <headerFooter alignWithMargins="0"/>
    </customSheetView>
    <customSheetView guid="{30BFA3B2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0"/>
      <headerFooter alignWithMargins="0"/>
    </customSheetView>
    <customSheetView guid="{30BFA3B1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1"/>
      <headerFooter alignWithMargins="0"/>
    </customSheetView>
    <customSheetView guid="{30BFA3AF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2"/>
      <headerFooter alignWithMargins="0"/>
    </customSheetView>
    <customSheetView guid="{30BFA3AE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3"/>
      <headerFooter alignWithMargins="0"/>
    </customSheetView>
    <customSheetView guid="{30BFA3AD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4"/>
      <headerFooter alignWithMargins="0"/>
    </customSheetView>
    <customSheetView guid="{30BFA3AC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5"/>
      <headerFooter alignWithMargins="0"/>
    </customSheetView>
    <customSheetView guid="{30BFA3AB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6"/>
      <headerFooter alignWithMargins="0"/>
    </customSheetView>
    <customSheetView guid="{30BFA3AA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7"/>
      <headerFooter alignWithMargins="0"/>
    </customSheetView>
    <customSheetView guid="{30BFA3A9-776B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8"/>
      <headerFooter alignWithMargins="0"/>
    </customSheetView>
    <customSheetView guid="{4C29A34C-6ED4-11D4-A42C-0050044063A3}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29"/>
      <headerFooter alignWithMargins="0"/>
    </customSheetView>
    <customSheetView guid="{4C29A34D-6ED4-11D4-A42C-0050044063A3}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0"/>
      <headerFooter alignWithMargins="0"/>
    </customSheetView>
    <customSheetView guid="{6EC1D8DB-7337-11D4-A432-0050044063A3}" state="hidden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1"/>
      <headerFooter alignWithMargins="0"/>
    </customSheetView>
    <customSheetView guid="{67B6F32A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2"/>
      <headerFooter alignWithMargins="0"/>
    </customSheetView>
    <customSheetView guid="{67B6F32B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3"/>
      <headerFooter alignWithMargins="0"/>
    </customSheetView>
    <customSheetView guid="{67B6F32C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4"/>
      <headerFooter alignWithMargins="0"/>
    </customSheetView>
    <customSheetView guid="{67B6F32D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5"/>
      <headerFooter alignWithMargins="0"/>
    </customSheetView>
    <customSheetView guid="{67B6F32E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6"/>
      <headerFooter alignWithMargins="0"/>
    </customSheetView>
    <customSheetView guid="{67B6F32F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7"/>
      <headerFooter alignWithMargins="0"/>
    </customSheetView>
    <customSheetView guid="{67B6F330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8"/>
      <headerFooter alignWithMargins="0"/>
    </customSheetView>
    <customSheetView guid="{67B6F332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39"/>
      <headerFooter alignWithMargins="0"/>
    </customSheetView>
    <customSheetView guid="{67B6F333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0"/>
      <headerFooter alignWithMargins="0"/>
    </customSheetView>
    <customSheetView guid="{67B6F334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1"/>
      <headerFooter alignWithMargins="0"/>
    </customSheetView>
    <customSheetView guid="{67B6F335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2"/>
      <headerFooter alignWithMargins="0"/>
    </customSheetView>
    <customSheetView guid="{67B6F336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3"/>
      <headerFooter alignWithMargins="0"/>
    </customSheetView>
    <customSheetView guid="{67B6F337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4"/>
      <headerFooter alignWithMargins="0"/>
    </customSheetView>
    <customSheetView guid="{67B6F338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5"/>
      <headerFooter alignWithMargins="0"/>
    </customSheetView>
    <customSheetView guid="{67B6F339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6"/>
      <headerFooter alignWithMargins="0"/>
    </customSheetView>
    <customSheetView guid="{67B6F33A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7"/>
      <headerFooter alignWithMargins="0"/>
    </customSheetView>
    <customSheetView guid="{67B6F33B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8"/>
      <headerFooter alignWithMargins="0"/>
    </customSheetView>
    <customSheetView guid="{67B6F33C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49"/>
      <headerFooter alignWithMargins="0"/>
    </customSheetView>
    <customSheetView guid="{67B6F33D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0"/>
      <headerFooter alignWithMargins="0"/>
    </customSheetView>
    <customSheetView guid="{67B6F33E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1"/>
      <headerFooter alignWithMargins="0"/>
    </customSheetView>
    <customSheetView guid="{67B6F33F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2"/>
      <headerFooter alignWithMargins="0"/>
    </customSheetView>
    <customSheetView guid="{67B6F340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3"/>
      <headerFooter alignWithMargins="0"/>
    </customSheetView>
    <customSheetView guid="{67B6F341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4"/>
      <headerFooter alignWithMargins="0"/>
    </customSheetView>
    <customSheetView guid="{67B6F342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5"/>
      <headerFooter alignWithMargins="0"/>
    </customSheetView>
    <customSheetView guid="{67B6F343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6"/>
      <headerFooter alignWithMargins="0"/>
    </customSheetView>
    <customSheetView guid="{67B6F344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7"/>
      <headerFooter alignWithMargins="0"/>
    </customSheetView>
    <customSheetView guid="{67B6F345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8"/>
      <headerFooter alignWithMargins="0"/>
    </customSheetView>
    <customSheetView guid="{67B6F346-7771-11D4-A436-0050044063A3}" showPageBreaks="1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59"/>
      <headerFooter alignWithMargins="0"/>
    </customSheetView>
    <customSheetView guid="{E26AA399-7CC0-11D4-A43C-0050044063A3}" showRuler="0">
      <selection activeCell="B13" sqref="B13"/>
      <pageMargins left="0.78740157499999996" right="0.78740157499999996" top="0.984251969" bottom="0.984251969" header="0.4921259845" footer="0.4921259845"/>
      <pageSetup paperSize="9" orientation="portrait" r:id="rId60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6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B46"/>
  <sheetViews>
    <sheetView zoomScaleNormal="100" workbookViewId="0">
      <selection activeCell="N18" sqref="N18"/>
    </sheetView>
  </sheetViews>
  <sheetFormatPr baseColWidth="10" defaultRowHeight="12.75" x14ac:dyDescent="0.2"/>
  <sheetData>
    <row r="1" spans="1:2" ht="16.5" x14ac:dyDescent="0.25">
      <c r="A1" s="167" t="s">
        <v>16</v>
      </c>
      <c r="B1" s="167" t="s">
        <v>459</v>
      </c>
    </row>
    <row r="2" spans="1:2" x14ac:dyDescent="0.2">
      <c r="A2">
        <v>20</v>
      </c>
      <c r="B2">
        <v>1</v>
      </c>
    </row>
    <row r="3" spans="1:2" x14ac:dyDescent="0.2">
      <c r="A3">
        <f>1+A2</f>
        <v>21</v>
      </c>
      <c r="B3">
        <v>1.089</v>
      </c>
    </row>
    <row r="4" spans="1:2" x14ac:dyDescent="0.2">
      <c r="A4">
        <f t="shared" ref="A4:A46" si="0">1+A3</f>
        <v>22</v>
      </c>
      <c r="B4">
        <v>1.1870000000000001</v>
      </c>
    </row>
    <row r="5" spans="1:2" x14ac:dyDescent="0.2">
      <c r="A5">
        <f t="shared" si="0"/>
        <v>23</v>
      </c>
      <c r="B5">
        <v>1.29</v>
      </c>
    </row>
    <row r="6" spans="1:2" x14ac:dyDescent="0.2">
      <c r="A6">
        <f t="shared" si="0"/>
        <v>24</v>
      </c>
      <c r="B6">
        <v>1.399</v>
      </c>
    </row>
    <row r="7" spans="1:2" x14ac:dyDescent="0.2">
      <c r="A7">
        <f t="shared" si="0"/>
        <v>25</v>
      </c>
      <c r="B7">
        <v>1.5149999999999999</v>
      </c>
    </row>
    <row r="8" spans="1:2" x14ac:dyDescent="0.2">
      <c r="A8">
        <f t="shared" si="0"/>
        <v>26</v>
      </c>
      <c r="B8">
        <v>1.637</v>
      </c>
    </row>
    <row r="9" spans="1:2" x14ac:dyDescent="0.2">
      <c r="A9">
        <f t="shared" si="0"/>
        <v>27</v>
      </c>
      <c r="B9">
        <v>1.764</v>
      </c>
    </row>
    <row r="10" spans="1:2" x14ac:dyDescent="0.2">
      <c r="A10">
        <f t="shared" si="0"/>
        <v>28</v>
      </c>
      <c r="B10">
        <v>1.8959999999999999</v>
      </c>
    </row>
    <row r="11" spans="1:2" x14ac:dyDescent="0.2">
      <c r="A11">
        <f t="shared" si="0"/>
        <v>29</v>
      </c>
      <c r="B11">
        <v>2.0310000000000001</v>
      </c>
    </row>
    <row r="12" spans="1:2" x14ac:dyDescent="0.2">
      <c r="A12">
        <f t="shared" si="0"/>
        <v>30</v>
      </c>
      <c r="B12">
        <v>2.1669999999999998</v>
      </c>
    </row>
    <row r="13" spans="1:2" x14ac:dyDescent="0.2">
      <c r="A13">
        <f t="shared" si="0"/>
        <v>31</v>
      </c>
      <c r="B13">
        <v>2.306</v>
      </c>
    </row>
    <row r="14" spans="1:2" x14ac:dyDescent="0.2">
      <c r="A14">
        <f t="shared" si="0"/>
        <v>32</v>
      </c>
      <c r="B14">
        <v>2.4449999999999998</v>
      </c>
    </row>
    <row r="15" spans="1:2" x14ac:dyDescent="0.2">
      <c r="A15">
        <f t="shared" si="0"/>
        <v>33</v>
      </c>
      <c r="B15">
        <v>2.589</v>
      </c>
    </row>
    <row r="16" spans="1:2" x14ac:dyDescent="0.2">
      <c r="A16">
        <f t="shared" si="0"/>
        <v>34</v>
      </c>
      <c r="B16">
        <v>2.7370000000000001</v>
      </c>
    </row>
    <row r="17" spans="1:2" x14ac:dyDescent="0.2">
      <c r="A17">
        <f t="shared" si="0"/>
        <v>35</v>
      </c>
      <c r="B17">
        <v>2.89</v>
      </c>
    </row>
    <row r="18" spans="1:2" x14ac:dyDescent="0.2">
      <c r="A18">
        <f t="shared" si="0"/>
        <v>36</v>
      </c>
      <c r="B18">
        <v>3.0459999999999998</v>
      </c>
    </row>
    <row r="19" spans="1:2" x14ac:dyDescent="0.2">
      <c r="A19">
        <f t="shared" si="0"/>
        <v>37</v>
      </c>
      <c r="B19">
        <v>3.206</v>
      </c>
    </row>
    <row r="20" spans="1:2" x14ac:dyDescent="0.2">
      <c r="A20">
        <f t="shared" si="0"/>
        <v>38</v>
      </c>
      <c r="B20">
        <v>3.7440000000000002</v>
      </c>
    </row>
    <row r="21" spans="1:2" x14ac:dyDescent="0.2">
      <c r="A21">
        <f t="shared" si="0"/>
        <v>39</v>
      </c>
      <c r="B21">
        <v>3.5510000000000002</v>
      </c>
    </row>
    <row r="22" spans="1:2" x14ac:dyDescent="0.2">
      <c r="A22">
        <f t="shared" si="0"/>
        <v>40</v>
      </c>
      <c r="B22">
        <v>3.7360000000000002</v>
      </c>
    </row>
    <row r="23" spans="1:2" x14ac:dyDescent="0.2">
      <c r="A23">
        <f t="shared" si="0"/>
        <v>41</v>
      </c>
      <c r="B23">
        <v>3.931</v>
      </c>
    </row>
    <row r="24" spans="1:2" x14ac:dyDescent="0.2">
      <c r="A24">
        <f t="shared" si="0"/>
        <v>42</v>
      </c>
      <c r="B24">
        <v>4.1349999999999998</v>
      </c>
    </row>
    <row r="25" spans="1:2" x14ac:dyDescent="0.2">
      <c r="A25">
        <f t="shared" si="0"/>
        <v>43</v>
      </c>
      <c r="B25">
        <v>4.3470000000000004</v>
      </c>
    </row>
    <row r="26" spans="1:2" x14ac:dyDescent="0.2">
      <c r="A26">
        <f t="shared" si="0"/>
        <v>44</v>
      </c>
      <c r="B26">
        <v>4.5679999999999996</v>
      </c>
    </row>
    <row r="27" spans="1:2" x14ac:dyDescent="0.2">
      <c r="A27">
        <f t="shared" si="0"/>
        <v>45</v>
      </c>
      <c r="B27">
        <v>4.798</v>
      </c>
    </row>
    <row r="28" spans="1:2" x14ac:dyDescent="0.2">
      <c r="A28">
        <f t="shared" si="0"/>
        <v>46</v>
      </c>
      <c r="B28">
        <v>5.0369999999999999</v>
      </c>
    </row>
    <row r="29" spans="1:2" x14ac:dyDescent="0.2">
      <c r="A29">
        <f t="shared" si="0"/>
        <v>47</v>
      </c>
      <c r="B29">
        <v>5.2859999999999996</v>
      </c>
    </row>
    <row r="30" spans="1:2" x14ac:dyDescent="0.2">
      <c r="A30">
        <f t="shared" si="0"/>
        <v>48</v>
      </c>
      <c r="B30">
        <v>5.5590000000000002</v>
      </c>
    </row>
    <row r="31" spans="1:2" x14ac:dyDescent="0.2">
      <c r="A31">
        <f t="shared" si="0"/>
        <v>49</v>
      </c>
      <c r="B31">
        <v>5.86</v>
      </c>
    </row>
    <row r="32" spans="1:2" x14ac:dyDescent="0.2">
      <c r="A32">
        <f t="shared" si="0"/>
        <v>50</v>
      </c>
      <c r="B32">
        <v>6.19</v>
      </c>
    </row>
    <row r="33" spans="1:2" x14ac:dyDescent="0.2">
      <c r="A33">
        <f t="shared" si="0"/>
        <v>51</v>
      </c>
      <c r="B33">
        <v>6.5549999999999997</v>
      </c>
    </row>
    <row r="34" spans="1:2" x14ac:dyDescent="0.2">
      <c r="A34">
        <f t="shared" si="0"/>
        <v>52</v>
      </c>
      <c r="B34">
        <v>6.9560000000000004</v>
      </c>
    </row>
    <row r="35" spans="1:2" x14ac:dyDescent="0.2">
      <c r="A35">
        <f t="shared" si="0"/>
        <v>53</v>
      </c>
      <c r="B35">
        <v>7.3659999999999997</v>
      </c>
    </row>
    <row r="36" spans="1:2" x14ac:dyDescent="0.2">
      <c r="A36">
        <f t="shared" si="0"/>
        <v>54</v>
      </c>
      <c r="B36">
        <v>7.7850000000000001</v>
      </c>
    </row>
    <row r="37" spans="1:2" x14ac:dyDescent="0.2">
      <c r="A37">
        <f t="shared" si="0"/>
        <v>55</v>
      </c>
      <c r="B37">
        <v>8.2100000000000009</v>
      </c>
    </row>
    <row r="38" spans="1:2" x14ac:dyDescent="0.2">
      <c r="A38">
        <f t="shared" si="0"/>
        <v>56</v>
      </c>
      <c r="B38">
        <v>8.641</v>
      </c>
    </row>
    <row r="39" spans="1:2" x14ac:dyDescent="0.2">
      <c r="A39">
        <f t="shared" si="0"/>
        <v>57</v>
      </c>
      <c r="B39">
        <v>9.0749999999999993</v>
      </c>
    </row>
    <row r="40" spans="1:2" x14ac:dyDescent="0.2">
      <c r="A40">
        <f t="shared" si="0"/>
        <v>58</v>
      </c>
      <c r="B40">
        <v>9.51</v>
      </c>
    </row>
    <row r="41" spans="1:2" x14ac:dyDescent="0.2">
      <c r="A41">
        <f t="shared" si="0"/>
        <v>59</v>
      </c>
      <c r="B41">
        <v>9.9420000000000002</v>
      </c>
    </row>
    <row r="42" spans="1:2" x14ac:dyDescent="0.2">
      <c r="A42">
        <f t="shared" si="0"/>
        <v>60</v>
      </c>
      <c r="B42">
        <v>10.37</v>
      </c>
    </row>
    <row r="43" spans="1:2" x14ac:dyDescent="0.2">
      <c r="A43">
        <f t="shared" si="0"/>
        <v>61</v>
      </c>
      <c r="B43">
        <v>10.79</v>
      </c>
    </row>
    <row r="44" spans="1:2" x14ac:dyDescent="0.2">
      <c r="A44">
        <f t="shared" si="0"/>
        <v>62</v>
      </c>
      <c r="B44">
        <v>11.21</v>
      </c>
    </row>
    <row r="45" spans="1:2" x14ac:dyDescent="0.2">
      <c r="A45">
        <f t="shared" si="0"/>
        <v>63</v>
      </c>
      <c r="B45">
        <v>11.64</v>
      </c>
    </row>
    <row r="46" spans="1:2" x14ac:dyDescent="0.2">
      <c r="A46">
        <f t="shared" si="0"/>
        <v>64</v>
      </c>
      <c r="B46">
        <v>12.08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B86"/>
  <sheetViews>
    <sheetView zoomScaleNormal="100" workbookViewId="0">
      <pane ySplit="1" topLeftCell="A2" activePane="bottomLeft" state="frozen"/>
      <selection pane="bottomLeft" activeCell="F49" sqref="F49"/>
    </sheetView>
  </sheetViews>
  <sheetFormatPr baseColWidth="10" defaultColWidth="9.140625" defaultRowHeight="12.75" x14ac:dyDescent="0.2"/>
  <cols>
    <col min="1" max="2" width="11.42578125" customWidth="1"/>
    <col min="3" max="3" width="11.42578125" style="169" customWidth="1"/>
    <col min="4" max="5" width="11.42578125" customWidth="1"/>
    <col min="6" max="6" width="11.42578125" style="184" customWidth="1"/>
    <col min="7" max="7" width="13.28515625" style="169" customWidth="1"/>
    <col min="8" max="19" width="11.42578125" customWidth="1"/>
    <col min="20" max="20" width="12" customWidth="1"/>
    <col min="21" max="21" width="11.42578125" customWidth="1"/>
    <col min="22" max="22" width="11.42578125" style="144" customWidth="1"/>
    <col min="23" max="256" width="11.42578125" customWidth="1"/>
  </cols>
  <sheetData>
    <row r="1" spans="1:27" s="140" customFormat="1" ht="51" x14ac:dyDescent="0.2">
      <c r="A1" s="140" t="s">
        <v>430</v>
      </c>
      <c r="B1" s="140" t="s">
        <v>425</v>
      </c>
      <c r="C1" s="168" t="s">
        <v>458</v>
      </c>
      <c r="D1" s="140" t="s">
        <v>426</v>
      </c>
      <c r="E1" s="140" t="s">
        <v>424</v>
      </c>
      <c r="F1" s="183" t="s">
        <v>482</v>
      </c>
      <c r="G1" s="168" t="s">
        <v>460</v>
      </c>
      <c r="H1" s="140" t="s">
        <v>427</v>
      </c>
      <c r="I1" s="140" t="s">
        <v>428</v>
      </c>
      <c r="J1" s="140" t="s">
        <v>429</v>
      </c>
      <c r="K1" s="140" t="s">
        <v>431</v>
      </c>
      <c r="L1" s="140" t="s">
        <v>432</v>
      </c>
      <c r="M1" s="140" t="s">
        <v>433</v>
      </c>
      <c r="N1" s="140" t="s">
        <v>434</v>
      </c>
      <c r="O1" s="140" t="s">
        <v>435</v>
      </c>
      <c r="P1" s="140" t="s">
        <v>436</v>
      </c>
      <c r="Q1" s="140" t="s">
        <v>437</v>
      </c>
      <c r="R1" s="140" t="s">
        <v>438</v>
      </c>
      <c r="S1" s="140" t="s">
        <v>439</v>
      </c>
      <c r="T1" s="140" t="s">
        <v>440</v>
      </c>
      <c r="V1" s="174"/>
    </row>
    <row r="2" spans="1:27" x14ac:dyDescent="0.2">
      <c r="A2" s="139">
        <v>1</v>
      </c>
      <c r="B2">
        <v>56</v>
      </c>
      <c r="C2">
        <v>50</v>
      </c>
      <c r="D2" s="141">
        <v>177864</v>
      </c>
      <c r="E2" s="141">
        <f>ProjectedSavingAccount(B2,F2,D2,G2)</f>
        <v>672357.82477953972</v>
      </c>
      <c r="F2" s="186" t="s">
        <v>480</v>
      </c>
      <c r="G2" s="173">
        <f>(ProjectedSavingAccount(25,F2,D2*(Salaries!$B$7 / VLOOKUP('Active persons'!B2,Salaries!$A$2:$B$46,2,FALSE)),0) )-ProjectedSavingAccount(B2,F2,D2,0)</f>
        <v>326830.29739150591</v>
      </c>
      <c r="H2" s="141">
        <f>6.8%*E2</f>
        <v>45720.332085008704</v>
      </c>
      <c r="I2" s="142">
        <f>H2</f>
        <v>45720.332085008704</v>
      </c>
      <c r="J2" s="141">
        <f>0.6*I2</f>
        <v>27432.199251005222</v>
      </c>
      <c r="K2" s="141">
        <f>0.2*H2</f>
        <v>9144.0664170017408</v>
      </c>
      <c r="L2" s="141">
        <f>0.2*I2</f>
        <v>9144.0664170017408</v>
      </c>
      <c r="M2" s="141">
        <f>0.2*I2</f>
        <v>9144.0664170017408</v>
      </c>
      <c r="N2">
        <f>VLOOKUP(B2,Männer!$BJ$9:$BO$56,5)</f>
        <v>8.2530000000000001</v>
      </c>
      <c r="O2">
        <f>VLOOKUP(B2,Männer!$BJ$9:$BO$56,6)</f>
        <v>3.1589999999999998</v>
      </c>
      <c r="P2">
        <f>VLOOKUP(B2,Männer!$CG$9:$CN$57,5)</f>
        <v>4.9749999999999996</v>
      </c>
      <c r="Q2">
        <f>VLOOKUP(B2,Männer!$BX$9:$CE$57,8)</f>
        <v>0.04</v>
      </c>
      <c r="R2">
        <f>VLOOKUP(B2,Männer!$BX$9:$CE$57,5)</f>
        <v>5.8999999999999997E-2</v>
      </c>
      <c r="S2">
        <f>VLOOKUP(B2,Männer!$IE$9:$IL$57,5)</f>
        <v>2.5000000000000001E-2</v>
      </c>
      <c r="T2" s="144">
        <f>tauxCotisation(B2,D2,F2,G2)</f>
        <v>0.213994967861693</v>
      </c>
      <c r="U2" s="147">
        <f>T2*D2</f>
        <v>38062.000963752165</v>
      </c>
    </row>
    <row r="3" spans="1:27" x14ac:dyDescent="0.2">
      <c r="A3" s="139">
        <v>2</v>
      </c>
      <c r="B3">
        <v>28</v>
      </c>
      <c r="C3">
        <v>27</v>
      </c>
      <c r="D3" s="141">
        <v>28956</v>
      </c>
      <c r="E3" s="141">
        <f t="shared" ref="E3:E41" si="0">ProjectedSavingAccount(B3,F3,D3,G3)</f>
        <v>498857.66386075952</v>
      </c>
      <c r="F3" s="186" t="s">
        <v>481</v>
      </c>
      <c r="G3" s="173">
        <f>(ProjectedSavingAccount(25,F3,D3*(Salaries!$B$7 / VLOOKUP('Active persons'!B3,Salaries!$A$2:$B$46,2,FALSE)),0) )-ProjectedSavingAccount(B3,F3,D3,0)</f>
        <v>5255.4529113924364</v>
      </c>
      <c r="H3" s="141">
        <f t="shared" ref="H3:H41" si="1">6.8%*E3</f>
        <v>33922.321142531648</v>
      </c>
      <c r="I3" s="142">
        <f t="shared" ref="I3:I41" si="2">H3</f>
        <v>33922.321142531648</v>
      </c>
      <c r="J3" s="141">
        <f t="shared" ref="J3:J41" si="3">0.6*I3</f>
        <v>20353.392685518989</v>
      </c>
      <c r="K3" s="141">
        <f t="shared" ref="K3:K41" si="4">0.2*H3</f>
        <v>6784.4642285063301</v>
      </c>
      <c r="L3" s="141">
        <f t="shared" ref="L3:L41" si="5">0.2*I3</f>
        <v>6784.4642285063301</v>
      </c>
      <c r="M3" s="141">
        <f t="shared" ref="M3:M41" si="6">0.2*I3</f>
        <v>6784.4642285063301</v>
      </c>
      <c r="N3">
        <f>VLOOKUP(B3,Männer!$BJ$9:$BO$56,5)</f>
        <v>3.9159999999999999</v>
      </c>
      <c r="O3">
        <f>VLOOKUP(B3,Männer!$BJ$9:$BO$56,6)</f>
        <v>2.4390000000000001</v>
      </c>
      <c r="P3">
        <f>VLOOKUP(B3,Männer!$CG$9:$CN$57,5)</f>
        <v>3.149</v>
      </c>
      <c r="Q3">
        <f>VLOOKUP(B3,Männer!$BX$9:$CE$57,8)</f>
        <v>1.9E-2</v>
      </c>
      <c r="R3">
        <f>VLOOKUP(B3,Männer!$BX$9:$CE$57,5)</f>
        <v>0.40200000000000002</v>
      </c>
      <c r="S3">
        <f>VLOOKUP(B3,Männer!$IE$9:$IL$57,5)</f>
        <v>0.33400000000000002</v>
      </c>
      <c r="T3" s="144">
        <f t="shared" ref="T3:T41" si="7">tauxCotisation(B3,D3,F3,G3)</f>
        <v>0.15451104283889586</v>
      </c>
      <c r="U3" s="147">
        <f t="shared" ref="U3:U41" si="8">T3*D3</f>
        <v>4474.0217564430686</v>
      </c>
      <c r="AA3" s="145"/>
    </row>
    <row r="4" spans="1:27" x14ac:dyDescent="0.2">
      <c r="A4" s="139">
        <v>3</v>
      </c>
      <c r="B4">
        <v>57</v>
      </c>
      <c r="C4">
        <v>49</v>
      </c>
      <c r="D4" s="141">
        <v>33480</v>
      </c>
      <c r="E4" s="141">
        <f t="shared" si="0"/>
        <v>120507.81976859506</v>
      </c>
      <c r="F4" s="186" t="s">
        <v>481</v>
      </c>
      <c r="G4" s="173">
        <f>(ProjectedSavingAccount(25,F4,D4*(Salaries!$B$7 / VLOOKUP('Active persons'!B4,Salaries!$A$2:$B$46,2,FALSE)),0) )-ProjectedSavingAccount(B4,F4,D4,0)</f>
        <v>64316.53725619836</v>
      </c>
      <c r="H4" s="141">
        <f t="shared" si="1"/>
        <v>8194.5317442644646</v>
      </c>
      <c r="I4" s="142">
        <f t="shared" si="2"/>
        <v>8194.5317442644646</v>
      </c>
      <c r="J4" s="141">
        <f t="shared" si="3"/>
        <v>4916.7190465586782</v>
      </c>
      <c r="K4" s="141">
        <f t="shared" si="4"/>
        <v>1638.906348852893</v>
      </c>
      <c r="L4" s="141">
        <f t="shared" si="5"/>
        <v>1638.906348852893</v>
      </c>
      <c r="M4" s="141">
        <f t="shared" si="6"/>
        <v>1638.906348852893</v>
      </c>
      <c r="N4">
        <f>VLOOKUP(B4,Männer!$BJ$9:$BO$56,5)</f>
        <v>8.5920000000000005</v>
      </c>
      <c r="O4">
        <f>VLOOKUP(B4,Männer!$BJ$9:$BO$56,6)</f>
        <v>3.048</v>
      </c>
      <c r="P4">
        <f>VLOOKUP(B4,Männer!$CG$9:$CN$57,5)</f>
        <v>5.0229999999999997</v>
      </c>
      <c r="Q4">
        <f>VLOOKUP(B4,Männer!$BX$9:$CE$57,8)</f>
        <v>4.2000000000000003E-2</v>
      </c>
      <c r="R4">
        <f>VLOOKUP(B4,Männer!$BX$9:$CE$57,5)</f>
        <v>4.7E-2</v>
      </c>
      <c r="S4">
        <f>VLOOKUP(B4,Männer!$IE$9:$IL$57,5)</f>
        <v>0.02</v>
      </c>
      <c r="T4" s="144">
        <f t="shared" si="7"/>
        <v>0.21676564848096078</v>
      </c>
      <c r="U4" s="147">
        <f t="shared" si="8"/>
        <v>7257.3139111425671</v>
      </c>
    </row>
    <row r="5" spans="1:27" x14ac:dyDescent="0.2">
      <c r="A5" s="139">
        <v>4</v>
      </c>
      <c r="B5">
        <v>45</v>
      </c>
      <c r="C5">
        <v>44</v>
      </c>
      <c r="D5" s="141">
        <v>44484</v>
      </c>
      <c r="E5" s="141">
        <f t="shared" si="0"/>
        <v>302844.71707378072</v>
      </c>
      <c r="F5" s="186" t="s">
        <v>480</v>
      </c>
      <c r="G5" s="173">
        <f>(ProjectedSavingAccount(25,F5,D5*(Salaries!$B$7 / VLOOKUP('Active persons'!B5,Salaries!$A$2:$B$46,2,FALSE)),0) )-ProjectedSavingAccount(B5,F5,D5,0)</f>
        <v>48132.18865360567</v>
      </c>
      <c r="H5" s="141">
        <f t="shared" si="1"/>
        <v>20593.440761017089</v>
      </c>
      <c r="I5" s="142">
        <f t="shared" si="2"/>
        <v>20593.440761017089</v>
      </c>
      <c r="J5" s="141">
        <f t="shared" si="3"/>
        <v>12356.064456610253</v>
      </c>
      <c r="K5" s="141">
        <f t="shared" si="4"/>
        <v>4118.6881522034182</v>
      </c>
      <c r="L5" s="141">
        <f t="shared" si="5"/>
        <v>4118.6881522034182</v>
      </c>
      <c r="M5" s="141">
        <f t="shared" si="6"/>
        <v>4118.6881522034182</v>
      </c>
      <c r="N5">
        <f>VLOOKUP(B5,Männer!$BJ$9:$BO$56,5)</f>
        <v>5.931</v>
      </c>
      <c r="O5">
        <f>VLOOKUP(B5,Männer!$BJ$9:$BO$56,6)</f>
        <v>3.1589999999999998</v>
      </c>
      <c r="P5">
        <f>VLOOKUP(B5,Männer!$CG$9:$CN$57,5)</f>
        <v>4.29</v>
      </c>
      <c r="Q5">
        <f>VLOOKUP(B5,Männer!$BX$9:$CE$57,8)</f>
        <v>2.9000000000000001E-2</v>
      </c>
      <c r="R5">
        <f>VLOOKUP(B5,Männer!$BX$9:$CE$57,5)</f>
        <v>0.23200000000000001</v>
      </c>
      <c r="S5">
        <f>VLOOKUP(B5,Männer!$IE$9:$IL$57,5)</f>
        <v>0.13600000000000001</v>
      </c>
      <c r="T5" s="144">
        <f t="shared" si="7"/>
        <v>0.1841370340084266</v>
      </c>
      <c r="U5" s="147">
        <f t="shared" si="8"/>
        <v>8191.1518208308489</v>
      </c>
    </row>
    <row r="6" spans="1:27" x14ac:dyDescent="0.2">
      <c r="A6" s="139">
        <v>5</v>
      </c>
      <c r="B6">
        <v>43</v>
      </c>
      <c r="C6">
        <v>27</v>
      </c>
      <c r="D6" s="141">
        <v>42048</v>
      </c>
      <c r="E6" s="141">
        <f t="shared" si="0"/>
        <v>315960.00861283648</v>
      </c>
      <c r="F6" s="186" t="s">
        <v>481</v>
      </c>
      <c r="G6" s="173">
        <f>(ProjectedSavingAccount(25,F6,D6*(Salaries!$B$7 / VLOOKUP('Active persons'!B6,Salaries!$A$2:$B$46,2,FALSE)),0) )-ProjectedSavingAccount(B6,F6,D6,0)</f>
        <v>41593.278012422379</v>
      </c>
      <c r="H6" s="141">
        <f t="shared" si="1"/>
        <v>21485.280585672881</v>
      </c>
      <c r="I6" s="142">
        <f t="shared" si="2"/>
        <v>21485.280585672881</v>
      </c>
      <c r="J6" s="141">
        <f t="shared" si="3"/>
        <v>12891.168351403729</v>
      </c>
      <c r="K6" s="141">
        <f t="shared" si="4"/>
        <v>4297.0561171345762</v>
      </c>
      <c r="L6" s="141">
        <f t="shared" si="5"/>
        <v>4297.0561171345762</v>
      </c>
      <c r="M6" s="141">
        <f t="shared" si="6"/>
        <v>4297.0561171345762</v>
      </c>
      <c r="N6">
        <f>VLOOKUP(B6,Männer!$BJ$9:$BO$56,5)</f>
        <v>5.6340000000000003</v>
      </c>
      <c r="O6">
        <f>VLOOKUP(B6,Männer!$BJ$9:$BO$56,6)</f>
        <v>3.0779999999999998</v>
      </c>
      <c r="P6">
        <f>VLOOKUP(B6,Männer!$CG$9:$CN$57,5)</f>
        <v>4.157</v>
      </c>
      <c r="Q6">
        <f>VLOOKUP(B6,Männer!$BX$9:$CE$57,8)</f>
        <v>2.8000000000000001E-2</v>
      </c>
      <c r="R6">
        <f>VLOOKUP(B6,Männer!$BX$9:$CE$57,5)</f>
        <v>0.26400000000000001</v>
      </c>
      <c r="S6">
        <f>VLOOKUP(B6,Männer!$IE$9:$IL$57,5)</f>
        <v>0.16800000000000001</v>
      </c>
      <c r="T6" s="144">
        <f t="shared" si="7"/>
        <v>0.17709285894380916</v>
      </c>
      <c r="U6" s="147">
        <f t="shared" si="8"/>
        <v>7446.4005328692874</v>
      </c>
    </row>
    <row r="7" spans="1:27" x14ac:dyDescent="0.2">
      <c r="A7" s="139">
        <v>6</v>
      </c>
      <c r="B7">
        <v>56</v>
      </c>
      <c r="C7">
        <v>25</v>
      </c>
      <c r="D7" s="141">
        <v>180828</v>
      </c>
      <c r="E7" s="141">
        <f t="shared" si="0"/>
        <v>683562.27645411424</v>
      </c>
      <c r="F7" s="186" t="s">
        <v>480</v>
      </c>
      <c r="G7" s="173">
        <f>(ProjectedSavingAccount(25,F7,D7*(Salaries!$B$7 / VLOOKUP('Active persons'!B7,Salaries!$A$2:$B$46,2,FALSE)),0) )-ProjectedSavingAccount(B7,F7,D7,0)</f>
        <v>332276.73400300904</v>
      </c>
      <c r="H7" s="141">
        <f t="shared" si="1"/>
        <v>46482.23479887977</v>
      </c>
      <c r="I7" s="142">
        <f t="shared" si="2"/>
        <v>46482.23479887977</v>
      </c>
      <c r="J7" s="141">
        <f t="shared" si="3"/>
        <v>27889.340879327861</v>
      </c>
      <c r="K7" s="141">
        <f t="shared" si="4"/>
        <v>9296.4469597759544</v>
      </c>
      <c r="L7" s="141">
        <f t="shared" si="5"/>
        <v>9296.4469597759544</v>
      </c>
      <c r="M7" s="141">
        <f t="shared" si="6"/>
        <v>9296.4469597759544</v>
      </c>
      <c r="N7">
        <f>VLOOKUP(B7,Männer!$BJ$9:$BO$56,5)</f>
        <v>8.2530000000000001</v>
      </c>
      <c r="O7">
        <f>VLOOKUP(B7,Männer!$BJ$9:$BO$56,6)</f>
        <v>3.1589999999999998</v>
      </c>
      <c r="P7">
        <f>VLOOKUP(B7,Männer!$CG$9:$CN$57,5)</f>
        <v>4.9749999999999996</v>
      </c>
      <c r="Q7">
        <f>VLOOKUP(B7,Männer!$BX$9:$CE$57,8)</f>
        <v>0.04</v>
      </c>
      <c r="R7">
        <f>VLOOKUP(B7,Männer!$BX$9:$CE$57,5)</f>
        <v>5.8999999999999997E-2</v>
      </c>
      <c r="S7">
        <f>VLOOKUP(B7,Männer!$IE$9:$IL$57,5)</f>
        <v>2.5000000000000001E-2</v>
      </c>
      <c r="T7" s="144">
        <f t="shared" si="7"/>
        <v>0.21399496786169278</v>
      </c>
      <c r="U7" s="147">
        <f t="shared" si="8"/>
        <v>38696.282048494184</v>
      </c>
    </row>
    <row r="8" spans="1:27" x14ac:dyDescent="0.2">
      <c r="A8" s="139">
        <v>7</v>
      </c>
      <c r="B8">
        <v>53</v>
      </c>
      <c r="C8">
        <v>46</v>
      </c>
      <c r="D8" s="141">
        <v>183588</v>
      </c>
      <c r="E8" s="141">
        <f t="shared" si="0"/>
        <v>814121.06077111058</v>
      </c>
      <c r="F8" s="186" t="s">
        <v>480</v>
      </c>
      <c r="G8" s="173">
        <f>(ProjectedSavingAccount(25,F8,D8*(Salaries!$B$7 / VLOOKUP('Active persons'!B8,Salaries!$A$2:$B$46,2,FALSE)),0) )-ProjectedSavingAccount(B8,F8,D8,0)</f>
        <v>302265.70354602241</v>
      </c>
      <c r="H8" s="141">
        <f t="shared" si="1"/>
        <v>55360.232132435522</v>
      </c>
      <c r="I8" s="142">
        <f t="shared" si="2"/>
        <v>55360.232132435522</v>
      </c>
      <c r="J8" s="141">
        <f t="shared" si="3"/>
        <v>33216.139279461313</v>
      </c>
      <c r="K8" s="141">
        <f t="shared" si="4"/>
        <v>11072.046426487104</v>
      </c>
      <c r="L8" s="141">
        <f t="shared" si="5"/>
        <v>11072.046426487104</v>
      </c>
      <c r="M8" s="141">
        <f t="shared" si="6"/>
        <v>11072.046426487104</v>
      </c>
      <c r="N8">
        <f>VLOOKUP(B8,Männer!$BJ$9:$BO$56,5)</f>
        <v>7.4290000000000003</v>
      </c>
      <c r="O8">
        <f>VLOOKUP(B8,Männer!$BJ$9:$BO$56,6)</f>
        <v>3.3180000000000001</v>
      </c>
      <c r="P8">
        <f>VLOOKUP(B8,Männer!$CG$9:$CN$57,5)</f>
        <v>4.8079999999999998</v>
      </c>
      <c r="Q8">
        <f>VLOOKUP(B8,Männer!$BX$9:$CE$57,8)</f>
        <v>3.5999999999999997E-2</v>
      </c>
      <c r="R8">
        <f>VLOOKUP(B8,Männer!$BX$9:$CE$57,5)</f>
        <v>0.104</v>
      </c>
      <c r="S8">
        <f>VLOOKUP(B8,Männer!$IE$9:$IL$57,5)</f>
        <v>4.3999999999999997E-2</v>
      </c>
      <c r="T8" s="144">
        <f t="shared" si="7"/>
        <v>0.19924658868902034</v>
      </c>
      <c r="U8" s="147">
        <f t="shared" si="8"/>
        <v>36579.282724239863</v>
      </c>
    </row>
    <row r="9" spans="1:27" x14ac:dyDescent="0.2">
      <c r="A9" s="139">
        <v>8</v>
      </c>
      <c r="B9">
        <v>58</v>
      </c>
      <c r="C9">
        <v>52</v>
      </c>
      <c r="D9" s="141">
        <v>75816</v>
      </c>
      <c r="E9" s="141">
        <f t="shared" si="0"/>
        <v>260409.4644037855</v>
      </c>
      <c r="F9" s="186" t="s">
        <v>480</v>
      </c>
      <c r="G9" s="173">
        <f>(ProjectedSavingAccount(25,F9,D9*(Salaries!$B$7 / VLOOKUP('Active persons'!B9,Salaries!$A$2:$B$46,2,FALSE)),0) )-ProjectedSavingAccount(B9,F9,D9,0)</f>
        <v>152006.45610094638</v>
      </c>
      <c r="H9" s="141">
        <f t="shared" si="1"/>
        <v>17707.843579457414</v>
      </c>
      <c r="I9" s="142">
        <f t="shared" si="2"/>
        <v>17707.843579457414</v>
      </c>
      <c r="J9" s="141">
        <f t="shared" si="3"/>
        <v>10624.706147674447</v>
      </c>
      <c r="K9" s="141">
        <f t="shared" si="4"/>
        <v>3541.568715891483</v>
      </c>
      <c r="L9" s="141">
        <f t="shared" si="5"/>
        <v>3541.568715891483</v>
      </c>
      <c r="M9" s="141">
        <f t="shared" si="6"/>
        <v>3541.568715891483</v>
      </c>
      <c r="N9">
        <f>VLOOKUP(B9,Männer!$BJ$9:$BO$56,5)</f>
        <v>8.9760000000000009</v>
      </c>
      <c r="O9">
        <f>VLOOKUP(B9,Männer!$BJ$9:$BO$56,6)</f>
        <v>2.8980000000000001</v>
      </c>
      <c r="P9">
        <f>VLOOKUP(B9,Männer!$CG$9:$CN$57,5)</f>
        <v>5.0670000000000002</v>
      </c>
      <c r="Q9">
        <f>VLOOKUP(B9,Männer!$BX$9:$CE$57,8)</f>
        <v>4.3999999999999997E-2</v>
      </c>
      <c r="R9">
        <f>VLOOKUP(B9,Männer!$BX$9:$CE$57,5)</f>
        <v>3.5000000000000003E-2</v>
      </c>
      <c r="S9">
        <f>VLOOKUP(B9,Männer!$IE$9:$IL$57,5)</f>
        <v>1.7000000000000001E-2</v>
      </c>
      <c r="T9" s="144">
        <f t="shared" si="7"/>
        <v>0.22850788708551889</v>
      </c>
      <c r="U9" s="147">
        <f t="shared" si="8"/>
        <v>17324.5539672757</v>
      </c>
    </row>
    <row r="10" spans="1:27" x14ac:dyDescent="0.2">
      <c r="A10" s="139">
        <v>9</v>
      </c>
      <c r="B10">
        <v>37</v>
      </c>
      <c r="C10">
        <v>32</v>
      </c>
      <c r="D10" s="141">
        <v>33972</v>
      </c>
      <c r="E10" s="141">
        <f t="shared" si="0"/>
        <v>346125.83067997504</v>
      </c>
      <c r="F10" s="186" t="s">
        <v>480</v>
      </c>
      <c r="G10" s="173">
        <f>(ProjectedSavingAccount(25,F10,D10*(Salaries!$B$7 / VLOOKUP('Active persons'!B10,Salaries!$A$2:$B$46,2,FALSE)),0) )-ProjectedSavingAccount(B10,F10,D10,0)</f>
        <v>21931.22541484714</v>
      </c>
      <c r="H10" s="141">
        <f t="shared" si="1"/>
        <v>23536.556486238303</v>
      </c>
      <c r="I10" s="142">
        <f t="shared" si="2"/>
        <v>23536.556486238303</v>
      </c>
      <c r="J10" s="141">
        <f t="shared" si="3"/>
        <v>14121.933891742981</v>
      </c>
      <c r="K10" s="141">
        <f t="shared" si="4"/>
        <v>4707.3112972476611</v>
      </c>
      <c r="L10" s="141">
        <f t="shared" si="5"/>
        <v>4707.3112972476611</v>
      </c>
      <c r="M10" s="141">
        <f t="shared" si="6"/>
        <v>4707.3112972476611</v>
      </c>
      <c r="N10">
        <f>VLOOKUP(B10,Männer!$BJ$9:$BO$56,5)</f>
        <v>4.8520000000000003</v>
      </c>
      <c r="O10">
        <f>VLOOKUP(B10,Männer!$BJ$9:$BO$56,6)</f>
        <v>2.8290000000000002</v>
      </c>
      <c r="P10">
        <f>VLOOKUP(B10,Männer!$CG$9:$CN$57,5)</f>
        <v>3.7549999999999999</v>
      </c>
      <c r="Q10">
        <f>VLOOKUP(B10,Männer!$BX$9:$CE$57,8)</f>
        <v>2.4E-2</v>
      </c>
      <c r="R10">
        <f>VLOOKUP(B10,Männer!$BX$9:$CE$57,5)</f>
        <v>0.35799999999999998</v>
      </c>
      <c r="S10">
        <f>VLOOKUP(B10,Männer!$IE$9:$IL$57,5)</f>
        <v>0.26400000000000001</v>
      </c>
      <c r="T10" s="144">
        <f t="shared" si="7"/>
        <v>0.16918052307639417</v>
      </c>
      <c r="U10" s="147">
        <f t="shared" si="8"/>
        <v>5747.4007299512623</v>
      </c>
    </row>
    <row r="11" spans="1:27" x14ac:dyDescent="0.2">
      <c r="A11" s="139">
        <v>10</v>
      </c>
      <c r="B11">
        <v>26</v>
      </c>
      <c r="C11">
        <v>26</v>
      </c>
      <c r="D11" s="141">
        <v>50568</v>
      </c>
      <c r="E11" s="141">
        <f t="shared" si="0"/>
        <v>1009028.6823701892</v>
      </c>
      <c r="F11" s="186" t="s">
        <v>480</v>
      </c>
      <c r="G11" s="173">
        <f>(ProjectedSavingAccount(25,F11,D11*(Salaries!$B$7 / VLOOKUP('Active persons'!B11,Salaries!$A$2:$B$46,2,FALSE)),0) )-ProjectedSavingAccount(B11,F11,D11,0)</f>
        <v>3275.953817959642</v>
      </c>
      <c r="H11" s="141">
        <f t="shared" si="1"/>
        <v>68613.950401172871</v>
      </c>
      <c r="I11" s="142">
        <f t="shared" si="2"/>
        <v>68613.950401172871</v>
      </c>
      <c r="J11" s="141">
        <f t="shared" si="3"/>
        <v>41168.37024070372</v>
      </c>
      <c r="K11" s="141">
        <f t="shared" si="4"/>
        <v>13722.790080234576</v>
      </c>
      <c r="L11" s="141">
        <f t="shared" si="5"/>
        <v>13722.790080234576</v>
      </c>
      <c r="M11" s="141">
        <f t="shared" si="6"/>
        <v>13722.790080234576</v>
      </c>
      <c r="N11">
        <f>VLOOKUP(B11,Männer!$BJ$9:$BO$56,5)</f>
        <v>3.7370000000000001</v>
      </c>
      <c r="O11">
        <f>VLOOKUP(B11,Männer!$BJ$9:$BO$56,6)</f>
        <v>2.35</v>
      </c>
      <c r="P11">
        <f>VLOOKUP(B11,Männer!$CG$9:$CN$57,5)</f>
        <v>3.0179999999999998</v>
      </c>
      <c r="Q11">
        <f>VLOOKUP(B11,Männer!$BX$9:$CE$57,8)</f>
        <v>1.7999999999999999E-2</v>
      </c>
      <c r="R11">
        <f>VLOOKUP(B11,Männer!$BX$9:$CE$57,5)</f>
        <v>0.39200000000000002</v>
      </c>
      <c r="S11">
        <f>VLOOKUP(B11,Männer!$IE$9:$IL$57,5)</f>
        <v>0.33500000000000002</v>
      </c>
      <c r="T11" s="144">
        <f t="shared" si="7"/>
        <v>0.15611916008598578</v>
      </c>
      <c r="U11" s="147">
        <f t="shared" si="8"/>
        <v>7894.633687228129</v>
      </c>
    </row>
    <row r="12" spans="1:27" x14ac:dyDescent="0.2">
      <c r="A12" s="139">
        <v>11</v>
      </c>
      <c r="B12">
        <v>48</v>
      </c>
      <c r="C12">
        <v>31</v>
      </c>
      <c r="D12" s="141">
        <v>76284</v>
      </c>
      <c r="E12" s="141">
        <f t="shared" si="0"/>
        <v>448242.67071775504</v>
      </c>
      <c r="F12" s="186" t="s">
        <v>481</v>
      </c>
      <c r="G12" s="173">
        <f>(ProjectedSavingAccount(25,F12,D12*(Salaries!$B$7 / VLOOKUP('Active persons'!B12,Salaries!$A$2:$B$46,2,FALSE)),0) )-ProjectedSavingAccount(B12,F12,D12,0)</f>
        <v>102365.74523475452</v>
      </c>
      <c r="H12" s="141">
        <f t="shared" si="1"/>
        <v>30480.501608807346</v>
      </c>
      <c r="I12" s="142">
        <f t="shared" si="2"/>
        <v>30480.501608807346</v>
      </c>
      <c r="J12" s="141">
        <f t="shared" si="3"/>
        <v>18288.300965284408</v>
      </c>
      <c r="K12" s="141">
        <f t="shared" si="4"/>
        <v>6096.1003217614698</v>
      </c>
      <c r="L12" s="141">
        <f t="shared" si="5"/>
        <v>6096.1003217614698</v>
      </c>
      <c r="M12" s="141">
        <f t="shared" si="6"/>
        <v>6096.1003217614698</v>
      </c>
      <c r="N12">
        <f>VLOOKUP(B12,Männer!$BJ$9:$BO$56,5)</f>
        <v>6.4210000000000003</v>
      </c>
      <c r="O12">
        <f>VLOOKUP(B12,Männer!$BJ$9:$BO$56,6)</f>
        <v>3.266</v>
      </c>
      <c r="P12">
        <f>VLOOKUP(B12,Männer!$CG$9:$CN$57,5)</f>
        <v>4.49</v>
      </c>
      <c r="Q12">
        <f>VLOOKUP(B12,Männer!$BX$9:$CE$57,8)</f>
        <v>3.1E-2</v>
      </c>
      <c r="R12">
        <f>VLOOKUP(B12,Männer!$BX$9:$CE$57,5)</f>
        <v>0.185</v>
      </c>
      <c r="S12">
        <f>VLOOKUP(B12,Männer!$IE$9:$IL$57,5)</f>
        <v>9.4E-2</v>
      </c>
      <c r="T12" s="144">
        <f t="shared" si="7"/>
        <v>0.1870786496688614</v>
      </c>
      <c r="U12" s="147">
        <f t="shared" si="8"/>
        <v>14271.107711339422</v>
      </c>
    </row>
    <row r="13" spans="1:27" x14ac:dyDescent="0.2">
      <c r="A13" s="139">
        <v>12</v>
      </c>
      <c r="B13">
        <v>40</v>
      </c>
      <c r="C13">
        <v>31</v>
      </c>
      <c r="D13" s="141">
        <v>109104</v>
      </c>
      <c r="E13" s="141">
        <f t="shared" si="0"/>
        <v>953916.1887366164</v>
      </c>
      <c r="F13" s="186" t="s">
        <v>481</v>
      </c>
      <c r="G13" s="173">
        <f>(ProjectedSavingAccount(25,F13,D13*(Salaries!$B$7 / VLOOKUP('Active persons'!B13,Salaries!$A$2:$B$46,2,FALSE)),0) )-ProjectedSavingAccount(B13,F13,D13,0)</f>
        <v>91108.556788008427</v>
      </c>
      <c r="H13" s="141">
        <f t="shared" si="1"/>
        <v>64866.300834089918</v>
      </c>
      <c r="I13" s="142">
        <f t="shared" si="2"/>
        <v>64866.300834089918</v>
      </c>
      <c r="J13" s="141">
        <f t="shared" si="3"/>
        <v>38919.780500453948</v>
      </c>
      <c r="K13" s="141">
        <f t="shared" si="4"/>
        <v>12973.260166817985</v>
      </c>
      <c r="L13" s="141">
        <f t="shared" si="5"/>
        <v>12973.260166817985</v>
      </c>
      <c r="M13" s="141">
        <f t="shared" si="6"/>
        <v>12973.260166817985</v>
      </c>
      <c r="N13">
        <f>VLOOKUP(B13,Männer!$BJ$9:$BO$56,5)</f>
        <v>5.2249999999999996</v>
      </c>
      <c r="O13">
        <f>VLOOKUP(B13,Männer!$BJ$9:$BO$56,6)</f>
        <v>2.9540000000000002</v>
      </c>
      <c r="P13">
        <f>VLOOKUP(B13,Männer!$CG$9:$CN$57,5)</f>
        <v>3.9569999999999999</v>
      </c>
      <c r="Q13">
        <f>VLOOKUP(B13,Männer!$BX$9:$CE$57,8)</f>
        <v>2.5999999999999999E-2</v>
      </c>
      <c r="R13">
        <f>VLOOKUP(B13,Männer!$BX$9:$CE$57,5)</f>
        <v>0.312</v>
      </c>
      <c r="S13">
        <f>VLOOKUP(B13,Männer!$IE$9:$IL$57,5)</f>
        <v>0.218</v>
      </c>
      <c r="T13" s="144">
        <f t="shared" si="7"/>
        <v>0.17084922687358772</v>
      </c>
      <c r="U13" s="147">
        <f t="shared" si="8"/>
        <v>18640.334048815916</v>
      </c>
    </row>
    <row r="14" spans="1:27" x14ac:dyDescent="0.2">
      <c r="A14" s="139">
        <v>13</v>
      </c>
      <c r="B14">
        <v>31</v>
      </c>
      <c r="C14">
        <v>25</v>
      </c>
      <c r="D14" s="141">
        <v>142176</v>
      </c>
      <c r="E14" s="141">
        <f t="shared" si="0"/>
        <v>2013925.5061925417</v>
      </c>
      <c r="F14" s="186" t="s">
        <v>480</v>
      </c>
      <c r="G14" s="173">
        <f>(ProjectedSavingAccount(25,F14,D14*(Salaries!$B$7 / VLOOKUP('Active persons'!B14,Salaries!$A$2:$B$46,2,FALSE)),0) )-ProjectedSavingAccount(B14,F14,D14,0)</f>
        <v>47517.364787511062</v>
      </c>
      <c r="H14" s="141">
        <f t="shared" si="1"/>
        <v>136946.93442109285</v>
      </c>
      <c r="I14" s="142">
        <f t="shared" si="2"/>
        <v>136946.93442109285</v>
      </c>
      <c r="J14" s="141">
        <f t="shared" si="3"/>
        <v>82168.160652655715</v>
      </c>
      <c r="K14" s="141">
        <f t="shared" si="4"/>
        <v>27389.386884218573</v>
      </c>
      <c r="L14" s="141">
        <f t="shared" si="5"/>
        <v>27389.386884218573</v>
      </c>
      <c r="M14" s="141">
        <f t="shared" si="6"/>
        <v>27389.386884218573</v>
      </c>
      <c r="N14">
        <f>VLOOKUP(B14,Männer!$BJ$9:$BO$56,5)</f>
        <v>4.202</v>
      </c>
      <c r="O14">
        <f>VLOOKUP(B14,Männer!$BJ$9:$BO$56,6)</f>
        <v>2.5720000000000001</v>
      </c>
      <c r="P14">
        <f>VLOOKUP(B14,Männer!$CG$9:$CN$57,5)</f>
        <v>3.3490000000000002</v>
      </c>
      <c r="Q14">
        <f>VLOOKUP(B14,Männer!$BX$9:$CE$57,8)</f>
        <v>2.1000000000000001E-2</v>
      </c>
      <c r="R14">
        <f>VLOOKUP(B14,Männer!$BX$9:$CE$57,5)</f>
        <v>0.40500000000000003</v>
      </c>
      <c r="S14">
        <f>VLOOKUP(B14,Männer!$IE$9:$IL$57,5)</f>
        <v>0.32300000000000001</v>
      </c>
      <c r="T14" s="144">
        <f t="shared" si="7"/>
        <v>0.16131066785163159</v>
      </c>
      <c r="U14" s="147">
        <f t="shared" si="8"/>
        <v>22934.505512473574</v>
      </c>
    </row>
    <row r="15" spans="1:27" x14ac:dyDescent="0.2">
      <c r="A15" s="139">
        <v>14</v>
      </c>
      <c r="B15">
        <v>31</v>
      </c>
      <c r="C15">
        <v>28</v>
      </c>
      <c r="D15" s="141">
        <v>29964</v>
      </c>
      <c r="E15" s="141">
        <f t="shared" si="0"/>
        <v>424440.57975715533</v>
      </c>
      <c r="F15" s="186" t="s">
        <v>481</v>
      </c>
      <c r="G15" s="173">
        <f>(ProjectedSavingAccount(25,F15,D15*(Salaries!$B$7 / VLOOKUP('Active persons'!B15,Salaries!$A$2:$B$46,2,FALSE)),0) )-ProjectedSavingAccount(B15,F15,D15,0)</f>
        <v>10014.420988725033</v>
      </c>
      <c r="H15" s="141">
        <f t="shared" si="1"/>
        <v>28861.959423486565</v>
      </c>
      <c r="I15" s="142">
        <f t="shared" si="2"/>
        <v>28861.959423486565</v>
      </c>
      <c r="J15" s="141">
        <f t="shared" si="3"/>
        <v>17317.175654091938</v>
      </c>
      <c r="K15" s="141">
        <f t="shared" si="4"/>
        <v>5772.3918846973138</v>
      </c>
      <c r="L15" s="141">
        <f t="shared" si="5"/>
        <v>5772.3918846973138</v>
      </c>
      <c r="M15" s="141">
        <f t="shared" si="6"/>
        <v>5772.3918846973138</v>
      </c>
      <c r="N15">
        <f>VLOOKUP(B15,Männer!$BJ$9:$BO$56,5)</f>
        <v>4.202</v>
      </c>
      <c r="O15">
        <f>VLOOKUP(B15,Männer!$BJ$9:$BO$56,6)</f>
        <v>2.5720000000000001</v>
      </c>
      <c r="P15">
        <f>VLOOKUP(B15,Männer!$CG$9:$CN$57,5)</f>
        <v>3.3490000000000002</v>
      </c>
      <c r="Q15">
        <f>VLOOKUP(B15,Männer!$BX$9:$CE$57,8)</f>
        <v>2.1000000000000001E-2</v>
      </c>
      <c r="R15">
        <f>VLOOKUP(B15,Männer!$BX$9:$CE$57,5)</f>
        <v>0.40500000000000003</v>
      </c>
      <c r="S15">
        <f>VLOOKUP(B15,Männer!$IE$9:$IL$57,5)</f>
        <v>0.32300000000000001</v>
      </c>
      <c r="T15" s="144">
        <f t="shared" si="7"/>
        <v>0.15797562393325532</v>
      </c>
      <c r="U15" s="147">
        <f t="shared" si="8"/>
        <v>4733.5815955360622</v>
      </c>
    </row>
    <row r="16" spans="1:27" x14ac:dyDescent="0.2">
      <c r="A16" s="139">
        <v>15</v>
      </c>
      <c r="B16">
        <v>25</v>
      </c>
      <c r="C16">
        <v>25</v>
      </c>
      <c r="D16" s="141">
        <v>191340</v>
      </c>
      <c r="E16" s="141">
        <f t="shared" si="0"/>
        <v>4125433.1156435655</v>
      </c>
      <c r="F16" s="186" t="s">
        <v>481</v>
      </c>
      <c r="G16" s="173">
        <f>(ProjectedSavingAccount(25,F16,D16*(Salaries!$B$7 / VLOOKUP('Active persons'!B16,Salaries!$A$2:$B$46,2,FALSE)),0) )-ProjectedSavingAccount(B16,F16,D16,0)</f>
        <v>0</v>
      </c>
      <c r="H16" s="141">
        <f t="shared" si="1"/>
        <v>280529.45186376246</v>
      </c>
      <c r="I16" s="142">
        <f t="shared" si="2"/>
        <v>280529.45186376246</v>
      </c>
      <c r="J16" s="141">
        <f t="shared" si="3"/>
        <v>168317.67111825748</v>
      </c>
      <c r="K16" s="141">
        <f t="shared" si="4"/>
        <v>56105.890372752496</v>
      </c>
      <c r="L16" s="141">
        <f t="shared" si="5"/>
        <v>56105.890372752496</v>
      </c>
      <c r="M16" s="141">
        <f t="shared" si="6"/>
        <v>56105.890372752496</v>
      </c>
      <c r="N16">
        <f>VLOOKUP(B16,Männer!$BJ$9:$BO$56,5)</f>
        <v>3.6509999999999998</v>
      </c>
      <c r="O16">
        <f>VLOOKUP(B16,Männer!$BJ$9:$BO$56,6)</f>
        <v>2.3069999999999999</v>
      </c>
      <c r="P16">
        <f>VLOOKUP(B16,Männer!$CG$9:$CN$57,5)</f>
        <v>2.9540000000000002</v>
      </c>
      <c r="Q16">
        <f>VLOOKUP(B16,Männer!$BX$9:$CE$57,8)</f>
        <v>1.7999999999999999E-2</v>
      </c>
      <c r="R16">
        <f>VLOOKUP(B16,Männer!$BX$9:$CE$57,5)</f>
        <v>0.38600000000000001</v>
      </c>
      <c r="S16">
        <f>VLOOKUP(B16,Männer!$IE$9:$IL$57,5)</f>
        <v>0.33300000000000002</v>
      </c>
      <c r="T16" s="144">
        <f t="shared" si="7"/>
        <v>0.15184265275585598</v>
      </c>
      <c r="U16" s="147">
        <f t="shared" si="8"/>
        <v>29053.573178305483</v>
      </c>
    </row>
    <row r="17" spans="1:21" x14ac:dyDescent="0.2">
      <c r="A17" s="139">
        <v>16</v>
      </c>
      <c r="B17">
        <v>29</v>
      </c>
      <c r="C17">
        <v>26</v>
      </c>
      <c r="D17" s="141">
        <v>39756</v>
      </c>
      <c r="E17" s="141">
        <f t="shared" si="0"/>
        <v>639394.90629246668</v>
      </c>
      <c r="F17" s="186" t="s">
        <v>481</v>
      </c>
      <c r="G17" s="173">
        <f>(ProjectedSavingAccount(25,F17,D17*(Salaries!$B$7 / VLOOKUP('Active persons'!B17,Salaries!$A$2:$B$46,2,FALSE)),0) )-ProjectedSavingAccount(B17,F17,D17,0)</f>
        <v>9333.9493057605578</v>
      </c>
      <c r="H17" s="141">
        <f t="shared" si="1"/>
        <v>43478.853627887736</v>
      </c>
      <c r="I17" s="142">
        <f t="shared" si="2"/>
        <v>43478.853627887736</v>
      </c>
      <c r="J17" s="141">
        <f t="shared" si="3"/>
        <v>26087.312176732641</v>
      </c>
      <c r="K17" s="141">
        <f t="shared" si="4"/>
        <v>8695.7707255775476</v>
      </c>
      <c r="L17" s="141">
        <f t="shared" si="5"/>
        <v>8695.7707255775476</v>
      </c>
      <c r="M17" s="141">
        <f t="shared" si="6"/>
        <v>8695.7707255775476</v>
      </c>
      <c r="N17">
        <f>VLOOKUP(B17,Männer!$BJ$9:$BO$56,5)</f>
        <v>4.0090000000000003</v>
      </c>
      <c r="O17">
        <f>VLOOKUP(B17,Männer!$BJ$9:$BO$56,6)</f>
        <v>2.4830000000000001</v>
      </c>
      <c r="P17">
        <f>VLOOKUP(B17,Männer!$CG$9:$CN$57,5)</f>
        <v>3.2149999999999999</v>
      </c>
      <c r="Q17">
        <f>VLOOKUP(B17,Männer!$BX$9:$CE$57,8)</f>
        <v>0.02</v>
      </c>
      <c r="R17">
        <f>VLOOKUP(B17,Männer!$BX$9:$CE$57,5)</f>
        <v>0.40500000000000003</v>
      </c>
      <c r="S17">
        <f>VLOOKUP(B17,Männer!$IE$9:$IL$57,5)</f>
        <v>0.33200000000000002</v>
      </c>
      <c r="T17" s="144">
        <f t="shared" si="7"/>
        <v>0.15557290060170112</v>
      </c>
      <c r="U17" s="147">
        <f t="shared" si="8"/>
        <v>6184.9562363212299</v>
      </c>
    </row>
    <row r="18" spans="1:21" x14ac:dyDescent="0.2">
      <c r="A18" s="139">
        <v>17</v>
      </c>
      <c r="B18">
        <v>44</v>
      </c>
      <c r="C18">
        <v>33</v>
      </c>
      <c r="D18" s="141">
        <v>26712</v>
      </c>
      <c r="E18" s="141">
        <f t="shared" si="0"/>
        <v>191010.2726269702</v>
      </c>
      <c r="F18" s="186" t="s">
        <v>480</v>
      </c>
      <c r="G18" s="173">
        <f>(ProjectedSavingAccount(25,F18,D18*(Salaries!$B$7 / VLOOKUP('Active persons'!B18,Salaries!$A$2:$B$46,2,FALSE)),0) )-ProjectedSavingAccount(B18,F18,D18,0)</f>
        <v>27686.74239929943</v>
      </c>
      <c r="H18" s="141">
        <f t="shared" si="1"/>
        <v>12988.698538633975</v>
      </c>
      <c r="I18" s="142">
        <f t="shared" si="2"/>
        <v>12988.698538633975</v>
      </c>
      <c r="J18" s="141">
        <f t="shared" si="3"/>
        <v>7793.2191231803845</v>
      </c>
      <c r="K18" s="141">
        <f t="shared" si="4"/>
        <v>2597.7397077267951</v>
      </c>
      <c r="L18" s="141">
        <f t="shared" si="5"/>
        <v>2597.7397077267951</v>
      </c>
      <c r="M18" s="141">
        <f t="shared" si="6"/>
        <v>2597.7397077267951</v>
      </c>
      <c r="N18">
        <f>VLOOKUP(B18,Männer!$BJ$9:$BO$56,5)</f>
        <v>5.78</v>
      </c>
      <c r="O18">
        <f>VLOOKUP(B18,Männer!$BJ$9:$BO$56,6)</f>
        <v>3.1190000000000002</v>
      </c>
      <c r="P18">
        <f>VLOOKUP(B18,Männer!$CG$9:$CN$57,5)</f>
        <v>4.2240000000000002</v>
      </c>
      <c r="Q18">
        <f>VLOOKUP(B18,Männer!$BX$9:$CE$57,8)</f>
        <v>2.8000000000000001E-2</v>
      </c>
      <c r="R18">
        <f>VLOOKUP(B18,Männer!$BX$9:$CE$57,5)</f>
        <v>0.248</v>
      </c>
      <c r="S18">
        <f>VLOOKUP(B18,Männer!$IE$9:$IL$57,5)</f>
        <v>0.152</v>
      </c>
      <c r="T18" s="144">
        <f t="shared" si="7"/>
        <v>0.18146992197672962</v>
      </c>
      <c r="U18" s="147">
        <f t="shared" si="8"/>
        <v>4847.4245558424018</v>
      </c>
    </row>
    <row r="19" spans="1:21" x14ac:dyDescent="0.2">
      <c r="A19" s="139">
        <v>18</v>
      </c>
      <c r="B19">
        <v>29</v>
      </c>
      <c r="C19">
        <v>27</v>
      </c>
      <c r="D19" s="141">
        <v>120936</v>
      </c>
      <c r="E19" s="141">
        <f t="shared" si="0"/>
        <v>1945011.1275627769</v>
      </c>
      <c r="F19" s="186" t="s">
        <v>481</v>
      </c>
      <c r="G19" s="173">
        <f>(ProjectedSavingAccount(25,F19,D19*(Salaries!$B$7 / VLOOKUP('Active persons'!B19,Salaries!$A$2:$B$46,2,FALSE)),0) )-ProjectedSavingAccount(B19,F19,D19,0)</f>
        <v>28393.462451993953</v>
      </c>
      <c r="H19" s="141">
        <f t="shared" si="1"/>
        <v>132260.75667426884</v>
      </c>
      <c r="I19" s="142">
        <f t="shared" si="2"/>
        <v>132260.75667426884</v>
      </c>
      <c r="J19" s="141">
        <f t="shared" si="3"/>
        <v>79356.454004561296</v>
      </c>
      <c r="K19" s="141">
        <f t="shared" si="4"/>
        <v>26452.15133485377</v>
      </c>
      <c r="L19" s="141">
        <f t="shared" si="5"/>
        <v>26452.15133485377</v>
      </c>
      <c r="M19" s="141">
        <f t="shared" si="6"/>
        <v>26452.15133485377</v>
      </c>
      <c r="N19">
        <f>VLOOKUP(B19,Männer!$BJ$9:$BO$56,5)</f>
        <v>4.0090000000000003</v>
      </c>
      <c r="O19">
        <f>VLOOKUP(B19,Männer!$BJ$9:$BO$56,6)</f>
        <v>2.4830000000000001</v>
      </c>
      <c r="P19">
        <f>VLOOKUP(B19,Männer!$CG$9:$CN$57,5)</f>
        <v>3.2149999999999999</v>
      </c>
      <c r="Q19">
        <f>VLOOKUP(B19,Männer!$BX$9:$CE$57,8)</f>
        <v>0.02</v>
      </c>
      <c r="R19">
        <f>VLOOKUP(B19,Männer!$BX$9:$CE$57,5)</f>
        <v>0.40500000000000003</v>
      </c>
      <c r="S19">
        <f>VLOOKUP(B19,Männer!$IE$9:$IL$57,5)</f>
        <v>0.33200000000000002</v>
      </c>
      <c r="T19" s="144">
        <f t="shared" si="7"/>
        <v>0.15557290060170106</v>
      </c>
      <c r="U19" s="147">
        <f t="shared" si="8"/>
        <v>18814.364307167321</v>
      </c>
    </row>
    <row r="20" spans="1:21" x14ac:dyDescent="0.2">
      <c r="A20" s="139">
        <v>19</v>
      </c>
      <c r="B20">
        <v>31</v>
      </c>
      <c r="C20">
        <v>30</v>
      </c>
      <c r="D20" s="141">
        <v>187728</v>
      </c>
      <c r="E20" s="141">
        <f t="shared" si="0"/>
        <v>2659170.3763399827</v>
      </c>
      <c r="F20" s="186" t="s">
        <v>480</v>
      </c>
      <c r="G20" s="173">
        <f>(ProjectedSavingAccount(25,F20,D20*(Salaries!$B$7 / VLOOKUP('Active persons'!B20,Salaries!$A$2:$B$46,2,FALSE)),0) )-ProjectedSavingAccount(B20,F20,D20,0)</f>
        <v>62741.530615785625</v>
      </c>
      <c r="H20" s="141">
        <f t="shared" si="1"/>
        <v>180823.58559111884</v>
      </c>
      <c r="I20" s="142">
        <f t="shared" si="2"/>
        <v>180823.58559111884</v>
      </c>
      <c r="J20" s="141">
        <f t="shared" si="3"/>
        <v>108494.1513546713</v>
      </c>
      <c r="K20" s="141">
        <f t="shared" si="4"/>
        <v>36164.717118223773</v>
      </c>
      <c r="L20" s="141">
        <f t="shared" si="5"/>
        <v>36164.717118223773</v>
      </c>
      <c r="M20" s="141">
        <f t="shared" si="6"/>
        <v>36164.717118223773</v>
      </c>
      <c r="N20">
        <f>VLOOKUP(B20,Männer!$BJ$9:$BO$56,5)</f>
        <v>4.202</v>
      </c>
      <c r="O20">
        <f>VLOOKUP(B20,Männer!$BJ$9:$BO$56,6)</f>
        <v>2.5720000000000001</v>
      </c>
      <c r="P20">
        <f>VLOOKUP(B20,Männer!$CG$9:$CN$57,5)</f>
        <v>3.3490000000000002</v>
      </c>
      <c r="Q20">
        <f>VLOOKUP(B20,Männer!$BX$9:$CE$57,8)</f>
        <v>2.1000000000000001E-2</v>
      </c>
      <c r="R20">
        <f>VLOOKUP(B20,Männer!$BX$9:$CE$57,5)</f>
        <v>0.40500000000000003</v>
      </c>
      <c r="S20">
        <f>VLOOKUP(B20,Männer!$IE$9:$IL$57,5)</f>
        <v>0.32300000000000001</v>
      </c>
      <c r="T20" s="144">
        <f t="shared" si="7"/>
        <v>0.16131066785163153</v>
      </c>
      <c r="U20" s="147">
        <f t="shared" si="8"/>
        <v>30282.529054451086</v>
      </c>
    </row>
    <row r="21" spans="1:21" x14ac:dyDescent="0.2">
      <c r="A21" s="139">
        <v>20</v>
      </c>
      <c r="B21">
        <v>61</v>
      </c>
      <c r="C21">
        <v>58</v>
      </c>
      <c r="D21" s="141">
        <v>85188</v>
      </c>
      <c r="E21" s="141">
        <f t="shared" si="0"/>
        <v>257889.34028174236</v>
      </c>
      <c r="F21" s="186" t="s">
        <v>481</v>
      </c>
      <c r="G21" s="173">
        <f>(ProjectedSavingAccount(25,F21,D21*(Salaries!$B$7 / VLOOKUP('Active persons'!B21,Salaries!$A$2:$B$46,2,FALSE)),0) )-ProjectedSavingAccount(B21,F21,D21,0)</f>
        <v>192915.92371084337</v>
      </c>
      <c r="H21" s="141">
        <f t="shared" si="1"/>
        <v>17536.475139158483</v>
      </c>
      <c r="I21" s="142">
        <f t="shared" si="2"/>
        <v>17536.475139158483</v>
      </c>
      <c r="J21" s="141">
        <f t="shared" si="3"/>
        <v>10521.88508349509</v>
      </c>
      <c r="K21" s="141">
        <f t="shared" si="4"/>
        <v>3507.2950278316966</v>
      </c>
      <c r="L21" s="141">
        <f t="shared" si="5"/>
        <v>3507.2950278316966</v>
      </c>
      <c r="M21" s="141">
        <f t="shared" si="6"/>
        <v>3507.2950278316966</v>
      </c>
      <c r="N21">
        <f>VLOOKUP(B21,Männer!$BJ$9:$BO$56,5)</f>
        <v>10.519</v>
      </c>
      <c r="O21">
        <f>VLOOKUP(B21,Männer!$BJ$9:$BO$56,6)</f>
        <v>2.1230000000000002</v>
      </c>
      <c r="P21">
        <f>VLOOKUP(B21,Männer!$CG$9:$CN$57,5)</f>
        <v>5.1680000000000001</v>
      </c>
      <c r="Q21">
        <f>VLOOKUP(B21,Männer!$BX$9:$CE$57,8)</f>
        <v>5.1999999999999998E-2</v>
      </c>
      <c r="R21">
        <f>VLOOKUP(B21,Männer!$BX$9:$CE$57,5)</f>
        <v>1.2999999999999999E-2</v>
      </c>
      <c r="S21">
        <f>VLOOKUP(B21,Männer!$IE$9:$IL$57,5)</f>
        <v>0.01</v>
      </c>
      <c r="T21" s="144">
        <f t="shared" si="7"/>
        <v>0.2558789083716887</v>
      </c>
      <c r="U21" s="147">
        <f t="shared" si="8"/>
        <v>21797.812446367418</v>
      </c>
    </row>
    <row r="22" spans="1:21" x14ac:dyDescent="0.2">
      <c r="A22" s="139">
        <v>21</v>
      </c>
      <c r="B22">
        <v>54</v>
      </c>
      <c r="C22">
        <v>33</v>
      </c>
      <c r="D22" s="141">
        <v>153492</v>
      </c>
      <c r="E22" s="141">
        <f t="shared" si="0"/>
        <v>644026.20921772637</v>
      </c>
      <c r="F22" s="186" t="s">
        <v>481</v>
      </c>
      <c r="G22" s="173">
        <f>(ProjectedSavingAccount(25,F22,D22*(Salaries!$B$7 / VLOOKUP('Active persons'!B22,Salaries!$A$2:$B$46,2,FALSE)),0) )-ProjectedSavingAccount(B22,F22,D22,0)</f>
        <v>260897.75589980732</v>
      </c>
      <c r="H22" s="141">
        <f t="shared" si="1"/>
        <v>43793.782226805393</v>
      </c>
      <c r="I22" s="142">
        <f t="shared" si="2"/>
        <v>43793.782226805393</v>
      </c>
      <c r="J22" s="141">
        <f t="shared" si="3"/>
        <v>26276.269336083235</v>
      </c>
      <c r="K22" s="141">
        <f t="shared" si="4"/>
        <v>8758.7564453610794</v>
      </c>
      <c r="L22" s="141">
        <f t="shared" si="5"/>
        <v>8758.7564453610794</v>
      </c>
      <c r="M22" s="141">
        <f t="shared" si="6"/>
        <v>8758.7564453610794</v>
      </c>
      <c r="N22">
        <f>VLOOKUP(B22,Männer!$BJ$9:$BO$56,5)</f>
        <v>7.6769999999999996</v>
      </c>
      <c r="O22">
        <f>VLOOKUP(B22,Männer!$BJ$9:$BO$56,6)</f>
        <v>3.2879999999999998</v>
      </c>
      <c r="P22">
        <f>VLOOKUP(B22,Männer!$CG$9:$CN$57,5)</f>
        <v>4.867</v>
      </c>
      <c r="Q22">
        <f>VLOOKUP(B22,Männer!$BX$9:$CE$57,8)</f>
        <v>3.7999999999999999E-2</v>
      </c>
      <c r="R22">
        <f>VLOOKUP(B22,Männer!$BX$9:$CE$57,5)</f>
        <v>8.7999999999999995E-2</v>
      </c>
      <c r="S22">
        <f>VLOOKUP(B22,Männer!$IE$9:$IL$57,5)</f>
        <v>3.5999999999999997E-2</v>
      </c>
      <c r="T22" s="144">
        <f t="shared" si="7"/>
        <v>0.20497087246716364</v>
      </c>
      <c r="U22" s="147">
        <f t="shared" si="8"/>
        <v>31461.389156729882</v>
      </c>
    </row>
    <row r="23" spans="1:21" x14ac:dyDescent="0.2">
      <c r="A23" s="139">
        <v>22</v>
      </c>
      <c r="B23">
        <v>54</v>
      </c>
      <c r="C23">
        <v>36</v>
      </c>
      <c r="D23" s="141">
        <v>25596</v>
      </c>
      <c r="E23" s="141">
        <f t="shared" si="0"/>
        <v>107396.44314450868</v>
      </c>
      <c r="F23" s="186" t="s">
        <v>480</v>
      </c>
      <c r="G23" s="173">
        <f>(ProjectedSavingAccount(25,F23,D23*(Salaries!$B$7 / VLOOKUP('Active persons'!B23,Salaries!$A$2:$B$46,2,FALSE)),0) )-ProjectedSavingAccount(B23,F23,D23,0)</f>
        <v>43506.755791907533</v>
      </c>
      <c r="H23" s="141">
        <f t="shared" si="1"/>
        <v>7302.9581338265907</v>
      </c>
      <c r="I23" s="142">
        <f t="shared" si="2"/>
        <v>7302.9581338265907</v>
      </c>
      <c r="J23" s="141">
        <f t="shared" si="3"/>
        <v>4381.7748802959541</v>
      </c>
      <c r="K23" s="141">
        <f t="shared" si="4"/>
        <v>1460.5916267653183</v>
      </c>
      <c r="L23" s="141">
        <f t="shared" si="5"/>
        <v>1460.5916267653183</v>
      </c>
      <c r="M23" s="141">
        <f t="shared" si="6"/>
        <v>1460.5916267653183</v>
      </c>
      <c r="N23">
        <f>VLOOKUP(B23,Männer!$BJ$9:$BO$56,5)</f>
        <v>7.6769999999999996</v>
      </c>
      <c r="O23">
        <f>VLOOKUP(B23,Männer!$BJ$9:$BO$56,6)</f>
        <v>3.2879999999999998</v>
      </c>
      <c r="P23">
        <f>VLOOKUP(B23,Männer!$CG$9:$CN$57,5)</f>
        <v>4.867</v>
      </c>
      <c r="Q23">
        <f>VLOOKUP(B23,Männer!$BX$9:$CE$57,8)</f>
        <v>3.7999999999999999E-2</v>
      </c>
      <c r="R23">
        <f>VLOOKUP(B23,Männer!$BX$9:$CE$57,5)</f>
        <v>8.7999999999999995E-2</v>
      </c>
      <c r="S23">
        <f>VLOOKUP(B23,Männer!$IE$9:$IL$57,5)</f>
        <v>3.5999999999999997E-2</v>
      </c>
      <c r="T23" s="144">
        <f t="shared" si="7"/>
        <v>0.20387135062250186</v>
      </c>
      <c r="U23" s="147">
        <f t="shared" si="8"/>
        <v>5218.2910905335575</v>
      </c>
    </row>
    <row r="24" spans="1:21" x14ac:dyDescent="0.2">
      <c r="A24" s="139">
        <v>23</v>
      </c>
      <c r="B24">
        <v>56</v>
      </c>
      <c r="C24">
        <v>26</v>
      </c>
      <c r="D24" s="141">
        <v>38220</v>
      </c>
      <c r="E24" s="141">
        <f t="shared" si="0"/>
        <v>144478.45580372642</v>
      </c>
      <c r="F24" s="186" t="s">
        <v>480</v>
      </c>
      <c r="G24" s="173">
        <f>(ProjectedSavingAccount(25,F24,D24*(Salaries!$B$7 / VLOOKUP('Active persons'!B24,Salaries!$A$2:$B$46,2,FALSE)),0) )-ProjectedSavingAccount(B24,F24,D24,0)</f>
        <v>70230.366832542539</v>
      </c>
      <c r="H24" s="141">
        <f t="shared" si="1"/>
        <v>9824.534994653397</v>
      </c>
      <c r="I24" s="142">
        <f t="shared" si="2"/>
        <v>9824.534994653397</v>
      </c>
      <c r="J24" s="141">
        <f t="shared" si="3"/>
        <v>5894.720996792038</v>
      </c>
      <c r="K24" s="141">
        <f t="shared" si="4"/>
        <v>1964.9069989306795</v>
      </c>
      <c r="L24" s="141">
        <f t="shared" si="5"/>
        <v>1964.9069989306795</v>
      </c>
      <c r="M24" s="141">
        <f t="shared" si="6"/>
        <v>1964.9069989306795</v>
      </c>
      <c r="N24">
        <f>VLOOKUP(B24,Männer!$BJ$9:$BO$56,5)</f>
        <v>8.2530000000000001</v>
      </c>
      <c r="O24">
        <f>VLOOKUP(B24,Männer!$BJ$9:$BO$56,6)</f>
        <v>3.1589999999999998</v>
      </c>
      <c r="P24">
        <f>VLOOKUP(B24,Männer!$CG$9:$CN$57,5)</f>
        <v>4.9749999999999996</v>
      </c>
      <c r="Q24">
        <f>VLOOKUP(B24,Männer!$BX$9:$CE$57,8)</f>
        <v>0.04</v>
      </c>
      <c r="R24">
        <f>VLOOKUP(B24,Männer!$BX$9:$CE$57,5)</f>
        <v>5.8999999999999997E-2</v>
      </c>
      <c r="S24">
        <f>VLOOKUP(B24,Männer!$IE$9:$IL$57,5)</f>
        <v>2.5000000000000001E-2</v>
      </c>
      <c r="T24" s="144">
        <f t="shared" si="7"/>
        <v>0.21399496786169303</v>
      </c>
      <c r="U24" s="147">
        <f t="shared" si="8"/>
        <v>8178.8876716739078</v>
      </c>
    </row>
    <row r="25" spans="1:21" x14ac:dyDescent="0.2">
      <c r="A25" s="139">
        <v>24</v>
      </c>
      <c r="B25">
        <v>27</v>
      </c>
      <c r="C25">
        <v>25</v>
      </c>
      <c r="D25" s="141">
        <v>48672</v>
      </c>
      <c r="E25" s="141">
        <f t="shared" si="0"/>
        <v>901274.37877551035</v>
      </c>
      <c r="F25" s="186" t="s">
        <v>481</v>
      </c>
      <c r="G25" s="173">
        <f>(ProjectedSavingAccount(25,F25,D25*(Salaries!$B$7 / VLOOKUP('Active persons'!B25,Salaries!$A$2:$B$46,2,FALSE)),0) )-ProjectedSavingAccount(B25,F25,D25,0)</f>
        <v>6087.862857142929</v>
      </c>
      <c r="H25" s="141">
        <f t="shared" si="1"/>
        <v>61286.657756734712</v>
      </c>
      <c r="I25" s="142">
        <f t="shared" si="2"/>
        <v>61286.657756734712</v>
      </c>
      <c r="J25" s="141">
        <f t="shared" si="3"/>
        <v>36771.994654040827</v>
      </c>
      <c r="K25" s="141">
        <f t="shared" si="4"/>
        <v>12257.331551346942</v>
      </c>
      <c r="L25" s="141">
        <f t="shared" si="5"/>
        <v>12257.331551346942</v>
      </c>
      <c r="M25" s="141">
        <f t="shared" si="6"/>
        <v>12257.331551346942</v>
      </c>
      <c r="N25">
        <f>VLOOKUP(B25,Männer!$BJ$9:$BO$56,5)</f>
        <v>3.8250000000000002</v>
      </c>
      <c r="O25">
        <f>VLOOKUP(B25,Männer!$BJ$9:$BO$56,6)</f>
        <v>2.3940000000000001</v>
      </c>
      <c r="P25">
        <f>VLOOKUP(B25,Männer!$CG$9:$CN$57,5)</f>
        <v>3.0830000000000002</v>
      </c>
      <c r="Q25">
        <f>VLOOKUP(B25,Männer!$BX$9:$CE$57,8)</f>
        <v>1.9E-2</v>
      </c>
      <c r="R25">
        <f>VLOOKUP(B25,Männer!$BX$9:$CE$57,5)</f>
        <v>0.39800000000000002</v>
      </c>
      <c r="S25">
        <f>VLOOKUP(B25,Männer!$IE$9:$IL$57,5)</f>
        <v>0.33500000000000002</v>
      </c>
      <c r="T25" s="144">
        <f t="shared" si="7"/>
        <v>0.15351148125227793</v>
      </c>
      <c r="U25" s="147">
        <f t="shared" si="8"/>
        <v>7471.7108155108708</v>
      </c>
    </row>
    <row r="26" spans="1:21" x14ac:dyDescent="0.2">
      <c r="A26" s="139">
        <v>25</v>
      </c>
      <c r="B26">
        <v>44</v>
      </c>
      <c r="C26">
        <v>36</v>
      </c>
      <c r="D26" s="141">
        <v>51384</v>
      </c>
      <c r="E26" s="141">
        <f t="shared" si="0"/>
        <v>367433.05812609458</v>
      </c>
      <c r="F26" s="186" t="s">
        <v>481</v>
      </c>
      <c r="G26" s="173">
        <f>(ProjectedSavingAccount(25,F26,D26*(Salaries!$B$7 / VLOOKUP('Active persons'!B26,Salaries!$A$2:$B$46,2,FALSE)),0) )-ProjectedSavingAccount(B26,F26,D26,0)</f>
        <v>53259.04355516634</v>
      </c>
      <c r="H26" s="141">
        <f t="shared" si="1"/>
        <v>24985.447952574432</v>
      </c>
      <c r="I26" s="142">
        <f t="shared" si="2"/>
        <v>24985.447952574432</v>
      </c>
      <c r="J26" s="141">
        <f t="shared" si="3"/>
        <v>14991.268771544659</v>
      </c>
      <c r="K26" s="141">
        <f t="shared" si="4"/>
        <v>4997.0895905148864</v>
      </c>
      <c r="L26" s="141">
        <f t="shared" si="5"/>
        <v>4997.0895905148864</v>
      </c>
      <c r="M26" s="141">
        <f t="shared" si="6"/>
        <v>4997.0895905148864</v>
      </c>
      <c r="N26">
        <f>VLOOKUP(B26,Männer!$BJ$9:$BO$56,5)</f>
        <v>5.78</v>
      </c>
      <c r="O26">
        <f>VLOOKUP(B26,Männer!$BJ$9:$BO$56,6)</f>
        <v>3.1190000000000002</v>
      </c>
      <c r="P26">
        <f>VLOOKUP(B26,Männer!$CG$9:$CN$57,5)</f>
        <v>4.2240000000000002</v>
      </c>
      <c r="Q26">
        <f>VLOOKUP(B26,Männer!$BX$9:$CE$57,8)</f>
        <v>2.8000000000000001E-2</v>
      </c>
      <c r="R26">
        <f>VLOOKUP(B26,Männer!$BX$9:$CE$57,5)</f>
        <v>0.248</v>
      </c>
      <c r="S26">
        <f>VLOOKUP(B26,Männer!$IE$9:$IL$57,5)</f>
        <v>0.152</v>
      </c>
      <c r="T26" s="144">
        <f t="shared" si="7"/>
        <v>0.1797404315392668</v>
      </c>
      <c r="U26" s="147">
        <f t="shared" si="8"/>
        <v>9235.7823342136853</v>
      </c>
    </row>
    <row r="27" spans="1:21" x14ac:dyDescent="0.2">
      <c r="A27" s="139">
        <v>26</v>
      </c>
      <c r="B27">
        <v>58</v>
      </c>
      <c r="C27">
        <v>44</v>
      </c>
      <c r="D27" s="141">
        <v>77892</v>
      </c>
      <c r="E27" s="141">
        <f t="shared" si="0"/>
        <v>267540.01795583597</v>
      </c>
      <c r="F27" s="186" t="s">
        <v>480</v>
      </c>
      <c r="G27" s="173">
        <f>(ProjectedSavingAccount(25,F27,D27*(Salaries!$B$7 / VLOOKUP('Active persons'!B27,Salaries!$A$2:$B$46,2,FALSE)),0) )-ProjectedSavingAccount(B27,F27,D27,0)</f>
        <v>156168.70948895899</v>
      </c>
      <c r="H27" s="141">
        <f t="shared" si="1"/>
        <v>18192.721220996846</v>
      </c>
      <c r="I27" s="142">
        <f t="shared" si="2"/>
        <v>18192.721220996846</v>
      </c>
      <c r="J27" s="141">
        <f t="shared" si="3"/>
        <v>10915.632732598107</v>
      </c>
      <c r="K27" s="141">
        <f t="shared" si="4"/>
        <v>3638.5442441993691</v>
      </c>
      <c r="L27" s="141">
        <f t="shared" si="5"/>
        <v>3638.5442441993691</v>
      </c>
      <c r="M27" s="141">
        <f t="shared" si="6"/>
        <v>3638.5442441993691</v>
      </c>
      <c r="N27">
        <f>VLOOKUP(B27,Männer!$BJ$9:$BO$56,5)</f>
        <v>8.9760000000000009</v>
      </c>
      <c r="O27">
        <f>VLOOKUP(B27,Männer!$BJ$9:$BO$56,6)</f>
        <v>2.8980000000000001</v>
      </c>
      <c r="P27">
        <f>VLOOKUP(B27,Männer!$CG$9:$CN$57,5)</f>
        <v>5.0670000000000002</v>
      </c>
      <c r="Q27">
        <f>VLOOKUP(B27,Männer!$BX$9:$CE$57,8)</f>
        <v>4.3999999999999997E-2</v>
      </c>
      <c r="R27">
        <f>VLOOKUP(B27,Männer!$BX$9:$CE$57,5)</f>
        <v>3.5000000000000003E-2</v>
      </c>
      <c r="S27">
        <f>VLOOKUP(B27,Männer!$IE$9:$IL$57,5)</f>
        <v>1.7000000000000001E-2</v>
      </c>
      <c r="T27" s="144">
        <f t="shared" si="7"/>
        <v>0.22850788708551881</v>
      </c>
      <c r="U27" s="147">
        <f t="shared" si="8"/>
        <v>17798.936340865232</v>
      </c>
    </row>
    <row r="28" spans="1:21" x14ac:dyDescent="0.2">
      <c r="A28" s="139">
        <v>27</v>
      </c>
      <c r="B28">
        <v>40</v>
      </c>
      <c r="C28">
        <v>39</v>
      </c>
      <c r="D28" s="141">
        <v>135876</v>
      </c>
      <c r="E28" s="141">
        <f t="shared" si="0"/>
        <v>1187988.6719164883</v>
      </c>
      <c r="F28" s="186" t="s">
        <v>480</v>
      </c>
      <c r="G28" s="173">
        <f>(ProjectedSavingAccount(25,F28,D28*(Salaries!$B$7 / VLOOKUP('Active persons'!B28,Salaries!$A$2:$B$46,2,FALSE)),0) )-ProjectedSavingAccount(B28,F28,D28,0)</f>
        <v>113464.82495717355</v>
      </c>
      <c r="H28" s="141">
        <f t="shared" si="1"/>
        <v>80783.229690321212</v>
      </c>
      <c r="I28" s="142">
        <f t="shared" si="2"/>
        <v>80783.229690321212</v>
      </c>
      <c r="J28" s="141">
        <f t="shared" si="3"/>
        <v>48469.937814192723</v>
      </c>
      <c r="K28" s="141">
        <f t="shared" si="4"/>
        <v>16156.645938064243</v>
      </c>
      <c r="L28" s="141">
        <f t="shared" si="5"/>
        <v>16156.645938064243</v>
      </c>
      <c r="M28" s="141">
        <f t="shared" si="6"/>
        <v>16156.645938064243</v>
      </c>
      <c r="N28">
        <f>VLOOKUP(B28,Männer!$BJ$9:$BO$56,5)</f>
        <v>5.2249999999999996</v>
      </c>
      <c r="O28">
        <f>VLOOKUP(B28,Männer!$BJ$9:$BO$56,6)</f>
        <v>2.9540000000000002</v>
      </c>
      <c r="P28">
        <f>VLOOKUP(B28,Männer!$CG$9:$CN$57,5)</f>
        <v>3.9569999999999999</v>
      </c>
      <c r="Q28">
        <f>VLOOKUP(B28,Männer!$BX$9:$CE$57,8)</f>
        <v>2.5999999999999999E-2</v>
      </c>
      <c r="R28">
        <f>VLOOKUP(B28,Männer!$BX$9:$CE$57,5)</f>
        <v>0.312</v>
      </c>
      <c r="S28">
        <f>VLOOKUP(B28,Männer!$IE$9:$IL$57,5)</f>
        <v>0.218</v>
      </c>
      <c r="T28" s="144">
        <f t="shared" si="7"/>
        <v>0.17348218386401815</v>
      </c>
      <c r="U28" s="147">
        <f t="shared" si="8"/>
        <v>23572.065214707331</v>
      </c>
    </row>
    <row r="29" spans="1:21" x14ac:dyDescent="0.2">
      <c r="A29" s="139">
        <v>28</v>
      </c>
      <c r="B29">
        <v>29</v>
      </c>
      <c r="C29">
        <v>25</v>
      </c>
      <c r="D29" s="141">
        <v>180516</v>
      </c>
      <c r="E29" s="141">
        <f t="shared" si="0"/>
        <v>2903235.0061447555</v>
      </c>
      <c r="F29" s="186" t="s">
        <v>481</v>
      </c>
      <c r="G29" s="173">
        <f>(ProjectedSavingAccount(25,F29,D29*(Salaries!$B$7 / VLOOKUP('Active persons'!B29,Salaries!$A$2:$B$46,2,FALSE)),0) )-ProjectedSavingAccount(B29,F29,D29,0)</f>
        <v>42381.708242245018</v>
      </c>
      <c r="H29" s="141">
        <f t="shared" si="1"/>
        <v>197419.98041784338</v>
      </c>
      <c r="I29" s="142">
        <f t="shared" si="2"/>
        <v>197419.98041784338</v>
      </c>
      <c r="J29" s="141">
        <f t="shared" si="3"/>
        <v>118451.98825070602</v>
      </c>
      <c r="K29" s="141">
        <f t="shared" si="4"/>
        <v>39483.99608356868</v>
      </c>
      <c r="L29" s="141">
        <f t="shared" si="5"/>
        <v>39483.99608356868</v>
      </c>
      <c r="M29" s="141">
        <f t="shared" si="6"/>
        <v>39483.99608356868</v>
      </c>
      <c r="N29">
        <f>VLOOKUP(B29,Männer!$BJ$9:$BO$56,5)</f>
        <v>4.0090000000000003</v>
      </c>
      <c r="O29">
        <f>VLOOKUP(B29,Männer!$BJ$9:$BO$56,6)</f>
        <v>2.4830000000000001</v>
      </c>
      <c r="P29">
        <f>VLOOKUP(B29,Männer!$CG$9:$CN$57,5)</f>
        <v>3.2149999999999999</v>
      </c>
      <c r="Q29">
        <f>VLOOKUP(B29,Männer!$BX$9:$CE$57,8)</f>
        <v>0.02</v>
      </c>
      <c r="R29">
        <f>VLOOKUP(B29,Männer!$BX$9:$CE$57,5)</f>
        <v>0.40500000000000003</v>
      </c>
      <c r="S29">
        <f>VLOOKUP(B29,Männer!$IE$9:$IL$57,5)</f>
        <v>0.33200000000000002</v>
      </c>
      <c r="T29" s="144">
        <f t="shared" si="7"/>
        <v>0.15557290060170101</v>
      </c>
      <c r="U29" s="147">
        <f t="shared" si="8"/>
        <v>28083.397725016661</v>
      </c>
    </row>
    <row r="30" spans="1:21" x14ac:dyDescent="0.2">
      <c r="A30" s="139">
        <v>29</v>
      </c>
      <c r="B30">
        <v>47</v>
      </c>
      <c r="C30">
        <v>43</v>
      </c>
      <c r="D30" s="141">
        <v>93708</v>
      </c>
      <c r="E30" s="141">
        <f t="shared" si="0"/>
        <v>579063.14363223617</v>
      </c>
      <c r="F30" s="186" t="s">
        <v>481</v>
      </c>
      <c r="G30" s="173">
        <f>(ProjectedSavingAccount(25,F30,D30*(Salaries!$B$7 / VLOOKUP('Active persons'!B30,Salaries!$A$2:$B$46,2,FALSE)),0) )-ProjectedSavingAccount(B30,F30,D30,0)</f>
        <v>118185.18197502848</v>
      </c>
      <c r="H30" s="141">
        <f t="shared" si="1"/>
        <v>39376.293766992065</v>
      </c>
      <c r="I30" s="142">
        <f t="shared" si="2"/>
        <v>39376.293766992065</v>
      </c>
      <c r="J30" s="141">
        <f t="shared" si="3"/>
        <v>23625.776260195238</v>
      </c>
      <c r="K30" s="141">
        <f t="shared" si="4"/>
        <v>7875.2587533984133</v>
      </c>
      <c r="L30" s="141">
        <f t="shared" si="5"/>
        <v>7875.2587533984133</v>
      </c>
      <c r="M30" s="141">
        <f t="shared" si="6"/>
        <v>7875.2587533984133</v>
      </c>
      <c r="N30">
        <f>VLOOKUP(B30,Männer!$BJ$9:$BO$56,5)</f>
        <v>6.2510000000000003</v>
      </c>
      <c r="O30">
        <f>VLOOKUP(B30,Männer!$BJ$9:$BO$56,6)</f>
        <v>3.2330000000000001</v>
      </c>
      <c r="P30">
        <f>VLOOKUP(B30,Männer!$CG$9:$CN$57,5)</f>
        <v>4.423</v>
      </c>
      <c r="Q30">
        <f>VLOOKUP(B30,Männer!$BX$9:$CE$57,8)</f>
        <v>3.1E-2</v>
      </c>
      <c r="R30">
        <f>VLOOKUP(B30,Männer!$BX$9:$CE$57,5)</f>
        <v>0.20100000000000001</v>
      </c>
      <c r="S30">
        <f>VLOOKUP(B30,Männer!$IE$9:$IL$57,5)</f>
        <v>0.107</v>
      </c>
      <c r="T30" s="144">
        <f t="shared" si="7"/>
        <v>0.18536945319890422</v>
      </c>
      <c r="U30" s="147">
        <f t="shared" si="8"/>
        <v>17370.600720362916</v>
      </c>
    </row>
    <row r="31" spans="1:21" x14ac:dyDescent="0.2">
      <c r="A31" s="139">
        <v>30</v>
      </c>
      <c r="B31">
        <v>41</v>
      </c>
      <c r="C31">
        <v>34</v>
      </c>
      <c r="D31" s="141">
        <v>30780</v>
      </c>
      <c r="E31" s="141">
        <f t="shared" si="0"/>
        <v>255765.51345713559</v>
      </c>
      <c r="F31" s="186" t="s">
        <v>481</v>
      </c>
      <c r="G31" s="173">
        <f>(ProjectedSavingAccount(25,F31,D31*(Salaries!$B$7 / VLOOKUP('Active persons'!B31,Salaries!$A$2:$B$46,2,FALSE)),0) )-ProjectedSavingAccount(B31,F31,D31,0)</f>
        <v>27353.483642839012</v>
      </c>
      <c r="H31" s="141">
        <f t="shared" si="1"/>
        <v>17392.05491508522</v>
      </c>
      <c r="I31" s="142">
        <f t="shared" si="2"/>
        <v>17392.05491508522</v>
      </c>
      <c r="J31" s="141">
        <f t="shared" si="3"/>
        <v>10435.232949051131</v>
      </c>
      <c r="K31" s="141">
        <f t="shared" si="4"/>
        <v>3478.4109830170441</v>
      </c>
      <c r="L31" s="141">
        <f t="shared" si="5"/>
        <v>3478.4109830170441</v>
      </c>
      <c r="M31" s="141">
        <f t="shared" si="6"/>
        <v>3478.4109830170441</v>
      </c>
      <c r="N31">
        <f>VLOOKUP(B31,Männer!$BJ$9:$BO$56,5)</f>
        <v>5.3570000000000002</v>
      </c>
      <c r="O31">
        <f>VLOOKUP(B31,Männer!$BJ$9:$BO$56,6)</f>
        <v>2.9950000000000001</v>
      </c>
      <c r="P31">
        <f>VLOOKUP(B31,Männer!$CG$9:$CN$57,5)</f>
        <v>4.024</v>
      </c>
      <c r="Q31">
        <f>VLOOKUP(B31,Männer!$BX$9:$CE$57,8)</f>
        <v>2.5999999999999999E-2</v>
      </c>
      <c r="R31">
        <f>VLOOKUP(B31,Männer!$BX$9:$CE$57,5)</f>
        <v>0.29599999999999999</v>
      </c>
      <c r="S31">
        <f>VLOOKUP(B31,Männer!$IE$9:$IL$57,5)</f>
        <v>0.20100000000000001</v>
      </c>
      <c r="T31" s="144">
        <f t="shared" si="7"/>
        <v>0.17268064493258578</v>
      </c>
      <c r="U31" s="147">
        <f t="shared" si="8"/>
        <v>5315.1102510249902</v>
      </c>
    </row>
    <row r="32" spans="1:21" x14ac:dyDescent="0.2">
      <c r="A32" s="139">
        <v>31</v>
      </c>
      <c r="B32">
        <v>56</v>
      </c>
      <c r="C32">
        <v>26</v>
      </c>
      <c r="D32" s="141">
        <v>191040</v>
      </c>
      <c r="E32" s="141">
        <f t="shared" si="0"/>
        <v>722165.46825598902</v>
      </c>
      <c r="F32" s="186" t="s">
        <v>481</v>
      </c>
      <c r="G32" s="173">
        <f>(ProjectedSavingAccount(25,F32,D32*(Salaries!$B$7 / VLOOKUP('Active persons'!B32,Salaries!$A$2:$B$46,2,FALSE)),0) )-ProjectedSavingAccount(B32,F32,D32,0)</f>
        <v>351041.58240944351</v>
      </c>
      <c r="H32" s="141">
        <f t="shared" si="1"/>
        <v>49107.251841407255</v>
      </c>
      <c r="I32" s="142">
        <f t="shared" si="2"/>
        <v>49107.251841407255</v>
      </c>
      <c r="J32" s="141">
        <f t="shared" si="3"/>
        <v>29464.351104844351</v>
      </c>
      <c r="K32" s="141">
        <f t="shared" si="4"/>
        <v>9821.450368281452</v>
      </c>
      <c r="L32" s="141">
        <f t="shared" si="5"/>
        <v>9821.450368281452</v>
      </c>
      <c r="M32" s="141">
        <f t="shared" si="6"/>
        <v>9821.450368281452</v>
      </c>
      <c r="N32">
        <f>VLOOKUP(B32,Männer!$BJ$9:$BO$56,5)</f>
        <v>8.2530000000000001</v>
      </c>
      <c r="O32">
        <f>VLOOKUP(B32,Männer!$BJ$9:$BO$56,6)</f>
        <v>3.1589999999999998</v>
      </c>
      <c r="P32">
        <f>VLOOKUP(B32,Männer!$CG$9:$CN$57,5)</f>
        <v>4.9749999999999996</v>
      </c>
      <c r="Q32">
        <f>VLOOKUP(B32,Männer!$BX$9:$CE$57,8)</f>
        <v>0.04</v>
      </c>
      <c r="R32">
        <f>VLOOKUP(B32,Männer!$BX$9:$CE$57,5)</f>
        <v>5.8999999999999997E-2</v>
      </c>
      <c r="S32">
        <f>VLOOKUP(B32,Männer!$IE$9:$IL$57,5)</f>
        <v>2.5000000000000001E-2</v>
      </c>
      <c r="T32" s="144">
        <f t="shared" si="7"/>
        <v>0.21303091378484978</v>
      </c>
      <c r="U32" s="147">
        <f t="shared" si="8"/>
        <v>40697.425769457703</v>
      </c>
    </row>
    <row r="33" spans="1:28" x14ac:dyDescent="0.2">
      <c r="A33" s="139">
        <v>32</v>
      </c>
      <c r="B33">
        <v>45</v>
      </c>
      <c r="C33">
        <v>35</v>
      </c>
      <c r="D33" s="141">
        <v>50220</v>
      </c>
      <c r="E33" s="141">
        <f t="shared" si="0"/>
        <v>341895.10141725716</v>
      </c>
      <c r="F33" s="186" t="s">
        <v>480</v>
      </c>
      <c r="G33" s="173">
        <f>(ProjectedSavingAccount(25,F33,D33*(Salaries!$B$7 / VLOOKUP('Active persons'!B33,Salaries!$A$2:$B$46,2,FALSE)),0) )-ProjectedSavingAccount(B33,F33,D33,0)</f>
        <v>54338.605210504378</v>
      </c>
      <c r="H33" s="141">
        <f t="shared" si="1"/>
        <v>23248.866896373489</v>
      </c>
      <c r="I33" s="142">
        <f t="shared" si="2"/>
        <v>23248.866896373489</v>
      </c>
      <c r="J33" s="141">
        <f t="shared" si="3"/>
        <v>13949.320137824094</v>
      </c>
      <c r="K33" s="141">
        <f t="shared" si="4"/>
        <v>4649.7733792746976</v>
      </c>
      <c r="L33" s="141">
        <f t="shared" si="5"/>
        <v>4649.7733792746976</v>
      </c>
      <c r="M33" s="141">
        <f t="shared" si="6"/>
        <v>4649.7733792746976</v>
      </c>
      <c r="N33">
        <f>VLOOKUP(B33,Männer!$BJ$9:$BO$56,5)</f>
        <v>5.931</v>
      </c>
      <c r="O33">
        <f>VLOOKUP(B33,Männer!$BJ$9:$BO$56,6)</f>
        <v>3.1589999999999998</v>
      </c>
      <c r="P33">
        <f>VLOOKUP(B33,Männer!$CG$9:$CN$57,5)</f>
        <v>4.29</v>
      </c>
      <c r="Q33">
        <f>VLOOKUP(B33,Männer!$BX$9:$CE$57,8)</f>
        <v>2.9000000000000001E-2</v>
      </c>
      <c r="R33">
        <f>VLOOKUP(B33,Männer!$BX$9:$CE$57,5)</f>
        <v>0.23200000000000001</v>
      </c>
      <c r="S33">
        <f>VLOOKUP(B33,Männer!$IE$9:$IL$57,5)</f>
        <v>0.13600000000000001</v>
      </c>
      <c r="T33" s="144">
        <f t="shared" si="7"/>
        <v>0.1841370340084266</v>
      </c>
      <c r="U33" s="147">
        <f t="shared" si="8"/>
        <v>9247.3618479031829</v>
      </c>
    </row>
    <row r="34" spans="1:28" x14ac:dyDescent="0.2">
      <c r="A34" s="139">
        <v>33</v>
      </c>
      <c r="B34">
        <v>61</v>
      </c>
      <c r="C34">
        <v>57</v>
      </c>
      <c r="D34" s="141">
        <v>35256</v>
      </c>
      <c r="E34" s="141">
        <f t="shared" si="0"/>
        <v>106730.36790361447</v>
      </c>
      <c r="F34" s="186" t="s">
        <v>480</v>
      </c>
      <c r="G34" s="173">
        <f>(ProjectedSavingAccount(25,F34,D34*(Salaries!$B$7 / VLOOKUP('Active persons'!B34,Salaries!$A$2:$B$46,2,FALSE)),0) )-ProjectedSavingAccount(B34,F34,D34,0)</f>
        <v>79840.397783132546</v>
      </c>
      <c r="H34" s="141">
        <f t="shared" si="1"/>
        <v>7257.6650174457845</v>
      </c>
      <c r="I34" s="142">
        <f t="shared" si="2"/>
        <v>7257.6650174457845</v>
      </c>
      <c r="J34" s="141">
        <f t="shared" si="3"/>
        <v>4354.5990104674702</v>
      </c>
      <c r="K34" s="141">
        <f t="shared" si="4"/>
        <v>1451.533003489157</v>
      </c>
      <c r="L34" s="141">
        <f t="shared" si="5"/>
        <v>1451.533003489157</v>
      </c>
      <c r="M34" s="141">
        <f t="shared" si="6"/>
        <v>1451.533003489157</v>
      </c>
      <c r="N34">
        <f>VLOOKUP(B34,Männer!$BJ$9:$BO$56,5)</f>
        <v>10.519</v>
      </c>
      <c r="O34">
        <f>VLOOKUP(B34,Männer!$BJ$9:$BO$56,6)</f>
        <v>2.1230000000000002</v>
      </c>
      <c r="P34">
        <f>VLOOKUP(B34,Männer!$CG$9:$CN$57,5)</f>
        <v>5.1680000000000001</v>
      </c>
      <c r="Q34">
        <f>VLOOKUP(B34,Männer!$BX$9:$CE$57,8)</f>
        <v>5.1999999999999998E-2</v>
      </c>
      <c r="R34">
        <f>VLOOKUP(B34,Männer!$BX$9:$CE$57,5)</f>
        <v>1.2999999999999999E-2</v>
      </c>
      <c r="S34">
        <f>VLOOKUP(B34,Männer!$IE$9:$IL$57,5)</f>
        <v>0.01</v>
      </c>
      <c r="T34" s="144">
        <f t="shared" si="7"/>
        <v>0.2989659908238228</v>
      </c>
      <c r="U34" s="147">
        <f t="shared" si="8"/>
        <v>10540.344972484696</v>
      </c>
    </row>
    <row r="35" spans="1:28" x14ac:dyDescent="0.2">
      <c r="A35" s="139">
        <v>34</v>
      </c>
      <c r="B35">
        <v>56</v>
      </c>
      <c r="C35">
        <v>37</v>
      </c>
      <c r="D35" s="141">
        <v>107412</v>
      </c>
      <c r="E35" s="141">
        <f t="shared" si="0"/>
        <v>406036.62728387921</v>
      </c>
      <c r="F35" s="186" t="s">
        <v>480</v>
      </c>
      <c r="G35" s="173">
        <f>(ProjectedSavingAccount(25,F35,D35*(Salaries!$B$7 / VLOOKUP('Active persons'!B35,Salaries!$A$2:$B$46,2,FALSE)),0) )-ProjectedSavingAccount(B35,F35,D35,0)</f>
        <v>197372.68870269647</v>
      </c>
      <c r="H35" s="141">
        <f t="shared" si="1"/>
        <v>27610.490655303787</v>
      </c>
      <c r="I35" s="142">
        <f t="shared" si="2"/>
        <v>27610.490655303787</v>
      </c>
      <c r="J35" s="141">
        <f t="shared" si="3"/>
        <v>16566.29439318227</v>
      </c>
      <c r="K35" s="141">
        <f t="shared" si="4"/>
        <v>5522.0981310607576</v>
      </c>
      <c r="L35" s="141">
        <f t="shared" si="5"/>
        <v>5522.0981310607576</v>
      </c>
      <c r="M35" s="141">
        <f t="shared" si="6"/>
        <v>5522.0981310607576</v>
      </c>
      <c r="N35">
        <f>VLOOKUP(B35,Männer!$BJ$9:$BO$56,5)</f>
        <v>8.2530000000000001</v>
      </c>
      <c r="O35">
        <f>VLOOKUP(B35,Männer!$BJ$9:$BO$56,6)</f>
        <v>3.1589999999999998</v>
      </c>
      <c r="P35">
        <f>VLOOKUP(B35,Männer!$CG$9:$CN$57,5)</f>
        <v>4.9749999999999996</v>
      </c>
      <c r="Q35">
        <f>VLOOKUP(B35,Männer!$BX$9:$CE$57,8)</f>
        <v>0.04</v>
      </c>
      <c r="R35">
        <f>VLOOKUP(B35,Männer!$BX$9:$CE$57,5)</f>
        <v>5.8999999999999997E-2</v>
      </c>
      <c r="S35">
        <f>VLOOKUP(B35,Männer!$IE$9:$IL$57,5)</f>
        <v>2.5000000000000001E-2</v>
      </c>
      <c r="T35" s="144">
        <f t="shared" si="7"/>
        <v>0.21399496786169295</v>
      </c>
      <c r="U35" s="147">
        <f t="shared" si="8"/>
        <v>22985.627487960162</v>
      </c>
    </row>
    <row r="36" spans="1:28" x14ac:dyDescent="0.2">
      <c r="A36" s="139">
        <v>35</v>
      </c>
      <c r="B36">
        <v>54</v>
      </c>
      <c r="C36">
        <v>37</v>
      </c>
      <c r="D36" s="141">
        <v>59700</v>
      </c>
      <c r="E36" s="141">
        <f t="shared" si="0"/>
        <v>250491.00077071288</v>
      </c>
      <c r="F36" s="186" t="s">
        <v>480</v>
      </c>
      <c r="G36" s="173">
        <f>(ProjectedSavingAccount(25,F36,D36*(Salaries!$B$7 / VLOOKUP('Active persons'!B36,Salaries!$A$2:$B$46,2,FALSE)),0) )-ProjectedSavingAccount(B36,F36,D36,0)</f>
        <v>101474.96955684005</v>
      </c>
      <c r="H36" s="141">
        <f t="shared" si="1"/>
        <v>17033.388052408478</v>
      </c>
      <c r="I36" s="142">
        <f t="shared" si="2"/>
        <v>17033.388052408478</v>
      </c>
      <c r="J36" s="141">
        <f t="shared" si="3"/>
        <v>10220.032831445087</v>
      </c>
      <c r="K36" s="141">
        <f t="shared" si="4"/>
        <v>3406.6776104816959</v>
      </c>
      <c r="L36" s="141">
        <f t="shared" si="5"/>
        <v>3406.6776104816959</v>
      </c>
      <c r="M36" s="141">
        <f t="shared" si="6"/>
        <v>3406.6776104816959</v>
      </c>
      <c r="N36">
        <f>VLOOKUP(B36,Männer!$BJ$9:$BO$56,5)</f>
        <v>7.6769999999999996</v>
      </c>
      <c r="O36">
        <f>VLOOKUP(B36,Männer!$BJ$9:$BO$56,6)</f>
        <v>3.2879999999999998</v>
      </c>
      <c r="P36">
        <f>VLOOKUP(B36,Männer!$CG$9:$CN$57,5)</f>
        <v>4.867</v>
      </c>
      <c r="Q36">
        <f>VLOOKUP(B36,Männer!$BX$9:$CE$57,8)</f>
        <v>3.7999999999999999E-2</v>
      </c>
      <c r="R36">
        <f>VLOOKUP(B36,Männer!$BX$9:$CE$57,5)</f>
        <v>8.7999999999999995E-2</v>
      </c>
      <c r="S36">
        <f>VLOOKUP(B36,Männer!$IE$9:$IL$57,5)</f>
        <v>3.5999999999999997E-2</v>
      </c>
      <c r="T36" s="144">
        <f t="shared" si="7"/>
        <v>0.20387135062250195</v>
      </c>
      <c r="U36" s="147">
        <f t="shared" si="8"/>
        <v>12171.119632163367</v>
      </c>
    </row>
    <row r="37" spans="1:28" x14ac:dyDescent="0.2">
      <c r="A37" s="139">
        <v>36</v>
      </c>
      <c r="B37">
        <v>28</v>
      </c>
      <c r="C37">
        <v>27</v>
      </c>
      <c r="D37" s="141">
        <v>136800</v>
      </c>
      <c r="E37" s="141">
        <f t="shared" si="0"/>
        <v>2356807.8607594939</v>
      </c>
      <c r="F37" s="186" t="s">
        <v>480</v>
      </c>
      <c r="G37" s="173">
        <f>(ProjectedSavingAccount(25,F37,D37*(Salaries!$B$7 / VLOOKUP('Active persons'!B37,Salaries!$A$2:$B$46,2,FALSE)),0) )-ProjectedSavingAccount(B37,F37,D37,0)</f>
        <v>24828.911392405163</v>
      </c>
      <c r="H37" s="141">
        <f t="shared" si="1"/>
        <v>160262.93453164559</v>
      </c>
      <c r="I37" s="142">
        <f t="shared" si="2"/>
        <v>160262.93453164559</v>
      </c>
      <c r="J37" s="141">
        <f t="shared" si="3"/>
        <v>96157.760718987352</v>
      </c>
      <c r="K37" s="141">
        <f t="shared" si="4"/>
        <v>32052.586906329117</v>
      </c>
      <c r="L37" s="141">
        <f t="shared" si="5"/>
        <v>32052.586906329117</v>
      </c>
      <c r="M37" s="141">
        <f t="shared" si="6"/>
        <v>32052.586906329117</v>
      </c>
      <c r="N37">
        <f>VLOOKUP(B37,Männer!$BJ$9:$BO$56,5)</f>
        <v>3.9159999999999999</v>
      </c>
      <c r="O37">
        <f>VLOOKUP(B37,Männer!$BJ$9:$BO$56,6)</f>
        <v>2.4390000000000001</v>
      </c>
      <c r="P37">
        <f>VLOOKUP(B37,Männer!$CG$9:$CN$57,5)</f>
        <v>3.149</v>
      </c>
      <c r="Q37">
        <f>VLOOKUP(B37,Männer!$BX$9:$CE$57,8)</f>
        <v>1.9E-2</v>
      </c>
      <c r="R37">
        <f>VLOOKUP(B37,Männer!$BX$9:$CE$57,5)</f>
        <v>0.40200000000000002</v>
      </c>
      <c r="S37">
        <f>VLOOKUP(B37,Männer!$IE$9:$IL$57,5)</f>
        <v>0.33400000000000002</v>
      </c>
      <c r="T37" s="144">
        <f t="shared" si="7"/>
        <v>0.15795246867131013</v>
      </c>
      <c r="U37" s="147">
        <f t="shared" si="8"/>
        <v>21607.897714235227</v>
      </c>
    </row>
    <row r="38" spans="1:28" x14ac:dyDescent="0.2">
      <c r="A38" s="139">
        <v>37</v>
      </c>
      <c r="B38">
        <v>43</v>
      </c>
      <c r="C38">
        <v>32</v>
      </c>
      <c r="D38" s="141">
        <v>114024</v>
      </c>
      <c r="E38" s="141">
        <f t="shared" si="0"/>
        <v>856807.07815044816</v>
      </c>
      <c r="F38" s="186" t="s">
        <v>480</v>
      </c>
      <c r="G38" s="173">
        <f>(ProjectedSavingAccount(25,F38,D38*(Salaries!$B$7 / VLOOKUP('Active persons'!B38,Salaries!$A$2:$B$46,2,FALSE)),0) )-ProjectedSavingAccount(B38,F38,D38,0)</f>
        <v>112790.90401656297</v>
      </c>
      <c r="H38" s="141">
        <f t="shared" si="1"/>
        <v>58262.881314230479</v>
      </c>
      <c r="I38" s="142">
        <f t="shared" si="2"/>
        <v>58262.881314230479</v>
      </c>
      <c r="J38" s="141">
        <f t="shared" si="3"/>
        <v>34957.728788538283</v>
      </c>
      <c r="K38" s="141">
        <f t="shared" si="4"/>
        <v>11652.576262846096</v>
      </c>
      <c r="L38" s="141">
        <f t="shared" si="5"/>
        <v>11652.576262846096</v>
      </c>
      <c r="M38" s="141">
        <f t="shared" si="6"/>
        <v>11652.576262846096</v>
      </c>
      <c r="N38">
        <f>VLOOKUP(B38,Männer!$BJ$9:$BO$56,5)</f>
        <v>5.6340000000000003</v>
      </c>
      <c r="O38">
        <f>VLOOKUP(B38,Männer!$BJ$9:$BO$56,6)</f>
        <v>3.0779999999999998</v>
      </c>
      <c r="P38">
        <f>VLOOKUP(B38,Männer!$CG$9:$CN$57,5)</f>
        <v>4.157</v>
      </c>
      <c r="Q38">
        <f>VLOOKUP(B38,Männer!$BX$9:$CE$57,8)</f>
        <v>2.8000000000000001E-2</v>
      </c>
      <c r="R38">
        <f>VLOOKUP(B38,Männer!$BX$9:$CE$57,5)</f>
        <v>0.26400000000000001</v>
      </c>
      <c r="S38">
        <f>VLOOKUP(B38,Männer!$IE$9:$IL$57,5)</f>
        <v>0.16800000000000001</v>
      </c>
      <c r="T38" s="144">
        <f t="shared" si="7"/>
        <v>0.17913417353044173</v>
      </c>
      <c r="U38" s="147">
        <f t="shared" si="8"/>
        <v>20425.595002635087</v>
      </c>
    </row>
    <row r="39" spans="1:28" x14ac:dyDescent="0.2">
      <c r="A39" s="139">
        <v>38</v>
      </c>
      <c r="B39">
        <v>58</v>
      </c>
      <c r="C39">
        <v>36</v>
      </c>
      <c r="D39" s="141">
        <v>149100</v>
      </c>
      <c r="E39" s="141">
        <f t="shared" si="0"/>
        <v>512122.12649842276</v>
      </c>
      <c r="F39" s="186" t="s">
        <v>480</v>
      </c>
      <c r="G39" s="173">
        <f>(ProjectedSavingAccount(25,F39,D39*(Salaries!$B$7 / VLOOKUP('Active persons'!B39,Salaries!$A$2:$B$46,2,FALSE)),0) )-ProjectedSavingAccount(B39,F39,D39,0)</f>
        <v>298936.4066246057</v>
      </c>
      <c r="H39" s="141">
        <f t="shared" si="1"/>
        <v>34824.304601892749</v>
      </c>
      <c r="I39" s="142">
        <f t="shared" si="2"/>
        <v>34824.304601892749</v>
      </c>
      <c r="J39" s="141">
        <f t="shared" si="3"/>
        <v>20894.582761135647</v>
      </c>
      <c r="K39" s="141">
        <f t="shared" si="4"/>
        <v>6964.86092037855</v>
      </c>
      <c r="L39" s="141">
        <f t="shared" si="5"/>
        <v>6964.86092037855</v>
      </c>
      <c r="M39" s="141">
        <f t="shared" si="6"/>
        <v>6964.86092037855</v>
      </c>
      <c r="N39">
        <f>VLOOKUP(B39,Männer!$BJ$9:$BO$56,5)</f>
        <v>8.9760000000000009</v>
      </c>
      <c r="O39">
        <f>VLOOKUP(B39,Männer!$BJ$9:$BO$56,6)</f>
        <v>2.8980000000000001</v>
      </c>
      <c r="P39">
        <f>VLOOKUP(B39,Männer!$CG$9:$CN$57,5)</f>
        <v>5.0670000000000002</v>
      </c>
      <c r="Q39">
        <f>VLOOKUP(B39,Männer!$BX$9:$CE$57,8)</f>
        <v>4.3999999999999997E-2</v>
      </c>
      <c r="R39">
        <f>VLOOKUP(B39,Männer!$BX$9:$CE$57,5)</f>
        <v>3.5000000000000003E-2</v>
      </c>
      <c r="S39">
        <f>VLOOKUP(B39,Männer!$IE$9:$IL$57,5)</f>
        <v>1.7000000000000001E-2</v>
      </c>
      <c r="T39" s="144">
        <f t="shared" si="7"/>
        <v>0.22850788708551886</v>
      </c>
      <c r="U39" s="147">
        <f t="shared" si="8"/>
        <v>34070.525964450862</v>
      </c>
    </row>
    <row r="40" spans="1:28" x14ac:dyDescent="0.2">
      <c r="A40" s="139">
        <v>39</v>
      </c>
      <c r="B40">
        <v>41</v>
      </c>
      <c r="C40">
        <v>36</v>
      </c>
      <c r="D40" s="141">
        <v>169632</v>
      </c>
      <c r="E40" s="141">
        <f t="shared" si="0"/>
        <v>1409552.1630526583</v>
      </c>
      <c r="F40" s="186" t="s">
        <v>481</v>
      </c>
      <c r="G40" s="173">
        <f>(ProjectedSavingAccount(25,F40,D40*(Salaries!$B$7 / VLOOKUP('Active persons'!B40,Salaries!$A$2:$B$46,2,FALSE)),0) )-ProjectedSavingAccount(B40,F40,D40,0)</f>
        <v>150748.08763164561</v>
      </c>
      <c r="H40" s="141">
        <f t="shared" si="1"/>
        <v>95849.547087580766</v>
      </c>
      <c r="I40" s="142">
        <f t="shared" si="2"/>
        <v>95849.547087580766</v>
      </c>
      <c r="J40" s="141">
        <f t="shared" si="3"/>
        <v>57509.728252548455</v>
      </c>
      <c r="K40" s="141">
        <f t="shared" si="4"/>
        <v>19169.909417516155</v>
      </c>
      <c r="L40" s="141">
        <f t="shared" si="5"/>
        <v>19169.909417516155</v>
      </c>
      <c r="M40" s="141">
        <f t="shared" si="6"/>
        <v>19169.909417516155</v>
      </c>
      <c r="N40">
        <f>VLOOKUP(B40,Männer!$BJ$9:$BO$56,5)</f>
        <v>5.3570000000000002</v>
      </c>
      <c r="O40">
        <f>VLOOKUP(B40,Männer!$BJ$9:$BO$56,6)</f>
        <v>2.9950000000000001</v>
      </c>
      <c r="P40">
        <f>VLOOKUP(B40,Männer!$CG$9:$CN$57,5)</f>
        <v>4.024</v>
      </c>
      <c r="Q40">
        <f>VLOOKUP(B40,Männer!$BX$9:$CE$57,8)</f>
        <v>2.5999999999999999E-2</v>
      </c>
      <c r="R40">
        <f>VLOOKUP(B40,Männer!$BX$9:$CE$57,5)</f>
        <v>0.29599999999999999</v>
      </c>
      <c r="S40">
        <f>VLOOKUP(B40,Männer!$IE$9:$IL$57,5)</f>
        <v>0.20100000000000001</v>
      </c>
      <c r="T40" s="144">
        <f t="shared" si="7"/>
        <v>0.17268064493258584</v>
      </c>
      <c r="U40" s="147">
        <f t="shared" si="8"/>
        <v>29292.1631612044</v>
      </c>
    </row>
    <row r="41" spans="1:28" x14ac:dyDescent="0.2">
      <c r="A41" s="139">
        <v>40</v>
      </c>
      <c r="B41">
        <v>49</v>
      </c>
      <c r="C41">
        <v>37</v>
      </c>
      <c r="D41" s="141">
        <v>34524</v>
      </c>
      <c r="E41" s="141">
        <f t="shared" si="0"/>
        <v>192442.01940614331</v>
      </c>
      <c r="F41" s="186" t="s">
        <v>480</v>
      </c>
      <c r="G41" s="173">
        <f>(ProjectedSavingAccount(25,F41,D41*(Salaries!$B$7 / VLOOKUP('Active persons'!B41,Salaries!$A$2:$B$46,2,FALSE)),0) )-ProjectedSavingAccount(B41,F41,D41,0)</f>
        <v>48860.827433447063</v>
      </c>
      <c r="H41" s="141">
        <f t="shared" si="1"/>
        <v>13086.057319617747</v>
      </c>
      <c r="I41" s="142">
        <f t="shared" si="2"/>
        <v>13086.057319617747</v>
      </c>
      <c r="J41" s="141">
        <f t="shared" si="3"/>
        <v>7851.6343917706472</v>
      </c>
      <c r="K41" s="141">
        <f t="shared" si="4"/>
        <v>2617.2114639235497</v>
      </c>
      <c r="L41" s="141">
        <f t="shared" si="5"/>
        <v>2617.2114639235497</v>
      </c>
      <c r="M41" s="141">
        <f t="shared" si="6"/>
        <v>2617.2114639235497</v>
      </c>
      <c r="N41">
        <f>VLOOKUP(B41,Männer!$BJ$9:$BO$56,5)</f>
        <v>6.6</v>
      </c>
      <c r="O41">
        <f>VLOOKUP(B41,Männer!$BJ$9:$BO$56,6)</f>
        <v>3.294</v>
      </c>
      <c r="P41">
        <f>VLOOKUP(B41,Männer!$CG$9:$CN$57,5)</f>
        <v>4.5549999999999997</v>
      </c>
      <c r="Q41">
        <f>VLOOKUP(B41,Männer!$BX$9:$CE$57,8)</f>
        <v>3.2000000000000001E-2</v>
      </c>
      <c r="R41">
        <f>VLOOKUP(B41,Männer!$BX$9:$CE$57,5)</f>
        <v>0.16900000000000001</v>
      </c>
      <c r="S41">
        <f>VLOOKUP(B41,Männer!$IE$9:$IL$57,5)</f>
        <v>8.2000000000000003E-2</v>
      </c>
      <c r="T41" s="144">
        <f t="shared" si="7"/>
        <v>0.18856113549365391</v>
      </c>
      <c r="U41" s="147">
        <f t="shared" si="8"/>
        <v>6509.8846417829081</v>
      </c>
    </row>
    <row r="42" spans="1:28" x14ac:dyDescent="0.2">
      <c r="W42" s="167"/>
      <c r="X42" s="167"/>
      <c r="Y42" s="167"/>
      <c r="Z42" s="167"/>
      <c r="AB42" s="178"/>
    </row>
    <row r="43" spans="1:28" x14ac:dyDescent="0.2">
      <c r="T43" s="144">
        <f>AVERAGE(T2:T41)</f>
        <v>0.18912378849148695</v>
      </c>
      <c r="U43" s="141">
        <f>SUM(U2:U41)</f>
        <v>704487.34830376366</v>
      </c>
    </row>
    <row r="44" spans="1:28" x14ac:dyDescent="0.2">
      <c r="A44" s="139">
        <v>1</v>
      </c>
      <c r="B44" s="139">
        <f>1+A44</f>
        <v>2</v>
      </c>
      <c r="C44" s="170">
        <f t="shared" ref="C44:E44" si="9">1+B44</f>
        <v>3</v>
      </c>
      <c r="D44" s="139">
        <f>1+C44</f>
        <v>4</v>
      </c>
      <c r="E44" s="139">
        <f t="shared" si="9"/>
        <v>5</v>
      </c>
      <c r="F44" s="185">
        <f>1+E44</f>
        <v>6</v>
      </c>
      <c r="G44" s="185">
        <f t="shared" ref="G44:S44" si="10">1+F44</f>
        <v>7</v>
      </c>
      <c r="H44" s="185">
        <f t="shared" si="10"/>
        <v>8</v>
      </c>
      <c r="I44" s="185">
        <f t="shared" si="10"/>
        <v>9</v>
      </c>
      <c r="J44" s="185">
        <f t="shared" si="10"/>
        <v>10</v>
      </c>
      <c r="K44" s="185">
        <f t="shared" si="10"/>
        <v>11</v>
      </c>
      <c r="L44" s="185">
        <f t="shared" si="10"/>
        <v>12</v>
      </c>
      <c r="M44" s="185">
        <f t="shared" si="10"/>
        <v>13</v>
      </c>
      <c r="N44" s="185">
        <f t="shared" si="10"/>
        <v>14</v>
      </c>
      <c r="O44" s="185">
        <f t="shared" si="10"/>
        <v>15</v>
      </c>
      <c r="P44" s="185">
        <f t="shared" si="10"/>
        <v>16</v>
      </c>
      <c r="Q44" s="185">
        <f t="shared" si="10"/>
        <v>17</v>
      </c>
      <c r="R44" s="185">
        <f t="shared" si="10"/>
        <v>18</v>
      </c>
      <c r="S44" s="185">
        <f t="shared" si="10"/>
        <v>19</v>
      </c>
      <c r="T44" s="185">
        <f>1+S44</f>
        <v>20</v>
      </c>
      <c r="U44" s="170"/>
      <c r="V44" s="175"/>
      <c r="X44" s="139"/>
      <c r="Y44" s="139"/>
    </row>
    <row r="46" spans="1:28" x14ac:dyDescent="0.2">
      <c r="A46" s="167"/>
    </row>
    <row r="85" spans="4:4" x14ac:dyDescent="0.2">
      <c r="D85" s="172"/>
    </row>
    <row r="86" spans="4:4" x14ac:dyDescent="0.2">
      <c r="D86" s="172"/>
    </row>
  </sheetData>
  <sortState ref="AB2:AB41">
    <sortCondition ref="AB2:AB4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I7"/>
  <sheetViews>
    <sheetView workbookViewId="0">
      <selection activeCell="F30" sqref="F30"/>
    </sheetView>
  </sheetViews>
  <sheetFormatPr baseColWidth="10" defaultRowHeight="12.75" x14ac:dyDescent="0.2"/>
  <cols>
    <col min="4" max="4" width="16.42578125" bestFit="1" customWidth="1"/>
    <col min="9" max="9" width="15.42578125" bestFit="1" customWidth="1"/>
  </cols>
  <sheetData>
    <row r="1" spans="1:9" ht="51" x14ac:dyDescent="0.2">
      <c r="A1" s="140" t="s">
        <v>430</v>
      </c>
      <c r="B1" s="140" t="s">
        <v>425</v>
      </c>
      <c r="C1" s="140" t="s">
        <v>482</v>
      </c>
      <c r="D1" s="140" t="s">
        <v>426</v>
      </c>
      <c r="E1" s="140" t="s">
        <v>455</v>
      </c>
      <c r="F1" s="140" t="s">
        <v>457</v>
      </c>
      <c r="G1" s="140" t="s">
        <v>484</v>
      </c>
      <c r="H1" s="140" t="s">
        <v>483</v>
      </c>
    </row>
    <row r="2" spans="1:9" x14ac:dyDescent="0.2">
      <c r="A2">
        <v>53</v>
      </c>
      <c r="B2">
        <v>43</v>
      </c>
      <c r="C2" t="s">
        <v>480</v>
      </c>
      <c r="D2">
        <f>salaireinsuredPerson(B2)</f>
        <v>61896</v>
      </c>
      <c r="E2" s="171" t="s">
        <v>462</v>
      </c>
      <c r="F2" s="141">
        <f>disabilityPension(G2,C2,D2,0)</f>
        <v>33284.711841199147</v>
      </c>
      <c r="G2">
        <v>40</v>
      </c>
      <c r="H2" s="141">
        <f>ProjectedSavingAccount(25,C2,D2*(Salaries!$B$7 / VLOOKUP('Disabled persons'!G2,Salaries!$A$2:$B$46,2,FALSE)),0)-ProjectedSavingAccount(G2,C2,D2,0)</f>
        <v>51686.970513918495</v>
      </c>
      <c r="I2" s="189">
        <f>SUM(F2:F3)+SUM('Retired persons'!F2:F13)+SUM('Withdrawal at t = 0'!F2:F4)</f>
        <v>518474.70432948181</v>
      </c>
    </row>
    <row r="3" spans="1:9" x14ac:dyDescent="0.2">
      <c r="A3">
        <v>54</v>
      </c>
      <c r="B3">
        <v>52</v>
      </c>
      <c r="C3" t="s">
        <v>481</v>
      </c>
      <c r="D3">
        <f>salaireinsuredPerson(B3)</f>
        <v>125208</v>
      </c>
      <c r="E3" s="171" t="s">
        <v>462</v>
      </c>
      <c r="F3" s="141">
        <f>disabilityPension(50,C3,D3,0)</f>
        <v>32312.538192852982</v>
      </c>
      <c r="G3">
        <v>40</v>
      </c>
      <c r="H3" s="141">
        <f>ProjectedSavingAccount(25,C3,D3*(Salaries!$B$7 / VLOOKUP('Disabled persons'!G3,Salaries!$A$2:$B$46,2,FALSE)),0)-ProjectedSavingAccount(G3,C3,D3,0)</f>
        <v>104556.3882012848</v>
      </c>
    </row>
    <row r="4" spans="1:9" x14ac:dyDescent="0.2">
      <c r="E4" s="171"/>
    </row>
    <row r="6" spans="1:9" x14ac:dyDescent="0.2">
      <c r="D6" s="143"/>
    </row>
    <row r="7" spans="1:9" x14ac:dyDescent="0.2">
      <c r="D7" s="17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G26"/>
  <sheetViews>
    <sheetView topLeftCell="E1" zoomScale="115" zoomScaleNormal="115" workbookViewId="0">
      <selection activeCell="L7" sqref="L7"/>
    </sheetView>
  </sheetViews>
  <sheetFormatPr baseColWidth="10" defaultRowHeight="12.75" x14ac:dyDescent="0.2"/>
  <cols>
    <col min="5" max="5" width="13" customWidth="1"/>
  </cols>
  <sheetData>
    <row r="1" spans="1:7" ht="38.25" x14ac:dyDescent="0.2">
      <c r="A1" s="140" t="s">
        <v>430</v>
      </c>
      <c r="B1" s="140" t="s">
        <v>425</v>
      </c>
      <c r="C1" s="140" t="s">
        <v>461</v>
      </c>
      <c r="D1" s="140" t="s">
        <v>426</v>
      </c>
      <c r="E1" s="140" t="s">
        <v>455</v>
      </c>
      <c r="F1" s="140" t="s">
        <v>456</v>
      </c>
      <c r="G1" s="140" t="s">
        <v>460</v>
      </c>
    </row>
    <row r="2" spans="1:7" x14ac:dyDescent="0.2">
      <c r="A2">
        <v>41</v>
      </c>
      <c r="B2">
        <v>90</v>
      </c>
      <c r="C2" t="s">
        <v>480</v>
      </c>
      <c r="D2">
        <v>169248</v>
      </c>
      <c r="E2" s="171" t="s">
        <v>462</v>
      </c>
      <c r="F2" s="141">
        <f>retirementPension(64,C2,D2,G2)</f>
        <v>33191.76384731126</v>
      </c>
      <c r="G2" s="141">
        <f>ProjectedSavingAccount(25,C2,D2*(Salaries!$B$7/Salaries!$B$46),0)</f>
        <v>457649.53422516549</v>
      </c>
    </row>
    <row r="3" spans="1:7" x14ac:dyDescent="0.2">
      <c r="A3">
        <f>1+A2</f>
        <v>42</v>
      </c>
      <c r="B3">
        <v>83</v>
      </c>
      <c r="C3" t="s">
        <v>480</v>
      </c>
      <c r="D3">
        <v>185436</v>
      </c>
      <c r="E3" s="171" t="s">
        <v>462</v>
      </c>
      <c r="F3" s="141">
        <f t="shared" ref="F3:F13" si="0">retirementPension(64,C3,D3,G3)</f>
        <v>36366.444039456946</v>
      </c>
      <c r="G3" s="141">
        <f>ProjectedSavingAccount(25,C3,D3*(Salaries!$B$7/Salaries!$B$46),0)</f>
        <v>501422.16763907275</v>
      </c>
    </row>
    <row r="4" spans="1:7" x14ac:dyDescent="0.2">
      <c r="A4">
        <f t="shared" ref="A4:A13" si="1">1+A3</f>
        <v>43</v>
      </c>
      <c r="B4">
        <v>94</v>
      </c>
      <c r="C4" t="s">
        <v>481</v>
      </c>
      <c r="D4">
        <v>147000</v>
      </c>
      <c r="E4" s="171" t="s">
        <v>462</v>
      </c>
      <c r="F4" s="141">
        <f t="shared" si="0"/>
        <v>28828.637771523183</v>
      </c>
      <c r="G4" s="141">
        <f>ProjectedSavingAccount(25,C4,D4*(Salaries!$B$7/Salaries!$B$46),0)</f>
        <v>397490.55546357617</v>
      </c>
    </row>
    <row r="5" spans="1:7" x14ac:dyDescent="0.2">
      <c r="A5">
        <f t="shared" si="1"/>
        <v>44</v>
      </c>
      <c r="B5">
        <v>65</v>
      </c>
      <c r="C5" t="s">
        <v>481</v>
      </c>
      <c r="D5">
        <v>156972</v>
      </c>
      <c r="E5" s="171" t="s">
        <v>462</v>
      </c>
      <c r="F5" s="141">
        <f t="shared" si="0"/>
        <v>30784.278423615895</v>
      </c>
      <c r="G5" s="141">
        <f>ProjectedSavingAccount(25,C5,D5*(Salaries!$B$7/Salaries!$B$46),0)</f>
        <v>424455.01681788074</v>
      </c>
    </row>
    <row r="6" spans="1:7" x14ac:dyDescent="0.2">
      <c r="A6">
        <f t="shared" si="1"/>
        <v>45</v>
      </c>
      <c r="B6">
        <v>77</v>
      </c>
      <c r="C6" t="s">
        <v>480</v>
      </c>
      <c r="D6">
        <v>184272</v>
      </c>
      <c r="E6" s="171" t="s">
        <v>462</v>
      </c>
      <c r="F6" s="141">
        <f t="shared" si="0"/>
        <v>36138.168295470197</v>
      </c>
      <c r="G6" s="141">
        <f>ProjectedSavingAccount(25,C6,D6*(Salaries!$B$7/Salaries!$B$46),0)</f>
        <v>498274.6914039735</v>
      </c>
    </row>
    <row r="7" spans="1:7" x14ac:dyDescent="0.2">
      <c r="A7">
        <f t="shared" si="1"/>
        <v>46</v>
      </c>
      <c r="B7">
        <v>95</v>
      </c>
      <c r="C7" t="s">
        <v>480</v>
      </c>
      <c r="D7">
        <v>144264</v>
      </c>
      <c r="E7" s="171" t="s">
        <v>462</v>
      </c>
      <c r="F7" s="141">
        <f t="shared" si="0"/>
        <v>28292.072105245039</v>
      </c>
      <c r="G7" s="141">
        <f>ProjectedSavingAccount(25,C7,D7*(Salaries!$B$7/Salaries!$B$46),0)</f>
        <v>390092.36390066228</v>
      </c>
    </row>
    <row r="8" spans="1:7" x14ac:dyDescent="0.2">
      <c r="A8">
        <f t="shared" si="1"/>
        <v>47</v>
      </c>
      <c r="B8">
        <v>92</v>
      </c>
      <c r="C8" t="s">
        <v>480</v>
      </c>
      <c r="D8">
        <v>168216</v>
      </c>
      <c r="E8" s="171" t="s">
        <v>462</v>
      </c>
      <c r="F8" s="141">
        <f t="shared" si="0"/>
        <v>32989.375043364242</v>
      </c>
      <c r="G8" s="141">
        <f>ProjectedSavingAccount(25,C8,D8*(Salaries!$B$7/Salaries!$B$46),0)</f>
        <v>454858.98828476825</v>
      </c>
    </row>
    <row r="9" spans="1:7" x14ac:dyDescent="0.2">
      <c r="A9">
        <f t="shared" si="1"/>
        <v>48</v>
      </c>
      <c r="B9">
        <v>73</v>
      </c>
      <c r="C9" t="s">
        <v>481</v>
      </c>
      <c r="D9">
        <v>150816</v>
      </c>
      <c r="E9" s="171" t="s">
        <v>462</v>
      </c>
      <c r="F9" s="141">
        <f t="shared" si="0"/>
        <v>29577.005674490072</v>
      </c>
      <c r="G9" s="141">
        <f>ProjectedSavingAccount(25,C9,D9*(Salaries!$B$7/Salaries!$B$46),0)</f>
        <v>407809.08580132457</v>
      </c>
    </row>
    <row r="10" spans="1:7" x14ac:dyDescent="0.2">
      <c r="A10">
        <f t="shared" si="1"/>
        <v>49</v>
      </c>
      <c r="B10">
        <v>81</v>
      </c>
      <c r="C10" t="s">
        <v>481</v>
      </c>
      <c r="D10">
        <v>171300</v>
      </c>
      <c r="E10" s="171" t="s">
        <v>462</v>
      </c>
      <c r="F10" s="141">
        <f t="shared" si="0"/>
        <v>33594.188097019869</v>
      </c>
      <c r="G10" s="141">
        <f>ProjectedSavingAccount(25,C10,D10*(Salaries!$B$7/Salaries!$B$46),0)</f>
        <v>463198.17789735098</v>
      </c>
    </row>
    <row r="11" spans="1:7" x14ac:dyDescent="0.2">
      <c r="A11">
        <f t="shared" si="1"/>
        <v>50</v>
      </c>
      <c r="B11">
        <v>91</v>
      </c>
      <c r="C11" t="s">
        <v>481</v>
      </c>
      <c r="D11">
        <v>160608</v>
      </c>
      <c r="E11" s="171" t="s">
        <v>462</v>
      </c>
      <c r="F11" s="141">
        <f t="shared" si="0"/>
        <v>31497.345953801334</v>
      </c>
      <c r="G11" s="141">
        <f>ProjectedSavingAccount(25,C11,D11*(Salaries!$B$7/Salaries!$B$46),0)</f>
        <v>434286.82402649015</v>
      </c>
    </row>
    <row r="12" spans="1:7" x14ac:dyDescent="0.2">
      <c r="A12">
        <f t="shared" si="1"/>
        <v>51</v>
      </c>
      <c r="B12">
        <v>77</v>
      </c>
      <c r="C12" t="s">
        <v>480</v>
      </c>
      <c r="D12">
        <v>170532</v>
      </c>
      <c r="E12" s="171" t="s">
        <v>462</v>
      </c>
      <c r="F12" s="141">
        <f t="shared" si="0"/>
        <v>33443.573173152326</v>
      </c>
      <c r="G12" s="141">
        <f>ProjectedSavingAccount(25,C12,D12*(Salaries!$B$7/Salaries!$B$46),0)</f>
        <v>461121.49254635768</v>
      </c>
    </row>
    <row r="13" spans="1:7" x14ac:dyDescent="0.2">
      <c r="A13">
        <f t="shared" si="1"/>
        <v>52</v>
      </c>
      <c r="B13">
        <v>67</v>
      </c>
      <c r="C13" t="s">
        <v>481</v>
      </c>
      <c r="D13">
        <v>186216</v>
      </c>
      <c r="E13" s="171" t="s">
        <v>462</v>
      </c>
      <c r="F13" s="141">
        <f t="shared" si="0"/>
        <v>36519.412321509939</v>
      </c>
      <c r="G13" s="141">
        <f>ProjectedSavingAccount(25,C13,D13*(Salaries!$B$7/Salaries!$B$46),0)</f>
        <v>503531.30119867553</v>
      </c>
    </row>
    <row r="14" spans="1:7" x14ac:dyDescent="0.2">
      <c r="E14" s="171"/>
      <c r="F14" s="143"/>
    </row>
    <row r="15" spans="1:7" x14ac:dyDescent="0.2">
      <c r="E15" s="171"/>
      <c r="F15" s="143"/>
    </row>
    <row r="16" spans="1:7" x14ac:dyDescent="0.2">
      <c r="E16" s="171"/>
      <c r="F16" s="143"/>
    </row>
    <row r="17" spans="5:6" x14ac:dyDescent="0.2">
      <c r="E17" s="171"/>
      <c r="F17" s="143"/>
    </row>
    <row r="18" spans="5:6" x14ac:dyDescent="0.2">
      <c r="E18" s="171"/>
      <c r="F18" s="143"/>
    </row>
    <row r="19" spans="5:6" x14ac:dyDescent="0.2">
      <c r="E19" s="171"/>
      <c r="F19" s="143"/>
    </row>
    <row r="20" spans="5:6" x14ac:dyDescent="0.2">
      <c r="E20" s="171"/>
      <c r="F20" s="143"/>
    </row>
    <row r="21" spans="5:6" x14ac:dyDescent="0.2">
      <c r="E21" s="171"/>
      <c r="F21" s="143"/>
    </row>
    <row r="26" spans="5:6" x14ac:dyDescent="0.2">
      <c r="F26" s="1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F7"/>
  <sheetViews>
    <sheetView workbookViewId="0">
      <selection activeCell="M8" sqref="M8"/>
    </sheetView>
  </sheetViews>
  <sheetFormatPr baseColWidth="10" defaultRowHeight="12.75" x14ac:dyDescent="0.2"/>
  <cols>
    <col min="4" max="4" width="16.42578125" customWidth="1"/>
  </cols>
  <sheetData>
    <row r="1" spans="1:6" ht="25.5" x14ac:dyDescent="0.2">
      <c r="A1" s="140" t="s">
        <v>430</v>
      </c>
      <c r="B1" s="140" t="s">
        <v>425</v>
      </c>
      <c r="C1" s="140" t="s">
        <v>482</v>
      </c>
      <c r="D1" s="140" t="s">
        <v>426</v>
      </c>
      <c r="E1" s="140" t="s">
        <v>455</v>
      </c>
      <c r="F1" s="140" t="s">
        <v>460</v>
      </c>
    </row>
    <row r="2" spans="1:6" x14ac:dyDescent="0.2">
      <c r="A2">
        <v>55</v>
      </c>
      <c r="B2">
        <v>27</v>
      </c>
      <c r="C2" t="s">
        <v>480</v>
      </c>
      <c r="D2">
        <f>salaireinsuredPerson(B2)</f>
        <v>29772</v>
      </c>
      <c r="E2" s="176" t="s">
        <v>462</v>
      </c>
      <c r="F2">
        <f>ProjectedSavingAccount(25,C2,D2*(Salaries!$B$7 / VLOOKUP('Withdrawal at t = 0'!B2,Salaries!$A$2:$B$46,2,FALSE)),0) - ProjectedSavingAccount(B2,C2,D2,0)</f>
        <v>3723.8628571428126</v>
      </c>
    </row>
    <row r="3" spans="1:6" x14ac:dyDescent="0.2">
      <c r="A3">
        <v>56</v>
      </c>
      <c r="B3">
        <v>40</v>
      </c>
      <c r="C3" t="s">
        <v>480</v>
      </c>
      <c r="D3">
        <f t="shared" ref="D3:D4" si="0">salaireinsuredPerson(B3)</f>
        <v>62496</v>
      </c>
      <c r="E3" s="176" t="s">
        <v>462</v>
      </c>
      <c r="F3">
        <f>ProjectedSavingAccount(25,C3,D3*(Salaries!$B$7 / VLOOKUP('Withdrawal at t = 0'!B3,Salaries!$A$2:$B$46,2,FALSE)),0) - ProjectedSavingAccount(B3,C3,D3,0)</f>
        <v>52188.007451820129</v>
      </c>
    </row>
    <row r="4" spans="1:6" x14ac:dyDescent="0.2">
      <c r="A4">
        <v>57</v>
      </c>
      <c r="B4">
        <v>28</v>
      </c>
      <c r="C4" t="s">
        <v>481</v>
      </c>
      <c r="D4">
        <f t="shared" si="0"/>
        <v>31644</v>
      </c>
      <c r="E4" s="176" t="s">
        <v>462</v>
      </c>
      <c r="F4">
        <f>ProjectedSavingAccount(25,C4,D4*(Salaries!$B$7 / VLOOKUP('Withdrawal at t = 0'!B4,Salaries!$A$2:$B$46,2,FALSE)),0) - ProjectedSavingAccount(B4,C4,D4,0)</f>
        <v>5743.3192405063892</v>
      </c>
    </row>
    <row r="6" spans="1:6" x14ac:dyDescent="0.2">
      <c r="D6" s="143"/>
    </row>
    <row r="7" spans="1:6" x14ac:dyDescent="0.2">
      <c r="D7" s="17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45"/>
  <sheetViews>
    <sheetView topLeftCell="A4" zoomScale="115" zoomScaleNormal="115" workbookViewId="0">
      <selection activeCell="A20" sqref="A20"/>
    </sheetView>
  </sheetViews>
  <sheetFormatPr baseColWidth="10" defaultColWidth="9.140625" defaultRowHeight="12.75" x14ac:dyDescent="0.2"/>
  <cols>
    <col min="1" max="1" width="9.140625" style="150"/>
    <col min="2" max="2" width="14.5703125" style="141" customWidth="1"/>
    <col min="3" max="3" width="14.85546875" style="141" customWidth="1"/>
    <col min="4" max="10" width="9.140625" style="146"/>
    <col min="11" max="11" width="10.140625" style="146" bestFit="1" customWidth="1"/>
    <col min="12" max="20" width="9.140625" style="146"/>
  </cols>
  <sheetData>
    <row r="1" spans="1:21" s="149" customFormat="1" x14ac:dyDescent="0.2">
      <c r="A1" s="150">
        <v>0</v>
      </c>
      <c r="B1" s="151">
        <v>940840.98445197556</v>
      </c>
      <c r="C1" s="151">
        <v>562862.32653609465</v>
      </c>
      <c r="D1" s="190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</row>
    <row r="2" spans="1:21" x14ac:dyDescent="0.2">
      <c r="A2" s="150">
        <f>1+A1</f>
        <v>1</v>
      </c>
      <c r="B2" s="141">
        <v>876882.60376849642</v>
      </c>
      <c r="C2" s="141">
        <v>291417.06799397815</v>
      </c>
      <c r="D2" s="190"/>
    </row>
    <row r="3" spans="1:21" x14ac:dyDescent="0.2">
      <c r="A3" s="150">
        <f t="shared" ref="A3:A20" si="0">1+A2</f>
        <v>2</v>
      </c>
      <c r="B3" s="141">
        <v>868339.84404816618</v>
      </c>
      <c r="C3" s="141">
        <v>368413.60132044466</v>
      </c>
      <c r="D3" s="190"/>
    </row>
    <row r="4" spans="1:21" x14ac:dyDescent="0.2">
      <c r="A4" s="150">
        <f t="shared" si="0"/>
        <v>3</v>
      </c>
      <c r="B4" s="141">
        <v>848755.2200917023</v>
      </c>
      <c r="C4" s="141">
        <v>455004.86709406553</v>
      </c>
      <c r="D4" s="190"/>
    </row>
    <row r="5" spans="1:21" x14ac:dyDescent="0.2">
      <c r="A5" s="150">
        <f t="shared" si="0"/>
        <v>4</v>
      </c>
      <c r="B5" s="141">
        <v>833888.52532810927</v>
      </c>
      <c r="C5" s="141">
        <v>526126.1845207864</v>
      </c>
      <c r="D5" s="190"/>
      <c r="U5" s="146"/>
    </row>
    <row r="6" spans="1:21" x14ac:dyDescent="0.2">
      <c r="A6" s="150">
        <f t="shared" si="0"/>
        <v>5</v>
      </c>
      <c r="B6" s="141">
        <v>815203.71162186726</v>
      </c>
      <c r="C6" s="141">
        <v>538147.9614463941</v>
      </c>
      <c r="D6" s="190"/>
    </row>
    <row r="7" spans="1:21" x14ac:dyDescent="0.2">
      <c r="A7" s="150">
        <f t="shared" si="0"/>
        <v>6</v>
      </c>
      <c r="B7" s="141" t="e">
        <v>#N/A</v>
      </c>
      <c r="C7" s="141" t="e">
        <v>#N/A</v>
      </c>
      <c r="D7" s="190"/>
    </row>
    <row r="8" spans="1:21" x14ac:dyDescent="0.2">
      <c r="A8" s="150">
        <f t="shared" si="0"/>
        <v>7</v>
      </c>
      <c r="B8" s="141" t="e">
        <v>#N/A</v>
      </c>
      <c r="C8" s="141" t="e">
        <v>#N/A</v>
      </c>
      <c r="D8" s="190"/>
    </row>
    <row r="9" spans="1:21" x14ac:dyDescent="0.2">
      <c r="A9" s="150">
        <f t="shared" si="0"/>
        <v>8</v>
      </c>
      <c r="B9" s="141" t="e">
        <v>#N/A</v>
      </c>
      <c r="C9" s="141" t="e">
        <v>#N/A</v>
      </c>
      <c r="D9" s="190"/>
    </row>
    <row r="10" spans="1:21" x14ac:dyDescent="0.2">
      <c r="A10" s="150">
        <f t="shared" si="0"/>
        <v>9</v>
      </c>
      <c r="B10" s="141" t="e">
        <v>#N/A</v>
      </c>
      <c r="C10" s="141" t="e">
        <v>#N/A</v>
      </c>
      <c r="D10" s="190"/>
    </row>
    <row r="11" spans="1:21" x14ac:dyDescent="0.2">
      <c r="A11" s="150">
        <f t="shared" si="0"/>
        <v>10</v>
      </c>
      <c r="B11" s="141" t="e">
        <v>#N/A</v>
      </c>
      <c r="C11" s="141" t="e">
        <v>#N/A</v>
      </c>
      <c r="D11" s="190"/>
    </row>
    <row r="12" spans="1:21" x14ac:dyDescent="0.2">
      <c r="A12" s="150">
        <f t="shared" si="0"/>
        <v>11</v>
      </c>
      <c r="B12" s="141" t="e">
        <v>#N/A</v>
      </c>
      <c r="C12" s="141" t="e">
        <v>#N/A</v>
      </c>
      <c r="D12" s="190"/>
    </row>
    <row r="13" spans="1:21" x14ac:dyDescent="0.2">
      <c r="A13" s="150">
        <f t="shared" si="0"/>
        <v>12</v>
      </c>
      <c r="B13" s="141" t="e">
        <v>#N/A</v>
      </c>
      <c r="C13" s="141" t="e">
        <v>#N/A</v>
      </c>
      <c r="D13" s="190"/>
    </row>
    <row r="14" spans="1:21" x14ac:dyDescent="0.2">
      <c r="A14" s="150">
        <f t="shared" si="0"/>
        <v>13</v>
      </c>
      <c r="B14" s="141" t="e">
        <v>#N/A</v>
      </c>
      <c r="C14" s="141" t="e">
        <v>#N/A</v>
      </c>
      <c r="D14" s="190"/>
    </row>
    <row r="15" spans="1:21" x14ac:dyDescent="0.2">
      <c r="A15" s="150">
        <f t="shared" si="0"/>
        <v>14</v>
      </c>
      <c r="B15" s="141" t="e">
        <v>#N/A</v>
      </c>
      <c r="C15" s="141" t="e">
        <v>#N/A</v>
      </c>
      <c r="D15" s="190"/>
    </row>
    <row r="16" spans="1:21" x14ac:dyDescent="0.2">
      <c r="A16" s="150">
        <f t="shared" si="0"/>
        <v>15</v>
      </c>
      <c r="B16" s="141" t="e">
        <v>#N/A</v>
      </c>
      <c r="C16" s="141" t="e">
        <v>#N/A</v>
      </c>
      <c r="D16" s="190"/>
    </row>
    <row r="17" spans="1:4" x14ac:dyDescent="0.2">
      <c r="A17" s="150">
        <f t="shared" si="0"/>
        <v>16</v>
      </c>
      <c r="B17" s="141" t="e">
        <v>#N/A</v>
      </c>
      <c r="C17" s="141" t="e">
        <v>#N/A</v>
      </c>
      <c r="D17" s="190"/>
    </row>
    <row r="18" spans="1:4" x14ac:dyDescent="0.2">
      <c r="A18" s="150">
        <f t="shared" si="0"/>
        <v>17</v>
      </c>
      <c r="B18" s="141" t="e">
        <v>#N/A</v>
      </c>
      <c r="C18" s="141" t="e">
        <v>#N/A</v>
      </c>
      <c r="D18" s="190"/>
    </row>
    <row r="19" spans="1:4" x14ac:dyDescent="0.2">
      <c r="A19" s="150">
        <f t="shared" si="0"/>
        <v>18</v>
      </c>
      <c r="B19" s="141" t="e">
        <v>#N/A</v>
      </c>
      <c r="C19" s="141" t="e">
        <v>#N/A</v>
      </c>
      <c r="D19" s="190"/>
    </row>
    <row r="20" spans="1:4" x14ac:dyDescent="0.2">
      <c r="A20" s="150">
        <f t="shared" si="0"/>
        <v>19</v>
      </c>
      <c r="B20" s="141" t="e">
        <v>#N/A</v>
      </c>
      <c r="C20" s="141" t="e">
        <v>#N/A</v>
      </c>
      <c r="D20" s="190"/>
    </row>
    <row r="45" spans="43:63" x14ac:dyDescent="0.2">
      <c r="AQ45">
        <f t="shared" ref="AQ45:BK45" si="1">1+AP45</f>
        <v>1</v>
      </c>
      <c r="AR45">
        <f t="shared" si="1"/>
        <v>2</v>
      </c>
      <c r="AS45">
        <f t="shared" si="1"/>
        <v>3</v>
      </c>
      <c r="AT45">
        <f t="shared" si="1"/>
        <v>4</v>
      </c>
      <c r="AU45">
        <f t="shared" si="1"/>
        <v>5</v>
      </c>
      <c r="AV45">
        <f t="shared" si="1"/>
        <v>6</v>
      </c>
      <c r="AW45">
        <f t="shared" si="1"/>
        <v>7</v>
      </c>
      <c r="AX45">
        <f t="shared" si="1"/>
        <v>8</v>
      </c>
      <c r="AY45">
        <f t="shared" si="1"/>
        <v>9</v>
      </c>
      <c r="AZ45">
        <f t="shared" si="1"/>
        <v>10</v>
      </c>
      <c r="BA45">
        <f t="shared" si="1"/>
        <v>11</v>
      </c>
      <c r="BB45">
        <f t="shared" si="1"/>
        <v>12</v>
      </c>
      <c r="BC45">
        <f t="shared" si="1"/>
        <v>13</v>
      </c>
      <c r="BD45">
        <f t="shared" si="1"/>
        <v>14</v>
      </c>
      <c r="BE45">
        <f t="shared" si="1"/>
        <v>15</v>
      </c>
      <c r="BF45">
        <f t="shared" si="1"/>
        <v>16</v>
      </c>
      <c r="BG45">
        <f t="shared" si="1"/>
        <v>17</v>
      </c>
      <c r="BH45">
        <f t="shared" si="1"/>
        <v>18</v>
      </c>
      <c r="BI45">
        <f t="shared" si="1"/>
        <v>19</v>
      </c>
      <c r="BJ45">
        <f t="shared" si="1"/>
        <v>20</v>
      </c>
      <c r="BK45">
        <f t="shared" si="1"/>
        <v>21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Z66"/>
  <sheetViews>
    <sheetView zoomScaleNormal="100" workbookViewId="0">
      <selection activeCell="AZ6" sqref="AZ6"/>
    </sheetView>
  </sheetViews>
  <sheetFormatPr baseColWidth="10" defaultRowHeight="12.75" x14ac:dyDescent="0.2"/>
  <cols>
    <col min="1" max="1" width="21.42578125" bestFit="1" customWidth="1"/>
    <col min="2" max="2" width="14.42578125" bestFit="1" customWidth="1"/>
    <col min="3" max="3" width="21.42578125" customWidth="1"/>
    <col min="4" max="4" width="22.42578125" customWidth="1"/>
    <col min="5" max="10" width="15.140625" bestFit="1" customWidth="1"/>
    <col min="11" max="13" width="14.28515625" bestFit="1" customWidth="1"/>
    <col min="14" max="22" width="13.28515625" bestFit="1" customWidth="1"/>
  </cols>
  <sheetData>
    <row r="1" spans="1:52" s="167" customFormat="1" x14ac:dyDescent="0.2">
      <c r="A1" s="167" t="s">
        <v>472</v>
      </c>
      <c r="B1" s="167">
        <v>0</v>
      </c>
      <c r="C1" s="167">
        <v>1</v>
      </c>
      <c r="D1" s="167">
        <v>2</v>
      </c>
      <c r="E1" s="167">
        <v>3</v>
      </c>
      <c r="F1" s="167">
        <v>4</v>
      </c>
      <c r="G1" s="167">
        <v>5</v>
      </c>
      <c r="H1" s="167">
        <v>6</v>
      </c>
      <c r="I1" s="167">
        <v>7</v>
      </c>
      <c r="J1" s="167">
        <v>8</v>
      </c>
      <c r="K1" s="167">
        <v>9</v>
      </c>
      <c r="L1" s="167">
        <v>10</v>
      </c>
      <c r="M1" s="167">
        <v>11</v>
      </c>
      <c r="N1" s="167">
        <v>12</v>
      </c>
      <c r="O1" s="167">
        <v>13</v>
      </c>
      <c r="P1" s="167">
        <v>14</v>
      </c>
      <c r="Q1" s="167">
        <v>15</v>
      </c>
      <c r="R1" s="167">
        <v>16</v>
      </c>
      <c r="S1" s="167">
        <v>17</v>
      </c>
      <c r="T1" s="167">
        <v>18</v>
      </c>
      <c r="U1" s="167">
        <v>19</v>
      </c>
      <c r="V1" s="167">
        <v>20</v>
      </c>
      <c r="W1" s="167">
        <v>21</v>
      </c>
      <c r="X1" s="167">
        <v>22</v>
      </c>
      <c r="Y1" s="167">
        <v>23</v>
      </c>
      <c r="Z1" s="167">
        <v>24</v>
      </c>
      <c r="AA1" s="167">
        <v>25</v>
      </c>
      <c r="AB1" s="167">
        <v>26</v>
      </c>
      <c r="AC1" s="167">
        <v>27</v>
      </c>
      <c r="AD1" s="167">
        <v>28</v>
      </c>
      <c r="AE1" s="167">
        <v>29</v>
      </c>
      <c r="AF1" s="167">
        <v>30</v>
      </c>
      <c r="AG1" s="167">
        <v>31</v>
      </c>
      <c r="AH1" s="167">
        <v>32</v>
      </c>
      <c r="AI1" s="167">
        <v>33</v>
      </c>
      <c r="AJ1" s="167">
        <v>34</v>
      </c>
      <c r="AK1" s="167">
        <v>35</v>
      </c>
      <c r="AL1" s="167">
        <v>36</v>
      </c>
      <c r="AM1" s="167">
        <v>37</v>
      </c>
      <c r="AN1" s="167">
        <v>38</v>
      </c>
      <c r="AO1" s="167">
        <v>39</v>
      </c>
      <c r="AP1" s="167">
        <v>40</v>
      </c>
      <c r="AQ1" s="167">
        <v>41</v>
      </c>
      <c r="AR1" s="167">
        <v>42</v>
      </c>
      <c r="AS1" s="167">
        <v>43</v>
      </c>
      <c r="AT1" s="167">
        <v>44</v>
      </c>
      <c r="AU1" s="167">
        <v>45</v>
      </c>
      <c r="AV1" s="167">
        <v>46</v>
      </c>
      <c r="AW1" s="167">
        <v>47</v>
      </c>
      <c r="AX1" s="167">
        <v>48</v>
      </c>
      <c r="AY1" s="167">
        <v>49</v>
      </c>
      <c r="AZ1" s="167">
        <v>50</v>
      </c>
    </row>
    <row r="2" spans="1:52" x14ac:dyDescent="0.2">
      <c r="A2" s="167" t="s">
        <v>473</v>
      </c>
      <c r="B2" s="180">
        <v>-74627629.841941193</v>
      </c>
      <c r="C2" s="180">
        <v>-81419600.160475075</v>
      </c>
      <c r="D2" s="180">
        <v>-77011411.570358887</v>
      </c>
      <c r="E2" s="180">
        <v>-73249597.441917792</v>
      </c>
      <c r="F2" s="180">
        <v>-69891264.720910266</v>
      </c>
      <c r="G2" s="180">
        <v>-67127844.300521001</v>
      </c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</row>
    <row r="3" spans="1:52" x14ac:dyDescent="0.2">
      <c r="A3" s="167" t="s">
        <v>474</v>
      </c>
      <c r="B3" s="180"/>
      <c r="C3" s="180">
        <v>26605871.148836888</v>
      </c>
      <c r="D3" s="180">
        <v>27249148.628280461</v>
      </c>
      <c r="E3" s="180">
        <v>27825772.790714554</v>
      </c>
      <c r="F3" s="180">
        <v>28317338.591025215</v>
      </c>
      <c r="G3" s="180">
        <v>28675198.365918677</v>
      </c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</row>
    <row r="4" spans="1:52" s="141" customFormat="1" x14ac:dyDescent="0.2">
      <c r="A4" s="181" t="s">
        <v>476</v>
      </c>
      <c r="B4" s="141">
        <v>36085225.119268529</v>
      </c>
      <c r="C4" s="141">
        <v>24187155.589851752</v>
      </c>
      <c r="D4" s="141">
        <v>25001936.452253718</v>
      </c>
      <c r="E4" s="141">
        <v>25942160.656362407</v>
      </c>
      <c r="F4" s="141">
        <v>26844133.6259665</v>
      </c>
      <c r="G4" s="141">
        <v>26247780.227177534</v>
      </c>
    </row>
    <row r="5" spans="1:52" x14ac:dyDescent="0.2">
      <c r="A5" s="167" t="s">
        <v>475</v>
      </c>
      <c r="C5" s="144">
        <f>C3/C4</f>
        <v>1.0999999999999983</v>
      </c>
      <c r="D5" s="144">
        <f t="shared" ref="D5:G5" si="0">D3/D4</f>
        <v>1.0898815249898044</v>
      </c>
      <c r="E5" s="144">
        <f t="shared" si="0"/>
        <v>1.0726081439130315</v>
      </c>
      <c r="F5" s="144">
        <f t="shared" si="0"/>
        <v>1.0548799594572751</v>
      </c>
      <c r="G5" s="144">
        <f t="shared" si="0"/>
        <v>1.0924808923928637</v>
      </c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52" ht="14.25" customHeight="1" x14ac:dyDescent="0.2">
      <c r="A6" s="167" t="s">
        <v>477</v>
      </c>
      <c r="B6" s="144">
        <v>9.8777873008490304E-3</v>
      </c>
      <c r="C6" s="144">
        <v>7.3269504565351565E-3</v>
      </c>
      <c r="D6" s="144">
        <v>1.82452823112637E-2</v>
      </c>
      <c r="E6" s="144">
        <v>2.0336976398395965E-2</v>
      </c>
      <c r="F6" s="144">
        <v>2.2429063542802195E-2</v>
      </c>
      <c r="G6" s="144">
        <v>2.3797771137898355E-2</v>
      </c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52" s="187" customFormat="1" x14ac:dyDescent="0.2">
      <c r="A7" s="227"/>
    </row>
    <row r="8" spans="1:52" x14ac:dyDescent="0.2">
      <c r="A8" s="167" t="s">
        <v>486</v>
      </c>
      <c r="C8">
        <v>19793735.485780921</v>
      </c>
      <c r="D8">
        <v>19438723.871821374</v>
      </c>
      <c r="E8">
        <v>18761538.239377048</v>
      </c>
      <c r="F8">
        <v>18697743.656564385</v>
      </c>
      <c r="G8">
        <v>19048075.696750723</v>
      </c>
    </row>
    <row r="9" spans="1:52" x14ac:dyDescent="0.2">
      <c r="A9" s="167" t="s">
        <v>487</v>
      </c>
      <c r="C9">
        <v>25065789.229475334</v>
      </c>
      <c r="D9">
        <v>25534930.035624415</v>
      </c>
      <c r="E9">
        <v>25928842.526382402</v>
      </c>
      <c r="F9">
        <v>26263308.096432634</v>
      </c>
      <c r="G9">
        <v>26595087.917715918</v>
      </c>
    </row>
    <row r="10" spans="1:52" x14ac:dyDescent="0.2">
      <c r="A10" s="167" t="s">
        <v>488</v>
      </c>
      <c r="C10">
        <v>26299786.082054324</v>
      </c>
      <c r="D10">
        <v>26963610.451300144</v>
      </c>
      <c r="E10">
        <v>27578011.02632793</v>
      </c>
      <c r="F10">
        <v>28035426.429196909</v>
      </c>
      <c r="G10">
        <v>28368585.205960289</v>
      </c>
    </row>
    <row r="11" spans="1:52" x14ac:dyDescent="0.2">
      <c r="A11" s="181" t="s">
        <v>489</v>
      </c>
      <c r="C11">
        <v>27811822.431643836</v>
      </c>
      <c r="D11">
        <v>28563673.347213253</v>
      </c>
      <c r="E11">
        <v>29224294.734368686</v>
      </c>
      <c r="F11">
        <v>30011715.22409549</v>
      </c>
      <c r="G11">
        <v>30375330.891054366</v>
      </c>
    </row>
    <row r="12" spans="1:52" x14ac:dyDescent="0.2">
      <c r="A12" s="167" t="s">
        <v>494</v>
      </c>
      <c r="C12">
        <v>21851784.755827777</v>
      </c>
      <c r="D12">
        <v>22186761.500956748</v>
      </c>
      <c r="E12">
        <v>22013394.396484975</v>
      </c>
      <c r="F12">
        <v>22310179.299069859</v>
      </c>
      <c r="G12">
        <v>22575843.012541015</v>
      </c>
    </row>
    <row r="13" spans="1:52" x14ac:dyDescent="0.2">
      <c r="A13" s="167"/>
    </row>
    <row r="14" spans="1:52" x14ac:dyDescent="0.2">
      <c r="A14" s="167" t="s">
        <v>490</v>
      </c>
      <c r="B14" s="187"/>
      <c r="C14" s="187">
        <f>C8/C$4</f>
        <v>0.818357305895275</v>
      </c>
      <c r="D14" s="187">
        <f t="shared" ref="D14:G14" si="1">D8/D4</f>
        <v>0.7774887320805558</v>
      </c>
      <c r="E14" s="187">
        <f t="shared" si="1"/>
        <v>0.72320646255714682</v>
      </c>
      <c r="F14" s="187">
        <f t="shared" si="1"/>
        <v>0.69652997251056514</v>
      </c>
      <c r="G14" s="187">
        <f t="shared" si="1"/>
        <v>0.7257023463274781</v>
      </c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</row>
    <row r="15" spans="1:52" x14ac:dyDescent="0.2">
      <c r="A15" s="167" t="s">
        <v>491</v>
      </c>
      <c r="B15" s="187"/>
      <c r="C15" s="187">
        <f t="shared" ref="C15:G18" si="2">C9/C$4</f>
        <v>1.0363264558480052</v>
      </c>
      <c r="D15" s="187">
        <f t="shared" si="2"/>
        <v>1.02131809207613</v>
      </c>
      <c r="E15" s="187">
        <f t="shared" si="2"/>
        <v>0.99948662217629358</v>
      </c>
      <c r="F15" s="187">
        <f t="shared" si="2"/>
        <v>0.97836303686955162</v>
      </c>
      <c r="G15" s="187">
        <f t="shared" si="2"/>
        <v>1.0132318880885316</v>
      </c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</row>
    <row r="16" spans="1:52" x14ac:dyDescent="0.2">
      <c r="A16" s="167" t="s">
        <v>492</v>
      </c>
      <c r="B16" s="187"/>
      <c r="C16" s="187">
        <f t="shared" si="2"/>
        <v>1.0873451400415588</v>
      </c>
      <c r="D16" s="187">
        <f t="shared" si="2"/>
        <v>1.0784608825317448</v>
      </c>
      <c r="E16" s="187">
        <f t="shared" si="2"/>
        <v>1.0630575992352558</v>
      </c>
      <c r="F16" s="187">
        <f t="shared" si="2"/>
        <v>1.0443781430918695</v>
      </c>
      <c r="G16" s="187">
        <f t="shared" si="2"/>
        <v>1.0807994032419863</v>
      </c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</row>
    <row r="17" spans="1:22" x14ac:dyDescent="0.2">
      <c r="A17" s="167" t="s">
        <v>493</v>
      </c>
      <c r="B17" s="187"/>
      <c r="C17" s="187">
        <f t="shared" si="2"/>
        <v>1.149859160922291</v>
      </c>
      <c r="D17" s="187">
        <f t="shared" si="2"/>
        <v>1.1424584412395975</v>
      </c>
      <c r="E17" s="187">
        <f t="shared" si="2"/>
        <v>1.1265173753829685</v>
      </c>
      <c r="F17" s="187">
        <f t="shared" si="2"/>
        <v>1.1179990251227541</v>
      </c>
      <c r="G17" s="187">
        <f t="shared" si="2"/>
        <v>1.157253323067795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</row>
    <row r="18" spans="1:22" x14ac:dyDescent="0.2">
      <c r="A18" s="167" t="s">
        <v>495</v>
      </c>
      <c r="B18" s="187"/>
      <c r="C18" s="187">
        <f t="shared" si="2"/>
        <v>0.90344582580831334</v>
      </c>
      <c r="D18" s="187">
        <f t="shared" si="2"/>
        <v>0.88740172359556546</v>
      </c>
      <c r="E18" s="187">
        <f t="shared" si="2"/>
        <v>0.84855670613103351</v>
      </c>
      <c r="F18" s="187">
        <f t="shared" si="2"/>
        <v>0.83110073917561944</v>
      </c>
      <c r="G18" s="187">
        <f t="shared" si="2"/>
        <v>0.86010484761547512</v>
      </c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</row>
    <row r="41" spans="1:22" s="187" customFormat="1" x14ac:dyDescent="0.2"/>
    <row r="42" spans="1:22" x14ac:dyDescent="0.2"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</row>
    <row r="44" spans="1:22" x14ac:dyDescent="0.2"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</row>
    <row r="45" spans="1:22" x14ac:dyDescent="0.2"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</row>
    <row r="46" spans="1:22" x14ac:dyDescent="0.2">
      <c r="A46" s="167" t="s">
        <v>498</v>
      </c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</row>
    <row r="47" spans="1:22" x14ac:dyDescent="0.2">
      <c r="A47" t="s">
        <v>490</v>
      </c>
      <c r="C47">
        <v>0.86474310247965258</v>
      </c>
      <c r="D47">
        <v>0.80381553526303606</v>
      </c>
      <c r="E47">
        <v>0.84559836014254575</v>
      </c>
      <c r="F47">
        <v>0.83316649514978136</v>
      </c>
      <c r="G47">
        <v>0.80578495047940546</v>
      </c>
      <c r="H47" s="144"/>
      <c r="I47" s="144"/>
      <c r="J47" s="144"/>
      <c r="K47" s="144"/>
      <c r="L47" s="195"/>
      <c r="M47" s="144"/>
      <c r="N47" s="144"/>
      <c r="O47" s="144"/>
      <c r="P47" s="144"/>
      <c r="Q47" s="144"/>
      <c r="R47" s="144"/>
      <c r="S47" s="144"/>
      <c r="T47" s="144"/>
      <c r="U47" s="144"/>
    </row>
    <row r="48" spans="1:22" x14ac:dyDescent="0.2">
      <c r="A48" t="s">
        <v>491</v>
      </c>
      <c r="C48">
        <v>1.0393031460006412</v>
      </c>
      <c r="D48">
        <v>1.0589226006822143</v>
      </c>
      <c r="E48">
        <v>1.0825598259891884</v>
      </c>
      <c r="F48">
        <v>1.0929115360479131</v>
      </c>
      <c r="G48">
        <v>1.1568087615236284</v>
      </c>
      <c r="H48" s="144"/>
      <c r="I48" s="144"/>
      <c r="J48" s="144"/>
      <c r="K48" s="144"/>
      <c r="L48" s="195"/>
      <c r="M48" s="144"/>
      <c r="N48" s="144"/>
      <c r="O48" s="144"/>
      <c r="P48" s="144"/>
      <c r="Q48" s="144"/>
      <c r="R48" s="144"/>
      <c r="S48" s="144"/>
      <c r="T48" s="144"/>
      <c r="U48" s="144"/>
    </row>
    <row r="49" spans="1:22" x14ac:dyDescent="0.2">
      <c r="A49" t="s">
        <v>492</v>
      </c>
      <c r="C49">
        <v>1.092611816426343</v>
      </c>
      <c r="D49">
        <v>1.1314412801920064</v>
      </c>
      <c r="E49">
        <v>1.1559897228800553</v>
      </c>
      <c r="F49">
        <v>1.1821669256600562</v>
      </c>
      <c r="G49">
        <v>1.2753287492486691</v>
      </c>
      <c r="H49" s="144"/>
      <c r="I49" s="144"/>
      <c r="J49" s="144"/>
      <c r="K49" s="144"/>
      <c r="L49" s="195"/>
      <c r="M49" s="144"/>
      <c r="N49" s="144"/>
      <c r="O49" s="144"/>
      <c r="P49" s="144"/>
      <c r="Q49" s="144"/>
      <c r="R49" s="144"/>
      <c r="S49" s="144"/>
      <c r="T49" s="144"/>
      <c r="U49" s="144"/>
    </row>
    <row r="50" spans="1:22" x14ac:dyDescent="0.2">
      <c r="A50" t="s">
        <v>493</v>
      </c>
      <c r="C50">
        <v>1.1425978344791938</v>
      </c>
      <c r="D50">
        <v>1.2074928861102689</v>
      </c>
      <c r="E50">
        <v>1.2498670230436622</v>
      </c>
      <c r="F50">
        <v>1.2927377375243372</v>
      </c>
      <c r="G50">
        <v>1.4035081074070563</v>
      </c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</row>
    <row r="51" spans="1:22" x14ac:dyDescent="0.2">
      <c r="A51" t="s">
        <v>495</v>
      </c>
      <c r="C51">
        <v>0.90780487757224448</v>
      </c>
      <c r="D51">
        <v>0.92770743476419171</v>
      </c>
      <c r="E51">
        <v>0.8887709469514935</v>
      </c>
      <c r="F51">
        <v>0.8877332683920941</v>
      </c>
      <c r="G51">
        <v>0.87127740760861139</v>
      </c>
      <c r="L51" s="167"/>
    </row>
    <row r="52" spans="1:22" x14ac:dyDescent="0.2">
      <c r="A52" t="s">
        <v>516</v>
      </c>
      <c r="L52" s="167"/>
    </row>
    <row r="53" spans="1:22" x14ac:dyDescent="0.2">
      <c r="A53" s="167" t="s">
        <v>499</v>
      </c>
      <c r="L53" s="167"/>
    </row>
    <row r="54" spans="1:22" s="144" customFormat="1" x14ac:dyDescent="0.2">
      <c r="A54" s="144" t="s">
        <v>490</v>
      </c>
      <c r="B54"/>
      <c r="C54">
        <v>0.81227203132514825</v>
      </c>
      <c r="D54">
        <v>0.66074242168973119</v>
      </c>
      <c r="E54">
        <v>0.65725384586153102</v>
      </c>
      <c r="F54">
        <v>0.61746701873043153</v>
      </c>
      <c r="G54">
        <v>0.45641128481268789</v>
      </c>
      <c r="L54" s="195"/>
    </row>
    <row r="55" spans="1:22" s="144" customFormat="1" x14ac:dyDescent="0.2">
      <c r="A55" s="144" t="s">
        <v>491</v>
      </c>
      <c r="B55"/>
      <c r="C55">
        <v>1.043152918114663</v>
      </c>
      <c r="D55">
        <v>1.0383910546257533</v>
      </c>
      <c r="E55">
        <v>1.0637580517343439</v>
      </c>
      <c r="F55">
        <v>1.0663903509418553</v>
      </c>
      <c r="G55">
        <v>1.159527481606885</v>
      </c>
      <c r="L55" s="195"/>
    </row>
    <row r="56" spans="1:22" s="144" customFormat="1" x14ac:dyDescent="0.2">
      <c r="A56" s="144" t="s">
        <v>492</v>
      </c>
      <c r="B56"/>
      <c r="C56">
        <v>1.0945266278613246</v>
      </c>
      <c r="D56">
        <v>1.1642971635391621</v>
      </c>
      <c r="E56">
        <v>1.2125895525562884</v>
      </c>
      <c r="F56">
        <v>1.2599517836759804</v>
      </c>
      <c r="G56">
        <v>1.4073419777912934</v>
      </c>
      <c r="L56" s="195"/>
    </row>
    <row r="57" spans="1:22" s="144" customFormat="1" x14ac:dyDescent="0.2">
      <c r="A57" s="144" t="s">
        <v>493</v>
      </c>
      <c r="B57"/>
      <c r="C57">
        <v>1.1532208933917265</v>
      </c>
      <c r="D57">
        <v>1.279555197073839</v>
      </c>
      <c r="E57">
        <v>1.3773831948126849</v>
      </c>
      <c r="F57">
        <v>1.470814855804202</v>
      </c>
      <c r="G57">
        <v>1.6927045938850149</v>
      </c>
      <c r="L57" s="195"/>
    </row>
    <row r="58" spans="1:22" s="144" customFormat="1" x14ac:dyDescent="0.2">
      <c r="A58" s="144" t="s">
        <v>495</v>
      </c>
      <c r="B58"/>
      <c r="C58">
        <v>0.88221073580170795</v>
      </c>
      <c r="D58">
        <v>0.76344928481865315</v>
      </c>
      <c r="E58">
        <v>0.75730764257513461</v>
      </c>
      <c r="F58">
        <v>0.70204418705216654</v>
      </c>
      <c r="G58">
        <v>0.613682101400161</v>
      </c>
      <c r="L58" s="195"/>
    </row>
    <row r="59" spans="1:22" x14ac:dyDescent="0.2">
      <c r="A59" s="144" t="s">
        <v>516</v>
      </c>
    </row>
    <row r="60" spans="1:22" x14ac:dyDescent="0.2">
      <c r="A60" s="195" t="s">
        <v>515</v>
      </c>
    </row>
    <row r="61" spans="1:22" x14ac:dyDescent="0.2">
      <c r="A61" t="s">
        <v>490</v>
      </c>
      <c r="C61">
        <v>0.81727351806587012</v>
      </c>
      <c r="D61">
        <v>0.78985071087685832</v>
      </c>
      <c r="E61">
        <v>0.77875906406644357</v>
      </c>
      <c r="F61">
        <v>0.77880852163784997</v>
      </c>
      <c r="G61">
        <v>0.76658335818042334</v>
      </c>
    </row>
    <row r="62" spans="1:22" x14ac:dyDescent="0.2">
      <c r="A62" t="s">
        <v>491</v>
      </c>
      <c r="C62">
        <v>1.033312758008277</v>
      </c>
      <c r="D62">
        <v>1.0244016528095075</v>
      </c>
      <c r="E62">
        <v>1.0183833413860981</v>
      </c>
      <c r="F62">
        <v>0.99619591400153262</v>
      </c>
      <c r="G62">
        <v>1.0292563828921044</v>
      </c>
    </row>
    <row r="63" spans="1:22" x14ac:dyDescent="0.2">
      <c r="A63" t="s">
        <v>492</v>
      </c>
      <c r="C63">
        <v>1.090829938626888</v>
      </c>
      <c r="D63">
        <v>1.084001007690367</v>
      </c>
      <c r="E63">
        <v>1.0755762639141959</v>
      </c>
      <c r="F63">
        <v>1.0575072012983284</v>
      </c>
      <c r="G63">
        <v>1.0978053061035304</v>
      </c>
    </row>
    <row r="64" spans="1:22" x14ac:dyDescent="0.2">
      <c r="A64" t="s">
        <v>493</v>
      </c>
      <c r="C64">
        <v>1.1494911729605788</v>
      </c>
      <c r="D64">
        <v>1.148292020029644</v>
      </c>
      <c r="E64">
        <v>1.1390573760595994</v>
      </c>
      <c r="F64">
        <v>1.1199072493282118</v>
      </c>
      <c r="G64">
        <v>1.1705488341980379</v>
      </c>
    </row>
    <row r="65" spans="1:7" x14ac:dyDescent="0.2">
      <c r="A65" t="s">
        <v>495</v>
      </c>
      <c r="C65">
        <v>0.87786432487052524</v>
      </c>
      <c r="D65">
        <v>0.8816116486145068</v>
      </c>
      <c r="E65">
        <v>0.86726273846574353</v>
      </c>
      <c r="F65">
        <v>0.83694466817290591</v>
      </c>
      <c r="G65">
        <v>0.85720178938765934</v>
      </c>
    </row>
    <row r="66" spans="1:7" x14ac:dyDescent="0.2">
      <c r="A66" t="s">
        <v>516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M13"/>
  <sheetViews>
    <sheetView workbookViewId="0">
      <selection activeCell="D17" sqref="D17"/>
    </sheetView>
  </sheetViews>
  <sheetFormatPr baseColWidth="10" defaultRowHeight="15" x14ac:dyDescent="0.25"/>
  <cols>
    <col min="1" max="1" width="29.85546875" style="154" customWidth="1"/>
    <col min="2" max="13" width="8.7109375" style="155" customWidth="1"/>
    <col min="14" max="16384" width="11.42578125" style="155"/>
  </cols>
  <sheetData>
    <row r="1" spans="1:13" s="153" customFormat="1" ht="83.25" customHeight="1" x14ac:dyDescent="0.25">
      <c r="A1" s="152"/>
      <c r="B1" s="153" t="s">
        <v>441</v>
      </c>
      <c r="C1" s="153" t="s">
        <v>442</v>
      </c>
      <c r="D1" s="153" t="s">
        <v>443</v>
      </c>
      <c r="E1" s="153" t="s">
        <v>444</v>
      </c>
      <c r="F1" s="153" t="s">
        <v>445</v>
      </c>
      <c r="G1" s="153" t="s">
        <v>446</v>
      </c>
      <c r="H1" s="153" t="s">
        <v>447</v>
      </c>
      <c r="I1" s="153" t="s">
        <v>448</v>
      </c>
      <c r="J1" s="153" t="s">
        <v>449</v>
      </c>
      <c r="K1" s="153" t="s">
        <v>450</v>
      </c>
      <c r="L1" s="153" t="s">
        <v>451</v>
      </c>
      <c r="M1" s="153" t="s">
        <v>452</v>
      </c>
    </row>
    <row r="2" spans="1:13" x14ac:dyDescent="0.25">
      <c r="A2" s="154" t="s">
        <v>441</v>
      </c>
      <c r="B2" s="155">
        <v>1</v>
      </c>
    </row>
    <row r="3" spans="1:13" x14ac:dyDescent="0.25">
      <c r="A3" s="154" t="s">
        <v>442</v>
      </c>
      <c r="B3" s="155">
        <v>0.7</v>
      </c>
      <c r="C3" s="155">
        <v>1</v>
      </c>
    </row>
    <row r="4" spans="1:13" x14ac:dyDescent="0.25">
      <c r="A4" s="154" t="s">
        <v>443</v>
      </c>
      <c r="B4" s="155">
        <v>0</v>
      </c>
      <c r="C4" s="155">
        <v>0</v>
      </c>
      <c r="D4" s="155">
        <v>1</v>
      </c>
    </row>
    <row r="5" spans="1:13" x14ac:dyDescent="0.25">
      <c r="A5" s="154" t="s">
        <v>444</v>
      </c>
      <c r="B5" s="155">
        <v>0</v>
      </c>
      <c r="C5" s="155">
        <v>0</v>
      </c>
      <c r="D5" s="155">
        <v>0.9</v>
      </c>
      <c r="E5" s="155">
        <v>1</v>
      </c>
    </row>
    <row r="6" spans="1:13" x14ac:dyDescent="0.25">
      <c r="A6" s="154" t="s">
        <v>445</v>
      </c>
      <c r="B6" s="155">
        <v>0.1</v>
      </c>
      <c r="C6" s="155">
        <v>0.1</v>
      </c>
      <c r="D6" s="155">
        <v>0.1</v>
      </c>
      <c r="E6" s="155">
        <v>0.1</v>
      </c>
      <c r="F6" s="155">
        <v>1</v>
      </c>
    </row>
    <row r="7" spans="1:13" x14ac:dyDescent="0.25">
      <c r="A7" s="154" t="s">
        <v>446</v>
      </c>
      <c r="B7" s="155">
        <v>0.1</v>
      </c>
      <c r="C7" s="155">
        <v>0.2</v>
      </c>
      <c r="D7" s="155">
        <v>0.6</v>
      </c>
      <c r="E7" s="155">
        <v>0.7</v>
      </c>
      <c r="F7" s="155">
        <v>0.2</v>
      </c>
      <c r="G7" s="155">
        <v>1</v>
      </c>
    </row>
    <row r="8" spans="1:13" x14ac:dyDescent="0.25">
      <c r="A8" s="154" t="s">
        <v>447</v>
      </c>
      <c r="B8" s="155">
        <v>0</v>
      </c>
      <c r="C8" s="155">
        <v>0</v>
      </c>
      <c r="D8" s="155">
        <v>0.2</v>
      </c>
      <c r="E8" s="155">
        <v>0.2</v>
      </c>
      <c r="F8" s="155">
        <v>0</v>
      </c>
      <c r="G8" s="155">
        <v>0.2</v>
      </c>
      <c r="H8" s="155">
        <v>1</v>
      </c>
    </row>
    <row r="9" spans="1:13" x14ac:dyDescent="0.25">
      <c r="A9" s="154" t="s">
        <v>448</v>
      </c>
      <c r="B9" s="155">
        <v>0</v>
      </c>
      <c r="C9" s="155">
        <v>-0.1</v>
      </c>
      <c r="D9" s="155">
        <v>0</v>
      </c>
      <c r="E9" s="155">
        <v>0.1</v>
      </c>
      <c r="F9" s="155">
        <v>0</v>
      </c>
      <c r="G9" s="155">
        <v>0.2</v>
      </c>
      <c r="H9" s="155">
        <v>0.1</v>
      </c>
      <c r="I9" s="155">
        <v>1</v>
      </c>
    </row>
    <row r="10" spans="1:13" x14ac:dyDescent="0.25">
      <c r="A10" s="154" t="s">
        <v>449</v>
      </c>
      <c r="B10" s="155">
        <v>0</v>
      </c>
      <c r="C10" s="155">
        <v>0</v>
      </c>
      <c r="D10" s="155">
        <v>0.6</v>
      </c>
      <c r="E10" s="155">
        <v>0.6</v>
      </c>
      <c r="F10" s="155">
        <v>0.1</v>
      </c>
      <c r="G10" s="155">
        <v>0.7</v>
      </c>
      <c r="H10" s="155">
        <v>0.1</v>
      </c>
      <c r="I10" s="155">
        <v>0</v>
      </c>
      <c r="J10" s="155">
        <v>1</v>
      </c>
    </row>
    <row r="11" spans="1:13" x14ac:dyDescent="0.25">
      <c r="A11" s="154" t="s">
        <v>450</v>
      </c>
      <c r="B11" s="155">
        <v>0</v>
      </c>
      <c r="C11" s="155">
        <v>0</v>
      </c>
      <c r="D11" s="155">
        <v>0.4</v>
      </c>
      <c r="E11" s="155">
        <v>0.4</v>
      </c>
      <c r="F11" s="155">
        <v>0</v>
      </c>
      <c r="G11" s="155">
        <v>0.4</v>
      </c>
      <c r="H11" s="155">
        <v>0.1</v>
      </c>
      <c r="I11" s="155">
        <v>0</v>
      </c>
      <c r="J11" s="155">
        <v>0.4</v>
      </c>
      <c r="K11" s="155">
        <v>1</v>
      </c>
    </row>
    <row r="12" spans="1:13" x14ac:dyDescent="0.25">
      <c r="A12" s="154" t="s">
        <v>451</v>
      </c>
      <c r="B12" s="155">
        <v>0</v>
      </c>
      <c r="C12" s="155">
        <v>0</v>
      </c>
      <c r="D12" s="155">
        <v>0.5</v>
      </c>
      <c r="E12" s="155">
        <v>0.6</v>
      </c>
      <c r="F12" s="155">
        <v>0.2</v>
      </c>
      <c r="G12" s="155">
        <v>0.7</v>
      </c>
      <c r="H12" s="155">
        <v>0.1</v>
      </c>
      <c r="I12" s="155">
        <v>0.1</v>
      </c>
      <c r="J12" s="155">
        <v>0.6</v>
      </c>
      <c r="K12" s="155">
        <v>0.4</v>
      </c>
      <c r="L12" s="155">
        <v>1</v>
      </c>
    </row>
    <row r="13" spans="1:13" x14ac:dyDescent="0.25">
      <c r="A13" s="154" t="s">
        <v>452</v>
      </c>
      <c r="B13" s="155">
        <v>-0.1</v>
      </c>
      <c r="C13" s="155">
        <v>-0.1</v>
      </c>
      <c r="D13" s="155">
        <v>0.1</v>
      </c>
      <c r="E13" s="155">
        <v>0.1</v>
      </c>
      <c r="F13" s="155">
        <v>0.1</v>
      </c>
      <c r="G13" s="155">
        <v>0.3</v>
      </c>
      <c r="H13" s="155">
        <v>0</v>
      </c>
      <c r="I13" s="155">
        <v>0</v>
      </c>
      <c r="J13" s="155">
        <v>0.4</v>
      </c>
      <c r="K13" s="155">
        <v>0.3</v>
      </c>
      <c r="L13" s="155">
        <v>0.4</v>
      </c>
      <c r="M13" s="155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J1186"/>
  <sheetViews>
    <sheetView workbookViewId="0">
      <selection activeCell="A15" sqref="A15"/>
    </sheetView>
  </sheetViews>
  <sheetFormatPr baseColWidth="10" defaultRowHeight="15" x14ac:dyDescent="0.25"/>
  <cols>
    <col min="1" max="1" width="29.85546875" style="155" customWidth="1"/>
    <col min="2" max="4" width="11.42578125" style="155"/>
    <col min="5" max="5" width="13.140625" style="155" bestFit="1" customWidth="1"/>
    <col min="6" max="6" width="13.85546875" style="155" bestFit="1" customWidth="1"/>
    <col min="7" max="7" width="20.42578125" style="160" bestFit="1" customWidth="1"/>
    <col min="8" max="8" width="12" style="163" bestFit="1" customWidth="1"/>
    <col min="9" max="16384" width="11.42578125" style="155"/>
  </cols>
  <sheetData>
    <row r="1" spans="1:10" s="154" customFormat="1" x14ac:dyDescent="0.25">
      <c r="B1" s="154" t="s">
        <v>453</v>
      </c>
      <c r="C1" s="154" t="s">
        <v>454</v>
      </c>
      <c r="E1" s="154" t="s">
        <v>485</v>
      </c>
      <c r="F1" s="155"/>
      <c r="G1" s="161"/>
      <c r="H1" s="162"/>
    </row>
    <row r="2" spans="1:10" x14ac:dyDescent="0.25">
      <c r="A2" s="154" t="s">
        <v>441</v>
      </c>
      <c r="B2" s="157">
        <v>2.5000000000000001E-3</v>
      </c>
      <c r="C2" s="157">
        <v>0.03</v>
      </c>
      <c r="E2" s="194">
        <v>1</v>
      </c>
      <c r="F2" s="192">
        <v>0.2</v>
      </c>
      <c r="G2" s="194">
        <v>0.315</v>
      </c>
      <c r="H2" s="162"/>
      <c r="I2" s="154"/>
      <c r="J2" s="154"/>
    </row>
    <row r="3" spans="1:10" x14ac:dyDescent="0.25">
      <c r="A3" s="154" t="s">
        <v>442</v>
      </c>
      <c r="B3" s="157">
        <v>2.5000000000000001E-3</v>
      </c>
      <c r="C3" s="157">
        <v>0.04</v>
      </c>
      <c r="E3" s="194">
        <v>0</v>
      </c>
      <c r="F3" s="192">
        <v>0.12</v>
      </c>
      <c r="G3" s="194">
        <v>0.11</v>
      </c>
      <c r="H3" s="162"/>
      <c r="I3" s="154"/>
      <c r="J3" s="154"/>
    </row>
    <row r="4" spans="1:10" x14ac:dyDescent="0.25">
      <c r="A4" s="154" t="s">
        <v>443</v>
      </c>
      <c r="B4" s="157">
        <v>7.4999999999999997E-2</v>
      </c>
      <c r="C4" s="157">
        <v>0.15</v>
      </c>
      <c r="E4" s="194">
        <v>0</v>
      </c>
      <c r="F4" s="192">
        <v>7.0000000000000007E-2</v>
      </c>
      <c r="G4" s="194">
        <v>0.13500000000000001</v>
      </c>
      <c r="H4" s="162"/>
      <c r="I4" s="154"/>
      <c r="J4" s="154"/>
    </row>
    <row r="5" spans="1:10" x14ac:dyDescent="0.25">
      <c r="A5" s="154" t="s">
        <v>444</v>
      </c>
      <c r="B5" s="157">
        <v>7.4999999999999997E-2</v>
      </c>
      <c r="C5" s="157">
        <v>0.18</v>
      </c>
      <c r="E5" s="194">
        <v>0</v>
      </c>
      <c r="F5" s="192">
        <v>0.21</v>
      </c>
      <c r="G5" s="194">
        <v>0.17</v>
      </c>
      <c r="H5" s="162"/>
      <c r="I5" s="154"/>
      <c r="J5" s="154"/>
    </row>
    <row r="6" spans="1:10" x14ac:dyDescent="0.25">
      <c r="A6" s="154" t="s">
        <v>445</v>
      </c>
      <c r="B6" s="157">
        <v>2.5000000000000001E-2</v>
      </c>
      <c r="C6" s="157">
        <v>7.0000000000000007E-2</v>
      </c>
      <c r="E6" s="194">
        <v>0</v>
      </c>
      <c r="F6" s="192">
        <v>0.15</v>
      </c>
      <c r="G6" s="194">
        <v>0.2</v>
      </c>
      <c r="H6" s="162"/>
      <c r="I6" s="154"/>
      <c r="J6" s="154"/>
    </row>
    <row r="7" spans="1:10" x14ac:dyDescent="0.25">
      <c r="A7" s="154" t="s">
        <v>446</v>
      </c>
      <c r="B7" s="157">
        <v>0.03</v>
      </c>
      <c r="C7" s="157">
        <v>0.21</v>
      </c>
      <c r="E7" s="194">
        <v>0</v>
      </c>
      <c r="F7" s="192">
        <v>0.05</v>
      </c>
      <c r="G7" s="194">
        <v>1.4999999999999999E-2</v>
      </c>
      <c r="H7" s="162"/>
      <c r="I7" s="154"/>
      <c r="J7" s="154"/>
    </row>
    <row r="8" spans="1:10" x14ac:dyDescent="0.25">
      <c r="A8" s="154" t="s">
        <v>447</v>
      </c>
      <c r="B8" s="157">
        <v>1E-3</v>
      </c>
      <c r="C8" s="157">
        <v>0.01</v>
      </c>
      <c r="E8" s="194">
        <v>0</v>
      </c>
      <c r="F8" s="192">
        <v>0</v>
      </c>
      <c r="G8" s="194">
        <v>0</v>
      </c>
      <c r="H8" s="162"/>
      <c r="I8" s="154"/>
      <c r="J8" s="154"/>
    </row>
    <row r="9" spans="1:10" x14ac:dyDescent="0.25">
      <c r="A9" s="154" t="s">
        <v>448</v>
      </c>
      <c r="B9" s="157">
        <v>2.5000000000000001E-2</v>
      </c>
      <c r="C9" s="157">
        <v>0.06</v>
      </c>
      <c r="E9" s="194">
        <v>0</v>
      </c>
      <c r="F9" s="192">
        <v>0</v>
      </c>
      <c r="G9" s="194">
        <v>0</v>
      </c>
      <c r="H9" s="162"/>
      <c r="I9" s="154"/>
      <c r="J9" s="154"/>
    </row>
    <row r="10" spans="1:10" x14ac:dyDescent="0.25">
      <c r="A10" s="154" t="s">
        <v>449</v>
      </c>
      <c r="B10" s="157">
        <v>0.04</v>
      </c>
      <c r="C10" s="157">
        <v>6.5000000000000002E-2</v>
      </c>
      <c r="E10" s="194">
        <v>0</v>
      </c>
      <c r="F10" s="192">
        <v>0.05</v>
      </c>
      <c r="G10" s="194">
        <v>0.02</v>
      </c>
      <c r="H10" s="162"/>
      <c r="I10" s="154"/>
      <c r="J10" s="154"/>
    </row>
    <row r="11" spans="1:10" x14ac:dyDescent="0.25">
      <c r="A11" s="154" t="s">
        <v>450</v>
      </c>
      <c r="B11" s="157">
        <v>0.1</v>
      </c>
      <c r="C11" s="157">
        <v>0.13</v>
      </c>
      <c r="E11" s="194">
        <v>0</v>
      </c>
      <c r="F11" s="192">
        <v>7.4999999999999997E-2</v>
      </c>
      <c r="G11" s="194">
        <v>1.4999999999999999E-2</v>
      </c>
      <c r="H11" s="162"/>
      <c r="I11" s="154"/>
      <c r="J11" s="154"/>
    </row>
    <row r="12" spans="1:10" x14ac:dyDescent="0.25">
      <c r="A12" s="154" t="s">
        <v>451</v>
      </c>
      <c r="B12" s="157">
        <v>0.06</v>
      </c>
      <c r="C12" s="157">
        <v>0.09</v>
      </c>
      <c r="E12" s="194">
        <v>0</v>
      </c>
      <c r="F12" s="192">
        <v>7.4999999999999997E-2</v>
      </c>
      <c r="G12" s="194">
        <v>0</v>
      </c>
      <c r="H12" s="162"/>
      <c r="I12" s="154"/>
      <c r="J12" s="154"/>
    </row>
    <row r="13" spans="1:10" x14ac:dyDescent="0.25">
      <c r="A13" s="154" t="s">
        <v>452</v>
      </c>
      <c r="B13" s="157">
        <v>2.5000000000000001E-2</v>
      </c>
      <c r="C13" s="157">
        <v>0.2</v>
      </c>
      <c r="E13" s="194">
        <v>0</v>
      </c>
      <c r="F13" s="192">
        <v>0</v>
      </c>
      <c r="G13" s="194">
        <v>0.02</v>
      </c>
      <c r="H13" s="162"/>
      <c r="I13" s="154"/>
      <c r="J13" s="154"/>
    </row>
    <row r="14" spans="1:10" x14ac:dyDescent="0.25">
      <c r="A14" s="154"/>
      <c r="E14" s="191">
        <v>1</v>
      </c>
      <c r="F14" s="193">
        <f>SUM(F2:F13)</f>
        <v>1</v>
      </c>
      <c r="G14" s="194">
        <v>1.0000000000000002</v>
      </c>
      <c r="H14" s="162"/>
      <c r="I14" s="154"/>
      <c r="J14" s="154"/>
    </row>
    <row r="15" spans="1:10" x14ac:dyDescent="0.25">
      <c r="E15" s="188"/>
      <c r="F15" s="154" t="s">
        <v>497</v>
      </c>
      <c r="G15" s="161" t="s">
        <v>496</v>
      </c>
      <c r="H15" s="162"/>
      <c r="I15" s="154"/>
      <c r="J15" s="154"/>
    </row>
    <row r="16" spans="1:10" x14ac:dyDescent="0.25">
      <c r="E16" s="154"/>
      <c r="G16" s="161"/>
      <c r="H16" s="162"/>
      <c r="I16" s="154"/>
      <c r="J16" s="154"/>
    </row>
    <row r="17" spans="5:10" x14ac:dyDescent="0.25">
      <c r="E17" s="154"/>
      <c r="G17" s="161"/>
      <c r="H17" s="162"/>
      <c r="I17" s="154"/>
      <c r="J17" s="154"/>
    </row>
    <row r="18" spans="5:10" x14ac:dyDescent="0.25">
      <c r="E18" s="154"/>
      <c r="G18" s="161"/>
      <c r="H18" s="162"/>
      <c r="I18" s="154"/>
      <c r="J18" s="154"/>
    </row>
    <row r="19" spans="5:10" x14ac:dyDescent="0.25">
      <c r="E19" s="154"/>
      <c r="G19" s="161"/>
      <c r="H19" s="162"/>
      <c r="I19" s="154"/>
      <c r="J19" s="154"/>
    </row>
    <row r="20" spans="5:10" x14ac:dyDescent="0.25">
      <c r="E20" s="154"/>
      <c r="G20" s="161"/>
      <c r="H20" s="162"/>
      <c r="I20" s="154"/>
      <c r="J20" s="154"/>
    </row>
    <row r="21" spans="5:10" x14ac:dyDescent="0.25">
      <c r="E21" s="154"/>
      <c r="G21" s="161"/>
      <c r="H21" s="162"/>
      <c r="I21" s="154"/>
      <c r="J21" s="154"/>
    </row>
    <row r="22" spans="5:10" x14ac:dyDescent="0.25">
      <c r="E22" s="154"/>
      <c r="G22" s="161"/>
      <c r="H22" s="162"/>
      <c r="I22" s="154"/>
      <c r="J22" s="154"/>
    </row>
    <row r="23" spans="5:10" x14ac:dyDescent="0.25">
      <c r="E23" s="154"/>
      <c r="G23" s="161"/>
      <c r="H23" s="162"/>
      <c r="I23" s="154"/>
      <c r="J23" s="154"/>
    </row>
    <row r="24" spans="5:10" x14ac:dyDescent="0.25">
      <c r="E24" s="154"/>
      <c r="G24" s="161"/>
      <c r="H24" s="162"/>
      <c r="I24" s="154"/>
      <c r="J24" s="154"/>
    </row>
    <row r="25" spans="5:10" x14ac:dyDescent="0.25">
      <c r="E25" s="154"/>
      <c r="G25" s="161"/>
      <c r="H25" s="162"/>
      <c r="I25" s="154"/>
      <c r="J25" s="154"/>
    </row>
    <row r="26" spans="5:10" x14ac:dyDescent="0.25">
      <c r="E26" s="154"/>
      <c r="G26" s="161"/>
      <c r="H26" s="162"/>
      <c r="I26" s="154"/>
      <c r="J26" s="154"/>
    </row>
    <row r="27" spans="5:10" x14ac:dyDescent="0.25">
      <c r="E27" s="154"/>
      <c r="G27" s="161"/>
      <c r="H27" s="162"/>
      <c r="I27" s="154"/>
      <c r="J27" s="154"/>
    </row>
    <row r="28" spans="5:10" x14ac:dyDescent="0.25">
      <c r="E28" s="154"/>
      <c r="G28" s="161"/>
      <c r="H28" s="162"/>
      <c r="I28" s="154"/>
      <c r="J28" s="154"/>
    </row>
    <row r="29" spans="5:10" x14ac:dyDescent="0.25">
      <c r="E29" s="154"/>
      <c r="G29" s="161"/>
      <c r="H29" s="162"/>
      <c r="I29" s="154"/>
      <c r="J29" s="154"/>
    </row>
    <row r="30" spans="5:10" x14ac:dyDescent="0.25">
      <c r="E30" s="154"/>
      <c r="G30" s="161"/>
      <c r="H30" s="162"/>
      <c r="I30" s="154"/>
      <c r="J30" s="154"/>
    </row>
    <row r="31" spans="5:10" x14ac:dyDescent="0.25">
      <c r="E31" s="154"/>
      <c r="G31" s="161"/>
      <c r="H31" s="162"/>
      <c r="I31" s="154"/>
      <c r="J31" s="154"/>
    </row>
    <row r="32" spans="5:10" x14ac:dyDescent="0.25">
      <c r="E32" s="154"/>
      <c r="G32" s="161"/>
      <c r="H32" s="162"/>
      <c r="I32" s="154"/>
      <c r="J32" s="154"/>
    </row>
    <row r="33" spans="5:10" x14ac:dyDescent="0.25">
      <c r="E33" s="154"/>
      <c r="G33" s="161"/>
      <c r="H33" s="162"/>
      <c r="I33" s="154"/>
      <c r="J33" s="154"/>
    </row>
    <row r="34" spans="5:10" x14ac:dyDescent="0.25">
      <c r="E34" s="154"/>
      <c r="G34" s="161"/>
      <c r="H34" s="162"/>
      <c r="I34" s="154"/>
      <c r="J34" s="154"/>
    </row>
    <row r="35" spans="5:10" x14ac:dyDescent="0.25">
      <c r="E35" s="154"/>
      <c r="G35" s="161"/>
      <c r="H35" s="162"/>
      <c r="I35" s="154"/>
      <c r="J35" s="154"/>
    </row>
    <row r="36" spans="5:10" x14ac:dyDescent="0.25">
      <c r="E36" s="154"/>
      <c r="G36" s="161"/>
      <c r="H36" s="162"/>
      <c r="I36" s="154"/>
      <c r="J36" s="154"/>
    </row>
    <row r="37" spans="5:10" x14ac:dyDescent="0.25">
      <c r="E37" s="154"/>
      <c r="G37" s="161"/>
      <c r="H37" s="162"/>
      <c r="I37" s="154"/>
      <c r="J37" s="154"/>
    </row>
    <row r="38" spans="5:10" x14ac:dyDescent="0.25">
      <c r="E38" s="154"/>
      <c r="G38" s="161"/>
      <c r="H38" s="162"/>
      <c r="I38" s="154"/>
      <c r="J38" s="154"/>
    </row>
    <row r="39" spans="5:10" x14ac:dyDescent="0.25">
      <c r="E39" s="154"/>
      <c r="G39" s="161"/>
      <c r="H39" s="162"/>
      <c r="I39" s="154"/>
      <c r="J39" s="154"/>
    </row>
    <row r="40" spans="5:10" x14ac:dyDescent="0.25">
      <c r="E40" s="154"/>
      <c r="G40" s="161"/>
      <c r="H40" s="162"/>
      <c r="I40" s="154"/>
      <c r="J40" s="154"/>
    </row>
    <row r="41" spans="5:10" x14ac:dyDescent="0.25">
      <c r="E41" s="154"/>
      <c r="G41" s="161"/>
      <c r="H41" s="162"/>
      <c r="I41" s="154"/>
      <c r="J41" s="154"/>
    </row>
    <row r="42" spans="5:10" x14ac:dyDescent="0.25">
      <c r="E42" s="154"/>
      <c r="G42" s="161"/>
      <c r="H42" s="162"/>
      <c r="I42" s="154"/>
      <c r="J42" s="154"/>
    </row>
    <row r="43" spans="5:10" x14ac:dyDescent="0.25">
      <c r="E43" s="154"/>
      <c r="G43" s="161"/>
      <c r="H43" s="162"/>
      <c r="I43" s="154"/>
      <c r="J43" s="154"/>
    </row>
    <row r="44" spans="5:10" x14ac:dyDescent="0.25">
      <c r="E44" s="154"/>
      <c r="G44" s="161"/>
      <c r="H44" s="162"/>
      <c r="I44" s="154"/>
      <c r="J44" s="154"/>
    </row>
    <row r="45" spans="5:10" x14ac:dyDescent="0.25">
      <c r="E45" s="154"/>
      <c r="G45" s="161"/>
      <c r="H45" s="162"/>
      <c r="I45" s="154"/>
      <c r="J45" s="154"/>
    </row>
    <row r="46" spans="5:10" x14ac:dyDescent="0.25">
      <c r="E46" s="154"/>
      <c r="G46" s="161"/>
      <c r="H46" s="162"/>
      <c r="I46" s="154"/>
      <c r="J46" s="154"/>
    </row>
    <row r="47" spans="5:10" x14ac:dyDescent="0.25">
      <c r="E47" s="154"/>
      <c r="G47" s="161"/>
      <c r="H47" s="162"/>
      <c r="I47" s="154"/>
      <c r="J47" s="154"/>
    </row>
    <row r="48" spans="5:10" x14ac:dyDescent="0.25">
      <c r="E48" s="154"/>
      <c r="G48" s="161"/>
      <c r="H48" s="162"/>
      <c r="I48" s="154"/>
      <c r="J48" s="154"/>
    </row>
    <row r="49" spans="5:10" x14ac:dyDescent="0.25">
      <c r="E49" s="154"/>
      <c r="G49" s="161"/>
      <c r="H49" s="162"/>
      <c r="I49" s="154"/>
      <c r="J49" s="154"/>
    </row>
    <row r="50" spans="5:10" x14ac:dyDescent="0.25">
      <c r="E50" s="154"/>
      <c r="G50" s="161"/>
      <c r="H50" s="162"/>
      <c r="I50" s="154"/>
      <c r="J50" s="154"/>
    </row>
    <row r="51" spans="5:10" x14ac:dyDescent="0.25">
      <c r="E51" s="154"/>
      <c r="G51" s="161"/>
      <c r="H51" s="162"/>
      <c r="I51" s="154"/>
      <c r="J51" s="154"/>
    </row>
    <row r="52" spans="5:10" x14ac:dyDescent="0.25">
      <c r="E52" s="154"/>
      <c r="G52" s="161"/>
      <c r="H52" s="162"/>
      <c r="I52" s="154"/>
      <c r="J52" s="154"/>
    </row>
    <row r="53" spans="5:10" x14ac:dyDescent="0.25">
      <c r="E53" s="154"/>
      <c r="G53" s="161"/>
      <c r="H53" s="162"/>
      <c r="I53" s="154"/>
      <c r="J53" s="154"/>
    </row>
    <row r="54" spans="5:10" x14ac:dyDescent="0.25">
      <c r="E54" s="154"/>
      <c r="G54" s="161"/>
      <c r="H54" s="162"/>
      <c r="I54" s="154"/>
      <c r="J54" s="154"/>
    </row>
    <row r="55" spans="5:10" x14ac:dyDescent="0.25">
      <c r="E55" s="154"/>
      <c r="G55" s="161"/>
      <c r="H55" s="162"/>
      <c r="I55" s="154"/>
      <c r="J55" s="154"/>
    </row>
    <row r="56" spans="5:10" x14ac:dyDescent="0.25">
      <c r="E56" s="154"/>
      <c r="G56" s="161"/>
      <c r="H56" s="162"/>
      <c r="I56" s="154"/>
      <c r="J56" s="154"/>
    </row>
    <row r="57" spans="5:10" x14ac:dyDescent="0.25">
      <c r="E57" s="154"/>
      <c r="G57" s="161"/>
      <c r="H57" s="162"/>
      <c r="I57" s="154"/>
      <c r="J57" s="154"/>
    </row>
    <row r="58" spans="5:10" x14ac:dyDescent="0.25">
      <c r="E58" s="154"/>
      <c r="G58" s="161"/>
      <c r="H58" s="162"/>
      <c r="I58" s="154"/>
      <c r="J58" s="154"/>
    </row>
    <row r="59" spans="5:10" x14ac:dyDescent="0.25">
      <c r="E59" s="154"/>
      <c r="G59" s="161"/>
      <c r="H59" s="162"/>
      <c r="I59" s="154"/>
      <c r="J59" s="154"/>
    </row>
    <row r="60" spans="5:10" x14ac:dyDescent="0.25">
      <c r="E60" s="154"/>
      <c r="G60" s="161"/>
      <c r="H60" s="162"/>
      <c r="I60" s="154"/>
      <c r="J60" s="154"/>
    </row>
    <row r="61" spans="5:10" x14ac:dyDescent="0.25">
      <c r="E61" s="154"/>
      <c r="G61" s="161"/>
      <c r="H61" s="162"/>
      <c r="I61" s="154"/>
      <c r="J61" s="154"/>
    </row>
    <row r="62" spans="5:10" x14ac:dyDescent="0.25">
      <c r="E62" s="154"/>
      <c r="G62" s="161"/>
      <c r="H62" s="162"/>
      <c r="I62" s="154"/>
      <c r="J62" s="154"/>
    </row>
    <row r="63" spans="5:10" x14ac:dyDescent="0.25">
      <c r="E63" s="154"/>
      <c r="G63" s="161"/>
      <c r="H63" s="162"/>
      <c r="I63" s="154"/>
      <c r="J63" s="154"/>
    </row>
    <row r="64" spans="5:10" x14ac:dyDescent="0.25">
      <c r="E64" s="154"/>
      <c r="G64" s="161"/>
      <c r="H64" s="162"/>
      <c r="I64" s="154"/>
      <c r="J64" s="154"/>
    </row>
    <row r="65" spans="5:10" x14ac:dyDescent="0.25">
      <c r="E65" s="154"/>
      <c r="G65" s="161"/>
      <c r="H65" s="162"/>
      <c r="I65" s="154"/>
      <c r="J65" s="154"/>
    </row>
    <row r="66" spans="5:10" x14ac:dyDescent="0.25">
      <c r="E66" s="154"/>
      <c r="G66" s="161"/>
      <c r="H66" s="162"/>
      <c r="I66" s="154"/>
      <c r="J66" s="154"/>
    </row>
    <row r="67" spans="5:10" x14ac:dyDescent="0.25">
      <c r="E67" s="154"/>
      <c r="G67" s="161"/>
      <c r="H67" s="162"/>
      <c r="I67" s="154"/>
      <c r="J67" s="154"/>
    </row>
    <row r="68" spans="5:10" x14ac:dyDescent="0.25">
      <c r="E68" s="154"/>
      <c r="G68" s="161"/>
      <c r="H68" s="162"/>
      <c r="I68" s="154"/>
      <c r="J68" s="154"/>
    </row>
    <row r="69" spans="5:10" x14ac:dyDescent="0.25">
      <c r="E69" s="154"/>
      <c r="G69" s="161"/>
      <c r="H69" s="162"/>
      <c r="I69" s="154"/>
      <c r="J69" s="154"/>
    </row>
    <row r="70" spans="5:10" x14ac:dyDescent="0.25">
      <c r="E70" s="154"/>
      <c r="G70" s="161"/>
      <c r="H70" s="162"/>
      <c r="I70" s="154"/>
      <c r="J70" s="154"/>
    </row>
    <row r="71" spans="5:10" x14ac:dyDescent="0.25">
      <c r="E71" s="154"/>
      <c r="G71" s="161"/>
      <c r="H71" s="162"/>
      <c r="I71" s="154"/>
      <c r="J71" s="154"/>
    </row>
    <row r="72" spans="5:10" x14ac:dyDescent="0.25">
      <c r="E72" s="154"/>
      <c r="G72" s="161"/>
      <c r="H72" s="162"/>
      <c r="I72" s="154"/>
      <c r="J72" s="154"/>
    </row>
    <row r="73" spans="5:10" x14ac:dyDescent="0.25">
      <c r="E73" s="154"/>
      <c r="G73" s="161"/>
      <c r="H73" s="162"/>
      <c r="I73" s="154"/>
      <c r="J73" s="154"/>
    </row>
    <row r="74" spans="5:10" x14ac:dyDescent="0.25">
      <c r="E74" s="154"/>
      <c r="G74" s="161"/>
      <c r="H74" s="162"/>
      <c r="I74" s="154"/>
      <c r="J74" s="154"/>
    </row>
    <row r="75" spans="5:10" x14ac:dyDescent="0.25">
      <c r="E75" s="154"/>
      <c r="G75" s="161"/>
      <c r="H75" s="162"/>
      <c r="I75" s="154"/>
      <c r="J75" s="154"/>
    </row>
    <row r="76" spans="5:10" x14ac:dyDescent="0.25">
      <c r="E76" s="154"/>
      <c r="G76" s="161"/>
      <c r="H76" s="162"/>
      <c r="I76" s="154"/>
      <c r="J76" s="154"/>
    </row>
    <row r="77" spans="5:10" x14ac:dyDescent="0.25">
      <c r="E77" s="154"/>
      <c r="G77" s="161"/>
      <c r="H77" s="162"/>
      <c r="I77" s="154"/>
      <c r="J77" s="154"/>
    </row>
    <row r="78" spans="5:10" x14ac:dyDescent="0.25">
      <c r="E78" s="154"/>
      <c r="G78" s="161"/>
      <c r="H78" s="162"/>
      <c r="I78" s="154"/>
      <c r="J78" s="154"/>
    </row>
    <row r="79" spans="5:10" x14ac:dyDescent="0.25">
      <c r="E79" s="154"/>
      <c r="G79" s="161"/>
      <c r="H79" s="162"/>
      <c r="I79" s="154"/>
      <c r="J79" s="154"/>
    </row>
    <row r="80" spans="5:10" x14ac:dyDescent="0.25">
      <c r="E80" s="154"/>
      <c r="G80" s="161"/>
      <c r="H80" s="162"/>
      <c r="I80" s="154"/>
      <c r="J80" s="154"/>
    </row>
    <row r="81" spans="5:10" x14ac:dyDescent="0.25">
      <c r="E81" s="154"/>
      <c r="G81" s="161"/>
      <c r="H81" s="162"/>
      <c r="I81" s="154"/>
      <c r="J81" s="154"/>
    </row>
    <row r="82" spans="5:10" x14ac:dyDescent="0.25">
      <c r="E82" s="154"/>
      <c r="G82" s="161"/>
      <c r="H82" s="162"/>
      <c r="I82" s="154"/>
      <c r="J82" s="154"/>
    </row>
    <row r="83" spans="5:10" x14ac:dyDescent="0.25">
      <c r="E83" s="154"/>
      <c r="G83" s="161"/>
      <c r="H83" s="162"/>
      <c r="I83" s="154"/>
      <c r="J83" s="154"/>
    </row>
    <row r="84" spans="5:10" x14ac:dyDescent="0.25">
      <c r="E84" s="154"/>
      <c r="G84" s="161"/>
      <c r="H84" s="162"/>
      <c r="I84" s="154"/>
      <c r="J84" s="154"/>
    </row>
    <row r="85" spans="5:10" x14ac:dyDescent="0.25">
      <c r="E85" s="154"/>
      <c r="G85" s="161"/>
      <c r="H85" s="162"/>
      <c r="I85" s="154"/>
      <c r="J85" s="154"/>
    </row>
    <row r="86" spans="5:10" x14ac:dyDescent="0.25">
      <c r="E86" s="154"/>
      <c r="G86" s="161"/>
      <c r="H86" s="162"/>
      <c r="I86" s="154"/>
      <c r="J86" s="154"/>
    </row>
    <row r="87" spans="5:10" x14ac:dyDescent="0.25">
      <c r="E87" s="154"/>
      <c r="G87" s="161"/>
      <c r="H87" s="162"/>
      <c r="I87" s="154"/>
      <c r="J87" s="154"/>
    </row>
    <row r="88" spans="5:10" x14ac:dyDescent="0.25">
      <c r="E88" s="154"/>
      <c r="G88" s="161"/>
      <c r="H88" s="162"/>
      <c r="I88" s="154"/>
      <c r="J88" s="154"/>
    </row>
    <row r="89" spans="5:10" x14ac:dyDescent="0.25">
      <c r="E89" s="154"/>
      <c r="G89" s="161"/>
      <c r="H89" s="162"/>
      <c r="I89" s="154"/>
      <c r="J89" s="154"/>
    </row>
    <row r="90" spans="5:10" x14ac:dyDescent="0.25">
      <c r="E90" s="154"/>
      <c r="G90" s="161"/>
      <c r="H90" s="162"/>
      <c r="I90" s="154"/>
      <c r="J90" s="154"/>
    </row>
    <row r="91" spans="5:10" x14ac:dyDescent="0.25">
      <c r="E91" s="154"/>
      <c r="G91" s="161"/>
      <c r="H91" s="162"/>
      <c r="I91" s="154"/>
      <c r="J91" s="154"/>
    </row>
    <row r="92" spans="5:10" x14ac:dyDescent="0.25">
      <c r="E92" s="154"/>
      <c r="G92" s="161"/>
      <c r="H92" s="162"/>
      <c r="I92" s="154"/>
      <c r="J92" s="154"/>
    </row>
    <row r="93" spans="5:10" x14ac:dyDescent="0.25">
      <c r="E93" s="154"/>
      <c r="G93" s="161"/>
      <c r="H93" s="162"/>
      <c r="I93" s="154"/>
      <c r="J93" s="154"/>
    </row>
    <row r="94" spans="5:10" x14ac:dyDescent="0.25">
      <c r="E94" s="154"/>
      <c r="G94" s="161"/>
      <c r="H94" s="162"/>
      <c r="I94" s="154"/>
      <c r="J94" s="154"/>
    </row>
    <row r="95" spans="5:10" x14ac:dyDescent="0.25">
      <c r="E95" s="154"/>
      <c r="G95" s="161"/>
      <c r="H95" s="162"/>
      <c r="I95" s="154"/>
      <c r="J95" s="154"/>
    </row>
    <row r="96" spans="5:10" x14ac:dyDescent="0.25">
      <c r="E96" s="154"/>
      <c r="G96" s="161"/>
      <c r="H96" s="162"/>
      <c r="I96" s="154"/>
      <c r="J96" s="154"/>
    </row>
    <row r="97" spans="5:10" x14ac:dyDescent="0.25">
      <c r="E97" s="154"/>
      <c r="G97" s="161"/>
      <c r="H97" s="162"/>
      <c r="I97" s="154"/>
      <c r="J97" s="154"/>
    </row>
    <row r="98" spans="5:10" x14ac:dyDescent="0.25">
      <c r="E98" s="154"/>
      <c r="G98" s="161"/>
      <c r="H98" s="162"/>
      <c r="I98" s="154"/>
      <c r="J98" s="154"/>
    </row>
    <row r="99" spans="5:10" x14ac:dyDescent="0.25">
      <c r="E99" s="154"/>
      <c r="G99" s="161"/>
      <c r="H99" s="162"/>
      <c r="I99" s="154"/>
      <c r="J99" s="154"/>
    </row>
    <row r="100" spans="5:10" x14ac:dyDescent="0.25">
      <c r="E100" s="154"/>
      <c r="G100" s="161"/>
      <c r="H100" s="162"/>
      <c r="I100" s="154"/>
      <c r="J100" s="154"/>
    </row>
    <row r="101" spans="5:10" x14ac:dyDescent="0.25">
      <c r="E101" s="154"/>
      <c r="G101" s="161"/>
      <c r="H101" s="162"/>
      <c r="I101" s="154"/>
      <c r="J101" s="154"/>
    </row>
    <row r="102" spans="5:10" x14ac:dyDescent="0.25">
      <c r="E102" s="154"/>
      <c r="G102" s="161"/>
      <c r="H102" s="162"/>
      <c r="I102" s="154"/>
      <c r="J102" s="154"/>
    </row>
    <row r="103" spans="5:10" x14ac:dyDescent="0.25">
      <c r="E103" s="154"/>
      <c r="G103" s="161"/>
      <c r="H103" s="162"/>
      <c r="I103" s="154"/>
      <c r="J103" s="154"/>
    </row>
    <row r="104" spans="5:10" x14ac:dyDescent="0.25">
      <c r="E104" s="154"/>
      <c r="G104" s="161"/>
      <c r="H104" s="162"/>
      <c r="I104" s="154"/>
      <c r="J104" s="154"/>
    </row>
    <row r="105" spans="5:10" x14ac:dyDescent="0.25">
      <c r="E105" s="154"/>
      <c r="G105" s="161"/>
      <c r="H105" s="162"/>
      <c r="I105" s="154"/>
      <c r="J105" s="154"/>
    </row>
    <row r="106" spans="5:10" x14ac:dyDescent="0.25">
      <c r="E106" s="154"/>
      <c r="G106" s="161"/>
      <c r="H106" s="162"/>
      <c r="I106" s="154"/>
      <c r="J106" s="154"/>
    </row>
    <row r="107" spans="5:10" x14ac:dyDescent="0.25">
      <c r="E107" s="154"/>
      <c r="G107" s="161"/>
      <c r="H107" s="162"/>
      <c r="I107" s="154"/>
      <c r="J107" s="154"/>
    </row>
    <row r="108" spans="5:10" x14ac:dyDescent="0.25">
      <c r="E108" s="154"/>
      <c r="G108" s="161"/>
      <c r="H108" s="162"/>
      <c r="I108" s="154"/>
      <c r="J108" s="154"/>
    </row>
    <row r="109" spans="5:10" x14ac:dyDescent="0.25">
      <c r="E109" s="154"/>
      <c r="G109" s="161"/>
      <c r="H109" s="162"/>
      <c r="I109" s="154"/>
      <c r="J109" s="154"/>
    </row>
    <row r="110" spans="5:10" x14ac:dyDescent="0.25">
      <c r="E110" s="154"/>
      <c r="G110" s="161"/>
      <c r="H110" s="162"/>
      <c r="I110" s="154"/>
      <c r="J110" s="154"/>
    </row>
    <row r="111" spans="5:10" x14ac:dyDescent="0.25">
      <c r="E111" s="154"/>
      <c r="G111" s="161"/>
      <c r="H111" s="162"/>
      <c r="I111" s="154"/>
      <c r="J111" s="154"/>
    </row>
    <row r="112" spans="5:10" x14ac:dyDescent="0.25">
      <c r="E112" s="154"/>
      <c r="G112" s="161"/>
      <c r="H112" s="162"/>
      <c r="I112" s="154"/>
      <c r="J112" s="154"/>
    </row>
    <row r="113" spans="5:10" x14ac:dyDescent="0.25">
      <c r="E113" s="154"/>
      <c r="G113" s="161"/>
      <c r="H113" s="162"/>
      <c r="I113" s="154"/>
      <c r="J113" s="154"/>
    </row>
    <row r="114" spans="5:10" x14ac:dyDescent="0.25">
      <c r="E114" s="154"/>
      <c r="G114" s="161"/>
      <c r="H114" s="162"/>
      <c r="I114" s="154"/>
      <c r="J114" s="154"/>
    </row>
    <row r="115" spans="5:10" x14ac:dyDescent="0.25">
      <c r="E115" s="154"/>
      <c r="G115" s="161"/>
      <c r="H115" s="162"/>
      <c r="I115" s="154"/>
      <c r="J115" s="154"/>
    </row>
    <row r="116" spans="5:10" x14ac:dyDescent="0.25">
      <c r="E116" s="154"/>
      <c r="G116" s="161"/>
      <c r="H116" s="162"/>
      <c r="I116" s="154"/>
      <c r="J116" s="154"/>
    </row>
    <row r="117" spans="5:10" x14ac:dyDescent="0.25">
      <c r="E117" s="154"/>
      <c r="G117" s="161"/>
      <c r="H117" s="162"/>
      <c r="I117" s="154"/>
      <c r="J117" s="154"/>
    </row>
    <row r="118" spans="5:10" x14ac:dyDescent="0.25">
      <c r="E118" s="154"/>
      <c r="G118" s="161"/>
      <c r="H118" s="162"/>
      <c r="I118" s="154"/>
      <c r="J118" s="154"/>
    </row>
    <row r="119" spans="5:10" x14ac:dyDescent="0.25">
      <c r="E119" s="154"/>
      <c r="G119" s="161"/>
      <c r="H119" s="162"/>
      <c r="I119" s="154"/>
      <c r="J119" s="154"/>
    </row>
    <row r="120" spans="5:10" x14ac:dyDescent="0.25">
      <c r="E120" s="154"/>
      <c r="G120" s="161"/>
      <c r="H120" s="162"/>
      <c r="I120" s="154"/>
      <c r="J120" s="154"/>
    </row>
    <row r="121" spans="5:10" x14ac:dyDescent="0.25">
      <c r="E121" s="154"/>
      <c r="G121" s="161"/>
      <c r="H121" s="162"/>
      <c r="I121" s="154"/>
      <c r="J121" s="154"/>
    </row>
    <row r="122" spans="5:10" x14ac:dyDescent="0.25">
      <c r="E122" s="154"/>
      <c r="G122" s="161"/>
      <c r="H122" s="162"/>
      <c r="I122" s="154"/>
      <c r="J122" s="154"/>
    </row>
    <row r="123" spans="5:10" x14ac:dyDescent="0.25">
      <c r="E123" s="154"/>
      <c r="G123" s="161"/>
      <c r="H123" s="162"/>
      <c r="I123" s="154"/>
      <c r="J123" s="154"/>
    </row>
    <row r="124" spans="5:10" x14ac:dyDescent="0.25">
      <c r="E124" s="154"/>
      <c r="G124" s="161"/>
      <c r="H124" s="162"/>
      <c r="I124" s="154"/>
      <c r="J124" s="154"/>
    </row>
    <row r="125" spans="5:10" x14ac:dyDescent="0.25">
      <c r="E125" s="154"/>
      <c r="G125" s="161"/>
      <c r="H125" s="162"/>
      <c r="I125" s="154"/>
      <c r="J125" s="154"/>
    </row>
    <row r="126" spans="5:10" x14ac:dyDescent="0.25">
      <c r="E126" s="154"/>
      <c r="G126" s="161"/>
      <c r="H126" s="162"/>
      <c r="I126" s="154"/>
      <c r="J126" s="154"/>
    </row>
    <row r="127" spans="5:10" x14ac:dyDescent="0.25">
      <c r="E127" s="154"/>
      <c r="G127" s="161"/>
      <c r="H127" s="162"/>
      <c r="I127" s="154"/>
      <c r="J127" s="154"/>
    </row>
    <row r="128" spans="5:10" x14ac:dyDescent="0.25">
      <c r="E128" s="154"/>
      <c r="G128" s="161"/>
      <c r="H128" s="162"/>
      <c r="I128" s="154"/>
      <c r="J128" s="154"/>
    </row>
    <row r="129" spans="5:10" x14ac:dyDescent="0.25">
      <c r="E129" s="154"/>
      <c r="G129" s="161"/>
      <c r="H129" s="162"/>
      <c r="I129" s="154"/>
      <c r="J129" s="154"/>
    </row>
    <row r="130" spans="5:10" x14ac:dyDescent="0.25">
      <c r="E130" s="154"/>
      <c r="G130" s="161"/>
      <c r="H130" s="162"/>
      <c r="I130" s="154"/>
      <c r="J130" s="154"/>
    </row>
    <row r="131" spans="5:10" x14ac:dyDescent="0.25">
      <c r="E131" s="154"/>
      <c r="G131" s="161"/>
      <c r="H131" s="162"/>
      <c r="I131" s="154"/>
      <c r="J131" s="154"/>
    </row>
    <row r="132" spans="5:10" x14ac:dyDescent="0.25">
      <c r="E132" s="154"/>
      <c r="G132" s="161"/>
      <c r="H132" s="162"/>
      <c r="I132" s="154"/>
      <c r="J132" s="154"/>
    </row>
    <row r="133" spans="5:10" x14ac:dyDescent="0.25">
      <c r="E133" s="154"/>
      <c r="G133" s="161"/>
      <c r="H133" s="162"/>
      <c r="I133" s="154"/>
      <c r="J133" s="154"/>
    </row>
    <row r="134" spans="5:10" x14ac:dyDescent="0.25">
      <c r="E134" s="154"/>
      <c r="G134" s="161"/>
      <c r="H134" s="162"/>
      <c r="I134" s="154"/>
      <c r="J134" s="154"/>
    </row>
    <row r="135" spans="5:10" x14ac:dyDescent="0.25">
      <c r="E135" s="154"/>
      <c r="G135" s="161"/>
      <c r="H135" s="162"/>
      <c r="I135" s="154"/>
      <c r="J135" s="154"/>
    </row>
    <row r="136" spans="5:10" x14ac:dyDescent="0.25">
      <c r="E136" s="154"/>
      <c r="G136" s="161"/>
      <c r="H136" s="162"/>
      <c r="I136" s="154"/>
      <c r="J136" s="154"/>
    </row>
    <row r="137" spans="5:10" x14ac:dyDescent="0.25">
      <c r="E137" s="154"/>
      <c r="G137" s="161"/>
      <c r="H137" s="162"/>
      <c r="I137" s="154"/>
      <c r="J137" s="154"/>
    </row>
    <row r="138" spans="5:10" x14ac:dyDescent="0.25">
      <c r="E138" s="154"/>
      <c r="G138" s="161"/>
      <c r="H138" s="162"/>
      <c r="I138" s="154"/>
      <c r="J138" s="154"/>
    </row>
    <row r="139" spans="5:10" x14ac:dyDescent="0.25">
      <c r="E139" s="154"/>
      <c r="G139" s="161"/>
      <c r="H139" s="162"/>
      <c r="I139" s="154"/>
      <c r="J139" s="154"/>
    </row>
    <row r="140" spans="5:10" x14ac:dyDescent="0.25">
      <c r="E140" s="154"/>
      <c r="G140" s="161"/>
      <c r="H140" s="162"/>
      <c r="I140" s="154"/>
      <c r="J140" s="154"/>
    </row>
    <row r="141" spans="5:10" x14ac:dyDescent="0.25">
      <c r="E141" s="154"/>
      <c r="G141" s="161"/>
      <c r="H141" s="162"/>
      <c r="I141" s="154"/>
      <c r="J141" s="154"/>
    </row>
    <row r="142" spans="5:10" x14ac:dyDescent="0.25">
      <c r="E142" s="154"/>
      <c r="G142" s="161"/>
      <c r="H142" s="162"/>
      <c r="I142" s="154"/>
      <c r="J142" s="154"/>
    </row>
    <row r="143" spans="5:10" x14ac:dyDescent="0.25">
      <c r="E143" s="154"/>
      <c r="G143" s="161"/>
      <c r="H143" s="162"/>
      <c r="I143" s="154"/>
      <c r="J143" s="154"/>
    </row>
    <row r="144" spans="5:10" x14ac:dyDescent="0.25">
      <c r="E144" s="154"/>
      <c r="G144" s="161"/>
      <c r="H144" s="162"/>
      <c r="I144" s="154"/>
      <c r="J144" s="154"/>
    </row>
    <row r="145" spans="5:10" x14ac:dyDescent="0.25">
      <c r="E145" s="154"/>
      <c r="G145" s="161"/>
      <c r="H145" s="162"/>
      <c r="I145" s="154"/>
      <c r="J145" s="154"/>
    </row>
    <row r="146" spans="5:10" x14ac:dyDescent="0.25">
      <c r="E146" s="154"/>
      <c r="G146" s="161"/>
      <c r="H146" s="162"/>
      <c r="I146" s="154"/>
      <c r="J146" s="154"/>
    </row>
    <row r="147" spans="5:10" x14ac:dyDescent="0.25">
      <c r="E147" s="154"/>
      <c r="G147" s="161"/>
      <c r="H147" s="162"/>
      <c r="I147" s="154"/>
      <c r="J147" s="154"/>
    </row>
    <row r="148" spans="5:10" x14ac:dyDescent="0.25">
      <c r="E148" s="154"/>
      <c r="G148" s="161"/>
      <c r="H148" s="162"/>
      <c r="I148" s="154"/>
      <c r="J148" s="154"/>
    </row>
    <row r="149" spans="5:10" x14ac:dyDescent="0.25">
      <c r="E149" s="154"/>
      <c r="G149" s="161"/>
      <c r="H149" s="162"/>
      <c r="I149" s="154"/>
      <c r="J149" s="154"/>
    </row>
    <row r="150" spans="5:10" x14ac:dyDescent="0.25">
      <c r="E150" s="154"/>
      <c r="G150" s="161"/>
      <c r="H150" s="162"/>
      <c r="I150" s="154"/>
      <c r="J150" s="154"/>
    </row>
    <row r="151" spans="5:10" x14ac:dyDescent="0.25">
      <c r="E151" s="154"/>
      <c r="G151" s="161"/>
      <c r="H151" s="162"/>
      <c r="I151" s="154"/>
      <c r="J151" s="154"/>
    </row>
    <row r="152" spans="5:10" x14ac:dyDescent="0.25">
      <c r="E152" s="154"/>
      <c r="G152" s="161"/>
      <c r="H152" s="162"/>
      <c r="I152" s="154"/>
      <c r="J152" s="154"/>
    </row>
    <row r="153" spans="5:10" x14ac:dyDescent="0.25">
      <c r="E153" s="154"/>
      <c r="G153" s="161"/>
      <c r="H153" s="162"/>
      <c r="I153" s="154"/>
      <c r="J153" s="154"/>
    </row>
    <row r="154" spans="5:10" x14ac:dyDescent="0.25">
      <c r="E154" s="154"/>
      <c r="G154" s="161"/>
      <c r="H154" s="162"/>
      <c r="I154" s="154"/>
      <c r="J154" s="154"/>
    </row>
    <row r="155" spans="5:10" x14ac:dyDescent="0.25">
      <c r="E155" s="154"/>
      <c r="G155" s="161"/>
      <c r="H155" s="162"/>
      <c r="I155" s="154"/>
      <c r="J155" s="154"/>
    </row>
    <row r="156" spans="5:10" x14ac:dyDescent="0.25">
      <c r="E156" s="154"/>
      <c r="G156" s="161"/>
      <c r="H156" s="162"/>
      <c r="I156" s="154"/>
      <c r="J156" s="154"/>
    </row>
    <row r="157" spans="5:10" x14ac:dyDescent="0.25">
      <c r="E157" s="154"/>
      <c r="G157" s="161"/>
      <c r="H157" s="162"/>
      <c r="I157" s="154"/>
      <c r="J157" s="154"/>
    </row>
    <row r="158" spans="5:10" x14ac:dyDescent="0.25">
      <c r="E158" s="154"/>
      <c r="G158" s="161"/>
      <c r="H158" s="162"/>
      <c r="I158" s="154"/>
      <c r="J158" s="154"/>
    </row>
    <row r="159" spans="5:10" x14ac:dyDescent="0.25">
      <c r="E159" s="154"/>
      <c r="G159" s="161"/>
      <c r="H159" s="162"/>
      <c r="I159" s="154"/>
      <c r="J159" s="154"/>
    </row>
    <row r="160" spans="5:10" x14ac:dyDescent="0.25">
      <c r="E160" s="154"/>
      <c r="G160" s="161"/>
      <c r="H160" s="162"/>
      <c r="I160" s="154"/>
      <c r="J160" s="154"/>
    </row>
    <row r="161" spans="5:10" x14ac:dyDescent="0.25">
      <c r="E161" s="154"/>
      <c r="G161" s="161"/>
      <c r="H161" s="162"/>
      <c r="I161" s="154"/>
      <c r="J161" s="154"/>
    </row>
    <row r="162" spans="5:10" x14ac:dyDescent="0.25">
      <c r="E162" s="154"/>
      <c r="G162" s="161"/>
      <c r="H162" s="162"/>
      <c r="I162" s="154"/>
      <c r="J162" s="154"/>
    </row>
    <row r="163" spans="5:10" x14ac:dyDescent="0.25">
      <c r="E163" s="154"/>
      <c r="G163" s="161"/>
      <c r="H163" s="162"/>
      <c r="I163" s="154"/>
      <c r="J163" s="154"/>
    </row>
    <row r="164" spans="5:10" x14ac:dyDescent="0.25">
      <c r="E164" s="154"/>
      <c r="G164" s="161"/>
      <c r="H164" s="162"/>
      <c r="I164" s="154"/>
      <c r="J164" s="154"/>
    </row>
    <row r="165" spans="5:10" x14ac:dyDescent="0.25">
      <c r="E165" s="154"/>
      <c r="G165" s="161"/>
      <c r="H165" s="162"/>
      <c r="I165" s="154"/>
      <c r="J165" s="154"/>
    </row>
    <row r="166" spans="5:10" x14ac:dyDescent="0.25">
      <c r="E166" s="154"/>
      <c r="G166" s="161"/>
      <c r="H166" s="162"/>
      <c r="I166" s="154"/>
      <c r="J166" s="154"/>
    </row>
    <row r="167" spans="5:10" x14ac:dyDescent="0.25">
      <c r="E167" s="154"/>
      <c r="G167" s="161"/>
      <c r="H167" s="162"/>
      <c r="I167" s="154"/>
      <c r="J167" s="154"/>
    </row>
    <row r="168" spans="5:10" x14ac:dyDescent="0.25">
      <c r="E168" s="154"/>
      <c r="G168" s="161"/>
      <c r="H168" s="162"/>
      <c r="I168" s="154"/>
      <c r="J168" s="154"/>
    </row>
    <row r="169" spans="5:10" x14ac:dyDescent="0.25">
      <c r="E169" s="154"/>
      <c r="G169" s="161"/>
      <c r="H169" s="162"/>
      <c r="I169" s="154"/>
      <c r="J169" s="154"/>
    </row>
    <row r="170" spans="5:10" x14ac:dyDescent="0.25">
      <c r="E170" s="154"/>
      <c r="G170" s="161"/>
      <c r="H170" s="162"/>
      <c r="I170" s="154"/>
      <c r="J170" s="154"/>
    </row>
    <row r="171" spans="5:10" x14ac:dyDescent="0.25">
      <c r="E171" s="154"/>
      <c r="G171" s="161"/>
      <c r="H171" s="162"/>
      <c r="I171" s="154"/>
      <c r="J171" s="154"/>
    </row>
    <row r="172" spans="5:10" x14ac:dyDescent="0.25">
      <c r="E172" s="154"/>
      <c r="G172" s="161"/>
      <c r="H172" s="162"/>
      <c r="I172" s="154"/>
      <c r="J172" s="154"/>
    </row>
    <row r="173" spans="5:10" x14ac:dyDescent="0.25">
      <c r="E173" s="154"/>
      <c r="G173" s="161"/>
      <c r="H173" s="162"/>
      <c r="I173" s="154"/>
      <c r="J173" s="154"/>
    </row>
    <row r="174" spans="5:10" x14ac:dyDescent="0.25">
      <c r="E174" s="154"/>
      <c r="G174" s="161"/>
      <c r="H174" s="162"/>
      <c r="I174" s="154"/>
      <c r="J174" s="154"/>
    </row>
    <row r="175" spans="5:10" x14ac:dyDescent="0.25">
      <c r="E175" s="154"/>
      <c r="G175" s="161"/>
      <c r="H175" s="162"/>
      <c r="I175" s="154"/>
      <c r="J175" s="154"/>
    </row>
    <row r="176" spans="5:10" x14ac:dyDescent="0.25">
      <c r="E176" s="154"/>
      <c r="G176" s="161"/>
      <c r="H176" s="162"/>
      <c r="I176" s="154"/>
      <c r="J176" s="154"/>
    </row>
    <row r="177" spans="5:10" x14ac:dyDescent="0.25">
      <c r="E177" s="154"/>
      <c r="G177" s="161"/>
      <c r="H177" s="162"/>
      <c r="I177" s="154"/>
      <c r="J177" s="154"/>
    </row>
    <row r="178" spans="5:10" x14ac:dyDescent="0.25">
      <c r="E178" s="154"/>
      <c r="G178" s="161"/>
      <c r="H178" s="162"/>
      <c r="I178" s="154"/>
      <c r="J178" s="154"/>
    </row>
    <row r="179" spans="5:10" x14ac:dyDescent="0.25">
      <c r="E179" s="154"/>
      <c r="G179" s="161"/>
      <c r="H179" s="162"/>
      <c r="I179" s="154"/>
      <c r="J179" s="154"/>
    </row>
    <row r="180" spans="5:10" x14ac:dyDescent="0.25">
      <c r="E180" s="154"/>
      <c r="G180" s="161"/>
      <c r="H180" s="162"/>
      <c r="I180" s="154"/>
      <c r="J180" s="154"/>
    </row>
    <row r="181" spans="5:10" x14ac:dyDescent="0.25">
      <c r="E181" s="154"/>
      <c r="G181" s="161"/>
      <c r="H181" s="162"/>
      <c r="I181" s="154"/>
      <c r="J181" s="154"/>
    </row>
    <row r="182" spans="5:10" x14ac:dyDescent="0.25">
      <c r="E182" s="154"/>
      <c r="G182" s="161"/>
      <c r="H182" s="162"/>
      <c r="I182" s="154"/>
      <c r="J182" s="154"/>
    </row>
    <row r="183" spans="5:10" x14ac:dyDescent="0.25">
      <c r="E183" s="154"/>
      <c r="G183" s="161"/>
      <c r="H183" s="162"/>
      <c r="I183" s="154"/>
      <c r="J183" s="154"/>
    </row>
    <row r="184" spans="5:10" x14ac:dyDescent="0.25">
      <c r="E184" s="154"/>
      <c r="G184" s="161"/>
      <c r="H184" s="162"/>
      <c r="I184" s="154"/>
      <c r="J184" s="154"/>
    </row>
    <row r="185" spans="5:10" x14ac:dyDescent="0.25">
      <c r="E185" s="154"/>
      <c r="G185" s="161"/>
      <c r="H185" s="162"/>
      <c r="I185" s="154"/>
      <c r="J185" s="154"/>
    </row>
    <row r="186" spans="5:10" x14ac:dyDescent="0.25">
      <c r="E186" s="154"/>
      <c r="G186" s="161"/>
      <c r="H186" s="162"/>
      <c r="I186" s="154"/>
      <c r="J186" s="154"/>
    </row>
    <row r="187" spans="5:10" x14ac:dyDescent="0.25">
      <c r="E187" s="154"/>
      <c r="G187" s="161"/>
      <c r="H187" s="162"/>
      <c r="I187" s="154"/>
      <c r="J187" s="154"/>
    </row>
    <row r="188" spans="5:10" x14ac:dyDescent="0.25">
      <c r="E188" s="154"/>
      <c r="G188" s="161"/>
      <c r="H188" s="162"/>
      <c r="I188" s="154"/>
      <c r="J188" s="154"/>
    </row>
    <row r="189" spans="5:10" x14ac:dyDescent="0.25">
      <c r="E189" s="154"/>
      <c r="G189" s="161"/>
      <c r="H189" s="162"/>
      <c r="I189" s="154"/>
      <c r="J189" s="154"/>
    </row>
    <row r="190" spans="5:10" x14ac:dyDescent="0.25">
      <c r="E190" s="154"/>
      <c r="G190" s="161"/>
      <c r="H190" s="162"/>
      <c r="I190" s="154"/>
      <c r="J190" s="154"/>
    </row>
    <row r="191" spans="5:10" x14ac:dyDescent="0.25">
      <c r="E191" s="154"/>
      <c r="G191" s="161"/>
      <c r="H191" s="162"/>
      <c r="I191" s="154"/>
      <c r="J191" s="154"/>
    </row>
    <row r="192" spans="5:10" x14ac:dyDescent="0.25">
      <c r="E192" s="154"/>
      <c r="G192" s="161"/>
      <c r="H192" s="162"/>
      <c r="I192" s="154"/>
      <c r="J192" s="154"/>
    </row>
    <row r="193" spans="5:10" x14ac:dyDescent="0.25">
      <c r="E193" s="154"/>
      <c r="G193" s="161"/>
      <c r="H193" s="162"/>
      <c r="I193" s="154"/>
      <c r="J193" s="154"/>
    </row>
    <row r="194" spans="5:10" x14ac:dyDescent="0.25">
      <c r="E194" s="154"/>
      <c r="G194" s="161"/>
      <c r="H194" s="162"/>
      <c r="I194" s="154"/>
      <c r="J194" s="154"/>
    </row>
    <row r="195" spans="5:10" x14ac:dyDescent="0.25">
      <c r="E195" s="154"/>
      <c r="G195" s="161"/>
      <c r="H195" s="162"/>
      <c r="I195" s="154"/>
      <c r="J195" s="154"/>
    </row>
    <row r="196" spans="5:10" x14ac:dyDescent="0.25">
      <c r="E196" s="154"/>
      <c r="G196" s="161"/>
      <c r="H196" s="162"/>
      <c r="I196" s="154"/>
      <c r="J196" s="154"/>
    </row>
    <row r="197" spans="5:10" x14ac:dyDescent="0.25">
      <c r="E197" s="154"/>
      <c r="G197" s="161"/>
      <c r="H197" s="162"/>
      <c r="I197" s="154"/>
      <c r="J197" s="154"/>
    </row>
    <row r="198" spans="5:10" x14ac:dyDescent="0.25">
      <c r="E198" s="154"/>
      <c r="G198" s="161"/>
      <c r="H198" s="162"/>
      <c r="I198" s="154"/>
      <c r="J198" s="154"/>
    </row>
    <row r="199" spans="5:10" x14ac:dyDescent="0.25">
      <c r="E199" s="154"/>
      <c r="G199" s="161"/>
      <c r="H199" s="162"/>
      <c r="I199" s="154"/>
      <c r="J199" s="154"/>
    </row>
    <row r="200" spans="5:10" x14ac:dyDescent="0.25">
      <c r="E200" s="154"/>
      <c r="G200" s="161"/>
      <c r="H200" s="162"/>
      <c r="I200" s="154"/>
      <c r="J200" s="154"/>
    </row>
    <row r="201" spans="5:10" x14ac:dyDescent="0.25">
      <c r="E201" s="154"/>
      <c r="G201" s="161"/>
      <c r="H201" s="162"/>
      <c r="I201" s="154"/>
      <c r="J201" s="154"/>
    </row>
    <row r="202" spans="5:10" x14ac:dyDescent="0.25">
      <c r="E202" s="154"/>
      <c r="G202" s="161"/>
      <c r="H202" s="162"/>
      <c r="I202" s="154"/>
      <c r="J202" s="154"/>
    </row>
    <row r="203" spans="5:10" x14ac:dyDescent="0.25">
      <c r="E203" s="154"/>
      <c r="G203" s="161"/>
      <c r="H203" s="162"/>
      <c r="I203" s="154"/>
      <c r="J203" s="154"/>
    </row>
    <row r="204" spans="5:10" x14ac:dyDescent="0.25">
      <c r="E204" s="154"/>
      <c r="G204" s="161"/>
      <c r="H204" s="162"/>
      <c r="I204" s="154"/>
      <c r="J204" s="154"/>
    </row>
    <row r="205" spans="5:10" x14ac:dyDescent="0.25">
      <c r="E205" s="154"/>
      <c r="G205" s="161"/>
      <c r="H205" s="162"/>
      <c r="I205" s="154"/>
      <c r="J205" s="154"/>
    </row>
    <row r="206" spans="5:10" x14ac:dyDescent="0.25">
      <c r="E206" s="154"/>
      <c r="G206" s="161"/>
      <c r="H206" s="162"/>
      <c r="I206" s="154"/>
      <c r="J206" s="154"/>
    </row>
    <row r="207" spans="5:10" x14ac:dyDescent="0.25">
      <c r="E207" s="154"/>
      <c r="G207" s="161"/>
      <c r="H207" s="162"/>
      <c r="I207" s="154"/>
      <c r="J207" s="154"/>
    </row>
    <row r="208" spans="5:10" x14ac:dyDescent="0.25">
      <c r="E208" s="154"/>
      <c r="G208" s="161"/>
      <c r="H208" s="162"/>
      <c r="I208" s="154"/>
      <c r="J208" s="154"/>
    </row>
    <row r="209" spans="5:10" x14ac:dyDescent="0.25">
      <c r="E209" s="154"/>
      <c r="G209" s="161"/>
      <c r="H209" s="162"/>
      <c r="I209" s="154"/>
      <c r="J209" s="154"/>
    </row>
    <row r="210" spans="5:10" x14ac:dyDescent="0.25">
      <c r="E210" s="154"/>
      <c r="G210" s="161"/>
      <c r="H210" s="162"/>
      <c r="I210" s="154"/>
      <c r="J210" s="154"/>
    </row>
    <row r="211" spans="5:10" x14ac:dyDescent="0.25">
      <c r="E211" s="154"/>
      <c r="G211" s="161"/>
      <c r="H211" s="162"/>
      <c r="I211" s="154"/>
      <c r="J211" s="154"/>
    </row>
    <row r="212" spans="5:10" x14ac:dyDescent="0.25">
      <c r="E212" s="154"/>
      <c r="G212" s="161"/>
      <c r="H212" s="162"/>
      <c r="I212" s="154"/>
      <c r="J212" s="154"/>
    </row>
    <row r="213" spans="5:10" x14ac:dyDescent="0.25">
      <c r="E213" s="154"/>
      <c r="G213" s="161"/>
      <c r="H213" s="162"/>
      <c r="I213" s="154"/>
      <c r="J213" s="154"/>
    </row>
    <row r="214" spans="5:10" x14ac:dyDescent="0.25">
      <c r="E214" s="154"/>
      <c r="G214" s="161"/>
      <c r="H214" s="162"/>
      <c r="I214" s="154"/>
      <c r="J214" s="154"/>
    </row>
    <row r="215" spans="5:10" x14ac:dyDescent="0.25">
      <c r="E215" s="154"/>
      <c r="G215" s="161"/>
      <c r="H215" s="162"/>
      <c r="I215" s="154"/>
      <c r="J215" s="154"/>
    </row>
    <row r="216" spans="5:10" x14ac:dyDescent="0.25">
      <c r="E216" s="154"/>
      <c r="G216" s="161"/>
      <c r="H216" s="162"/>
      <c r="I216" s="154"/>
      <c r="J216" s="154"/>
    </row>
    <row r="217" spans="5:10" x14ac:dyDescent="0.25">
      <c r="E217" s="154"/>
      <c r="G217" s="161"/>
      <c r="H217" s="162"/>
      <c r="I217" s="154"/>
      <c r="J217" s="154"/>
    </row>
    <row r="218" spans="5:10" x14ac:dyDescent="0.25">
      <c r="E218" s="154"/>
      <c r="G218" s="161"/>
      <c r="H218" s="162"/>
      <c r="I218" s="154"/>
      <c r="J218" s="154"/>
    </row>
    <row r="219" spans="5:10" x14ac:dyDescent="0.25">
      <c r="E219" s="154"/>
      <c r="G219" s="161"/>
      <c r="H219" s="162"/>
      <c r="I219" s="154"/>
      <c r="J219" s="154"/>
    </row>
    <row r="220" spans="5:10" x14ac:dyDescent="0.25">
      <c r="E220" s="154"/>
      <c r="G220" s="161"/>
      <c r="H220" s="162"/>
      <c r="I220" s="154"/>
      <c r="J220" s="154"/>
    </row>
    <row r="221" spans="5:10" x14ac:dyDescent="0.25">
      <c r="E221" s="154"/>
      <c r="G221" s="161"/>
      <c r="H221" s="162"/>
      <c r="I221" s="154"/>
      <c r="J221" s="154"/>
    </row>
    <row r="222" spans="5:10" x14ac:dyDescent="0.25">
      <c r="E222" s="154"/>
      <c r="G222" s="161"/>
      <c r="H222" s="162"/>
      <c r="I222" s="154"/>
      <c r="J222" s="154"/>
    </row>
    <row r="223" spans="5:10" x14ac:dyDescent="0.25">
      <c r="E223" s="154"/>
      <c r="G223" s="161"/>
      <c r="H223" s="162"/>
      <c r="I223" s="154"/>
      <c r="J223" s="154"/>
    </row>
    <row r="224" spans="5:10" x14ac:dyDescent="0.25">
      <c r="E224" s="154"/>
      <c r="G224" s="161"/>
      <c r="H224" s="162"/>
      <c r="I224" s="154"/>
      <c r="J224" s="154"/>
    </row>
    <row r="225" spans="5:10" x14ac:dyDescent="0.25">
      <c r="E225" s="154"/>
      <c r="G225" s="161"/>
      <c r="H225" s="162"/>
      <c r="I225" s="154"/>
      <c r="J225" s="154"/>
    </row>
    <row r="226" spans="5:10" x14ac:dyDescent="0.25">
      <c r="E226" s="154"/>
      <c r="G226" s="161"/>
      <c r="H226" s="162"/>
      <c r="I226" s="154"/>
      <c r="J226" s="154"/>
    </row>
    <row r="227" spans="5:10" x14ac:dyDescent="0.25">
      <c r="E227" s="154"/>
      <c r="G227" s="161"/>
      <c r="H227" s="162"/>
      <c r="I227" s="154"/>
      <c r="J227" s="154"/>
    </row>
    <row r="228" spans="5:10" x14ac:dyDescent="0.25">
      <c r="E228" s="154"/>
      <c r="G228" s="161"/>
      <c r="H228" s="162"/>
      <c r="I228" s="154"/>
      <c r="J228" s="154"/>
    </row>
    <row r="229" spans="5:10" x14ac:dyDescent="0.25">
      <c r="E229" s="154"/>
      <c r="G229" s="161"/>
      <c r="H229" s="162"/>
      <c r="I229" s="154"/>
      <c r="J229" s="154"/>
    </row>
    <row r="230" spans="5:10" x14ac:dyDescent="0.25">
      <c r="E230" s="154"/>
      <c r="G230" s="161"/>
      <c r="H230" s="162"/>
      <c r="I230" s="154"/>
      <c r="J230" s="154"/>
    </row>
    <row r="231" spans="5:10" x14ac:dyDescent="0.25">
      <c r="E231" s="154"/>
      <c r="G231" s="161"/>
      <c r="H231" s="162"/>
      <c r="I231" s="154"/>
      <c r="J231" s="154"/>
    </row>
    <row r="232" spans="5:10" x14ac:dyDescent="0.25">
      <c r="E232" s="154"/>
      <c r="G232" s="161"/>
      <c r="H232" s="162"/>
      <c r="I232" s="154"/>
      <c r="J232" s="154"/>
    </row>
    <row r="233" spans="5:10" x14ac:dyDescent="0.25">
      <c r="E233" s="154"/>
      <c r="G233" s="161"/>
      <c r="H233" s="162"/>
      <c r="I233" s="154"/>
      <c r="J233" s="154"/>
    </row>
    <row r="234" spans="5:10" x14ac:dyDescent="0.25">
      <c r="E234" s="154"/>
      <c r="G234" s="161"/>
      <c r="H234" s="162"/>
      <c r="I234" s="154"/>
      <c r="J234" s="154"/>
    </row>
    <row r="235" spans="5:10" x14ac:dyDescent="0.25">
      <c r="E235" s="154"/>
      <c r="G235" s="161"/>
      <c r="H235" s="162"/>
      <c r="I235" s="154"/>
      <c r="J235" s="154"/>
    </row>
    <row r="236" spans="5:10" x14ac:dyDescent="0.25">
      <c r="E236" s="154"/>
      <c r="G236" s="161"/>
      <c r="H236" s="162"/>
      <c r="I236" s="154"/>
      <c r="J236" s="154"/>
    </row>
    <row r="237" spans="5:10" x14ac:dyDescent="0.25">
      <c r="E237" s="154"/>
      <c r="G237" s="161"/>
      <c r="H237" s="162"/>
      <c r="I237" s="154"/>
      <c r="J237" s="154"/>
    </row>
    <row r="238" spans="5:10" x14ac:dyDescent="0.25">
      <c r="E238" s="154"/>
      <c r="G238" s="161"/>
      <c r="H238" s="162"/>
      <c r="I238" s="154"/>
      <c r="J238" s="154"/>
    </row>
    <row r="239" spans="5:10" x14ac:dyDescent="0.25">
      <c r="E239" s="154"/>
      <c r="G239" s="161"/>
      <c r="H239" s="162"/>
      <c r="I239" s="154"/>
      <c r="J239" s="154"/>
    </row>
    <row r="240" spans="5:10" x14ac:dyDescent="0.25">
      <c r="E240" s="154"/>
      <c r="G240" s="161"/>
      <c r="H240" s="162"/>
      <c r="I240" s="154"/>
      <c r="J240" s="154"/>
    </row>
    <row r="241" spans="5:10" x14ac:dyDescent="0.25">
      <c r="E241" s="154"/>
      <c r="G241" s="161"/>
      <c r="H241" s="162"/>
      <c r="I241" s="154"/>
      <c r="J241" s="154"/>
    </row>
    <row r="242" spans="5:10" x14ac:dyDescent="0.25">
      <c r="E242" s="154"/>
      <c r="G242" s="161"/>
      <c r="H242" s="162"/>
      <c r="I242" s="154"/>
      <c r="J242" s="154"/>
    </row>
    <row r="243" spans="5:10" x14ac:dyDescent="0.25">
      <c r="E243" s="154"/>
      <c r="G243" s="161"/>
      <c r="H243" s="162"/>
      <c r="I243" s="154"/>
      <c r="J243" s="154"/>
    </row>
    <row r="244" spans="5:10" x14ac:dyDescent="0.25">
      <c r="E244" s="154"/>
      <c r="G244" s="161"/>
      <c r="H244" s="162"/>
      <c r="I244" s="154"/>
      <c r="J244" s="154"/>
    </row>
    <row r="245" spans="5:10" x14ac:dyDescent="0.25">
      <c r="E245" s="154"/>
      <c r="G245" s="161"/>
      <c r="H245" s="162"/>
      <c r="I245" s="154"/>
      <c r="J245" s="154"/>
    </row>
    <row r="246" spans="5:10" x14ac:dyDescent="0.25">
      <c r="E246" s="154"/>
      <c r="G246" s="161"/>
      <c r="H246" s="162"/>
      <c r="I246" s="154"/>
      <c r="J246" s="154"/>
    </row>
    <row r="247" spans="5:10" x14ac:dyDescent="0.25">
      <c r="E247" s="154"/>
      <c r="G247" s="161"/>
      <c r="H247" s="162"/>
      <c r="I247" s="154"/>
      <c r="J247" s="154"/>
    </row>
    <row r="248" spans="5:10" x14ac:dyDescent="0.25">
      <c r="E248" s="154"/>
      <c r="G248" s="161"/>
      <c r="H248" s="162"/>
      <c r="I248" s="154"/>
      <c r="J248" s="154"/>
    </row>
    <row r="249" spans="5:10" x14ac:dyDescent="0.25">
      <c r="E249" s="154"/>
      <c r="G249" s="161"/>
      <c r="H249" s="162"/>
      <c r="I249" s="154"/>
      <c r="J249" s="154"/>
    </row>
    <row r="250" spans="5:10" x14ac:dyDescent="0.25">
      <c r="E250" s="154"/>
      <c r="G250" s="161"/>
      <c r="H250" s="162"/>
      <c r="I250" s="154"/>
      <c r="J250" s="154"/>
    </row>
    <row r="251" spans="5:10" x14ac:dyDescent="0.25">
      <c r="E251" s="154"/>
      <c r="G251" s="161"/>
      <c r="H251" s="162"/>
      <c r="I251" s="154"/>
      <c r="J251" s="154"/>
    </row>
    <row r="252" spans="5:10" x14ac:dyDescent="0.25">
      <c r="E252" s="154"/>
      <c r="G252" s="161"/>
      <c r="H252" s="162"/>
      <c r="I252" s="154"/>
      <c r="J252" s="154"/>
    </row>
    <row r="253" spans="5:10" x14ac:dyDescent="0.25">
      <c r="E253" s="154"/>
      <c r="G253" s="161"/>
      <c r="H253" s="162"/>
      <c r="I253" s="154"/>
      <c r="J253" s="154"/>
    </row>
    <row r="254" spans="5:10" x14ac:dyDescent="0.25">
      <c r="E254" s="154"/>
      <c r="G254" s="161"/>
      <c r="H254" s="162"/>
      <c r="I254" s="154"/>
      <c r="J254" s="154"/>
    </row>
    <row r="255" spans="5:10" x14ac:dyDescent="0.25">
      <c r="E255" s="154"/>
      <c r="G255" s="161"/>
      <c r="H255" s="162"/>
      <c r="I255" s="154"/>
      <c r="J255" s="154"/>
    </row>
    <row r="256" spans="5:10" x14ac:dyDescent="0.25">
      <c r="E256" s="154"/>
      <c r="G256" s="161"/>
      <c r="H256" s="162"/>
      <c r="I256" s="154"/>
      <c r="J256" s="154"/>
    </row>
    <row r="257" spans="5:10" x14ac:dyDescent="0.25">
      <c r="E257" s="154"/>
      <c r="G257" s="161"/>
      <c r="H257" s="162"/>
      <c r="I257" s="154"/>
      <c r="J257" s="154"/>
    </row>
    <row r="258" spans="5:10" x14ac:dyDescent="0.25">
      <c r="E258" s="154"/>
      <c r="G258" s="161"/>
      <c r="H258" s="162"/>
      <c r="I258" s="154"/>
      <c r="J258" s="154"/>
    </row>
    <row r="259" spans="5:10" x14ac:dyDescent="0.25">
      <c r="E259" s="154"/>
      <c r="G259" s="161"/>
      <c r="H259" s="162"/>
      <c r="I259" s="154"/>
      <c r="J259" s="154"/>
    </row>
    <row r="260" spans="5:10" x14ac:dyDescent="0.25">
      <c r="E260" s="154"/>
      <c r="G260" s="161"/>
      <c r="H260" s="162"/>
      <c r="I260" s="154"/>
      <c r="J260" s="154"/>
    </row>
    <row r="261" spans="5:10" x14ac:dyDescent="0.25">
      <c r="E261" s="154"/>
      <c r="G261" s="161"/>
      <c r="H261" s="162"/>
      <c r="I261" s="154"/>
      <c r="J261" s="154"/>
    </row>
    <row r="262" spans="5:10" x14ac:dyDescent="0.25">
      <c r="E262" s="154"/>
      <c r="G262" s="161"/>
      <c r="H262" s="162"/>
      <c r="I262" s="154"/>
      <c r="J262" s="154"/>
    </row>
    <row r="263" spans="5:10" x14ac:dyDescent="0.25">
      <c r="E263" s="154"/>
      <c r="G263" s="161"/>
      <c r="H263" s="162"/>
      <c r="I263" s="154"/>
      <c r="J263" s="154"/>
    </row>
    <row r="264" spans="5:10" x14ac:dyDescent="0.25">
      <c r="E264" s="154"/>
      <c r="G264" s="161"/>
      <c r="H264" s="162"/>
      <c r="I264" s="154"/>
      <c r="J264" s="154"/>
    </row>
    <row r="265" spans="5:10" x14ac:dyDescent="0.25">
      <c r="E265" s="154"/>
      <c r="G265" s="161"/>
      <c r="H265" s="162"/>
      <c r="I265" s="154"/>
      <c r="J265" s="154"/>
    </row>
    <row r="266" spans="5:10" x14ac:dyDescent="0.25">
      <c r="E266" s="154"/>
      <c r="G266" s="161"/>
      <c r="H266" s="162"/>
      <c r="I266" s="154"/>
      <c r="J266" s="154"/>
    </row>
    <row r="267" spans="5:10" x14ac:dyDescent="0.25">
      <c r="E267" s="154"/>
      <c r="G267" s="161"/>
      <c r="H267" s="162"/>
      <c r="I267" s="154"/>
      <c r="J267" s="154"/>
    </row>
    <row r="268" spans="5:10" x14ac:dyDescent="0.25">
      <c r="E268" s="154"/>
      <c r="G268" s="161"/>
      <c r="H268" s="162"/>
      <c r="I268" s="154"/>
      <c r="J268" s="154"/>
    </row>
    <row r="269" spans="5:10" x14ac:dyDescent="0.25">
      <c r="E269" s="154"/>
      <c r="G269" s="161"/>
      <c r="H269" s="162"/>
      <c r="I269" s="154"/>
      <c r="J269" s="154"/>
    </row>
    <row r="270" spans="5:10" x14ac:dyDescent="0.25">
      <c r="E270" s="154"/>
      <c r="G270" s="161"/>
      <c r="H270" s="162"/>
      <c r="I270" s="154"/>
      <c r="J270" s="154"/>
    </row>
    <row r="271" spans="5:10" x14ac:dyDescent="0.25">
      <c r="E271" s="154"/>
      <c r="G271" s="161"/>
      <c r="H271" s="162"/>
      <c r="I271" s="154"/>
      <c r="J271" s="154"/>
    </row>
    <row r="272" spans="5:10" x14ac:dyDescent="0.25">
      <c r="E272" s="154"/>
      <c r="G272" s="161"/>
      <c r="H272" s="162"/>
      <c r="I272" s="154"/>
      <c r="J272" s="154"/>
    </row>
    <row r="273" spans="5:10" x14ac:dyDescent="0.25">
      <c r="E273" s="154"/>
      <c r="G273" s="161"/>
      <c r="H273" s="162"/>
      <c r="I273" s="154"/>
      <c r="J273" s="154"/>
    </row>
    <row r="274" spans="5:10" x14ac:dyDescent="0.25">
      <c r="E274" s="154"/>
      <c r="G274" s="161"/>
      <c r="H274" s="162"/>
      <c r="I274" s="154"/>
      <c r="J274" s="154"/>
    </row>
    <row r="275" spans="5:10" x14ac:dyDescent="0.25">
      <c r="E275" s="154"/>
      <c r="G275" s="161"/>
      <c r="H275" s="162"/>
      <c r="I275" s="154"/>
      <c r="J275" s="154"/>
    </row>
    <row r="276" spans="5:10" x14ac:dyDescent="0.25">
      <c r="E276" s="154"/>
      <c r="G276" s="161"/>
      <c r="H276" s="162"/>
      <c r="I276" s="154"/>
      <c r="J276" s="154"/>
    </row>
    <row r="277" spans="5:10" x14ac:dyDescent="0.25">
      <c r="E277" s="154"/>
      <c r="G277" s="161"/>
      <c r="H277" s="162"/>
      <c r="I277" s="154"/>
      <c r="J277" s="154"/>
    </row>
    <row r="278" spans="5:10" x14ac:dyDescent="0.25">
      <c r="E278" s="154"/>
      <c r="G278" s="161"/>
      <c r="H278" s="162"/>
      <c r="I278" s="154"/>
      <c r="J278" s="154"/>
    </row>
    <row r="279" spans="5:10" x14ac:dyDescent="0.25">
      <c r="E279" s="154"/>
      <c r="G279" s="161"/>
      <c r="H279" s="162"/>
      <c r="I279" s="154"/>
      <c r="J279" s="154"/>
    </row>
    <row r="280" spans="5:10" x14ac:dyDescent="0.25">
      <c r="E280" s="154"/>
      <c r="G280" s="161"/>
      <c r="H280" s="162"/>
      <c r="I280" s="154"/>
      <c r="J280" s="154"/>
    </row>
    <row r="281" spans="5:10" x14ac:dyDescent="0.25">
      <c r="E281" s="154"/>
      <c r="G281" s="161"/>
      <c r="H281" s="162"/>
      <c r="I281" s="154"/>
      <c r="J281" s="154"/>
    </row>
    <row r="282" spans="5:10" x14ac:dyDescent="0.25">
      <c r="E282" s="154"/>
      <c r="G282" s="161"/>
      <c r="H282" s="162"/>
      <c r="I282" s="154"/>
      <c r="J282" s="154"/>
    </row>
    <row r="283" spans="5:10" x14ac:dyDescent="0.25">
      <c r="E283" s="154"/>
      <c r="G283" s="161"/>
      <c r="H283" s="162"/>
      <c r="I283" s="154"/>
      <c r="J283" s="154"/>
    </row>
    <row r="284" spans="5:10" x14ac:dyDescent="0.25">
      <c r="E284" s="154"/>
      <c r="G284" s="161"/>
      <c r="H284" s="162"/>
      <c r="I284" s="154"/>
      <c r="J284" s="154"/>
    </row>
    <row r="285" spans="5:10" x14ac:dyDescent="0.25">
      <c r="E285" s="154"/>
      <c r="G285" s="161"/>
      <c r="H285" s="162"/>
      <c r="I285" s="154"/>
      <c r="J285" s="154"/>
    </row>
    <row r="286" spans="5:10" x14ac:dyDescent="0.25">
      <c r="E286" s="154"/>
      <c r="G286" s="161"/>
      <c r="H286" s="162"/>
      <c r="I286" s="154"/>
      <c r="J286" s="154"/>
    </row>
    <row r="287" spans="5:10" x14ac:dyDescent="0.25">
      <c r="E287" s="154"/>
      <c r="G287" s="161"/>
      <c r="H287" s="162"/>
      <c r="I287" s="154"/>
      <c r="J287" s="154"/>
    </row>
    <row r="288" spans="5:10" x14ac:dyDescent="0.25">
      <c r="E288" s="154"/>
      <c r="G288" s="161"/>
      <c r="H288" s="162"/>
      <c r="I288" s="154"/>
      <c r="J288" s="154"/>
    </row>
    <row r="289" spans="5:10" x14ac:dyDescent="0.25">
      <c r="E289" s="154"/>
      <c r="G289" s="161"/>
      <c r="H289" s="162"/>
      <c r="I289" s="154"/>
      <c r="J289" s="154"/>
    </row>
    <row r="290" spans="5:10" x14ac:dyDescent="0.25">
      <c r="E290" s="154"/>
      <c r="G290" s="161"/>
      <c r="H290" s="162"/>
      <c r="I290" s="154"/>
      <c r="J290" s="154"/>
    </row>
    <row r="291" spans="5:10" x14ac:dyDescent="0.25">
      <c r="E291" s="154"/>
      <c r="G291" s="161"/>
      <c r="H291" s="162"/>
      <c r="I291" s="154"/>
      <c r="J291" s="154"/>
    </row>
    <row r="292" spans="5:10" x14ac:dyDescent="0.25">
      <c r="E292" s="154"/>
      <c r="G292" s="161"/>
      <c r="H292" s="162"/>
      <c r="I292" s="154"/>
      <c r="J292" s="154"/>
    </row>
    <row r="293" spans="5:10" x14ac:dyDescent="0.25">
      <c r="E293" s="154"/>
      <c r="G293" s="161"/>
      <c r="H293" s="162"/>
      <c r="I293" s="154"/>
      <c r="J293" s="154"/>
    </row>
    <row r="294" spans="5:10" x14ac:dyDescent="0.25">
      <c r="E294" s="154"/>
      <c r="G294" s="161"/>
      <c r="H294" s="162"/>
      <c r="I294" s="154"/>
      <c r="J294" s="154"/>
    </row>
    <row r="295" spans="5:10" x14ac:dyDescent="0.25">
      <c r="E295" s="154"/>
      <c r="G295" s="161"/>
      <c r="H295" s="162"/>
      <c r="I295" s="154"/>
      <c r="J295" s="154"/>
    </row>
    <row r="296" spans="5:10" x14ac:dyDescent="0.25">
      <c r="E296" s="154"/>
      <c r="G296" s="161"/>
      <c r="H296" s="162"/>
      <c r="I296" s="154"/>
      <c r="J296" s="154"/>
    </row>
    <row r="297" spans="5:10" x14ac:dyDescent="0.25">
      <c r="E297" s="154"/>
      <c r="G297" s="161"/>
      <c r="H297" s="162"/>
      <c r="I297" s="154"/>
      <c r="J297" s="154"/>
    </row>
    <row r="298" spans="5:10" x14ac:dyDescent="0.25">
      <c r="E298" s="154"/>
      <c r="G298" s="161"/>
      <c r="H298" s="162"/>
      <c r="I298" s="154"/>
      <c r="J298" s="154"/>
    </row>
    <row r="299" spans="5:10" x14ac:dyDescent="0.25">
      <c r="E299" s="154"/>
      <c r="G299" s="161"/>
      <c r="H299" s="162"/>
      <c r="I299" s="154"/>
      <c r="J299" s="154"/>
    </row>
    <row r="300" spans="5:10" x14ac:dyDescent="0.25">
      <c r="E300" s="154"/>
      <c r="G300" s="161"/>
      <c r="H300" s="162"/>
      <c r="I300" s="154"/>
      <c r="J300" s="154"/>
    </row>
    <row r="301" spans="5:10" x14ac:dyDescent="0.25">
      <c r="E301" s="154"/>
      <c r="G301" s="161"/>
      <c r="H301" s="162"/>
      <c r="I301" s="154"/>
      <c r="J301" s="154"/>
    </row>
    <row r="302" spans="5:10" x14ac:dyDescent="0.25">
      <c r="E302" s="154"/>
      <c r="G302" s="161"/>
      <c r="H302" s="162"/>
      <c r="I302" s="154"/>
      <c r="J302" s="154"/>
    </row>
    <row r="303" spans="5:10" x14ac:dyDescent="0.25">
      <c r="E303" s="154"/>
      <c r="G303" s="161"/>
      <c r="H303" s="162"/>
      <c r="I303" s="154"/>
      <c r="J303" s="154"/>
    </row>
    <row r="304" spans="5:10" x14ac:dyDescent="0.25">
      <c r="E304" s="154"/>
      <c r="G304" s="161"/>
      <c r="H304" s="162"/>
      <c r="I304" s="154"/>
      <c r="J304" s="154"/>
    </row>
    <row r="305" spans="5:10" x14ac:dyDescent="0.25">
      <c r="E305" s="154"/>
      <c r="G305" s="161"/>
      <c r="H305" s="162"/>
      <c r="I305" s="154"/>
      <c r="J305" s="154"/>
    </row>
    <row r="306" spans="5:10" x14ac:dyDescent="0.25">
      <c r="E306" s="154"/>
      <c r="G306" s="161"/>
      <c r="H306" s="162"/>
      <c r="I306" s="154"/>
      <c r="J306" s="154"/>
    </row>
    <row r="307" spans="5:10" x14ac:dyDescent="0.25">
      <c r="E307" s="154"/>
      <c r="G307" s="161"/>
      <c r="H307" s="162"/>
      <c r="I307" s="154"/>
      <c r="J307" s="154"/>
    </row>
    <row r="308" spans="5:10" x14ac:dyDescent="0.25">
      <c r="E308" s="154"/>
      <c r="G308" s="161"/>
      <c r="H308" s="162"/>
      <c r="I308" s="154"/>
      <c r="J308" s="154"/>
    </row>
    <row r="309" spans="5:10" x14ac:dyDescent="0.25">
      <c r="E309" s="154"/>
      <c r="G309" s="161"/>
      <c r="H309" s="162"/>
      <c r="I309" s="154"/>
      <c r="J309" s="154"/>
    </row>
    <row r="310" spans="5:10" x14ac:dyDescent="0.25">
      <c r="E310" s="154"/>
      <c r="G310" s="161"/>
      <c r="H310" s="162"/>
      <c r="I310" s="154"/>
      <c r="J310" s="154"/>
    </row>
    <row r="311" spans="5:10" x14ac:dyDescent="0.25">
      <c r="E311" s="154"/>
      <c r="G311" s="161"/>
      <c r="H311" s="162"/>
      <c r="I311" s="154"/>
      <c r="J311" s="154"/>
    </row>
    <row r="312" spans="5:10" x14ac:dyDescent="0.25">
      <c r="E312" s="154"/>
      <c r="G312" s="161"/>
      <c r="H312" s="162"/>
      <c r="I312" s="154"/>
      <c r="J312" s="154"/>
    </row>
    <row r="313" spans="5:10" x14ac:dyDescent="0.25">
      <c r="E313" s="154"/>
      <c r="G313" s="161"/>
      <c r="H313" s="162"/>
      <c r="I313" s="154"/>
      <c r="J313" s="154"/>
    </row>
    <row r="314" spans="5:10" x14ac:dyDescent="0.25">
      <c r="E314" s="154"/>
      <c r="G314" s="161"/>
      <c r="H314" s="162"/>
      <c r="I314" s="154"/>
      <c r="J314" s="154"/>
    </row>
    <row r="315" spans="5:10" x14ac:dyDescent="0.25">
      <c r="E315" s="154"/>
      <c r="G315" s="161"/>
      <c r="H315" s="162"/>
      <c r="I315" s="154"/>
      <c r="J315" s="154"/>
    </row>
    <row r="316" spans="5:10" x14ac:dyDescent="0.25">
      <c r="E316" s="154"/>
      <c r="G316" s="161"/>
      <c r="H316" s="162"/>
      <c r="I316" s="154"/>
      <c r="J316" s="154"/>
    </row>
    <row r="317" spans="5:10" x14ac:dyDescent="0.25">
      <c r="E317" s="154"/>
      <c r="G317" s="161"/>
      <c r="H317" s="162"/>
      <c r="I317" s="154"/>
      <c r="J317" s="154"/>
    </row>
    <row r="318" spans="5:10" x14ac:dyDescent="0.25">
      <c r="E318" s="154"/>
      <c r="G318" s="161"/>
      <c r="H318" s="162"/>
      <c r="I318" s="154"/>
      <c r="J318" s="154"/>
    </row>
    <row r="319" spans="5:10" x14ac:dyDescent="0.25">
      <c r="E319" s="154"/>
      <c r="G319" s="161"/>
      <c r="H319" s="162"/>
      <c r="I319" s="154"/>
      <c r="J319" s="154"/>
    </row>
    <row r="320" spans="5:10" x14ac:dyDescent="0.25">
      <c r="E320" s="154"/>
      <c r="G320" s="161"/>
      <c r="H320" s="162"/>
      <c r="I320" s="154"/>
      <c r="J320" s="154"/>
    </row>
    <row r="321" spans="5:10" x14ac:dyDescent="0.25">
      <c r="E321" s="154"/>
      <c r="G321" s="161"/>
      <c r="H321" s="162"/>
      <c r="I321" s="154"/>
      <c r="J321" s="154"/>
    </row>
    <row r="322" spans="5:10" x14ac:dyDescent="0.25">
      <c r="E322" s="154"/>
      <c r="G322" s="161"/>
      <c r="H322" s="162"/>
      <c r="I322" s="154"/>
      <c r="J322" s="154"/>
    </row>
    <row r="323" spans="5:10" x14ac:dyDescent="0.25">
      <c r="E323" s="154"/>
      <c r="G323" s="161"/>
      <c r="H323" s="162"/>
      <c r="I323" s="154"/>
      <c r="J323" s="154"/>
    </row>
    <row r="324" spans="5:10" x14ac:dyDescent="0.25">
      <c r="E324" s="154"/>
      <c r="G324" s="161"/>
      <c r="H324" s="162"/>
      <c r="I324" s="154"/>
      <c r="J324" s="154"/>
    </row>
    <row r="325" spans="5:10" x14ac:dyDescent="0.25">
      <c r="E325" s="154"/>
      <c r="G325" s="161"/>
      <c r="H325" s="162"/>
      <c r="I325" s="154"/>
      <c r="J325" s="154"/>
    </row>
    <row r="326" spans="5:10" x14ac:dyDescent="0.25">
      <c r="E326" s="154"/>
      <c r="G326" s="161"/>
      <c r="H326" s="162"/>
      <c r="I326" s="154"/>
      <c r="J326" s="154"/>
    </row>
    <row r="327" spans="5:10" x14ac:dyDescent="0.25">
      <c r="E327" s="154"/>
      <c r="G327" s="161"/>
      <c r="H327" s="162"/>
      <c r="I327" s="154"/>
      <c r="J327" s="154"/>
    </row>
    <row r="328" spans="5:10" x14ac:dyDescent="0.25">
      <c r="E328" s="154"/>
      <c r="G328" s="161"/>
      <c r="H328" s="162"/>
      <c r="I328" s="154"/>
      <c r="J328" s="154"/>
    </row>
    <row r="329" spans="5:10" x14ac:dyDescent="0.25">
      <c r="E329" s="154"/>
      <c r="G329" s="161"/>
      <c r="H329" s="162"/>
      <c r="I329" s="154"/>
      <c r="J329" s="154"/>
    </row>
    <row r="330" spans="5:10" x14ac:dyDescent="0.25">
      <c r="E330" s="154"/>
      <c r="G330" s="161"/>
      <c r="H330" s="162"/>
      <c r="I330" s="154"/>
      <c r="J330" s="154"/>
    </row>
    <row r="331" spans="5:10" x14ac:dyDescent="0.25">
      <c r="E331" s="154"/>
      <c r="G331" s="161"/>
      <c r="H331" s="162"/>
      <c r="I331" s="154"/>
      <c r="J331" s="154"/>
    </row>
    <row r="332" spans="5:10" x14ac:dyDescent="0.25">
      <c r="E332" s="154"/>
      <c r="G332" s="161"/>
      <c r="H332" s="162"/>
      <c r="I332" s="154"/>
      <c r="J332" s="154"/>
    </row>
    <row r="333" spans="5:10" x14ac:dyDescent="0.25">
      <c r="E333" s="154"/>
      <c r="G333" s="161"/>
      <c r="H333" s="162"/>
      <c r="I333" s="154"/>
      <c r="J333" s="154"/>
    </row>
    <row r="334" spans="5:10" x14ac:dyDescent="0.25">
      <c r="E334" s="154"/>
      <c r="G334" s="161"/>
      <c r="H334" s="162"/>
      <c r="I334" s="154"/>
      <c r="J334" s="154"/>
    </row>
    <row r="335" spans="5:10" x14ac:dyDescent="0.25">
      <c r="E335" s="154"/>
      <c r="G335" s="161"/>
      <c r="H335" s="162"/>
      <c r="I335" s="154"/>
      <c r="J335" s="154"/>
    </row>
    <row r="336" spans="5:10" x14ac:dyDescent="0.25">
      <c r="E336" s="154"/>
      <c r="G336" s="161"/>
      <c r="H336" s="162"/>
      <c r="I336" s="154"/>
      <c r="J336" s="154"/>
    </row>
    <row r="337" spans="5:10" x14ac:dyDescent="0.25">
      <c r="E337" s="154"/>
      <c r="G337" s="161"/>
      <c r="H337" s="162"/>
      <c r="I337" s="154"/>
      <c r="J337" s="154"/>
    </row>
    <row r="338" spans="5:10" x14ac:dyDescent="0.25">
      <c r="E338" s="154"/>
      <c r="G338" s="161"/>
      <c r="H338" s="162"/>
      <c r="I338" s="154"/>
      <c r="J338" s="154"/>
    </row>
    <row r="339" spans="5:10" x14ac:dyDescent="0.25">
      <c r="E339" s="154"/>
      <c r="G339" s="161"/>
      <c r="H339" s="162"/>
      <c r="I339" s="154"/>
      <c r="J339" s="154"/>
    </row>
    <row r="340" spans="5:10" x14ac:dyDescent="0.25">
      <c r="E340" s="154"/>
      <c r="G340" s="161"/>
      <c r="H340" s="162"/>
      <c r="I340" s="154"/>
      <c r="J340" s="154"/>
    </row>
    <row r="341" spans="5:10" x14ac:dyDescent="0.25">
      <c r="E341" s="154"/>
      <c r="G341" s="161"/>
      <c r="H341" s="162"/>
      <c r="I341" s="154"/>
      <c r="J341" s="154"/>
    </row>
    <row r="342" spans="5:10" x14ac:dyDescent="0.25">
      <c r="E342" s="154"/>
      <c r="G342" s="161"/>
      <c r="H342" s="162"/>
      <c r="I342" s="154"/>
      <c r="J342" s="154"/>
    </row>
    <row r="343" spans="5:10" x14ac:dyDescent="0.25">
      <c r="E343" s="154"/>
      <c r="G343" s="161"/>
      <c r="H343" s="162"/>
      <c r="I343" s="154"/>
      <c r="J343" s="154"/>
    </row>
    <row r="344" spans="5:10" x14ac:dyDescent="0.25">
      <c r="E344" s="154"/>
      <c r="G344" s="161"/>
      <c r="H344" s="162"/>
      <c r="I344" s="154"/>
      <c r="J344" s="154"/>
    </row>
    <row r="345" spans="5:10" x14ac:dyDescent="0.25">
      <c r="E345" s="154"/>
      <c r="G345" s="161"/>
      <c r="H345" s="162"/>
      <c r="I345" s="154"/>
      <c r="J345" s="154"/>
    </row>
    <row r="346" spans="5:10" x14ac:dyDescent="0.25">
      <c r="E346" s="154"/>
      <c r="G346" s="161"/>
      <c r="H346" s="162"/>
      <c r="I346" s="154"/>
      <c r="J346" s="154"/>
    </row>
    <row r="347" spans="5:10" x14ac:dyDescent="0.25">
      <c r="E347" s="154"/>
      <c r="G347" s="161"/>
      <c r="H347" s="162"/>
      <c r="I347" s="154"/>
      <c r="J347" s="154"/>
    </row>
    <row r="348" spans="5:10" x14ac:dyDescent="0.25">
      <c r="E348" s="154"/>
      <c r="G348" s="161"/>
      <c r="H348" s="162"/>
      <c r="I348" s="154"/>
      <c r="J348" s="154"/>
    </row>
    <row r="349" spans="5:10" x14ac:dyDescent="0.25">
      <c r="E349" s="154"/>
      <c r="G349" s="161"/>
      <c r="H349" s="162"/>
      <c r="I349" s="154"/>
      <c r="J349" s="154"/>
    </row>
    <row r="350" spans="5:10" x14ac:dyDescent="0.25">
      <c r="E350" s="154"/>
      <c r="G350" s="161"/>
      <c r="H350" s="162"/>
      <c r="I350" s="154"/>
      <c r="J350" s="154"/>
    </row>
    <row r="351" spans="5:10" x14ac:dyDescent="0.25">
      <c r="E351" s="154"/>
      <c r="G351" s="161"/>
      <c r="H351" s="162"/>
      <c r="I351" s="154"/>
      <c r="J351" s="154"/>
    </row>
    <row r="352" spans="5:10" x14ac:dyDescent="0.25">
      <c r="E352" s="154"/>
      <c r="G352" s="161"/>
      <c r="H352" s="162"/>
      <c r="I352" s="154"/>
      <c r="J352" s="154"/>
    </row>
    <row r="353" spans="5:10" x14ac:dyDescent="0.25">
      <c r="E353" s="154"/>
      <c r="G353" s="161"/>
      <c r="H353" s="162"/>
      <c r="I353" s="154"/>
      <c r="J353" s="154"/>
    </row>
    <row r="354" spans="5:10" x14ac:dyDescent="0.25">
      <c r="E354" s="154"/>
      <c r="G354" s="161"/>
      <c r="H354" s="162"/>
      <c r="I354" s="154"/>
      <c r="J354" s="154"/>
    </row>
    <row r="355" spans="5:10" x14ac:dyDescent="0.25">
      <c r="E355" s="154"/>
      <c r="G355" s="161"/>
      <c r="H355" s="162"/>
      <c r="I355" s="154"/>
      <c r="J355" s="154"/>
    </row>
    <row r="356" spans="5:10" x14ac:dyDescent="0.25">
      <c r="E356" s="154"/>
      <c r="G356" s="161"/>
      <c r="H356" s="162"/>
      <c r="I356" s="154"/>
      <c r="J356" s="154"/>
    </row>
    <row r="357" spans="5:10" x14ac:dyDescent="0.25">
      <c r="E357" s="154"/>
      <c r="G357" s="161"/>
      <c r="H357" s="162"/>
      <c r="I357" s="154"/>
      <c r="J357" s="154"/>
    </row>
    <row r="358" spans="5:10" x14ac:dyDescent="0.25">
      <c r="E358" s="154"/>
      <c r="G358" s="161"/>
      <c r="H358" s="162"/>
      <c r="I358" s="154"/>
      <c r="J358" s="154"/>
    </row>
    <row r="359" spans="5:10" x14ac:dyDescent="0.25">
      <c r="E359" s="154"/>
      <c r="G359" s="161"/>
      <c r="H359" s="162"/>
      <c r="I359" s="154"/>
      <c r="J359" s="154"/>
    </row>
    <row r="360" spans="5:10" x14ac:dyDescent="0.25">
      <c r="E360" s="154"/>
      <c r="G360" s="161"/>
      <c r="H360" s="162"/>
      <c r="I360" s="154"/>
      <c r="J360" s="154"/>
    </row>
    <row r="361" spans="5:10" x14ac:dyDescent="0.25">
      <c r="E361" s="154"/>
      <c r="G361" s="161"/>
      <c r="H361" s="162"/>
      <c r="I361" s="154"/>
      <c r="J361" s="154"/>
    </row>
    <row r="362" spans="5:10" x14ac:dyDescent="0.25">
      <c r="E362" s="154"/>
      <c r="G362" s="161"/>
      <c r="H362" s="162"/>
      <c r="I362" s="154"/>
      <c r="J362" s="154"/>
    </row>
    <row r="363" spans="5:10" x14ac:dyDescent="0.25">
      <c r="E363" s="154"/>
      <c r="G363" s="161"/>
      <c r="H363" s="162"/>
      <c r="I363" s="154"/>
      <c r="J363" s="154"/>
    </row>
    <row r="364" spans="5:10" x14ac:dyDescent="0.25">
      <c r="E364" s="154"/>
      <c r="G364" s="161"/>
      <c r="H364" s="162"/>
      <c r="I364" s="154"/>
      <c r="J364" s="154"/>
    </row>
    <row r="365" spans="5:10" x14ac:dyDescent="0.25">
      <c r="E365" s="154"/>
      <c r="G365" s="161"/>
      <c r="H365" s="162"/>
      <c r="I365" s="154"/>
      <c r="J365" s="154"/>
    </row>
    <row r="366" spans="5:10" x14ac:dyDescent="0.25">
      <c r="E366" s="154"/>
      <c r="G366" s="161"/>
      <c r="H366" s="162"/>
      <c r="I366" s="154"/>
      <c r="J366" s="154"/>
    </row>
    <row r="367" spans="5:10" x14ac:dyDescent="0.25">
      <c r="E367" s="154"/>
      <c r="G367" s="161"/>
      <c r="H367" s="162"/>
      <c r="I367" s="154"/>
      <c r="J367" s="154"/>
    </row>
    <row r="368" spans="5:10" x14ac:dyDescent="0.25">
      <c r="E368" s="154"/>
      <c r="G368" s="161"/>
      <c r="H368" s="162"/>
      <c r="I368" s="154"/>
      <c r="J368" s="154"/>
    </row>
    <row r="369" spans="5:10" x14ac:dyDescent="0.25">
      <c r="E369" s="154"/>
      <c r="G369" s="161"/>
      <c r="H369" s="162"/>
      <c r="I369" s="154"/>
      <c r="J369" s="154"/>
    </row>
    <row r="370" spans="5:10" x14ac:dyDescent="0.25">
      <c r="E370" s="154"/>
      <c r="G370" s="161"/>
      <c r="H370" s="162"/>
      <c r="I370" s="154"/>
      <c r="J370" s="154"/>
    </row>
    <row r="371" spans="5:10" x14ac:dyDescent="0.25">
      <c r="E371" s="154"/>
      <c r="G371" s="161"/>
      <c r="H371" s="162"/>
      <c r="I371" s="154"/>
      <c r="J371" s="154"/>
    </row>
    <row r="372" spans="5:10" x14ac:dyDescent="0.25">
      <c r="E372" s="154"/>
      <c r="G372" s="161"/>
      <c r="H372" s="162"/>
      <c r="I372" s="154"/>
      <c r="J372" s="154"/>
    </row>
    <row r="373" spans="5:10" x14ac:dyDescent="0.25">
      <c r="E373" s="154"/>
      <c r="G373" s="161"/>
      <c r="H373" s="162"/>
      <c r="I373" s="154"/>
      <c r="J373" s="154"/>
    </row>
    <row r="374" spans="5:10" x14ac:dyDescent="0.25">
      <c r="E374" s="154"/>
      <c r="G374" s="161"/>
      <c r="H374" s="162"/>
      <c r="I374" s="154"/>
      <c r="J374" s="154"/>
    </row>
    <row r="375" spans="5:10" x14ac:dyDescent="0.25">
      <c r="E375" s="154"/>
      <c r="G375" s="161"/>
      <c r="H375" s="162"/>
      <c r="I375" s="154"/>
      <c r="J375" s="154"/>
    </row>
    <row r="376" spans="5:10" x14ac:dyDescent="0.25">
      <c r="E376" s="154"/>
      <c r="G376" s="161"/>
      <c r="H376" s="162"/>
      <c r="I376" s="154"/>
      <c r="J376" s="154"/>
    </row>
    <row r="377" spans="5:10" x14ac:dyDescent="0.25">
      <c r="E377" s="154"/>
      <c r="G377" s="161"/>
      <c r="H377" s="162"/>
      <c r="I377" s="154"/>
      <c r="J377" s="154"/>
    </row>
    <row r="378" spans="5:10" x14ac:dyDescent="0.25">
      <c r="E378" s="154"/>
      <c r="G378" s="161"/>
      <c r="H378" s="162"/>
      <c r="I378" s="154"/>
      <c r="J378" s="154"/>
    </row>
    <row r="379" spans="5:10" x14ac:dyDescent="0.25">
      <c r="E379" s="154"/>
      <c r="G379" s="161"/>
      <c r="H379" s="162"/>
      <c r="I379" s="154"/>
      <c r="J379" s="154"/>
    </row>
    <row r="380" spans="5:10" x14ac:dyDescent="0.25">
      <c r="E380" s="154"/>
      <c r="G380" s="161"/>
      <c r="H380" s="162"/>
      <c r="I380" s="154"/>
      <c r="J380" s="154"/>
    </row>
    <row r="381" spans="5:10" x14ac:dyDescent="0.25">
      <c r="E381" s="154"/>
      <c r="G381" s="161"/>
      <c r="H381" s="162"/>
      <c r="I381" s="154"/>
      <c r="J381" s="154"/>
    </row>
    <row r="382" spans="5:10" x14ac:dyDescent="0.25">
      <c r="E382" s="154"/>
      <c r="G382" s="161"/>
      <c r="H382" s="162"/>
      <c r="I382" s="154"/>
      <c r="J382" s="154"/>
    </row>
    <row r="383" spans="5:10" x14ac:dyDescent="0.25">
      <c r="E383" s="154"/>
      <c r="G383" s="161"/>
      <c r="H383" s="162"/>
      <c r="I383" s="154"/>
      <c r="J383" s="154"/>
    </row>
    <row r="384" spans="5:10" x14ac:dyDescent="0.25">
      <c r="E384" s="154"/>
      <c r="G384" s="161"/>
      <c r="H384" s="162"/>
      <c r="I384" s="154"/>
      <c r="J384" s="154"/>
    </row>
    <row r="385" spans="5:10" x14ac:dyDescent="0.25">
      <c r="E385" s="154"/>
      <c r="G385" s="161"/>
      <c r="H385" s="162"/>
      <c r="I385" s="154"/>
      <c r="J385" s="154"/>
    </row>
    <row r="386" spans="5:10" x14ac:dyDescent="0.25">
      <c r="E386" s="154"/>
      <c r="G386" s="161"/>
      <c r="H386" s="162"/>
      <c r="I386" s="154"/>
      <c r="J386" s="154"/>
    </row>
    <row r="387" spans="5:10" x14ac:dyDescent="0.25">
      <c r="E387" s="154"/>
      <c r="G387" s="161"/>
      <c r="H387" s="162"/>
      <c r="I387" s="154"/>
      <c r="J387" s="154"/>
    </row>
    <row r="388" spans="5:10" x14ac:dyDescent="0.25">
      <c r="E388" s="154"/>
      <c r="G388" s="161"/>
      <c r="H388" s="162"/>
      <c r="I388" s="154"/>
      <c r="J388" s="154"/>
    </row>
    <row r="389" spans="5:10" x14ac:dyDescent="0.25">
      <c r="E389" s="154"/>
      <c r="G389" s="161"/>
      <c r="H389" s="162"/>
      <c r="I389" s="154"/>
      <c r="J389" s="154"/>
    </row>
    <row r="390" spans="5:10" x14ac:dyDescent="0.25">
      <c r="E390" s="154"/>
      <c r="G390" s="161"/>
      <c r="H390" s="162"/>
      <c r="I390" s="154"/>
      <c r="J390" s="154"/>
    </row>
    <row r="391" spans="5:10" x14ac:dyDescent="0.25">
      <c r="E391" s="154"/>
      <c r="G391" s="161"/>
      <c r="H391" s="162"/>
      <c r="I391" s="154"/>
      <c r="J391" s="154"/>
    </row>
    <row r="392" spans="5:10" x14ac:dyDescent="0.25">
      <c r="E392" s="154"/>
      <c r="G392" s="161"/>
      <c r="H392" s="162"/>
      <c r="I392" s="154"/>
      <c r="J392" s="154"/>
    </row>
    <row r="393" spans="5:10" x14ac:dyDescent="0.25">
      <c r="E393" s="154"/>
      <c r="G393" s="161"/>
      <c r="H393" s="162"/>
      <c r="I393" s="154"/>
      <c r="J393" s="154"/>
    </row>
    <row r="394" spans="5:10" x14ac:dyDescent="0.25">
      <c r="E394" s="154"/>
      <c r="G394" s="161"/>
      <c r="H394" s="162"/>
      <c r="I394" s="154"/>
      <c r="J394" s="154"/>
    </row>
    <row r="395" spans="5:10" x14ac:dyDescent="0.25">
      <c r="E395" s="154"/>
      <c r="G395" s="161"/>
      <c r="H395" s="162"/>
      <c r="I395" s="154"/>
      <c r="J395" s="154"/>
    </row>
    <row r="396" spans="5:10" x14ac:dyDescent="0.25">
      <c r="E396" s="154"/>
      <c r="G396" s="161"/>
      <c r="H396" s="162"/>
      <c r="I396" s="154"/>
      <c r="J396" s="154"/>
    </row>
    <row r="397" spans="5:10" x14ac:dyDescent="0.25">
      <c r="E397" s="154"/>
      <c r="G397" s="161"/>
      <c r="H397" s="162"/>
      <c r="I397" s="154"/>
      <c r="J397" s="154"/>
    </row>
    <row r="398" spans="5:10" x14ac:dyDescent="0.25">
      <c r="E398" s="154"/>
      <c r="G398" s="161"/>
      <c r="H398" s="162"/>
      <c r="I398" s="154"/>
      <c r="J398" s="154"/>
    </row>
    <row r="399" spans="5:10" x14ac:dyDescent="0.25">
      <c r="E399" s="154"/>
      <c r="G399" s="161"/>
      <c r="H399" s="162"/>
      <c r="I399" s="154"/>
      <c r="J399" s="154"/>
    </row>
    <row r="400" spans="5:10" x14ac:dyDescent="0.25">
      <c r="E400" s="154"/>
      <c r="G400" s="161"/>
      <c r="H400" s="162"/>
      <c r="I400" s="154"/>
      <c r="J400" s="154"/>
    </row>
    <row r="401" spans="5:10" x14ac:dyDescent="0.25">
      <c r="E401" s="154"/>
      <c r="G401" s="161"/>
      <c r="H401" s="162"/>
      <c r="I401" s="154"/>
      <c r="J401" s="154"/>
    </row>
    <row r="402" spans="5:10" x14ac:dyDescent="0.25">
      <c r="E402" s="154"/>
      <c r="G402" s="161"/>
      <c r="H402" s="162"/>
      <c r="I402" s="154"/>
      <c r="J402" s="154"/>
    </row>
    <row r="403" spans="5:10" x14ac:dyDescent="0.25">
      <c r="E403" s="154"/>
      <c r="G403" s="161"/>
      <c r="H403" s="162"/>
      <c r="I403" s="154"/>
      <c r="J403" s="154"/>
    </row>
    <row r="404" spans="5:10" x14ac:dyDescent="0.25">
      <c r="E404" s="154"/>
      <c r="G404" s="161"/>
      <c r="H404" s="162"/>
      <c r="I404" s="154"/>
      <c r="J404" s="154"/>
    </row>
    <row r="405" spans="5:10" x14ac:dyDescent="0.25">
      <c r="E405" s="154"/>
      <c r="G405" s="161"/>
      <c r="H405" s="162"/>
      <c r="I405" s="154"/>
      <c r="J405" s="154"/>
    </row>
    <row r="406" spans="5:10" x14ac:dyDescent="0.25">
      <c r="E406" s="154"/>
      <c r="G406" s="161"/>
      <c r="H406" s="162"/>
      <c r="I406" s="154"/>
      <c r="J406" s="154"/>
    </row>
    <row r="407" spans="5:10" x14ac:dyDescent="0.25">
      <c r="E407" s="154"/>
      <c r="G407" s="161"/>
      <c r="H407" s="162"/>
      <c r="I407" s="154"/>
      <c r="J407" s="154"/>
    </row>
    <row r="408" spans="5:10" x14ac:dyDescent="0.25">
      <c r="E408" s="154"/>
      <c r="G408" s="161"/>
      <c r="H408" s="162"/>
      <c r="I408" s="154"/>
      <c r="J408" s="154"/>
    </row>
    <row r="409" spans="5:10" x14ac:dyDescent="0.25">
      <c r="E409" s="154"/>
      <c r="G409" s="161"/>
      <c r="H409" s="162"/>
      <c r="I409" s="154"/>
      <c r="J409" s="154"/>
    </row>
    <row r="410" spans="5:10" x14ac:dyDescent="0.25">
      <c r="E410" s="154"/>
      <c r="G410" s="161"/>
      <c r="H410" s="162"/>
      <c r="I410" s="154"/>
      <c r="J410" s="154"/>
    </row>
    <row r="411" spans="5:10" x14ac:dyDescent="0.25">
      <c r="E411" s="154"/>
      <c r="G411" s="161"/>
      <c r="H411" s="162"/>
      <c r="I411" s="154"/>
      <c r="J411" s="154"/>
    </row>
    <row r="412" spans="5:10" x14ac:dyDescent="0.25">
      <c r="E412" s="154"/>
      <c r="G412" s="161"/>
      <c r="H412" s="162"/>
      <c r="I412" s="154"/>
      <c r="J412" s="154"/>
    </row>
    <row r="413" spans="5:10" x14ac:dyDescent="0.25">
      <c r="E413" s="154"/>
      <c r="G413" s="161"/>
      <c r="H413" s="162"/>
      <c r="I413" s="154"/>
      <c r="J413" s="154"/>
    </row>
    <row r="414" spans="5:10" x14ac:dyDescent="0.25">
      <c r="E414" s="154"/>
      <c r="G414" s="161"/>
      <c r="H414" s="162"/>
      <c r="I414" s="154"/>
      <c r="J414" s="154"/>
    </row>
    <row r="415" spans="5:10" x14ac:dyDescent="0.25">
      <c r="E415" s="154"/>
      <c r="G415" s="161"/>
      <c r="H415" s="162"/>
      <c r="I415" s="154"/>
      <c r="J415" s="154"/>
    </row>
    <row r="416" spans="5:10" x14ac:dyDescent="0.25">
      <c r="E416" s="154"/>
      <c r="G416" s="161"/>
      <c r="H416" s="162"/>
      <c r="I416" s="154"/>
      <c r="J416" s="154"/>
    </row>
    <row r="417" spans="5:10" x14ac:dyDescent="0.25">
      <c r="E417" s="154"/>
      <c r="G417" s="161"/>
      <c r="H417" s="162"/>
      <c r="I417" s="154"/>
      <c r="J417" s="154"/>
    </row>
    <row r="418" spans="5:10" x14ac:dyDescent="0.25">
      <c r="E418" s="154"/>
      <c r="G418" s="161"/>
      <c r="H418" s="162"/>
      <c r="I418" s="154"/>
      <c r="J418" s="154"/>
    </row>
    <row r="419" spans="5:10" x14ac:dyDescent="0.25">
      <c r="E419" s="154"/>
      <c r="G419" s="161"/>
      <c r="H419" s="162"/>
      <c r="I419" s="154"/>
      <c r="J419" s="154"/>
    </row>
    <row r="420" spans="5:10" x14ac:dyDescent="0.25">
      <c r="E420" s="154"/>
      <c r="G420" s="161"/>
      <c r="H420" s="162"/>
      <c r="I420" s="154"/>
      <c r="J420" s="154"/>
    </row>
    <row r="421" spans="5:10" x14ac:dyDescent="0.25">
      <c r="E421" s="154"/>
      <c r="G421" s="161"/>
      <c r="H421" s="162"/>
      <c r="I421" s="154"/>
      <c r="J421" s="154"/>
    </row>
    <row r="422" spans="5:10" x14ac:dyDescent="0.25">
      <c r="E422" s="154"/>
      <c r="G422" s="161"/>
      <c r="H422" s="162"/>
      <c r="I422" s="154"/>
      <c r="J422" s="154"/>
    </row>
    <row r="423" spans="5:10" x14ac:dyDescent="0.25">
      <c r="E423" s="154"/>
      <c r="G423" s="161"/>
      <c r="H423" s="162"/>
      <c r="I423" s="154"/>
      <c r="J423" s="154"/>
    </row>
    <row r="424" spans="5:10" x14ac:dyDescent="0.25">
      <c r="E424" s="154"/>
      <c r="G424" s="161"/>
      <c r="H424" s="162"/>
      <c r="I424" s="154"/>
      <c r="J424" s="154"/>
    </row>
    <row r="425" spans="5:10" x14ac:dyDescent="0.25">
      <c r="E425" s="154"/>
      <c r="G425" s="161"/>
      <c r="H425" s="162"/>
      <c r="I425" s="154"/>
      <c r="J425" s="154"/>
    </row>
    <row r="426" spans="5:10" x14ac:dyDescent="0.25">
      <c r="E426" s="154"/>
      <c r="G426" s="161"/>
      <c r="H426" s="162"/>
      <c r="I426" s="154"/>
      <c r="J426" s="154"/>
    </row>
    <row r="427" spans="5:10" x14ac:dyDescent="0.25">
      <c r="E427" s="154"/>
      <c r="G427" s="161"/>
      <c r="H427" s="162"/>
      <c r="I427" s="154"/>
      <c r="J427" s="154"/>
    </row>
    <row r="428" spans="5:10" x14ac:dyDescent="0.25">
      <c r="E428" s="154"/>
      <c r="G428" s="161"/>
      <c r="H428" s="162"/>
      <c r="I428" s="154"/>
      <c r="J428" s="154"/>
    </row>
    <row r="429" spans="5:10" x14ac:dyDescent="0.25">
      <c r="E429" s="154"/>
      <c r="G429" s="161"/>
      <c r="H429" s="162"/>
      <c r="I429" s="154"/>
      <c r="J429" s="154"/>
    </row>
    <row r="430" spans="5:10" x14ac:dyDescent="0.25">
      <c r="E430" s="154"/>
      <c r="G430" s="161"/>
      <c r="H430" s="162"/>
      <c r="I430" s="154"/>
      <c r="J430" s="154"/>
    </row>
    <row r="431" spans="5:10" x14ac:dyDescent="0.25">
      <c r="E431" s="154"/>
      <c r="G431" s="161"/>
      <c r="H431" s="162"/>
      <c r="I431" s="154"/>
      <c r="J431" s="154"/>
    </row>
    <row r="432" spans="5:10" x14ac:dyDescent="0.25">
      <c r="E432" s="154"/>
      <c r="G432" s="161"/>
      <c r="H432" s="162"/>
      <c r="I432" s="154"/>
      <c r="J432" s="154"/>
    </row>
    <row r="433" spans="5:10" x14ac:dyDescent="0.25">
      <c r="E433" s="154"/>
      <c r="G433" s="161"/>
      <c r="H433" s="162"/>
      <c r="I433" s="154"/>
      <c r="J433" s="154"/>
    </row>
    <row r="434" spans="5:10" x14ac:dyDescent="0.25">
      <c r="E434" s="154"/>
      <c r="G434" s="161"/>
      <c r="H434" s="162"/>
      <c r="I434" s="154"/>
      <c r="J434" s="154"/>
    </row>
    <row r="435" spans="5:10" x14ac:dyDescent="0.25">
      <c r="E435" s="154"/>
      <c r="G435" s="161"/>
      <c r="H435" s="162"/>
      <c r="I435" s="154"/>
      <c r="J435" s="154"/>
    </row>
    <row r="436" spans="5:10" x14ac:dyDescent="0.25">
      <c r="E436" s="154"/>
      <c r="G436" s="161"/>
      <c r="H436" s="162"/>
      <c r="I436" s="154"/>
      <c r="J436" s="154"/>
    </row>
    <row r="437" spans="5:10" x14ac:dyDescent="0.25">
      <c r="E437" s="154"/>
      <c r="G437" s="161"/>
      <c r="H437" s="162"/>
      <c r="I437" s="154"/>
      <c r="J437" s="154"/>
    </row>
    <row r="438" spans="5:10" x14ac:dyDescent="0.25">
      <c r="E438" s="154"/>
      <c r="G438" s="161"/>
      <c r="H438" s="162"/>
      <c r="I438" s="154"/>
      <c r="J438" s="154"/>
    </row>
    <row r="439" spans="5:10" x14ac:dyDescent="0.25">
      <c r="E439" s="154"/>
      <c r="G439" s="161"/>
      <c r="H439" s="162"/>
      <c r="I439" s="154"/>
      <c r="J439" s="154"/>
    </row>
    <row r="440" spans="5:10" x14ac:dyDescent="0.25">
      <c r="E440" s="154"/>
      <c r="G440" s="161"/>
      <c r="H440" s="162"/>
      <c r="I440" s="154"/>
      <c r="J440" s="154"/>
    </row>
    <row r="441" spans="5:10" x14ac:dyDescent="0.25">
      <c r="E441" s="154"/>
      <c r="G441" s="161"/>
      <c r="H441" s="162"/>
      <c r="I441" s="154"/>
      <c r="J441" s="154"/>
    </row>
    <row r="442" spans="5:10" x14ac:dyDescent="0.25">
      <c r="E442" s="154"/>
      <c r="G442" s="161"/>
      <c r="H442" s="162"/>
      <c r="I442" s="154"/>
      <c r="J442" s="154"/>
    </row>
    <row r="443" spans="5:10" x14ac:dyDescent="0.25">
      <c r="E443" s="154"/>
      <c r="G443" s="161"/>
      <c r="H443" s="162"/>
      <c r="I443" s="154"/>
      <c r="J443" s="154"/>
    </row>
    <row r="444" spans="5:10" x14ac:dyDescent="0.25">
      <c r="E444" s="154"/>
      <c r="G444" s="161"/>
      <c r="H444" s="162"/>
      <c r="I444" s="154"/>
      <c r="J444" s="154"/>
    </row>
    <row r="445" spans="5:10" x14ac:dyDescent="0.25">
      <c r="E445" s="154"/>
      <c r="G445" s="161"/>
      <c r="H445" s="162"/>
      <c r="I445" s="154"/>
      <c r="J445" s="154"/>
    </row>
    <row r="446" spans="5:10" x14ac:dyDescent="0.25">
      <c r="E446" s="154"/>
      <c r="G446" s="161"/>
      <c r="H446" s="162"/>
      <c r="I446" s="154"/>
      <c r="J446" s="154"/>
    </row>
    <row r="447" spans="5:10" x14ac:dyDescent="0.25">
      <c r="E447" s="154"/>
      <c r="G447" s="161"/>
      <c r="H447" s="162"/>
      <c r="I447" s="154"/>
      <c r="J447" s="154"/>
    </row>
    <row r="448" spans="5:10" x14ac:dyDescent="0.25">
      <c r="E448" s="154"/>
      <c r="G448" s="161"/>
      <c r="H448" s="162"/>
      <c r="I448" s="154"/>
      <c r="J448" s="154"/>
    </row>
    <row r="449" spans="5:10" x14ac:dyDescent="0.25">
      <c r="E449" s="154"/>
      <c r="G449" s="161"/>
      <c r="H449" s="162"/>
      <c r="I449" s="154"/>
      <c r="J449" s="154"/>
    </row>
    <row r="450" spans="5:10" x14ac:dyDescent="0.25">
      <c r="E450" s="154"/>
      <c r="G450" s="161"/>
      <c r="H450" s="162"/>
      <c r="I450" s="154"/>
      <c r="J450" s="154"/>
    </row>
    <row r="451" spans="5:10" x14ac:dyDescent="0.25">
      <c r="E451" s="154"/>
      <c r="G451" s="161"/>
      <c r="H451" s="162"/>
      <c r="I451" s="154"/>
      <c r="J451" s="154"/>
    </row>
    <row r="452" spans="5:10" x14ac:dyDescent="0.25">
      <c r="E452" s="154"/>
      <c r="G452" s="161"/>
      <c r="H452" s="162"/>
      <c r="I452" s="154"/>
      <c r="J452" s="154"/>
    </row>
    <row r="453" spans="5:10" x14ac:dyDescent="0.25">
      <c r="E453" s="154"/>
      <c r="G453" s="161"/>
      <c r="H453" s="162"/>
      <c r="I453" s="154"/>
      <c r="J453" s="154"/>
    </row>
    <row r="454" spans="5:10" x14ac:dyDescent="0.25">
      <c r="E454" s="154"/>
      <c r="G454" s="161"/>
      <c r="H454" s="162"/>
      <c r="I454" s="154"/>
      <c r="J454" s="154"/>
    </row>
    <row r="455" spans="5:10" x14ac:dyDescent="0.25">
      <c r="E455" s="154"/>
      <c r="G455" s="161"/>
      <c r="H455" s="162"/>
      <c r="I455" s="154"/>
      <c r="J455" s="154"/>
    </row>
    <row r="456" spans="5:10" x14ac:dyDescent="0.25">
      <c r="E456" s="154"/>
      <c r="G456" s="161"/>
      <c r="H456" s="162"/>
      <c r="I456" s="154"/>
      <c r="J456" s="154"/>
    </row>
    <row r="457" spans="5:10" x14ac:dyDescent="0.25">
      <c r="E457" s="154"/>
      <c r="G457" s="161"/>
      <c r="H457" s="162"/>
      <c r="I457" s="154"/>
      <c r="J457" s="154"/>
    </row>
    <row r="458" spans="5:10" x14ac:dyDescent="0.25">
      <c r="E458" s="154"/>
      <c r="G458" s="161"/>
      <c r="H458" s="162"/>
      <c r="I458" s="154"/>
      <c r="J458" s="154"/>
    </row>
    <row r="459" spans="5:10" x14ac:dyDescent="0.25">
      <c r="E459" s="154"/>
      <c r="G459" s="161"/>
      <c r="H459" s="162"/>
      <c r="I459" s="154"/>
      <c r="J459" s="154"/>
    </row>
    <row r="460" spans="5:10" x14ac:dyDescent="0.25">
      <c r="E460" s="154"/>
      <c r="G460" s="161"/>
      <c r="H460" s="162"/>
      <c r="I460" s="154"/>
      <c r="J460" s="154"/>
    </row>
    <row r="461" spans="5:10" x14ac:dyDescent="0.25">
      <c r="E461" s="154"/>
      <c r="G461" s="161"/>
      <c r="H461" s="162"/>
      <c r="I461" s="154"/>
      <c r="J461" s="154"/>
    </row>
    <row r="462" spans="5:10" x14ac:dyDescent="0.25">
      <c r="E462" s="154"/>
      <c r="G462" s="161"/>
      <c r="H462" s="162"/>
      <c r="I462" s="154"/>
      <c r="J462" s="154"/>
    </row>
    <row r="463" spans="5:10" x14ac:dyDescent="0.25">
      <c r="E463" s="154"/>
      <c r="G463" s="161"/>
      <c r="H463" s="162"/>
      <c r="I463" s="154"/>
      <c r="J463" s="154"/>
    </row>
    <row r="464" spans="5:10" x14ac:dyDescent="0.25">
      <c r="E464" s="154"/>
      <c r="G464" s="161"/>
      <c r="H464" s="162"/>
      <c r="I464" s="154"/>
      <c r="J464" s="154"/>
    </row>
    <row r="465" spans="5:10" x14ac:dyDescent="0.25">
      <c r="E465" s="154"/>
      <c r="G465" s="161"/>
      <c r="H465" s="162"/>
      <c r="I465" s="154"/>
      <c r="J465" s="154"/>
    </row>
    <row r="466" spans="5:10" x14ac:dyDescent="0.25">
      <c r="E466" s="154"/>
      <c r="G466" s="161"/>
      <c r="H466" s="162"/>
      <c r="I466" s="154"/>
      <c r="J466" s="154"/>
    </row>
    <row r="467" spans="5:10" x14ac:dyDescent="0.25">
      <c r="E467" s="154"/>
      <c r="G467" s="161"/>
      <c r="H467" s="162"/>
      <c r="I467" s="154"/>
      <c r="J467" s="154"/>
    </row>
    <row r="468" spans="5:10" x14ac:dyDescent="0.25">
      <c r="E468" s="154"/>
      <c r="G468" s="161"/>
      <c r="H468" s="162"/>
      <c r="I468" s="154"/>
      <c r="J468" s="154"/>
    </row>
    <row r="469" spans="5:10" x14ac:dyDescent="0.25">
      <c r="E469" s="154"/>
      <c r="G469" s="161"/>
      <c r="H469" s="162"/>
      <c r="I469" s="154"/>
      <c r="J469" s="154"/>
    </row>
    <row r="470" spans="5:10" x14ac:dyDescent="0.25">
      <c r="E470" s="154"/>
      <c r="G470" s="161"/>
      <c r="H470" s="162"/>
      <c r="I470" s="154"/>
      <c r="J470" s="154"/>
    </row>
    <row r="471" spans="5:10" x14ac:dyDescent="0.25">
      <c r="E471" s="154"/>
      <c r="G471" s="161"/>
      <c r="H471" s="162"/>
      <c r="I471" s="154"/>
      <c r="J471" s="154"/>
    </row>
    <row r="472" spans="5:10" x14ac:dyDescent="0.25">
      <c r="E472" s="154"/>
      <c r="G472" s="161"/>
      <c r="H472" s="162"/>
      <c r="I472" s="154"/>
      <c r="J472" s="154"/>
    </row>
    <row r="473" spans="5:10" x14ac:dyDescent="0.25">
      <c r="E473" s="154"/>
      <c r="G473" s="161"/>
      <c r="H473" s="162"/>
      <c r="I473" s="154"/>
      <c r="J473" s="154"/>
    </row>
    <row r="474" spans="5:10" x14ac:dyDescent="0.25">
      <c r="E474" s="154"/>
      <c r="G474" s="161"/>
      <c r="H474" s="162"/>
      <c r="I474" s="154"/>
      <c r="J474" s="154"/>
    </row>
    <row r="475" spans="5:10" x14ac:dyDescent="0.25">
      <c r="E475" s="154"/>
      <c r="G475" s="161"/>
      <c r="H475" s="162"/>
      <c r="I475" s="154"/>
      <c r="J475" s="154"/>
    </row>
    <row r="476" spans="5:10" x14ac:dyDescent="0.25">
      <c r="E476" s="154"/>
      <c r="G476" s="161"/>
      <c r="H476" s="162"/>
      <c r="I476" s="154"/>
      <c r="J476" s="154"/>
    </row>
    <row r="477" spans="5:10" x14ac:dyDescent="0.25">
      <c r="E477" s="154"/>
      <c r="G477" s="161"/>
      <c r="H477" s="162"/>
      <c r="I477" s="154"/>
      <c r="J477" s="154"/>
    </row>
    <row r="478" spans="5:10" x14ac:dyDescent="0.25">
      <c r="E478" s="154"/>
      <c r="G478" s="161"/>
      <c r="H478" s="162"/>
      <c r="I478" s="154"/>
      <c r="J478" s="154"/>
    </row>
    <row r="479" spans="5:10" x14ac:dyDescent="0.25">
      <c r="E479" s="154"/>
      <c r="G479" s="161"/>
      <c r="H479" s="162"/>
      <c r="I479" s="154"/>
      <c r="J479" s="154"/>
    </row>
    <row r="480" spans="5:10" x14ac:dyDescent="0.25">
      <c r="E480" s="154"/>
      <c r="G480" s="161"/>
      <c r="H480" s="162"/>
      <c r="I480" s="154"/>
      <c r="J480" s="154"/>
    </row>
    <row r="481" spans="5:10" x14ac:dyDescent="0.25">
      <c r="E481" s="154"/>
      <c r="G481" s="161"/>
      <c r="H481" s="162"/>
      <c r="I481" s="154"/>
      <c r="J481" s="154"/>
    </row>
    <row r="482" spans="5:10" x14ac:dyDescent="0.25">
      <c r="E482" s="154"/>
      <c r="G482" s="161"/>
      <c r="H482" s="162"/>
      <c r="I482" s="154"/>
      <c r="J482" s="154"/>
    </row>
    <row r="483" spans="5:10" x14ac:dyDescent="0.25">
      <c r="E483" s="154"/>
      <c r="G483" s="161"/>
      <c r="H483" s="162"/>
      <c r="I483" s="154"/>
      <c r="J483" s="154"/>
    </row>
    <row r="484" spans="5:10" x14ac:dyDescent="0.25">
      <c r="E484" s="154"/>
      <c r="G484" s="161"/>
      <c r="H484" s="162"/>
      <c r="I484" s="154"/>
      <c r="J484" s="154"/>
    </row>
    <row r="485" spans="5:10" x14ac:dyDescent="0.25">
      <c r="E485" s="154"/>
      <c r="G485" s="161"/>
      <c r="H485" s="162"/>
      <c r="I485" s="154"/>
      <c r="J485" s="154"/>
    </row>
    <row r="486" spans="5:10" x14ac:dyDescent="0.25">
      <c r="E486" s="154"/>
      <c r="G486" s="161"/>
      <c r="H486" s="162"/>
      <c r="I486" s="154"/>
      <c r="J486" s="154"/>
    </row>
    <row r="487" spans="5:10" x14ac:dyDescent="0.25">
      <c r="E487" s="154"/>
      <c r="G487" s="161"/>
      <c r="H487" s="162"/>
      <c r="I487" s="154"/>
      <c r="J487" s="154"/>
    </row>
    <row r="488" spans="5:10" x14ac:dyDescent="0.25">
      <c r="E488" s="154"/>
      <c r="G488" s="161"/>
      <c r="H488" s="162"/>
      <c r="I488" s="154"/>
      <c r="J488" s="154"/>
    </row>
    <row r="489" spans="5:10" x14ac:dyDescent="0.25">
      <c r="E489" s="154"/>
      <c r="G489" s="161"/>
      <c r="H489" s="162"/>
      <c r="I489" s="154"/>
      <c r="J489" s="154"/>
    </row>
    <row r="490" spans="5:10" x14ac:dyDescent="0.25">
      <c r="E490" s="154"/>
      <c r="G490" s="161"/>
      <c r="H490" s="162"/>
      <c r="I490" s="154"/>
      <c r="J490" s="154"/>
    </row>
    <row r="491" spans="5:10" x14ac:dyDescent="0.25">
      <c r="E491" s="154"/>
      <c r="G491" s="161"/>
      <c r="H491" s="162"/>
      <c r="I491" s="154"/>
      <c r="J491" s="154"/>
    </row>
    <row r="492" spans="5:10" x14ac:dyDescent="0.25">
      <c r="E492" s="154"/>
      <c r="G492" s="161"/>
      <c r="H492" s="162"/>
      <c r="I492" s="154"/>
      <c r="J492" s="154"/>
    </row>
    <row r="493" spans="5:10" x14ac:dyDescent="0.25">
      <c r="E493" s="154"/>
      <c r="G493" s="161"/>
      <c r="H493" s="162"/>
      <c r="I493" s="154"/>
      <c r="J493" s="154"/>
    </row>
    <row r="494" spans="5:10" x14ac:dyDescent="0.25">
      <c r="E494" s="154"/>
      <c r="G494" s="161"/>
      <c r="H494" s="162"/>
      <c r="I494" s="154"/>
      <c r="J494" s="154"/>
    </row>
    <row r="495" spans="5:10" x14ac:dyDescent="0.25">
      <c r="E495" s="154"/>
      <c r="G495" s="161"/>
      <c r="H495" s="162"/>
      <c r="I495" s="154"/>
      <c r="J495" s="154"/>
    </row>
    <row r="496" spans="5:10" x14ac:dyDescent="0.25">
      <c r="E496" s="154"/>
      <c r="G496" s="161"/>
      <c r="H496" s="162"/>
      <c r="I496" s="154"/>
      <c r="J496" s="154"/>
    </row>
    <row r="497" spans="5:10" x14ac:dyDescent="0.25">
      <c r="E497" s="154"/>
      <c r="G497" s="161"/>
      <c r="H497" s="162"/>
      <c r="I497" s="154"/>
      <c r="J497" s="154"/>
    </row>
    <row r="498" spans="5:10" x14ac:dyDescent="0.25">
      <c r="E498" s="154"/>
      <c r="G498" s="161"/>
      <c r="H498" s="162"/>
      <c r="I498" s="154"/>
      <c r="J498" s="154"/>
    </row>
    <row r="499" spans="5:10" x14ac:dyDescent="0.25">
      <c r="E499" s="154"/>
      <c r="G499" s="161"/>
      <c r="H499" s="162"/>
      <c r="I499" s="154"/>
      <c r="J499" s="154"/>
    </row>
    <row r="500" spans="5:10" x14ac:dyDescent="0.25">
      <c r="E500" s="154"/>
      <c r="G500" s="161"/>
      <c r="H500" s="162"/>
      <c r="I500" s="154"/>
      <c r="J500" s="154"/>
    </row>
    <row r="501" spans="5:10" x14ac:dyDescent="0.25">
      <c r="E501" s="154"/>
      <c r="G501" s="161"/>
      <c r="H501" s="162"/>
      <c r="I501" s="154"/>
      <c r="J501" s="154"/>
    </row>
    <row r="502" spans="5:10" x14ac:dyDescent="0.25">
      <c r="E502" s="154"/>
      <c r="G502" s="161"/>
      <c r="H502" s="162"/>
      <c r="I502" s="154"/>
      <c r="J502" s="154"/>
    </row>
    <row r="503" spans="5:10" x14ac:dyDescent="0.25">
      <c r="E503" s="154"/>
      <c r="G503" s="161"/>
      <c r="H503" s="162"/>
      <c r="I503" s="154"/>
      <c r="J503" s="154"/>
    </row>
    <row r="504" spans="5:10" x14ac:dyDescent="0.25">
      <c r="E504" s="154"/>
      <c r="G504" s="161"/>
      <c r="H504" s="162"/>
      <c r="I504" s="154"/>
      <c r="J504" s="154"/>
    </row>
    <row r="505" spans="5:10" x14ac:dyDescent="0.25">
      <c r="E505" s="154"/>
      <c r="G505" s="161"/>
      <c r="H505" s="162"/>
      <c r="I505" s="154"/>
      <c r="J505" s="154"/>
    </row>
    <row r="506" spans="5:10" x14ac:dyDescent="0.25">
      <c r="E506" s="154"/>
      <c r="G506" s="161"/>
      <c r="H506" s="162"/>
      <c r="I506" s="154"/>
      <c r="J506" s="154"/>
    </row>
    <row r="507" spans="5:10" x14ac:dyDescent="0.25">
      <c r="E507" s="154"/>
      <c r="G507" s="161"/>
      <c r="H507" s="162"/>
      <c r="I507" s="154"/>
      <c r="J507" s="154"/>
    </row>
    <row r="508" spans="5:10" x14ac:dyDescent="0.25">
      <c r="E508" s="154"/>
      <c r="G508" s="161"/>
      <c r="H508" s="162"/>
      <c r="I508" s="154"/>
      <c r="J508" s="154"/>
    </row>
    <row r="509" spans="5:10" x14ac:dyDescent="0.25">
      <c r="E509" s="154"/>
      <c r="G509" s="161"/>
      <c r="H509" s="162"/>
      <c r="I509" s="154"/>
      <c r="J509" s="154"/>
    </row>
    <row r="510" spans="5:10" x14ac:dyDescent="0.25">
      <c r="E510" s="154"/>
      <c r="G510" s="161"/>
      <c r="H510" s="162"/>
      <c r="I510" s="154"/>
      <c r="J510" s="154"/>
    </row>
    <row r="511" spans="5:10" x14ac:dyDescent="0.25">
      <c r="E511" s="154"/>
      <c r="G511" s="161"/>
      <c r="H511" s="162"/>
      <c r="I511" s="154"/>
      <c r="J511" s="154"/>
    </row>
    <row r="512" spans="5:10" x14ac:dyDescent="0.25">
      <c r="E512" s="154"/>
      <c r="G512" s="161"/>
      <c r="H512" s="162"/>
      <c r="I512" s="154"/>
      <c r="J512" s="154"/>
    </row>
    <row r="513" spans="5:10" x14ac:dyDescent="0.25">
      <c r="E513" s="154"/>
      <c r="G513" s="161"/>
      <c r="H513" s="162"/>
      <c r="I513" s="154"/>
      <c r="J513" s="154"/>
    </row>
    <row r="514" spans="5:10" x14ac:dyDescent="0.25">
      <c r="E514" s="154"/>
      <c r="G514" s="161"/>
      <c r="H514" s="162"/>
      <c r="I514" s="154"/>
      <c r="J514" s="154"/>
    </row>
    <row r="515" spans="5:10" x14ac:dyDescent="0.25">
      <c r="E515" s="154"/>
      <c r="G515" s="161"/>
      <c r="H515" s="162"/>
      <c r="I515" s="154"/>
      <c r="J515" s="154"/>
    </row>
    <row r="516" spans="5:10" x14ac:dyDescent="0.25">
      <c r="E516" s="154"/>
      <c r="G516" s="161"/>
      <c r="H516" s="162"/>
      <c r="I516" s="154"/>
      <c r="J516" s="154"/>
    </row>
    <row r="517" spans="5:10" x14ac:dyDescent="0.25">
      <c r="E517" s="154"/>
      <c r="G517" s="161"/>
      <c r="H517" s="162"/>
      <c r="I517" s="154"/>
      <c r="J517" s="154"/>
    </row>
    <row r="518" spans="5:10" x14ac:dyDescent="0.25">
      <c r="E518" s="154"/>
      <c r="G518" s="161"/>
      <c r="H518" s="162"/>
      <c r="I518" s="154"/>
      <c r="J518" s="154"/>
    </row>
    <row r="519" spans="5:10" x14ac:dyDescent="0.25">
      <c r="E519" s="154"/>
      <c r="G519" s="161"/>
      <c r="H519" s="162"/>
      <c r="I519" s="154"/>
      <c r="J519" s="154"/>
    </row>
    <row r="520" spans="5:10" x14ac:dyDescent="0.25">
      <c r="E520" s="154"/>
      <c r="G520" s="161"/>
      <c r="H520" s="162"/>
      <c r="I520" s="154"/>
      <c r="J520" s="154"/>
    </row>
    <row r="521" spans="5:10" x14ac:dyDescent="0.25">
      <c r="E521" s="154"/>
      <c r="G521" s="161"/>
      <c r="H521" s="162"/>
      <c r="I521" s="154"/>
      <c r="J521" s="154"/>
    </row>
    <row r="522" spans="5:10" x14ac:dyDescent="0.25">
      <c r="E522" s="154"/>
      <c r="G522" s="161"/>
      <c r="H522" s="162"/>
      <c r="I522" s="154"/>
      <c r="J522" s="154"/>
    </row>
    <row r="523" spans="5:10" x14ac:dyDescent="0.25">
      <c r="E523" s="154"/>
      <c r="G523" s="161"/>
      <c r="H523" s="162"/>
      <c r="I523" s="154"/>
      <c r="J523" s="154"/>
    </row>
    <row r="524" spans="5:10" x14ac:dyDescent="0.25">
      <c r="E524" s="154"/>
      <c r="G524" s="161"/>
      <c r="H524" s="162"/>
      <c r="I524" s="154"/>
      <c r="J524" s="154"/>
    </row>
    <row r="525" spans="5:10" x14ac:dyDescent="0.25">
      <c r="E525" s="154"/>
      <c r="G525" s="161"/>
      <c r="H525" s="162"/>
      <c r="I525" s="154"/>
      <c r="J525" s="154"/>
    </row>
    <row r="526" spans="5:10" x14ac:dyDescent="0.25">
      <c r="E526" s="154"/>
      <c r="G526" s="161"/>
      <c r="H526" s="162"/>
      <c r="I526" s="154"/>
      <c r="J526" s="154"/>
    </row>
    <row r="527" spans="5:10" x14ac:dyDescent="0.25">
      <c r="E527" s="154"/>
      <c r="G527" s="161"/>
      <c r="H527" s="162"/>
      <c r="I527" s="154"/>
      <c r="J527" s="154"/>
    </row>
    <row r="528" spans="5:10" x14ac:dyDescent="0.25">
      <c r="E528" s="154"/>
      <c r="G528" s="161"/>
      <c r="H528" s="162"/>
      <c r="I528" s="154"/>
      <c r="J528" s="154"/>
    </row>
    <row r="529" spans="5:10" x14ac:dyDescent="0.25">
      <c r="E529" s="154"/>
      <c r="G529" s="161"/>
      <c r="H529" s="162"/>
      <c r="I529" s="154"/>
      <c r="J529" s="154"/>
    </row>
    <row r="530" spans="5:10" x14ac:dyDescent="0.25">
      <c r="E530" s="154"/>
      <c r="G530" s="161"/>
      <c r="H530" s="162"/>
      <c r="I530" s="154"/>
      <c r="J530" s="154"/>
    </row>
    <row r="531" spans="5:10" x14ac:dyDescent="0.25">
      <c r="E531" s="154"/>
      <c r="G531" s="161"/>
      <c r="H531" s="162"/>
      <c r="I531" s="154"/>
      <c r="J531" s="154"/>
    </row>
    <row r="532" spans="5:10" x14ac:dyDescent="0.25">
      <c r="E532" s="154"/>
      <c r="G532" s="161"/>
      <c r="H532" s="162"/>
      <c r="I532" s="154"/>
      <c r="J532" s="154"/>
    </row>
    <row r="533" spans="5:10" x14ac:dyDescent="0.25">
      <c r="E533" s="154"/>
      <c r="G533" s="161"/>
      <c r="H533" s="162"/>
      <c r="I533" s="154"/>
      <c r="J533" s="154"/>
    </row>
    <row r="534" spans="5:10" x14ac:dyDescent="0.25">
      <c r="E534" s="154"/>
      <c r="G534" s="161"/>
      <c r="H534" s="162"/>
      <c r="I534" s="154"/>
      <c r="J534" s="154"/>
    </row>
    <row r="535" spans="5:10" x14ac:dyDescent="0.25">
      <c r="E535" s="154"/>
      <c r="G535" s="161"/>
      <c r="H535" s="162"/>
      <c r="I535" s="154"/>
      <c r="J535" s="154"/>
    </row>
    <row r="536" spans="5:10" x14ac:dyDescent="0.25">
      <c r="E536" s="154"/>
      <c r="G536" s="161"/>
      <c r="H536" s="162"/>
      <c r="I536" s="154"/>
      <c r="J536" s="154"/>
    </row>
    <row r="537" spans="5:10" x14ac:dyDescent="0.25">
      <c r="E537" s="154"/>
      <c r="G537" s="161"/>
      <c r="H537" s="162"/>
      <c r="I537" s="154"/>
      <c r="J537" s="154"/>
    </row>
    <row r="538" spans="5:10" x14ac:dyDescent="0.25">
      <c r="E538" s="154"/>
      <c r="G538" s="161"/>
      <c r="H538" s="162"/>
      <c r="I538" s="154"/>
      <c r="J538" s="154"/>
    </row>
    <row r="539" spans="5:10" x14ac:dyDescent="0.25">
      <c r="E539" s="154"/>
      <c r="G539" s="161"/>
      <c r="H539" s="162"/>
      <c r="I539" s="154"/>
      <c r="J539" s="154"/>
    </row>
    <row r="540" spans="5:10" x14ac:dyDescent="0.25">
      <c r="E540" s="154"/>
      <c r="G540" s="161"/>
      <c r="H540" s="162"/>
      <c r="I540" s="154"/>
      <c r="J540" s="154"/>
    </row>
    <row r="541" spans="5:10" x14ac:dyDescent="0.25">
      <c r="E541" s="154"/>
      <c r="G541" s="161"/>
      <c r="H541" s="162"/>
      <c r="I541" s="154"/>
      <c r="J541" s="154"/>
    </row>
    <row r="542" spans="5:10" x14ac:dyDescent="0.25">
      <c r="E542" s="154"/>
      <c r="G542" s="161"/>
      <c r="H542" s="162"/>
      <c r="I542" s="154"/>
      <c r="J542" s="154"/>
    </row>
    <row r="543" spans="5:10" x14ac:dyDescent="0.25">
      <c r="E543" s="154"/>
      <c r="G543" s="161"/>
      <c r="H543" s="162"/>
      <c r="I543" s="154"/>
      <c r="J543" s="154"/>
    </row>
    <row r="544" spans="5:10" x14ac:dyDescent="0.25">
      <c r="E544" s="154"/>
      <c r="G544" s="161"/>
      <c r="H544" s="162"/>
      <c r="I544" s="154"/>
      <c r="J544" s="154"/>
    </row>
    <row r="545" spans="5:10" x14ac:dyDescent="0.25">
      <c r="E545" s="154"/>
      <c r="G545" s="161"/>
      <c r="H545" s="162"/>
      <c r="I545" s="154"/>
      <c r="J545" s="154"/>
    </row>
    <row r="546" spans="5:10" x14ac:dyDescent="0.25">
      <c r="E546" s="154"/>
      <c r="G546" s="161"/>
      <c r="H546" s="162"/>
      <c r="I546" s="154"/>
      <c r="J546" s="154"/>
    </row>
    <row r="547" spans="5:10" x14ac:dyDescent="0.25">
      <c r="E547" s="154"/>
      <c r="G547" s="161"/>
      <c r="H547" s="162"/>
      <c r="I547" s="154"/>
      <c r="J547" s="154"/>
    </row>
    <row r="548" spans="5:10" x14ac:dyDescent="0.25">
      <c r="E548" s="154"/>
      <c r="G548" s="161"/>
      <c r="H548" s="162"/>
      <c r="I548" s="154"/>
      <c r="J548" s="154"/>
    </row>
    <row r="549" spans="5:10" x14ac:dyDescent="0.25">
      <c r="E549" s="154"/>
      <c r="G549" s="161"/>
      <c r="H549" s="162"/>
      <c r="I549" s="154"/>
      <c r="J549" s="154"/>
    </row>
    <row r="550" spans="5:10" x14ac:dyDescent="0.25">
      <c r="E550" s="154"/>
      <c r="G550" s="161"/>
      <c r="H550" s="162"/>
      <c r="I550" s="154"/>
      <c r="J550" s="154"/>
    </row>
    <row r="551" spans="5:10" x14ac:dyDescent="0.25">
      <c r="E551" s="154"/>
      <c r="G551" s="161"/>
      <c r="H551" s="162"/>
      <c r="I551" s="154"/>
      <c r="J551" s="154"/>
    </row>
    <row r="552" spans="5:10" x14ac:dyDescent="0.25">
      <c r="E552" s="154"/>
      <c r="G552" s="161"/>
      <c r="H552" s="162"/>
      <c r="I552" s="154"/>
      <c r="J552" s="154"/>
    </row>
    <row r="553" spans="5:10" x14ac:dyDescent="0.25">
      <c r="E553" s="154"/>
      <c r="G553" s="161"/>
      <c r="H553" s="162"/>
      <c r="I553" s="154"/>
      <c r="J553" s="154"/>
    </row>
    <row r="554" spans="5:10" x14ac:dyDescent="0.25">
      <c r="E554" s="154"/>
      <c r="G554" s="161"/>
      <c r="H554" s="162"/>
      <c r="I554" s="154"/>
      <c r="J554" s="154"/>
    </row>
    <row r="555" spans="5:10" x14ac:dyDescent="0.25">
      <c r="E555" s="154"/>
      <c r="G555" s="161"/>
      <c r="H555" s="162"/>
      <c r="I555" s="154"/>
      <c r="J555" s="154"/>
    </row>
    <row r="556" spans="5:10" x14ac:dyDescent="0.25">
      <c r="E556" s="154"/>
      <c r="G556" s="161"/>
      <c r="H556" s="162"/>
      <c r="I556" s="154"/>
      <c r="J556" s="154"/>
    </row>
    <row r="557" spans="5:10" x14ac:dyDescent="0.25">
      <c r="E557" s="154"/>
      <c r="G557" s="161"/>
      <c r="H557" s="162"/>
      <c r="I557" s="154"/>
      <c r="J557" s="154"/>
    </row>
    <row r="558" spans="5:10" x14ac:dyDescent="0.25">
      <c r="E558" s="154"/>
      <c r="G558" s="161"/>
      <c r="H558" s="162"/>
      <c r="I558" s="154"/>
      <c r="J558" s="154"/>
    </row>
    <row r="559" spans="5:10" x14ac:dyDescent="0.25">
      <c r="E559" s="154"/>
      <c r="G559" s="161"/>
      <c r="H559" s="162"/>
      <c r="I559" s="154"/>
      <c r="J559" s="154"/>
    </row>
    <row r="560" spans="5:10" x14ac:dyDescent="0.25">
      <c r="E560" s="154"/>
      <c r="G560" s="161"/>
      <c r="H560" s="162"/>
      <c r="I560" s="154"/>
      <c r="J560" s="154"/>
    </row>
    <row r="561" spans="5:10" x14ac:dyDescent="0.25">
      <c r="E561" s="154"/>
      <c r="G561" s="161"/>
      <c r="H561" s="162"/>
      <c r="I561" s="154"/>
      <c r="J561" s="154"/>
    </row>
    <row r="562" spans="5:10" x14ac:dyDescent="0.25">
      <c r="E562" s="154"/>
      <c r="G562" s="161"/>
      <c r="H562" s="162"/>
      <c r="I562" s="154"/>
      <c r="J562" s="154"/>
    </row>
    <row r="563" spans="5:10" x14ac:dyDescent="0.25">
      <c r="E563" s="154"/>
      <c r="G563" s="161"/>
      <c r="H563" s="162"/>
      <c r="I563" s="154"/>
      <c r="J563" s="154"/>
    </row>
    <row r="564" spans="5:10" x14ac:dyDescent="0.25">
      <c r="E564" s="154"/>
      <c r="G564" s="161"/>
      <c r="H564" s="162"/>
      <c r="I564" s="154"/>
      <c r="J564" s="154"/>
    </row>
    <row r="565" spans="5:10" x14ac:dyDescent="0.25">
      <c r="E565" s="154"/>
      <c r="G565" s="161"/>
      <c r="H565" s="162"/>
      <c r="I565" s="154"/>
      <c r="J565" s="154"/>
    </row>
    <row r="566" spans="5:10" x14ac:dyDescent="0.25">
      <c r="E566" s="154"/>
      <c r="G566" s="161"/>
      <c r="H566" s="162"/>
      <c r="I566" s="154"/>
      <c r="J566" s="154"/>
    </row>
    <row r="567" spans="5:10" x14ac:dyDescent="0.25">
      <c r="E567" s="154"/>
      <c r="G567" s="161"/>
      <c r="H567" s="162"/>
      <c r="I567" s="154"/>
      <c r="J567" s="154"/>
    </row>
    <row r="568" spans="5:10" x14ac:dyDescent="0.25">
      <c r="E568" s="154"/>
      <c r="G568" s="161"/>
      <c r="H568" s="162"/>
      <c r="I568" s="154"/>
      <c r="J568" s="154"/>
    </row>
    <row r="569" spans="5:10" x14ac:dyDescent="0.25">
      <c r="E569" s="154"/>
      <c r="G569" s="161"/>
      <c r="H569" s="162"/>
      <c r="I569" s="154"/>
      <c r="J569" s="154"/>
    </row>
    <row r="570" spans="5:10" x14ac:dyDescent="0.25">
      <c r="E570" s="154"/>
      <c r="G570" s="161"/>
      <c r="H570" s="162"/>
      <c r="I570" s="154"/>
      <c r="J570" s="154"/>
    </row>
    <row r="571" spans="5:10" x14ac:dyDescent="0.25">
      <c r="E571" s="154"/>
      <c r="G571" s="161"/>
      <c r="H571" s="162"/>
      <c r="I571" s="154"/>
      <c r="J571" s="154"/>
    </row>
    <row r="572" spans="5:10" x14ac:dyDescent="0.25">
      <c r="E572" s="154"/>
      <c r="G572" s="161"/>
      <c r="H572" s="162"/>
      <c r="I572" s="154"/>
      <c r="J572" s="154"/>
    </row>
    <row r="573" spans="5:10" x14ac:dyDescent="0.25">
      <c r="E573" s="154"/>
      <c r="G573" s="161"/>
      <c r="H573" s="162"/>
      <c r="I573" s="154"/>
      <c r="J573" s="154"/>
    </row>
    <row r="574" spans="5:10" x14ac:dyDescent="0.25">
      <c r="E574" s="154"/>
      <c r="G574" s="161"/>
      <c r="H574" s="162"/>
      <c r="I574" s="154"/>
      <c r="J574" s="154"/>
    </row>
    <row r="575" spans="5:10" x14ac:dyDescent="0.25">
      <c r="E575" s="154"/>
      <c r="G575" s="161"/>
      <c r="H575" s="162"/>
      <c r="I575" s="154"/>
      <c r="J575" s="154"/>
    </row>
    <row r="576" spans="5:10" x14ac:dyDescent="0.25">
      <c r="E576" s="154"/>
      <c r="G576" s="161"/>
      <c r="H576" s="162"/>
      <c r="I576" s="154"/>
      <c r="J576" s="154"/>
    </row>
    <row r="577" spans="5:10" x14ac:dyDescent="0.25">
      <c r="E577" s="154"/>
      <c r="G577" s="161"/>
      <c r="H577" s="162"/>
      <c r="I577" s="154"/>
      <c r="J577" s="154"/>
    </row>
    <row r="578" spans="5:10" x14ac:dyDescent="0.25">
      <c r="E578" s="154"/>
      <c r="G578" s="161"/>
      <c r="H578" s="162"/>
      <c r="I578" s="154"/>
      <c r="J578" s="154"/>
    </row>
    <row r="579" spans="5:10" x14ac:dyDescent="0.25">
      <c r="E579" s="154"/>
      <c r="G579" s="161"/>
      <c r="H579" s="162"/>
      <c r="I579" s="154"/>
      <c r="J579" s="154"/>
    </row>
    <row r="580" spans="5:10" x14ac:dyDescent="0.25">
      <c r="E580" s="154"/>
      <c r="G580" s="161"/>
      <c r="H580" s="162"/>
      <c r="I580" s="154"/>
      <c r="J580" s="154"/>
    </row>
    <row r="581" spans="5:10" x14ac:dyDescent="0.25">
      <c r="E581" s="154"/>
      <c r="G581" s="161"/>
      <c r="H581" s="162"/>
      <c r="I581" s="154"/>
      <c r="J581" s="154"/>
    </row>
    <row r="582" spans="5:10" x14ac:dyDescent="0.25">
      <c r="E582" s="154"/>
      <c r="G582" s="161"/>
      <c r="H582" s="162"/>
      <c r="I582" s="154"/>
      <c r="J582" s="154"/>
    </row>
    <row r="583" spans="5:10" x14ac:dyDescent="0.25">
      <c r="E583" s="154"/>
      <c r="G583" s="161"/>
      <c r="H583" s="162"/>
      <c r="I583" s="154"/>
      <c r="J583" s="154"/>
    </row>
    <row r="584" spans="5:10" x14ac:dyDescent="0.25">
      <c r="E584" s="154"/>
      <c r="G584" s="161"/>
      <c r="H584" s="162"/>
      <c r="I584" s="154"/>
      <c r="J584" s="154"/>
    </row>
    <row r="585" spans="5:10" x14ac:dyDescent="0.25">
      <c r="E585" s="154"/>
      <c r="G585" s="161"/>
      <c r="H585" s="162"/>
      <c r="I585" s="154"/>
      <c r="J585" s="154"/>
    </row>
    <row r="586" spans="5:10" x14ac:dyDescent="0.25">
      <c r="E586" s="154"/>
      <c r="G586" s="161"/>
      <c r="H586" s="162"/>
      <c r="I586" s="154"/>
      <c r="J586" s="154"/>
    </row>
    <row r="587" spans="5:10" x14ac:dyDescent="0.25">
      <c r="E587" s="154"/>
      <c r="G587" s="161"/>
      <c r="H587" s="162"/>
      <c r="I587" s="154"/>
      <c r="J587" s="154"/>
    </row>
    <row r="588" spans="5:10" x14ac:dyDescent="0.25">
      <c r="E588" s="154"/>
      <c r="G588" s="161"/>
      <c r="H588" s="162"/>
      <c r="I588" s="154"/>
      <c r="J588" s="154"/>
    </row>
    <row r="589" spans="5:10" x14ac:dyDescent="0.25">
      <c r="E589" s="154"/>
      <c r="G589" s="161"/>
      <c r="H589" s="162"/>
      <c r="I589" s="154"/>
      <c r="J589" s="154"/>
    </row>
    <row r="590" spans="5:10" x14ac:dyDescent="0.25">
      <c r="E590" s="154"/>
      <c r="G590" s="161"/>
      <c r="H590" s="162"/>
      <c r="I590" s="154"/>
      <c r="J590" s="154"/>
    </row>
    <row r="591" spans="5:10" x14ac:dyDescent="0.25">
      <c r="E591" s="154"/>
      <c r="G591" s="161"/>
      <c r="H591" s="162"/>
      <c r="I591" s="154"/>
      <c r="J591" s="154"/>
    </row>
    <row r="592" spans="5:10" x14ac:dyDescent="0.25">
      <c r="E592" s="154"/>
      <c r="G592" s="161"/>
      <c r="H592" s="162"/>
      <c r="I592" s="154"/>
      <c r="J592" s="154"/>
    </row>
    <row r="593" spans="5:10" x14ac:dyDescent="0.25">
      <c r="E593" s="154"/>
      <c r="G593" s="161"/>
      <c r="H593" s="162"/>
      <c r="I593" s="154"/>
      <c r="J593" s="154"/>
    </row>
    <row r="594" spans="5:10" x14ac:dyDescent="0.25">
      <c r="E594" s="154"/>
      <c r="G594" s="161"/>
      <c r="H594" s="162"/>
      <c r="I594" s="154"/>
      <c r="J594" s="154"/>
    </row>
    <row r="595" spans="5:10" x14ac:dyDescent="0.25">
      <c r="E595" s="154"/>
      <c r="G595" s="161"/>
      <c r="H595" s="162"/>
      <c r="I595" s="154"/>
      <c r="J595" s="154"/>
    </row>
    <row r="596" spans="5:10" x14ac:dyDescent="0.25">
      <c r="E596" s="154"/>
      <c r="G596" s="161"/>
      <c r="H596" s="162"/>
      <c r="I596" s="154"/>
      <c r="J596" s="154"/>
    </row>
    <row r="597" spans="5:10" x14ac:dyDescent="0.25">
      <c r="E597" s="154"/>
      <c r="G597" s="161"/>
      <c r="H597" s="162"/>
      <c r="I597" s="154"/>
      <c r="J597" s="154"/>
    </row>
    <row r="598" spans="5:10" x14ac:dyDescent="0.25">
      <c r="E598" s="154"/>
      <c r="G598" s="161"/>
      <c r="H598" s="162"/>
      <c r="I598" s="154"/>
      <c r="J598" s="154"/>
    </row>
    <row r="599" spans="5:10" x14ac:dyDescent="0.25">
      <c r="E599" s="154"/>
      <c r="G599" s="161"/>
      <c r="H599" s="162"/>
      <c r="I599" s="154"/>
      <c r="J599" s="154"/>
    </row>
    <row r="600" spans="5:10" x14ac:dyDescent="0.25">
      <c r="E600" s="154"/>
      <c r="G600" s="161"/>
      <c r="H600" s="162"/>
      <c r="I600" s="154"/>
      <c r="J600" s="154"/>
    </row>
    <row r="601" spans="5:10" x14ac:dyDescent="0.25">
      <c r="E601" s="154"/>
      <c r="G601" s="161"/>
      <c r="H601" s="162"/>
      <c r="I601" s="154"/>
      <c r="J601" s="154"/>
    </row>
    <row r="602" spans="5:10" x14ac:dyDescent="0.25">
      <c r="E602" s="154"/>
      <c r="G602" s="161"/>
      <c r="H602" s="162"/>
      <c r="I602" s="154"/>
      <c r="J602" s="154"/>
    </row>
    <row r="603" spans="5:10" x14ac:dyDescent="0.25">
      <c r="E603" s="154"/>
      <c r="G603" s="161"/>
      <c r="H603" s="162"/>
      <c r="I603" s="154"/>
      <c r="J603" s="154"/>
    </row>
    <row r="604" spans="5:10" x14ac:dyDescent="0.25">
      <c r="E604" s="154"/>
      <c r="G604" s="161"/>
      <c r="H604" s="162"/>
      <c r="I604" s="154"/>
      <c r="J604" s="154"/>
    </row>
    <row r="605" spans="5:10" x14ac:dyDescent="0.25">
      <c r="E605" s="154"/>
      <c r="G605" s="161"/>
      <c r="H605" s="162"/>
      <c r="I605" s="154"/>
      <c r="J605" s="154"/>
    </row>
    <row r="606" spans="5:10" x14ac:dyDescent="0.25">
      <c r="E606" s="154"/>
      <c r="G606" s="161"/>
      <c r="H606" s="162"/>
      <c r="I606" s="154"/>
      <c r="J606" s="154"/>
    </row>
    <row r="607" spans="5:10" x14ac:dyDescent="0.25">
      <c r="E607" s="154"/>
      <c r="G607" s="161"/>
      <c r="H607" s="162"/>
      <c r="I607" s="154"/>
      <c r="J607" s="154"/>
    </row>
    <row r="608" spans="5:10" x14ac:dyDescent="0.25">
      <c r="E608" s="154"/>
      <c r="G608" s="161"/>
      <c r="H608" s="162"/>
      <c r="I608" s="154"/>
      <c r="J608" s="154"/>
    </row>
    <row r="609" spans="5:10" x14ac:dyDescent="0.25">
      <c r="E609" s="154"/>
      <c r="G609" s="161"/>
      <c r="H609" s="162"/>
      <c r="I609" s="154"/>
      <c r="J609" s="154"/>
    </row>
    <row r="610" spans="5:10" x14ac:dyDescent="0.25">
      <c r="E610" s="154"/>
      <c r="G610" s="161"/>
      <c r="H610" s="162"/>
      <c r="I610" s="154"/>
      <c r="J610" s="154"/>
    </row>
    <row r="611" spans="5:10" x14ac:dyDescent="0.25">
      <c r="E611" s="154"/>
      <c r="G611" s="161"/>
      <c r="H611" s="162"/>
      <c r="I611" s="154"/>
      <c r="J611" s="154"/>
    </row>
    <row r="612" spans="5:10" x14ac:dyDescent="0.25">
      <c r="E612" s="154"/>
      <c r="G612" s="161"/>
      <c r="H612" s="162"/>
      <c r="I612" s="154"/>
      <c r="J612" s="154"/>
    </row>
    <row r="613" spans="5:10" x14ac:dyDescent="0.25">
      <c r="E613" s="154"/>
      <c r="G613" s="161"/>
      <c r="H613" s="162"/>
      <c r="I613" s="154"/>
      <c r="J613" s="154"/>
    </row>
    <row r="614" spans="5:10" x14ac:dyDescent="0.25">
      <c r="E614" s="154"/>
      <c r="G614" s="161"/>
      <c r="H614" s="162"/>
      <c r="I614" s="154"/>
      <c r="J614" s="154"/>
    </row>
    <row r="615" spans="5:10" x14ac:dyDescent="0.25">
      <c r="E615" s="154"/>
      <c r="G615" s="161"/>
      <c r="H615" s="162"/>
      <c r="I615" s="154"/>
      <c r="J615" s="154"/>
    </row>
    <row r="616" spans="5:10" x14ac:dyDescent="0.25">
      <c r="E616" s="154"/>
      <c r="G616" s="161"/>
      <c r="H616" s="162"/>
      <c r="I616" s="154"/>
      <c r="J616" s="154"/>
    </row>
    <row r="617" spans="5:10" x14ac:dyDescent="0.25">
      <c r="E617" s="154"/>
      <c r="G617" s="161"/>
      <c r="H617" s="162"/>
      <c r="I617" s="154"/>
      <c r="J617" s="154"/>
    </row>
    <row r="618" spans="5:10" x14ac:dyDescent="0.25">
      <c r="E618" s="154"/>
      <c r="G618" s="161"/>
      <c r="H618" s="162"/>
      <c r="I618" s="154"/>
      <c r="J618" s="154"/>
    </row>
    <row r="619" spans="5:10" x14ac:dyDescent="0.25">
      <c r="E619" s="154"/>
      <c r="G619" s="161"/>
      <c r="H619" s="162"/>
      <c r="I619" s="154"/>
      <c r="J619" s="154"/>
    </row>
    <row r="620" spans="5:10" x14ac:dyDescent="0.25">
      <c r="E620" s="154"/>
      <c r="G620" s="161"/>
      <c r="H620" s="162"/>
      <c r="I620" s="154"/>
      <c r="J620" s="154"/>
    </row>
    <row r="621" spans="5:10" x14ac:dyDescent="0.25">
      <c r="E621" s="154"/>
      <c r="G621" s="161"/>
      <c r="H621" s="162"/>
      <c r="I621" s="154"/>
      <c r="J621" s="154"/>
    </row>
    <row r="622" spans="5:10" x14ac:dyDescent="0.25">
      <c r="E622" s="154"/>
      <c r="G622" s="161"/>
      <c r="H622" s="162"/>
      <c r="I622" s="154"/>
      <c r="J622" s="154"/>
    </row>
    <row r="623" spans="5:10" x14ac:dyDescent="0.25">
      <c r="E623" s="154"/>
      <c r="G623" s="161"/>
      <c r="H623" s="162"/>
      <c r="I623" s="154"/>
      <c r="J623" s="154"/>
    </row>
    <row r="624" spans="5:10" x14ac:dyDescent="0.25">
      <c r="E624" s="154"/>
      <c r="G624" s="161"/>
      <c r="H624" s="162"/>
      <c r="I624" s="154"/>
      <c r="J624" s="154"/>
    </row>
    <row r="625" spans="5:10" x14ac:dyDescent="0.25">
      <c r="E625" s="154"/>
      <c r="G625" s="161"/>
      <c r="H625" s="162"/>
      <c r="I625" s="154"/>
      <c r="J625" s="154"/>
    </row>
    <row r="626" spans="5:10" x14ac:dyDescent="0.25">
      <c r="E626" s="154"/>
      <c r="G626" s="161"/>
      <c r="H626" s="162"/>
      <c r="I626" s="154"/>
      <c r="J626" s="154"/>
    </row>
    <row r="627" spans="5:10" x14ac:dyDescent="0.25">
      <c r="E627" s="154"/>
      <c r="G627" s="161"/>
      <c r="H627" s="162"/>
      <c r="I627" s="154"/>
      <c r="J627" s="154"/>
    </row>
    <row r="628" spans="5:10" x14ac:dyDescent="0.25">
      <c r="E628" s="154"/>
      <c r="G628" s="161"/>
      <c r="H628" s="162"/>
      <c r="I628" s="154"/>
      <c r="J628" s="154"/>
    </row>
    <row r="629" spans="5:10" x14ac:dyDescent="0.25">
      <c r="E629" s="154"/>
      <c r="G629" s="161"/>
      <c r="H629" s="162"/>
      <c r="I629" s="154"/>
      <c r="J629" s="154"/>
    </row>
    <row r="630" spans="5:10" x14ac:dyDescent="0.25">
      <c r="E630" s="154"/>
      <c r="G630" s="161"/>
      <c r="H630" s="162"/>
      <c r="I630" s="154"/>
      <c r="J630" s="154"/>
    </row>
    <row r="631" spans="5:10" x14ac:dyDescent="0.25">
      <c r="E631" s="154"/>
      <c r="G631" s="161"/>
      <c r="H631" s="162"/>
      <c r="I631" s="154"/>
      <c r="J631" s="154"/>
    </row>
    <row r="632" spans="5:10" x14ac:dyDescent="0.25">
      <c r="E632" s="154"/>
      <c r="G632" s="161"/>
      <c r="H632" s="162"/>
      <c r="I632" s="154"/>
      <c r="J632" s="154"/>
    </row>
    <row r="633" spans="5:10" x14ac:dyDescent="0.25">
      <c r="E633" s="154"/>
      <c r="G633" s="161"/>
      <c r="H633" s="162"/>
      <c r="I633" s="154"/>
      <c r="J633" s="154"/>
    </row>
    <row r="634" spans="5:10" x14ac:dyDescent="0.25">
      <c r="E634" s="154"/>
      <c r="G634" s="161"/>
      <c r="H634" s="162"/>
      <c r="I634" s="154"/>
      <c r="J634" s="154"/>
    </row>
    <row r="635" spans="5:10" x14ac:dyDescent="0.25">
      <c r="E635" s="154"/>
      <c r="G635" s="161"/>
      <c r="H635" s="162"/>
      <c r="I635" s="154"/>
      <c r="J635" s="154"/>
    </row>
    <row r="636" spans="5:10" x14ac:dyDescent="0.25">
      <c r="E636" s="154"/>
      <c r="G636" s="161"/>
      <c r="H636" s="162"/>
      <c r="I636" s="154"/>
      <c r="J636" s="154"/>
    </row>
    <row r="637" spans="5:10" x14ac:dyDescent="0.25">
      <c r="E637" s="154"/>
      <c r="G637" s="161"/>
      <c r="H637" s="162"/>
      <c r="I637" s="154"/>
      <c r="J637" s="154"/>
    </row>
    <row r="638" spans="5:10" x14ac:dyDescent="0.25">
      <c r="E638" s="154"/>
      <c r="G638" s="161"/>
      <c r="H638" s="162"/>
      <c r="I638" s="154"/>
      <c r="J638" s="154"/>
    </row>
    <row r="639" spans="5:10" x14ac:dyDescent="0.25">
      <c r="E639" s="154"/>
      <c r="G639" s="161"/>
      <c r="H639" s="162"/>
      <c r="I639" s="154"/>
      <c r="J639" s="154"/>
    </row>
    <row r="640" spans="5:10" x14ac:dyDescent="0.25">
      <c r="E640" s="154"/>
      <c r="G640" s="161"/>
      <c r="H640" s="162"/>
      <c r="I640" s="154"/>
      <c r="J640" s="154"/>
    </row>
    <row r="641" spans="5:10" x14ac:dyDescent="0.25">
      <c r="E641" s="154"/>
      <c r="G641" s="161"/>
      <c r="H641" s="162"/>
      <c r="I641" s="154"/>
      <c r="J641" s="154"/>
    </row>
    <row r="642" spans="5:10" x14ac:dyDescent="0.25">
      <c r="E642" s="154"/>
      <c r="G642" s="161"/>
      <c r="H642" s="162"/>
      <c r="I642" s="154"/>
      <c r="J642" s="154"/>
    </row>
    <row r="643" spans="5:10" x14ac:dyDescent="0.25">
      <c r="E643" s="154"/>
      <c r="G643" s="161"/>
      <c r="H643" s="162"/>
      <c r="I643" s="154"/>
      <c r="J643" s="154"/>
    </row>
    <row r="644" spans="5:10" x14ac:dyDescent="0.25">
      <c r="E644" s="154"/>
      <c r="G644" s="161"/>
      <c r="H644" s="162"/>
      <c r="I644" s="154"/>
      <c r="J644" s="154"/>
    </row>
    <row r="645" spans="5:10" x14ac:dyDescent="0.25">
      <c r="E645" s="154"/>
      <c r="G645" s="161"/>
      <c r="H645" s="162"/>
      <c r="I645" s="154"/>
      <c r="J645" s="154"/>
    </row>
    <row r="646" spans="5:10" x14ac:dyDescent="0.25">
      <c r="E646" s="154"/>
      <c r="G646" s="161"/>
      <c r="H646" s="162"/>
      <c r="I646" s="154"/>
      <c r="J646" s="154"/>
    </row>
    <row r="647" spans="5:10" x14ac:dyDescent="0.25">
      <c r="E647" s="154"/>
      <c r="G647" s="161"/>
      <c r="H647" s="162"/>
      <c r="I647" s="154"/>
      <c r="J647" s="154"/>
    </row>
    <row r="648" spans="5:10" x14ac:dyDescent="0.25">
      <c r="E648" s="154"/>
      <c r="G648" s="161"/>
      <c r="H648" s="162"/>
      <c r="I648" s="154"/>
      <c r="J648" s="154"/>
    </row>
    <row r="649" spans="5:10" x14ac:dyDescent="0.25">
      <c r="E649" s="154"/>
      <c r="G649" s="161"/>
      <c r="H649" s="162"/>
      <c r="I649" s="154"/>
      <c r="J649" s="154"/>
    </row>
    <row r="650" spans="5:10" x14ac:dyDescent="0.25">
      <c r="E650" s="154"/>
      <c r="G650" s="161"/>
      <c r="H650" s="162"/>
      <c r="I650" s="154"/>
      <c r="J650" s="154"/>
    </row>
    <row r="651" spans="5:10" x14ac:dyDescent="0.25">
      <c r="E651" s="154"/>
      <c r="G651" s="161"/>
      <c r="H651" s="162"/>
      <c r="I651" s="154"/>
      <c r="J651" s="154"/>
    </row>
    <row r="652" spans="5:10" x14ac:dyDescent="0.25">
      <c r="E652" s="154"/>
      <c r="G652" s="161"/>
      <c r="H652" s="162"/>
      <c r="I652" s="154"/>
      <c r="J652" s="154"/>
    </row>
    <row r="653" spans="5:10" x14ac:dyDescent="0.25">
      <c r="E653" s="154"/>
      <c r="G653" s="161"/>
      <c r="H653" s="162"/>
      <c r="I653" s="154"/>
      <c r="J653" s="154"/>
    </row>
    <row r="654" spans="5:10" x14ac:dyDescent="0.25">
      <c r="E654" s="154"/>
      <c r="G654" s="161"/>
      <c r="H654" s="162"/>
      <c r="I654" s="154"/>
      <c r="J654" s="154"/>
    </row>
    <row r="655" spans="5:10" x14ac:dyDescent="0.25">
      <c r="E655" s="154"/>
      <c r="G655" s="161"/>
      <c r="H655" s="162"/>
      <c r="I655" s="154"/>
      <c r="J655" s="154"/>
    </row>
    <row r="656" spans="5:10" x14ac:dyDescent="0.25">
      <c r="E656" s="154"/>
      <c r="G656" s="161"/>
      <c r="H656" s="162"/>
      <c r="I656" s="154"/>
      <c r="J656" s="154"/>
    </row>
    <row r="657" spans="5:10" x14ac:dyDescent="0.25">
      <c r="E657" s="154"/>
      <c r="G657" s="161"/>
      <c r="H657" s="162"/>
      <c r="I657" s="154"/>
      <c r="J657" s="154"/>
    </row>
    <row r="658" spans="5:10" x14ac:dyDescent="0.25">
      <c r="E658" s="154"/>
      <c r="G658" s="161"/>
      <c r="H658" s="162"/>
      <c r="I658" s="154"/>
      <c r="J658" s="154"/>
    </row>
    <row r="659" spans="5:10" x14ac:dyDescent="0.25">
      <c r="E659" s="154"/>
      <c r="G659" s="161"/>
      <c r="H659" s="162"/>
      <c r="I659" s="154"/>
      <c r="J659" s="154"/>
    </row>
    <row r="660" spans="5:10" x14ac:dyDescent="0.25">
      <c r="E660" s="154"/>
      <c r="G660" s="161"/>
      <c r="H660" s="162"/>
      <c r="I660" s="154"/>
      <c r="J660" s="154"/>
    </row>
    <row r="661" spans="5:10" x14ac:dyDescent="0.25">
      <c r="E661" s="154"/>
      <c r="G661" s="161"/>
      <c r="H661" s="162"/>
      <c r="I661" s="154"/>
      <c r="J661" s="154"/>
    </row>
    <row r="662" spans="5:10" x14ac:dyDescent="0.25">
      <c r="E662" s="154"/>
      <c r="G662" s="161"/>
      <c r="H662" s="162"/>
      <c r="I662" s="154"/>
      <c r="J662" s="154"/>
    </row>
    <row r="663" spans="5:10" x14ac:dyDescent="0.25">
      <c r="E663" s="154"/>
      <c r="G663" s="161"/>
      <c r="H663" s="162"/>
      <c r="I663" s="154"/>
      <c r="J663" s="154"/>
    </row>
    <row r="664" spans="5:10" x14ac:dyDescent="0.25">
      <c r="E664" s="154"/>
      <c r="G664" s="161"/>
      <c r="H664" s="162"/>
      <c r="I664" s="154"/>
      <c r="J664" s="154"/>
    </row>
    <row r="665" spans="5:10" x14ac:dyDescent="0.25">
      <c r="E665" s="154"/>
      <c r="G665" s="161"/>
      <c r="H665" s="162"/>
      <c r="I665" s="154"/>
      <c r="J665" s="154"/>
    </row>
    <row r="666" spans="5:10" x14ac:dyDescent="0.25">
      <c r="E666" s="154"/>
      <c r="G666" s="161"/>
      <c r="H666" s="162"/>
      <c r="I666" s="154"/>
      <c r="J666" s="154"/>
    </row>
    <row r="667" spans="5:10" x14ac:dyDescent="0.25">
      <c r="E667" s="154"/>
      <c r="G667" s="161"/>
      <c r="H667" s="162"/>
      <c r="I667" s="154"/>
      <c r="J667" s="154"/>
    </row>
    <row r="668" spans="5:10" x14ac:dyDescent="0.25">
      <c r="E668" s="154"/>
      <c r="G668" s="161"/>
      <c r="H668" s="162"/>
      <c r="I668" s="154"/>
      <c r="J668" s="154"/>
    </row>
    <row r="669" spans="5:10" x14ac:dyDescent="0.25">
      <c r="E669" s="154"/>
      <c r="G669" s="161"/>
      <c r="H669" s="162"/>
      <c r="I669" s="154"/>
      <c r="J669" s="154"/>
    </row>
    <row r="670" spans="5:10" x14ac:dyDescent="0.25">
      <c r="E670" s="154"/>
      <c r="G670" s="161"/>
      <c r="H670" s="162"/>
      <c r="I670" s="154"/>
      <c r="J670" s="154"/>
    </row>
    <row r="671" spans="5:10" x14ac:dyDescent="0.25">
      <c r="E671" s="154"/>
      <c r="G671" s="161"/>
      <c r="H671" s="162"/>
      <c r="I671" s="154"/>
      <c r="J671" s="154"/>
    </row>
    <row r="672" spans="5:10" x14ac:dyDescent="0.25">
      <c r="E672" s="154"/>
      <c r="G672" s="161"/>
      <c r="H672" s="162"/>
      <c r="I672" s="154"/>
      <c r="J672" s="154"/>
    </row>
    <row r="673" spans="5:10" x14ac:dyDescent="0.25">
      <c r="E673" s="154"/>
      <c r="G673" s="161"/>
      <c r="H673" s="162"/>
      <c r="I673" s="154"/>
      <c r="J673" s="154"/>
    </row>
    <row r="674" spans="5:10" x14ac:dyDescent="0.25">
      <c r="E674" s="154"/>
      <c r="G674" s="161"/>
      <c r="H674" s="162"/>
      <c r="I674" s="154"/>
      <c r="J674" s="154"/>
    </row>
    <row r="675" spans="5:10" x14ac:dyDescent="0.25">
      <c r="E675" s="154"/>
      <c r="G675" s="161"/>
      <c r="H675" s="162"/>
      <c r="I675" s="154"/>
      <c r="J675" s="154"/>
    </row>
    <row r="676" spans="5:10" x14ac:dyDescent="0.25">
      <c r="E676" s="154"/>
      <c r="G676" s="161"/>
      <c r="H676" s="162"/>
      <c r="I676" s="154"/>
      <c r="J676" s="154"/>
    </row>
    <row r="677" spans="5:10" x14ac:dyDescent="0.25">
      <c r="E677" s="154"/>
      <c r="G677" s="161"/>
      <c r="H677" s="162"/>
      <c r="I677" s="154"/>
      <c r="J677" s="154"/>
    </row>
    <row r="678" spans="5:10" x14ac:dyDescent="0.25">
      <c r="E678" s="154"/>
      <c r="G678" s="161"/>
      <c r="H678" s="162"/>
      <c r="I678" s="154"/>
      <c r="J678" s="154"/>
    </row>
    <row r="679" spans="5:10" x14ac:dyDescent="0.25">
      <c r="E679" s="154"/>
      <c r="G679" s="161"/>
      <c r="H679" s="162"/>
      <c r="I679" s="154"/>
      <c r="J679" s="154"/>
    </row>
    <row r="680" spans="5:10" x14ac:dyDescent="0.25">
      <c r="E680" s="154"/>
      <c r="G680" s="161"/>
      <c r="H680" s="162"/>
      <c r="I680" s="154"/>
      <c r="J680" s="154"/>
    </row>
    <row r="681" spans="5:10" x14ac:dyDescent="0.25">
      <c r="E681" s="154"/>
      <c r="G681" s="161"/>
      <c r="H681" s="162"/>
      <c r="I681" s="154"/>
      <c r="J681" s="154"/>
    </row>
    <row r="682" spans="5:10" x14ac:dyDescent="0.25">
      <c r="E682" s="154"/>
      <c r="G682" s="161"/>
      <c r="H682" s="162"/>
      <c r="I682" s="154"/>
      <c r="J682" s="154"/>
    </row>
    <row r="683" spans="5:10" x14ac:dyDescent="0.25">
      <c r="E683" s="154"/>
      <c r="G683" s="161"/>
      <c r="H683" s="162"/>
      <c r="I683" s="154"/>
      <c r="J683" s="154"/>
    </row>
    <row r="684" spans="5:10" x14ac:dyDescent="0.25">
      <c r="E684" s="154"/>
      <c r="G684" s="161"/>
      <c r="H684" s="162"/>
      <c r="I684" s="154"/>
      <c r="J684" s="154"/>
    </row>
    <row r="685" spans="5:10" x14ac:dyDescent="0.25">
      <c r="E685" s="154"/>
      <c r="G685" s="161"/>
      <c r="H685" s="162"/>
      <c r="I685" s="154"/>
      <c r="J685" s="154"/>
    </row>
    <row r="686" spans="5:10" x14ac:dyDescent="0.25">
      <c r="E686" s="154"/>
      <c r="G686" s="161"/>
      <c r="H686" s="162"/>
      <c r="I686" s="154"/>
      <c r="J686" s="154"/>
    </row>
    <row r="687" spans="5:10" x14ac:dyDescent="0.25">
      <c r="E687" s="154"/>
      <c r="G687" s="161"/>
      <c r="H687" s="162"/>
      <c r="I687" s="154"/>
      <c r="J687" s="154"/>
    </row>
    <row r="688" spans="5:10" x14ac:dyDescent="0.25">
      <c r="E688" s="154"/>
      <c r="G688" s="161"/>
      <c r="H688" s="162"/>
      <c r="I688" s="154"/>
      <c r="J688" s="154"/>
    </row>
    <row r="689" spans="5:10" x14ac:dyDescent="0.25">
      <c r="E689" s="154"/>
      <c r="G689" s="161"/>
      <c r="H689" s="162"/>
      <c r="I689" s="154"/>
      <c r="J689" s="154"/>
    </row>
    <row r="690" spans="5:10" x14ac:dyDescent="0.25">
      <c r="E690" s="154"/>
      <c r="G690" s="161"/>
      <c r="H690" s="162"/>
      <c r="I690" s="154"/>
      <c r="J690" s="154"/>
    </row>
    <row r="691" spans="5:10" x14ac:dyDescent="0.25">
      <c r="E691" s="154"/>
      <c r="G691" s="161"/>
      <c r="H691" s="162"/>
      <c r="I691" s="154"/>
      <c r="J691" s="154"/>
    </row>
    <row r="692" spans="5:10" x14ac:dyDescent="0.25">
      <c r="E692" s="154"/>
      <c r="G692" s="161"/>
      <c r="H692" s="162"/>
      <c r="I692" s="154"/>
      <c r="J692" s="154"/>
    </row>
    <row r="693" spans="5:10" x14ac:dyDescent="0.25">
      <c r="E693" s="154"/>
      <c r="G693" s="161"/>
      <c r="H693" s="162"/>
      <c r="I693" s="154"/>
      <c r="J693" s="154"/>
    </row>
    <row r="694" spans="5:10" x14ac:dyDescent="0.25">
      <c r="E694" s="154"/>
      <c r="G694" s="161"/>
      <c r="H694" s="162"/>
      <c r="I694" s="154"/>
      <c r="J694" s="154"/>
    </row>
    <row r="695" spans="5:10" x14ac:dyDescent="0.25">
      <c r="E695" s="154"/>
      <c r="G695" s="161"/>
      <c r="H695" s="162"/>
      <c r="I695" s="154"/>
      <c r="J695" s="154"/>
    </row>
    <row r="696" spans="5:10" x14ac:dyDescent="0.25">
      <c r="E696" s="154"/>
      <c r="G696" s="161"/>
      <c r="H696" s="162"/>
      <c r="I696" s="154"/>
      <c r="J696" s="154"/>
    </row>
    <row r="697" spans="5:10" x14ac:dyDescent="0.25">
      <c r="E697" s="154"/>
      <c r="G697" s="161"/>
      <c r="H697" s="162"/>
      <c r="I697" s="154"/>
      <c r="J697" s="154"/>
    </row>
    <row r="698" spans="5:10" x14ac:dyDescent="0.25">
      <c r="E698" s="154"/>
      <c r="G698" s="161"/>
      <c r="H698" s="162"/>
      <c r="I698" s="154"/>
      <c r="J698" s="154"/>
    </row>
    <row r="699" spans="5:10" x14ac:dyDescent="0.25">
      <c r="E699" s="154"/>
      <c r="G699" s="161"/>
      <c r="H699" s="162"/>
      <c r="I699" s="154"/>
      <c r="J699" s="154"/>
    </row>
    <row r="700" spans="5:10" x14ac:dyDescent="0.25">
      <c r="E700" s="154"/>
      <c r="G700" s="161"/>
      <c r="H700" s="162"/>
      <c r="I700" s="154"/>
      <c r="J700" s="154"/>
    </row>
    <row r="701" spans="5:10" x14ac:dyDescent="0.25">
      <c r="E701" s="154"/>
      <c r="G701" s="161"/>
      <c r="H701" s="162"/>
      <c r="I701" s="154"/>
      <c r="J701" s="154"/>
    </row>
    <row r="702" spans="5:10" x14ac:dyDescent="0.25">
      <c r="E702" s="154"/>
      <c r="G702" s="161"/>
      <c r="H702" s="162"/>
      <c r="I702" s="154"/>
      <c r="J702" s="154"/>
    </row>
    <row r="703" spans="5:10" x14ac:dyDescent="0.25">
      <c r="E703" s="154"/>
      <c r="G703" s="161"/>
      <c r="H703" s="162"/>
      <c r="I703" s="154"/>
      <c r="J703" s="154"/>
    </row>
    <row r="704" spans="5:10" x14ac:dyDescent="0.25">
      <c r="E704" s="154"/>
      <c r="G704" s="161"/>
      <c r="H704" s="162"/>
      <c r="I704" s="154"/>
      <c r="J704" s="154"/>
    </row>
    <row r="705" spans="5:10" x14ac:dyDescent="0.25">
      <c r="E705" s="154"/>
      <c r="G705" s="161"/>
      <c r="H705" s="162"/>
      <c r="I705" s="154"/>
      <c r="J705" s="154"/>
    </row>
    <row r="706" spans="5:10" x14ac:dyDescent="0.25">
      <c r="E706" s="154"/>
      <c r="G706" s="161"/>
      <c r="H706" s="162"/>
      <c r="I706" s="154"/>
      <c r="J706" s="154"/>
    </row>
    <row r="707" spans="5:10" x14ac:dyDescent="0.25">
      <c r="E707" s="154"/>
      <c r="G707" s="161"/>
      <c r="H707" s="162"/>
      <c r="I707" s="154"/>
      <c r="J707" s="154"/>
    </row>
    <row r="708" spans="5:10" x14ac:dyDescent="0.25">
      <c r="E708" s="154"/>
      <c r="G708" s="161"/>
      <c r="H708" s="162"/>
      <c r="I708" s="154"/>
      <c r="J708" s="154"/>
    </row>
    <row r="709" spans="5:10" x14ac:dyDescent="0.25">
      <c r="E709" s="154"/>
      <c r="G709" s="161"/>
      <c r="H709" s="162"/>
      <c r="I709" s="154"/>
      <c r="J709" s="154"/>
    </row>
    <row r="710" spans="5:10" x14ac:dyDescent="0.25">
      <c r="E710" s="154"/>
      <c r="G710" s="161"/>
      <c r="H710" s="162"/>
      <c r="I710" s="154"/>
      <c r="J710" s="154"/>
    </row>
    <row r="711" spans="5:10" x14ac:dyDescent="0.25">
      <c r="E711" s="154"/>
      <c r="G711" s="161"/>
      <c r="H711" s="162"/>
      <c r="I711" s="154"/>
      <c r="J711" s="154"/>
    </row>
    <row r="712" spans="5:10" x14ac:dyDescent="0.25">
      <c r="E712" s="154"/>
      <c r="G712" s="161"/>
      <c r="H712" s="162"/>
      <c r="I712" s="154"/>
      <c r="J712" s="154"/>
    </row>
    <row r="713" spans="5:10" x14ac:dyDescent="0.25">
      <c r="E713" s="154"/>
      <c r="G713" s="161"/>
      <c r="H713" s="162"/>
      <c r="I713" s="154"/>
      <c r="J713" s="154"/>
    </row>
    <row r="714" spans="5:10" x14ac:dyDescent="0.25">
      <c r="E714" s="154"/>
      <c r="G714" s="161"/>
      <c r="H714" s="162"/>
      <c r="I714" s="154"/>
      <c r="J714" s="154"/>
    </row>
    <row r="715" spans="5:10" x14ac:dyDescent="0.25">
      <c r="E715" s="154"/>
      <c r="G715" s="161"/>
      <c r="H715" s="162"/>
      <c r="I715" s="154"/>
      <c r="J715" s="154"/>
    </row>
    <row r="716" spans="5:10" x14ac:dyDescent="0.25">
      <c r="E716" s="154"/>
      <c r="G716" s="161"/>
      <c r="H716" s="162"/>
      <c r="I716" s="154"/>
      <c r="J716" s="154"/>
    </row>
    <row r="717" spans="5:10" x14ac:dyDescent="0.25">
      <c r="E717" s="154"/>
      <c r="G717" s="161"/>
      <c r="H717" s="162"/>
      <c r="I717" s="154"/>
      <c r="J717" s="154"/>
    </row>
    <row r="718" spans="5:10" x14ac:dyDescent="0.25">
      <c r="E718" s="154"/>
      <c r="G718" s="161"/>
      <c r="H718" s="162"/>
      <c r="I718" s="154"/>
      <c r="J718" s="154"/>
    </row>
    <row r="719" spans="5:10" x14ac:dyDescent="0.25">
      <c r="E719" s="154"/>
      <c r="G719" s="161"/>
      <c r="H719" s="162"/>
      <c r="I719" s="154"/>
      <c r="J719" s="154"/>
    </row>
    <row r="720" spans="5:10" x14ac:dyDescent="0.25">
      <c r="E720" s="154"/>
      <c r="G720" s="161"/>
      <c r="H720" s="162"/>
      <c r="I720" s="154"/>
      <c r="J720" s="154"/>
    </row>
    <row r="721" spans="5:10" x14ac:dyDescent="0.25">
      <c r="E721" s="154"/>
      <c r="G721" s="161"/>
      <c r="H721" s="162"/>
      <c r="I721" s="154"/>
      <c r="J721" s="154"/>
    </row>
    <row r="722" spans="5:10" x14ac:dyDescent="0.25">
      <c r="E722" s="154"/>
      <c r="G722" s="161"/>
      <c r="H722" s="162"/>
      <c r="I722" s="154"/>
      <c r="J722" s="154"/>
    </row>
    <row r="723" spans="5:10" x14ac:dyDescent="0.25">
      <c r="E723" s="154"/>
      <c r="G723" s="161"/>
      <c r="H723" s="162"/>
      <c r="I723" s="154"/>
      <c r="J723" s="154"/>
    </row>
    <row r="724" spans="5:10" x14ac:dyDescent="0.25">
      <c r="E724" s="154"/>
      <c r="G724" s="161"/>
      <c r="H724" s="162"/>
      <c r="I724" s="154"/>
      <c r="J724" s="154"/>
    </row>
    <row r="725" spans="5:10" x14ac:dyDescent="0.25">
      <c r="E725" s="154"/>
      <c r="G725" s="161"/>
      <c r="H725" s="162"/>
      <c r="I725" s="154"/>
      <c r="J725" s="154"/>
    </row>
    <row r="726" spans="5:10" x14ac:dyDescent="0.25">
      <c r="E726" s="154"/>
      <c r="G726" s="161"/>
      <c r="H726" s="162"/>
      <c r="I726" s="154"/>
      <c r="J726" s="154"/>
    </row>
    <row r="727" spans="5:10" x14ac:dyDescent="0.25">
      <c r="E727" s="154"/>
      <c r="G727" s="161"/>
      <c r="H727" s="162"/>
      <c r="I727" s="154"/>
      <c r="J727" s="154"/>
    </row>
    <row r="728" spans="5:10" x14ac:dyDescent="0.25">
      <c r="E728" s="154"/>
      <c r="G728" s="161"/>
      <c r="H728" s="162"/>
      <c r="I728" s="154"/>
      <c r="J728" s="154"/>
    </row>
    <row r="729" spans="5:10" x14ac:dyDescent="0.25">
      <c r="E729" s="154"/>
      <c r="G729" s="161"/>
      <c r="H729" s="162"/>
      <c r="I729" s="154"/>
      <c r="J729" s="154"/>
    </row>
    <row r="730" spans="5:10" x14ac:dyDescent="0.25">
      <c r="E730" s="154"/>
      <c r="G730" s="161"/>
      <c r="H730" s="162"/>
      <c r="I730" s="154"/>
      <c r="J730" s="154"/>
    </row>
    <row r="731" spans="5:10" x14ac:dyDescent="0.25">
      <c r="E731" s="154"/>
      <c r="G731" s="161"/>
      <c r="H731" s="162"/>
      <c r="I731" s="154"/>
      <c r="J731" s="154"/>
    </row>
    <row r="732" spans="5:10" x14ac:dyDescent="0.25">
      <c r="E732" s="154"/>
      <c r="G732" s="161"/>
      <c r="H732" s="162"/>
      <c r="I732" s="154"/>
      <c r="J732" s="154"/>
    </row>
    <row r="733" spans="5:10" x14ac:dyDescent="0.25">
      <c r="E733" s="154"/>
      <c r="G733" s="161"/>
      <c r="H733" s="162"/>
      <c r="I733" s="154"/>
      <c r="J733" s="154"/>
    </row>
    <row r="734" spans="5:10" x14ac:dyDescent="0.25">
      <c r="E734" s="154"/>
      <c r="G734" s="161"/>
      <c r="H734" s="162"/>
      <c r="I734" s="154"/>
      <c r="J734" s="154"/>
    </row>
    <row r="735" spans="5:10" x14ac:dyDescent="0.25">
      <c r="E735" s="154"/>
      <c r="G735" s="161"/>
      <c r="H735" s="162"/>
      <c r="I735" s="154"/>
      <c r="J735" s="154"/>
    </row>
    <row r="736" spans="5:10" x14ac:dyDescent="0.25">
      <c r="E736" s="154"/>
      <c r="G736" s="161"/>
      <c r="H736" s="162"/>
      <c r="I736" s="154"/>
      <c r="J736" s="154"/>
    </row>
    <row r="737" spans="5:10" x14ac:dyDescent="0.25">
      <c r="E737" s="154"/>
      <c r="G737" s="161"/>
      <c r="H737" s="162"/>
      <c r="I737" s="154"/>
      <c r="J737" s="154"/>
    </row>
    <row r="738" spans="5:10" x14ac:dyDescent="0.25">
      <c r="E738" s="154"/>
      <c r="G738" s="161"/>
      <c r="H738" s="162"/>
      <c r="I738" s="154"/>
      <c r="J738" s="154"/>
    </row>
    <row r="739" spans="5:10" x14ac:dyDescent="0.25">
      <c r="E739" s="154"/>
      <c r="G739" s="161"/>
      <c r="H739" s="162"/>
      <c r="I739" s="154"/>
      <c r="J739" s="154"/>
    </row>
    <row r="740" spans="5:10" x14ac:dyDescent="0.25">
      <c r="E740" s="154"/>
      <c r="G740" s="161"/>
      <c r="H740" s="162"/>
      <c r="I740" s="154"/>
      <c r="J740" s="154"/>
    </row>
    <row r="741" spans="5:10" x14ac:dyDescent="0.25">
      <c r="E741" s="154"/>
      <c r="G741" s="161"/>
      <c r="H741" s="162"/>
      <c r="I741" s="154"/>
      <c r="J741" s="154"/>
    </row>
    <row r="742" spans="5:10" x14ac:dyDescent="0.25">
      <c r="E742" s="154"/>
      <c r="G742" s="161"/>
      <c r="H742" s="162"/>
      <c r="I742" s="154"/>
      <c r="J742" s="154"/>
    </row>
    <row r="743" spans="5:10" x14ac:dyDescent="0.25">
      <c r="E743" s="154"/>
      <c r="G743" s="161"/>
      <c r="H743" s="162"/>
      <c r="I743" s="154"/>
      <c r="J743" s="154"/>
    </row>
    <row r="744" spans="5:10" x14ac:dyDescent="0.25">
      <c r="E744" s="154"/>
      <c r="G744" s="161"/>
      <c r="H744" s="162"/>
      <c r="I744" s="154"/>
      <c r="J744" s="154"/>
    </row>
    <row r="745" spans="5:10" x14ac:dyDescent="0.25">
      <c r="E745" s="154"/>
      <c r="G745" s="161"/>
      <c r="H745" s="162"/>
      <c r="I745" s="154"/>
      <c r="J745" s="154"/>
    </row>
    <row r="746" spans="5:10" x14ac:dyDescent="0.25">
      <c r="E746" s="154"/>
      <c r="G746" s="161"/>
      <c r="H746" s="162"/>
      <c r="I746" s="154"/>
      <c r="J746" s="154"/>
    </row>
    <row r="747" spans="5:10" x14ac:dyDescent="0.25">
      <c r="E747" s="154"/>
      <c r="G747" s="161"/>
      <c r="H747" s="162"/>
      <c r="I747" s="154"/>
      <c r="J747" s="154"/>
    </row>
    <row r="748" spans="5:10" x14ac:dyDescent="0.25">
      <c r="E748" s="154"/>
      <c r="G748" s="161"/>
      <c r="H748" s="162"/>
      <c r="I748" s="154"/>
      <c r="J748" s="154"/>
    </row>
    <row r="749" spans="5:10" x14ac:dyDescent="0.25">
      <c r="E749" s="154"/>
      <c r="G749" s="161"/>
      <c r="H749" s="162"/>
      <c r="I749" s="154"/>
      <c r="J749" s="154"/>
    </row>
    <row r="750" spans="5:10" x14ac:dyDescent="0.25">
      <c r="E750" s="154"/>
      <c r="G750" s="161"/>
      <c r="H750" s="162"/>
      <c r="I750" s="154"/>
      <c r="J750" s="154"/>
    </row>
    <row r="751" spans="5:10" x14ac:dyDescent="0.25">
      <c r="E751" s="154"/>
      <c r="G751" s="161"/>
      <c r="H751" s="162"/>
      <c r="I751" s="154"/>
      <c r="J751" s="154"/>
    </row>
    <row r="752" spans="5:10" x14ac:dyDescent="0.25">
      <c r="E752" s="154"/>
      <c r="G752" s="161"/>
      <c r="H752" s="162"/>
      <c r="I752" s="154"/>
      <c r="J752" s="154"/>
    </row>
    <row r="753" spans="5:10" x14ac:dyDescent="0.25">
      <c r="E753" s="154"/>
      <c r="G753" s="161"/>
      <c r="H753" s="162"/>
      <c r="I753" s="154"/>
      <c r="J753" s="154"/>
    </row>
    <row r="754" spans="5:10" x14ac:dyDescent="0.25">
      <c r="E754" s="154"/>
      <c r="G754" s="161"/>
      <c r="H754" s="162"/>
      <c r="I754" s="154"/>
      <c r="J754" s="154"/>
    </row>
    <row r="755" spans="5:10" x14ac:dyDescent="0.25">
      <c r="E755" s="154"/>
      <c r="G755" s="161"/>
      <c r="H755" s="162"/>
      <c r="I755" s="154"/>
      <c r="J755" s="154"/>
    </row>
    <row r="756" spans="5:10" x14ac:dyDescent="0.25">
      <c r="E756" s="154"/>
      <c r="G756" s="161"/>
      <c r="H756" s="162"/>
      <c r="I756" s="154"/>
      <c r="J756" s="154"/>
    </row>
    <row r="757" spans="5:10" x14ac:dyDescent="0.25">
      <c r="E757" s="154"/>
      <c r="G757" s="161"/>
      <c r="H757" s="162"/>
      <c r="I757" s="154"/>
      <c r="J757" s="154"/>
    </row>
    <row r="758" spans="5:10" x14ac:dyDescent="0.25">
      <c r="E758" s="154"/>
      <c r="G758" s="161"/>
      <c r="H758" s="162"/>
      <c r="I758" s="154"/>
      <c r="J758" s="154"/>
    </row>
    <row r="759" spans="5:10" x14ac:dyDescent="0.25">
      <c r="E759" s="154"/>
      <c r="G759" s="161"/>
      <c r="H759" s="162"/>
      <c r="I759" s="154"/>
      <c r="J759" s="154"/>
    </row>
    <row r="760" spans="5:10" x14ac:dyDescent="0.25">
      <c r="E760" s="154"/>
      <c r="G760" s="161"/>
      <c r="H760" s="162"/>
      <c r="I760" s="154"/>
      <c r="J760" s="154"/>
    </row>
    <row r="761" spans="5:10" x14ac:dyDescent="0.25">
      <c r="E761" s="154"/>
      <c r="G761" s="161"/>
      <c r="H761" s="162"/>
      <c r="I761" s="154"/>
      <c r="J761" s="154"/>
    </row>
    <row r="762" spans="5:10" x14ac:dyDescent="0.25">
      <c r="E762" s="154"/>
      <c r="G762" s="161"/>
      <c r="H762" s="162"/>
      <c r="I762" s="154"/>
      <c r="J762" s="154"/>
    </row>
    <row r="763" spans="5:10" x14ac:dyDescent="0.25">
      <c r="E763" s="154"/>
      <c r="G763" s="161"/>
      <c r="H763" s="162"/>
      <c r="I763" s="154"/>
      <c r="J763" s="154"/>
    </row>
    <row r="764" spans="5:10" x14ac:dyDescent="0.25">
      <c r="E764" s="154"/>
      <c r="G764" s="161"/>
      <c r="H764" s="162"/>
      <c r="I764" s="154"/>
      <c r="J764" s="154"/>
    </row>
    <row r="765" spans="5:10" x14ac:dyDescent="0.25">
      <c r="E765" s="154"/>
      <c r="G765" s="161"/>
      <c r="H765" s="162"/>
      <c r="I765" s="154"/>
      <c r="J765" s="154"/>
    </row>
    <row r="766" spans="5:10" x14ac:dyDescent="0.25">
      <c r="E766" s="154"/>
      <c r="G766" s="161"/>
      <c r="H766" s="162"/>
      <c r="I766" s="154"/>
      <c r="J766" s="154"/>
    </row>
    <row r="767" spans="5:10" x14ac:dyDescent="0.25">
      <c r="E767" s="154"/>
      <c r="G767" s="161"/>
      <c r="H767" s="162"/>
      <c r="I767" s="154"/>
      <c r="J767" s="154"/>
    </row>
    <row r="768" spans="5:10" x14ac:dyDescent="0.25">
      <c r="E768" s="154"/>
      <c r="G768" s="161"/>
      <c r="H768" s="162"/>
      <c r="I768" s="154"/>
      <c r="J768" s="154"/>
    </row>
    <row r="769" spans="5:10" x14ac:dyDescent="0.25">
      <c r="E769" s="154"/>
      <c r="G769" s="161"/>
      <c r="H769" s="162"/>
      <c r="I769" s="154"/>
      <c r="J769" s="154"/>
    </row>
    <row r="770" spans="5:10" x14ac:dyDescent="0.25">
      <c r="E770" s="154"/>
      <c r="G770" s="161"/>
      <c r="H770" s="162"/>
      <c r="I770" s="154"/>
      <c r="J770" s="154"/>
    </row>
    <row r="771" spans="5:10" x14ac:dyDescent="0.25">
      <c r="E771" s="154"/>
      <c r="G771" s="161"/>
      <c r="H771" s="162"/>
      <c r="I771" s="154"/>
      <c r="J771" s="154"/>
    </row>
    <row r="772" spans="5:10" x14ac:dyDescent="0.25">
      <c r="E772" s="154"/>
      <c r="G772" s="161"/>
      <c r="H772" s="162"/>
      <c r="I772" s="154"/>
      <c r="J772" s="154"/>
    </row>
    <row r="773" spans="5:10" x14ac:dyDescent="0.25">
      <c r="E773" s="154"/>
      <c r="G773" s="161"/>
      <c r="H773" s="162"/>
      <c r="I773" s="154"/>
      <c r="J773" s="154"/>
    </row>
    <row r="774" spans="5:10" x14ac:dyDescent="0.25">
      <c r="E774" s="154"/>
      <c r="G774" s="161"/>
      <c r="H774" s="162"/>
      <c r="I774" s="154"/>
      <c r="J774" s="154"/>
    </row>
    <row r="775" spans="5:10" x14ac:dyDescent="0.25">
      <c r="E775" s="154"/>
      <c r="G775" s="161"/>
      <c r="H775" s="162"/>
      <c r="I775" s="154"/>
      <c r="J775" s="154"/>
    </row>
    <row r="776" spans="5:10" x14ac:dyDescent="0.25">
      <c r="E776" s="154"/>
      <c r="G776" s="161"/>
      <c r="H776" s="162"/>
      <c r="I776" s="154"/>
      <c r="J776" s="154"/>
    </row>
    <row r="777" spans="5:10" x14ac:dyDescent="0.25">
      <c r="E777" s="154"/>
      <c r="G777" s="161"/>
      <c r="H777" s="162"/>
      <c r="I777" s="154"/>
      <c r="J777" s="154"/>
    </row>
    <row r="778" spans="5:10" x14ac:dyDescent="0.25">
      <c r="E778" s="154"/>
      <c r="G778" s="161"/>
      <c r="H778" s="162"/>
      <c r="I778" s="154"/>
      <c r="J778" s="154"/>
    </row>
    <row r="779" spans="5:10" x14ac:dyDescent="0.25">
      <c r="E779" s="154"/>
      <c r="G779" s="161"/>
      <c r="H779" s="162"/>
      <c r="I779" s="154"/>
      <c r="J779" s="154"/>
    </row>
    <row r="780" spans="5:10" x14ac:dyDescent="0.25">
      <c r="E780" s="154"/>
      <c r="G780" s="161"/>
      <c r="H780" s="162"/>
      <c r="I780" s="154"/>
      <c r="J780" s="154"/>
    </row>
    <row r="781" spans="5:10" x14ac:dyDescent="0.25">
      <c r="E781" s="154"/>
      <c r="G781" s="161"/>
      <c r="H781" s="162"/>
      <c r="I781" s="154"/>
      <c r="J781" s="154"/>
    </row>
    <row r="782" spans="5:10" x14ac:dyDescent="0.25">
      <c r="E782" s="154"/>
      <c r="G782" s="161"/>
      <c r="H782" s="162"/>
      <c r="I782" s="154"/>
      <c r="J782" s="154"/>
    </row>
    <row r="783" spans="5:10" x14ac:dyDescent="0.25">
      <c r="E783" s="154"/>
      <c r="G783" s="161"/>
      <c r="H783" s="162"/>
      <c r="I783" s="154"/>
      <c r="J783" s="154"/>
    </row>
    <row r="784" spans="5:10" x14ac:dyDescent="0.25">
      <c r="E784" s="154"/>
      <c r="G784" s="161"/>
      <c r="H784" s="162"/>
      <c r="I784" s="154"/>
      <c r="J784" s="154"/>
    </row>
    <row r="785" spans="5:10" x14ac:dyDescent="0.25">
      <c r="E785" s="154"/>
      <c r="G785" s="161"/>
      <c r="H785" s="162"/>
      <c r="I785" s="154"/>
      <c r="J785" s="154"/>
    </row>
    <row r="786" spans="5:10" x14ac:dyDescent="0.25">
      <c r="E786" s="154"/>
      <c r="G786" s="161"/>
      <c r="H786" s="162"/>
      <c r="I786" s="154"/>
      <c r="J786" s="154"/>
    </row>
    <row r="787" spans="5:10" x14ac:dyDescent="0.25">
      <c r="E787" s="154"/>
      <c r="G787" s="161"/>
      <c r="H787" s="162"/>
      <c r="I787" s="154"/>
      <c r="J787" s="154"/>
    </row>
    <row r="788" spans="5:10" x14ac:dyDescent="0.25">
      <c r="E788" s="154"/>
      <c r="G788" s="161"/>
      <c r="H788" s="162"/>
      <c r="I788" s="154"/>
      <c r="J788" s="154"/>
    </row>
    <row r="789" spans="5:10" x14ac:dyDescent="0.25">
      <c r="E789" s="154"/>
      <c r="G789" s="161"/>
      <c r="H789" s="162"/>
      <c r="I789" s="154"/>
      <c r="J789" s="154"/>
    </row>
    <row r="790" spans="5:10" x14ac:dyDescent="0.25">
      <c r="E790" s="154"/>
      <c r="G790" s="161"/>
      <c r="H790" s="162"/>
      <c r="I790" s="154"/>
      <c r="J790" s="154"/>
    </row>
    <row r="791" spans="5:10" x14ac:dyDescent="0.25">
      <c r="E791" s="154"/>
      <c r="G791" s="161"/>
      <c r="H791" s="162"/>
      <c r="I791" s="154"/>
      <c r="J791" s="154"/>
    </row>
    <row r="792" spans="5:10" x14ac:dyDescent="0.25">
      <c r="E792" s="154"/>
      <c r="G792" s="161"/>
      <c r="H792" s="162"/>
      <c r="I792" s="154"/>
      <c r="J792" s="154"/>
    </row>
    <row r="793" spans="5:10" x14ac:dyDescent="0.25">
      <c r="E793" s="154"/>
      <c r="G793" s="161"/>
      <c r="H793" s="162"/>
      <c r="I793" s="154"/>
      <c r="J793" s="154"/>
    </row>
    <row r="794" spans="5:10" x14ac:dyDescent="0.25">
      <c r="E794" s="154"/>
      <c r="G794" s="161"/>
      <c r="H794" s="162"/>
      <c r="I794" s="154"/>
      <c r="J794" s="154"/>
    </row>
    <row r="795" spans="5:10" x14ac:dyDescent="0.25">
      <c r="E795" s="154"/>
      <c r="G795" s="161"/>
      <c r="H795" s="162"/>
      <c r="I795" s="154"/>
      <c r="J795" s="154"/>
    </row>
    <row r="796" spans="5:10" x14ac:dyDescent="0.25">
      <c r="E796" s="154"/>
      <c r="G796" s="161"/>
      <c r="H796" s="162"/>
      <c r="I796" s="154"/>
      <c r="J796" s="154"/>
    </row>
    <row r="797" spans="5:10" x14ac:dyDescent="0.25">
      <c r="E797" s="154"/>
      <c r="G797" s="161"/>
      <c r="H797" s="162"/>
      <c r="I797" s="154"/>
      <c r="J797" s="154"/>
    </row>
    <row r="798" spans="5:10" x14ac:dyDescent="0.25">
      <c r="E798" s="154"/>
      <c r="G798" s="161"/>
      <c r="H798" s="162"/>
      <c r="I798" s="154"/>
      <c r="J798" s="154"/>
    </row>
    <row r="799" spans="5:10" x14ac:dyDescent="0.25">
      <c r="E799" s="154"/>
      <c r="G799" s="161"/>
      <c r="H799" s="162"/>
      <c r="I799" s="154"/>
      <c r="J799" s="154"/>
    </row>
    <row r="800" spans="5:10" x14ac:dyDescent="0.25">
      <c r="E800" s="154"/>
      <c r="G800" s="161"/>
      <c r="H800" s="162"/>
      <c r="I800" s="154"/>
      <c r="J800" s="154"/>
    </row>
    <row r="801" spans="5:10" x14ac:dyDescent="0.25">
      <c r="E801" s="154"/>
      <c r="G801" s="161"/>
      <c r="H801" s="162"/>
      <c r="I801" s="154"/>
      <c r="J801" s="154"/>
    </row>
    <row r="802" spans="5:10" x14ac:dyDescent="0.25">
      <c r="E802" s="154"/>
      <c r="G802" s="161"/>
      <c r="H802" s="162"/>
      <c r="I802" s="154"/>
      <c r="J802" s="154"/>
    </row>
    <row r="803" spans="5:10" x14ac:dyDescent="0.25">
      <c r="E803" s="154"/>
      <c r="G803" s="161"/>
      <c r="H803" s="162"/>
      <c r="I803" s="154"/>
      <c r="J803" s="154"/>
    </row>
    <row r="804" spans="5:10" x14ac:dyDescent="0.25">
      <c r="E804" s="154"/>
      <c r="G804" s="161"/>
      <c r="H804" s="162"/>
      <c r="I804" s="154"/>
      <c r="J804" s="154"/>
    </row>
    <row r="805" spans="5:10" x14ac:dyDescent="0.25">
      <c r="E805" s="154"/>
      <c r="G805" s="161"/>
      <c r="H805" s="162"/>
      <c r="I805" s="154"/>
      <c r="J805" s="154"/>
    </row>
    <row r="806" spans="5:10" x14ac:dyDescent="0.25">
      <c r="E806" s="154"/>
      <c r="G806" s="161"/>
      <c r="H806" s="162"/>
      <c r="I806" s="154"/>
      <c r="J806" s="154"/>
    </row>
    <row r="807" spans="5:10" x14ac:dyDescent="0.25">
      <c r="E807" s="154"/>
      <c r="G807" s="161"/>
      <c r="H807" s="162"/>
      <c r="I807" s="154"/>
      <c r="J807" s="154"/>
    </row>
    <row r="808" spans="5:10" x14ac:dyDescent="0.25">
      <c r="E808" s="154"/>
      <c r="G808" s="161"/>
      <c r="H808" s="162"/>
      <c r="I808" s="154"/>
      <c r="J808" s="154"/>
    </row>
    <row r="809" spans="5:10" x14ac:dyDescent="0.25">
      <c r="E809" s="154"/>
      <c r="G809" s="161"/>
      <c r="H809" s="162"/>
      <c r="I809" s="154"/>
      <c r="J809" s="154"/>
    </row>
    <row r="810" spans="5:10" x14ac:dyDescent="0.25">
      <c r="E810" s="154"/>
      <c r="G810" s="161"/>
      <c r="H810" s="162"/>
      <c r="I810" s="154"/>
      <c r="J810" s="154"/>
    </row>
    <row r="811" spans="5:10" x14ac:dyDescent="0.25">
      <c r="E811" s="154"/>
      <c r="G811" s="161"/>
      <c r="H811" s="162"/>
      <c r="I811" s="154"/>
      <c r="J811" s="154"/>
    </row>
    <row r="812" spans="5:10" x14ac:dyDescent="0.25">
      <c r="E812" s="154"/>
      <c r="G812" s="161"/>
      <c r="H812" s="162"/>
      <c r="I812" s="154"/>
      <c r="J812" s="154"/>
    </row>
    <row r="813" spans="5:10" x14ac:dyDescent="0.25">
      <c r="E813" s="154"/>
      <c r="G813" s="161"/>
      <c r="H813" s="162"/>
      <c r="I813" s="154"/>
      <c r="J813" s="154"/>
    </row>
    <row r="814" spans="5:10" x14ac:dyDescent="0.25">
      <c r="E814" s="154"/>
      <c r="G814" s="161"/>
      <c r="H814" s="162"/>
      <c r="I814" s="154"/>
      <c r="J814" s="154"/>
    </row>
    <row r="815" spans="5:10" x14ac:dyDescent="0.25">
      <c r="E815" s="154"/>
      <c r="G815" s="161"/>
      <c r="H815" s="162"/>
      <c r="I815" s="154"/>
      <c r="J815" s="154"/>
    </row>
    <row r="816" spans="5:10" x14ac:dyDescent="0.25">
      <c r="E816" s="154"/>
      <c r="G816" s="161"/>
      <c r="H816" s="162"/>
      <c r="I816" s="154"/>
      <c r="J816" s="154"/>
    </row>
    <row r="817" spans="5:10" x14ac:dyDescent="0.25">
      <c r="E817" s="154"/>
      <c r="G817" s="161"/>
      <c r="H817" s="162"/>
      <c r="I817" s="154"/>
      <c r="J817" s="154"/>
    </row>
    <row r="818" spans="5:10" x14ac:dyDescent="0.25">
      <c r="E818" s="154"/>
      <c r="G818" s="161"/>
      <c r="H818" s="162"/>
      <c r="I818" s="154"/>
      <c r="J818" s="154"/>
    </row>
    <row r="819" spans="5:10" x14ac:dyDescent="0.25">
      <c r="E819" s="154"/>
      <c r="G819" s="161"/>
      <c r="H819" s="162"/>
      <c r="I819" s="154"/>
      <c r="J819" s="154"/>
    </row>
    <row r="820" spans="5:10" x14ac:dyDescent="0.25">
      <c r="E820" s="154"/>
      <c r="G820" s="161"/>
      <c r="H820" s="162"/>
      <c r="I820" s="154"/>
      <c r="J820" s="154"/>
    </row>
    <row r="821" spans="5:10" x14ac:dyDescent="0.25">
      <c r="E821" s="154"/>
      <c r="G821" s="161"/>
      <c r="H821" s="162"/>
      <c r="I821" s="154"/>
      <c r="J821" s="154"/>
    </row>
    <row r="822" spans="5:10" x14ac:dyDescent="0.25">
      <c r="E822" s="154"/>
      <c r="G822" s="161"/>
      <c r="H822" s="162"/>
      <c r="I822" s="154"/>
      <c r="J822" s="154"/>
    </row>
    <row r="823" spans="5:10" x14ac:dyDescent="0.25">
      <c r="E823" s="154"/>
      <c r="G823" s="161"/>
      <c r="H823" s="162"/>
      <c r="I823" s="154"/>
      <c r="J823" s="154"/>
    </row>
    <row r="824" spans="5:10" x14ac:dyDescent="0.25">
      <c r="E824" s="154"/>
      <c r="G824" s="161"/>
      <c r="H824" s="162"/>
      <c r="I824" s="154"/>
      <c r="J824" s="154"/>
    </row>
    <row r="825" spans="5:10" x14ac:dyDescent="0.25">
      <c r="E825" s="154"/>
      <c r="G825" s="161"/>
      <c r="H825" s="162"/>
      <c r="I825" s="154"/>
      <c r="J825" s="154"/>
    </row>
    <row r="826" spans="5:10" x14ac:dyDescent="0.25">
      <c r="E826" s="154"/>
      <c r="G826" s="161"/>
      <c r="H826" s="162"/>
      <c r="I826" s="154"/>
      <c r="J826" s="154"/>
    </row>
    <row r="827" spans="5:10" x14ac:dyDescent="0.25">
      <c r="E827" s="154"/>
      <c r="G827" s="161"/>
      <c r="H827" s="162"/>
      <c r="I827" s="154"/>
      <c r="J827" s="154"/>
    </row>
    <row r="828" spans="5:10" x14ac:dyDescent="0.25">
      <c r="E828" s="154"/>
      <c r="G828" s="161"/>
      <c r="H828" s="162"/>
      <c r="I828" s="154"/>
      <c r="J828" s="154"/>
    </row>
    <row r="829" spans="5:10" x14ac:dyDescent="0.25">
      <c r="E829" s="154"/>
      <c r="G829" s="161"/>
      <c r="H829" s="162"/>
      <c r="I829" s="154"/>
      <c r="J829" s="154"/>
    </row>
    <row r="830" spans="5:10" x14ac:dyDescent="0.25">
      <c r="E830" s="154"/>
      <c r="G830" s="161"/>
      <c r="H830" s="162"/>
      <c r="I830" s="154"/>
      <c r="J830" s="154"/>
    </row>
    <row r="831" spans="5:10" x14ac:dyDescent="0.25">
      <c r="E831" s="154"/>
      <c r="G831" s="161"/>
      <c r="H831" s="162"/>
      <c r="I831" s="154"/>
      <c r="J831" s="154"/>
    </row>
    <row r="832" spans="5:10" x14ac:dyDescent="0.25">
      <c r="E832" s="154"/>
      <c r="G832" s="161"/>
      <c r="H832" s="162"/>
      <c r="I832" s="154"/>
      <c r="J832" s="154"/>
    </row>
    <row r="833" spans="5:10" x14ac:dyDescent="0.25">
      <c r="E833" s="154"/>
      <c r="G833" s="161"/>
      <c r="H833" s="162"/>
      <c r="I833" s="154"/>
      <c r="J833" s="154"/>
    </row>
    <row r="834" spans="5:10" x14ac:dyDescent="0.25">
      <c r="E834" s="154"/>
      <c r="G834" s="161"/>
      <c r="H834" s="162"/>
      <c r="I834" s="154"/>
      <c r="J834" s="154"/>
    </row>
    <row r="835" spans="5:10" x14ac:dyDescent="0.25">
      <c r="E835" s="154"/>
      <c r="G835" s="161"/>
      <c r="H835" s="162"/>
      <c r="I835" s="154"/>
      <c r="J835" s="154"/>
    </row>
    <row r="836" spans="5:10" x14ac:dyDescent="0.25">
      <c r="E836" s="154"/>
      <c r="G836" s="161"/>
      <c r="H836" s="162"/>
      <c r="I836" s="154"/>
      <c r="J836" s="154"/>
    </row>
    <row r="837" spans="5:10" x14ac:dyDescent="0.25">
      <c r="E837" s="154"/>
      <c r="G837" s="161"/>
      <c r="H837" s="162"/>
      <c r="I837" s="154"/>
      <c r="J837" s="154"/>
    </row>
    <row r="838" spans="5:10" x14ac:dyDescent="0.25">
      <c r="E838" s="154"/>
      <c r="G838" s="161"/>
      <c r="H838" s="162"/>
      <c r="I838" s="154"/>
      <c r="J838" s="154"/>
    </row>
    <row r="839" spans="5:10" x14ac:dyDescent="0.25">
      <c r="E839" s="154"/>
      <c r="G839" s="161"/>
      <c r="H839" s="162"/>
      <c r="I839" s="154"/>
      <c r="J839" s="154"/>
    </row>
    <row r="840" spans="5:10" x14ac:dyDescent="0.25">
      <c r="E840" s="154"/>
      <c r="G840" s="161"/>
      <c r="H840" s="162"/>
      <c r="I840" s="154"/>
      <c r="J840" s="154"/>
    </row>
    <row r="841" spans="5:10" x14ac:dyDescent="0.25">
      <c r="E841" s="154"/>
      <c r="G841" s="161"/>
      <c r="H841" s="162"/>
      <c r="I841" s="154"/>
      <c r="J841" s="154"/>
    </row>
    <row r="842" spans="5:10" x14ac:dyDescent="0.25">
      <c r="E842" s="154"/>
      <c r="G842" s="161"/>
      <c r="H842" s="162"/>
      <c r="I842" s="154"/>
      <c r="J842" s="154"/>
    </row>
    <row r="843" spans="5:10" x14ac:dyDescent="0.25">
      <c r="E843" s="154"/>
      <c r="G843" s="161"/>
      <c r="H843" s="162"/>
      <c r="I843" s="154"/>
      <c r="J843" s="154"/>
    </row>
    <row r="844" spans="5:10" x14ac:dyDescent="0.25">
      <c r="E844" s="154"/>
      <c r="G844" s="161"/>
      <c r="H844" s="162"/>
      <c r="I844" s="154"/>
      <c r="J844" s="154"/>
    </row>
    <row r="845" spans="5:10" x14ac:dyDescent="0.25">
      <c r="E845" s="154"/>
      <c r="G845" s="161"/>
      <c r="H845" s="162"/>
      <c r="I845" s="154"/>
      <c r="J845" s="154"/>
    </row>
    <row r="846" spans="5:10" x14ac:dyDescent="0.25">
      <c r="E846" s="154"/>
      <c r="G846" s="161"/>
      <c r="H846" s="162"/>
      <c r="I846" s="154"/>
      <c r="J846" s="154"/>
    </row>
    <row r="847" spans="5:10" x14ac:dyDescent="0.25">
      <c r="E847" s="154"/>
      <c r="G847" s="161"/>
      <c r="H847" s="162"/>
      <c r="I847" s="154"/>
      <c r="J847" s="154"/>
    </row>
    <row r="848" spans="5:10" x14ac:dyDescent="0.25">
      <c r="E848" s="154"/>
      <c r="G848" s="161"/>
      <c r="H848" s="162"/>
      <c r="I848" s="154"/>
      <c r="J848" s="154"/>
    </row>
    <row r="849" spans="5:10" x14ac:dyDescent="0.25">
      <c r="E849" s="154"/>
      <c r="G849" s="161"/>
      <c r="H849" s="162"/>
      <c r="I849" s="154"/>
      <c r="J849" s="154"/>
    </row>
    <row r="850" spans="5:10" x14ac:dyDescent="0.25">
      <c r="E850" s="154"/>
      <c r="G850" s="161"/>
      <c r="H850" s="162"/>
      <c r="I850" s="154"/>
      <c r="J850" s="154"/>
    </row>
    <row r="851" spans="5:10" x14ac:dyDescent="0.25">
      <c r="E851" s="154"/>
      <c r="G851" s="161"/>
      <c r="H851" s="162"/>
      <c r="I851" s="154"/>
      <c r="J851" s="154"/>
    </row>
    <row r="852" spans="5:10" x14ac:dyDescent="0.25">
      <c r="E852" s="154"/>
      <c r="G852" s="161"/>
      <c r="H852" s="162"/>
      <c r="I852" s="154"/>
      <c r="J852" s="154"/>
    </row>
    <row r="853" spans="5:10" x14ac:dyDescent="0.25">
      <c r="E853" s="154"/>
      <c r="G853" s="161"/>
      <c r="H853" s="162"/>
      <c r="I853" s="154"/>
      <c r="J853" s="154"/>
    </row>
    <row r="854" spans="5:10" x14ac:dyDescent="0.25">
      <c r="E854" s="154"/>
      <c r="G854" s="161"/>
      <c r="H854" s="162"/>
      <c r="I854" s="154"/>
      <c r="J854" s="154"/>
    </row>
    <row r="855" spans="5:10" x14ac:dyDescent="0.25">
      <c r="E855" s="154"/>
      <c r="G855" s="161"/>
      <c r="H855" s="162"/>
      <c r="I855" s="154"/>
      <c r="J855" s="154"/>
    </row>
    <row r="856" spans="5:10" x14ac:dyDescent="0.25">
      <c r="E856" s="154"/>
      <c r="G856" s="161"/>
      <c r="H856" s="162"/>
      <c r="I856" s="154"/>
      <c r="J856" s="154"/>
    </row>
    <row r="857" spans="5:10" x14ac:dyDescent="0.25">
      <c r="E857" s="154"/>
      <c r="G857" s="161"/>
      <c r="H857" s="162"/>
      <c r="I857" s="154"/>
      <c r="J857" s="154"/>
    </row>
    <row r="858" spans="5:10" x14ac:dyDescent="0.25">
      <c r="E858" s="154"/>
      <c r="G858" s="161"/>
      <c r="H858" s="162"/>
      <c r="I858" s="154"/>
      <c r="J858" s="154"/>
    </row>
    <row r="859" spans="5:10" x14ac:dyDescent="0.25">
      <c r="E859" s="154"/>
      <c r="G859" s="161"/>
      <c r="H859" s="162"/>
      <c r="I859" s="154"/>
      <c r="J859" s="154"/>
    </row>
    <row r="860" spans="5:10" x14ac:dyDescent="0.25">
      <c r="E860" s="154"/>
      <c r="G860" s="161"/>
      <c r="H860" s="162"/>
      <c r="I860" s="154"/>
      <c r="J860" s="154"/>
    </row>
    <row r="861" spans="5:10" x14ac:dyDescent="0.25">
      <c r="E861" s="154"/>
      <c r="G861" s="161"/>
      <c r="H861" s="162"/>
      <c r="I861" s="154"/>
      <c r="J861" s="154"/>
    </row>
    <row r="862" spans="5:10" x14ac:dyDescent="0.25">
      <c r="E862" s="154"/>
      <c r="G862" s="161"/>
      <c r="H862" s="162"/>
      <c r="I862" s="154"/>
      <c r="J862" s="154"/>
    </row>
    <row r="863" spans="5:10" x14ac:dyDescent="0.25">
      <c r="E863" s="154"/>
      <c r="G863" s="161"/>
      <c r="H863" s="162"/>
      <c r="I863" s="154"/>
      <c r="J863" s="154"/>
    </row>
    <row r="864" spans="5:10" x14ac:dyDescent="0.25">
      <c r="E864" s="154"/>
      <c r="G864" s="161"/>
      <c r="H864" s="162"/>
      <c r="I864" s="154"/>
      <c r="J864" s="154"/>
    </row>
    <row r="865" spans="5:10" x14ac:dyDescent="0.25">
      <c r="E865" s="154"/>
      <c r="G865" s="161"/>
      <c r="H865" s="162"/>
      <c r="I865" s="154"/>
      <c r="J865" s="154"/>
    </row>
    <row r="866" spans="5:10" x14ac:dyDescent="0.25">
      <c r="E866" s="154"/>
      <c r="G866" s="161"/>
      <c r="H866" s="162"/>
      <c r="I866" s="154"/>
      <c r="J866" s="154"/>
    </row>
    <row r="867" spans="5:10" x14ac:dyDescent="0.25">
      <c r="E867" s="154"/>
      <c r="G867" s="161"/>
      <c r="H867" s="162"/>
      <c r="I867" s="154"/>
      <c r="J867" s="154"/>
    </row>
    <row r="868" spans="5:10" x14ac:dyDescent="0.25">
      <c r="E868" s="154"/>
      <c r="G868" s="161"/>
      <c r="H868" s="162"/>
      <c r="I868" s="154"/>
      <c r="J868" s="154"/>
    </row>
    <row r="869" spans="5:10" x14ac:dyDescent="0.25">
      <c r="E869" s="154"/>
      <c r="G869" s="161"/>
      <c r="H869" s="162"/>
      <c r="I869" s="154"/>
      <c r="J869" s="154"/>
    </row>
    <row r="870" spans="5:10" x14ac:dyDescent="0.25">
      <c r="E870" s="154"/>
      <c r="G870" s="161"/>
      <c r="H870" s="162"/>
      <c r="I870" s="154"/>
      <c r="J870" s="154"/>
    </row>
    <row r="871" spans="5:10" x14ac:dyDescent="0.25">
      <c r="E871" s="154"/>
      <c r="G871" s="161"/>
      <c r="H871" s="162"/>
      <c r="I871" s="154"/>
      <c r="J871" s="154"/>
    </row>
    <row r="872" spans="5:10" x14ac:dyDescent="0.25">
      <c r="E872" s="154"/>
      <c r="G872" s="161"/>
      <c r="H872" s="162"/>
      <c r="I872" s="154"/>
      <c r="J872" s="154"/>
    </row>
    <row r="873" spans="5:10" x14ac:dyDescent="0.25">
      <c r="E873" s="154"/>
      <c r="G873" s="161"/>
      <c r="H873" s="162"/>
      <c r="I873" s="154"/>
      <c r="J873" s="154"/>
    </row>
    <row r="874" spans="5:10" x14ac:dyDescent="0.25">
      <c r="E874" s="154"/>
      <c r="G874" s="161"/>
      <c r="H874" s="162"/>
      <c r="I874" s="154"/>
      <c r="J874" s="154"/>
    </row>
    <row r="875" spans="5:10" x14ac:dyDescent="0.25">
      <c r="E875" s="154"/>
      <c r="G875" s="161"/>
      <c r="H875" s="162"/>
      <c r="I875" s="154"/>
      <c r="J875" s="154"/>
    </row>
    <row r="876" spans="5:10" x14ac:dyDescent="0.25">
      <c r="E876" s="154"/>
      <c r="G876" s="161"/>
      <c r="H876" s="162"/>
      <c r="I876" s="154"/>
      <c r="J876" s="154"/>
    </row>
    <row r="877" spans="5:10" x14ac:dyDescent="0.25">
      <c r="E877" s="154"/>
      <c r="G877" s="161"/>
      <c r="H877" s="162"/>
      <c r="I877" s="154"/>
      <c r="J877" s="154"/>
    </row>
    <row r="878" spans="5:10" x14ac:dyDescent="0.25">
      <c r="E878" s="154"/>
      <c r="G878" s="161"/>
      <c r="H878" s="162"/>
      <c r="I878" s="154"/>
      <c r="J878" s="154"/>
    </row>
    <row r="879" spans="5:10" x14ac:dyDescent="0.25">
      <c r="E879" s="154"/>
      <c r="G879" s="161"/>
      <c r="H879" s="162"/>
      <c r="I879" s="154"/>
      <c r="J879" s="154"/>
    </row>
    <row r="880" spans="5:10" x14ac:dyDescent="0.25">
      <c r="E880" s="154"/>
      <c r="G880" s="161"/>
      <c r="H880" s="162"/>
      <c r="I880" s="154"/>
      <c r="J880" s="154"/>
    </row>
    <row r="881" spans="5:10" x14ac:dyDescent="0.25">
      <c r="E881" s="154"/>
      <c r="G881" s="161"/>
      <c r="H881" s="162"/>
      <c r="I881" s="154"/>
      <c r="J881" s="154"/>
    </row>
    <row r="882" spans="5:10" x14ac:dyDescent="0.25">
      <c r="E882" s="154"/>
      <c r="G882" s="161"/>
      <c r="H882" s="162"/>
      <c r="I882" s="154"/>
      <c r="J882" s="154"/>
    </row>
    <row r="883" spans="5:10" x14ac:dyDescent="0.25">
      <c r="E883" s="154"/>
      <c r="G883" s="161"/>
      <c r="H883" s="162"/>
      <c r="I883" s="154"/>
      <c r="J883" s="154"/>
    </row>
    <row r="884" spans="5:10" x14ac:dyDescent="0.25">
      <c r="E884" s="154"/>
      <c r="G884" s="161"/>
      <c r="H884" s="162"/>
      <c r="I884" s="154"/>
      <c r="J884" s="154"/>
    </row>
    <row r="885" spans="5:10" x14ac:dyDescent="0.25">
      <c r="E885" s="154"/>
      <c r="G885" s="161"/>
      <c r="H885" s="162"/>
      <c r="I885" s="154"/>
      <c r="J885" s="154"/>
    </row>
    <row r="886" spans="5:10" x14ac:dyDescent="0.25">
      <c r="E886" s="154"/>
      <c r="G886" s="161"/>
      <c r="H886" s="162"/>
      <c r="I886" s="154"/>
      <c r="J886" s="154"/>
    </row>
    <row r="887" spans="5:10" x14ac:dyDescent="0.25">
      <c r="E887" s="154"/>
      <c r="G887" s="161"/>
      <c r="H887" s="162"/>
      <c r="I887" s="154"/>
      <c r="J887" s="154"/>
    </row>
    <row r="888" spans="5:10" x14ac:dyDescent="0.25">
      <c r="E888" s="154"/>
      <c r="G888" s="161"/>
      <c r="H888" s="162"/>
      <c r="I888" s="154"/>
      <c r="J888" s="154"/>
    </row>
    <row r="889" spans="5:10" x14ac:dyDescent="0.25">
      <c r="E889" s="154"/>
      <c r="G889" s="161"/>
      <c r="H889" s="162"/>
      <c r="I889" s="154"/>
      <c r="J889" s="154"/>
    </row>
    <row r="890" spans="5:10" x14ac:dyDescent="0.25">
      <c r="E890" s="154"/>
      <c r="G890" s="161"/>
      <c r="H890" s="162"/>
      <c r="I890" s="154"/>
      <c r="J890" s="154"/>
    </row>
    <row r="891" spans="5:10" x14ac:dyDescent="0.25">
      <c r="E891" s="154"/>
      <c r="G891" s="161"/>
      <c r="H891" s="162"/>
      <c r="I891" s="154"/>
      <c r="J891" s="154"/>
    </row>
    <row r="892" spans="5:10" x14ac:dyDescent="0.25">
      <c r="E892" s="154"/>
      <c r="G892" s="161"/>
      <c r="H892" s="162"/>
      <c r="I892" s="154"/>
      <c r="J892" s="154"/>
    </row>
    <row r="893" spans="5:10" x14ac:dyDescent="0.25">
      <c r="E893" s="154"/>
      <c r="G893" s="161"/>
      <c r="H893" s="162"/>
      <c r="I893" s="154"/>
      <c r="J893" s="154"/>
    </row>
    <row r="894" spans="5:10" x14ac:dyDescent="0.25">
      <c r="E894" s="154"/>
      <c r="G894" s="161"/>
      <c r="H894" s="162"/>
      <c r="I894" s="154"/>
      <c r="J894" s="154"/>
    </row>
    <row r="895" spans="5:10" x14ac:dyDescent="0.25">
      <c r="E895" s="154"/>
      <c r="G895" s="161"/>
      <c r="H895" s="162"/>
      <c r="I895" s="154"/>
      <c r="J895" s="154"/>
    </row>
    <row r="896" spans="5:10" x14ac:dyDescent="0.25">
      <c r="E896" s="154"/>
      <c r="G896" s="161"/>
      <c r="H896" s="162"/>
      <c r="I896" s="154"/>
      <c r="J896" s="154"/>
    </row>
    <row r="897" spans="5:10" x14ac:dyDescent="0.25">
      <c r="E897" s="154"/>
      <c r="G897" s="161"/>
      <c r="H897" s="162"/>
      <c r="I897" s="154"/>
      <c r="J897" s="154"/>
    </row>
    <row r="898" spans="5:10" x14ac:dyDescent="0.25">
      <c r="E898" s="154"/>
      <c r="G898" s="161"/>
      <c r="H898" s="162"/>
      <c r="I898" s="154"/>
      <c r="J898" s="154"/>
    </row>
    <row r="899" spans="5:10" x14ac:dyDescent="0.25">
      <c r="E899" s="154"/>
      <c r="G899" s="161"/>
      <c r="H899" s="162"/>
      <c r="I899" s="154"/>
      <c r="J899" s="154"/>
    </row>
    <row r="900" spans="5:10" x14ac:dyDescent="0.25">
      <c r="E900" s="154"/>
      <c r="G900" s="161"/>
      <c r="H900" s="162"/>
      <c r="I900" s="154"/>
      <c r="J900" s="154"/>
    </row>
    <row r="901" spans="5:10" x14ac:dyDescent="0.25">
      <c r="E901" s="154"/>
      <c r="G901" s="161"/>
      <c r="H901" s="162"/>
      <c r="I901" s="154"/>
      <c r="J901" s="154"/>
    </row>
    <row r="902" spans="5:10" x14ac:dyDescent="0.25">
      <c r="E902" s="154"/>
      <c r="G902" s="161"/>
      <c r="H902" s="162"/>
      <c r="I902" s="154"/>
      <c r="J902" s="154"/>
    </row>
    <row r="903" spans="5:10" x14ac:dyDescent="0.25">
      <c r="E903" s="154"/>
      <c r="G903" s="161"/>
      <c r="H903" s="162"/>
      <c r="I903" s="154"/>
      <c r="J903" s="154"/>
    </row>
    <row r="904" spans="5:10" x14ac:dyDescent="0.25">
      <c r="E904" s="154"/>
      <c r="G904" s="161"/>
      <c r="H904" s="162"/>
      <c r="I904" s="154"/>
      <c r="J904" s="154"/>
    </row>
    <row r="905" spans="5:10" x14ac:dyDescent="0.25">
      <c r="E905" s="154"/>
      <c r="G905" s="161"/>
      <c r="H905" s="162"/>
      <c r="I905" s="154"/>
      <c r="J905" s="154"/>
    </row>
    <row r="906" spans="5:10" x14ac:dyDescent="0.25">
      <c r="E906" s="154"/>
      <c r="G906" s="161"/>
      <c r="H906" s="162"/>
      <c r="I906" s="154"/>
      <c r="J906" s="154"/>
    </row>
    <row r="907" spans="5:10" x14ac:dyDescent="0.25">
      <c r="E907" s="154"/>
      <c r="G907" s="161"/>
      <c r="H907" s="162"/>
      <c r="I907" s="154"/>
      <c r="J907" s="154"/>
    </row>
    <row r="908" spans="5:10" x14ac:dyDescent="0.25">
      <c r="E908" s="154"/>
      <c r="G908" s="161"/>
      <c r="H908" s="162"/>
      <c r="I908" s="154"/>
      <c r="J908" s="154"/>
    </row>
    <row r="909" spans="5:10" x14ac:dyDescent="0.25">
      <c r="E909" s="154"/>
      <c r="G909" s="161"/>
      <c r="H909" s="162"/>
      <c r="I909" s="154"/>
      <c r="J909" s="154"/>
    </row>
    <row r="910" spans="5:10" x14ac:dyDescent="0.25">
      <c r="E910" s="154"/>
      <c r="G910" s="161"/>
      <c r="H910" s="162"/>
      <c r="I910" s="154"/>
      <c r="J910" s="154"/>
    </row>
    <row r="911" spans="5:10" x14ac:dyDescent="0.25">
      <c r="E911" s="154"/>
      <c r="G911" s="161"/>
      <c r="H911" s="162"/>
      <c r="I911" s="154"/>
      <c r="J911" s="154"/>
    </row>
    <row r="912" spans="5:10" x14ac:dyDescent="0.25">
      <c r="E912" s="154"/>
      <c r="G912" s="161"/>
      <c r="H912" s="162"/>
      <c r="I912" s="154"/>
      <c r="J912" s="154"/>
    </row>
    <row r="913" spans="5:10" x14ac:dyDescent="0.25">
      <c r="E913" s="154"/>
      <c r="G913" s="161"/>
      <c r="H913" s="162"/>
      <c r="I913" s="154"/>
      <c r="J913" s="154"/>
    </row>
    <row r="914" spans="5:10" x14ac:dyDescent="0.25">
      <c r="E914" s="154"/>
      <c r="G914" s="161"/>
      <c r="H914" s="162"/>
      <c r="I914" s="154"/>
      <c r="J914" s="154"/>
    </row>
    <row r="915" spans="5:10" x14ac:dyDescent="0.25">
      <c r="E915" s="154"/>
      <c r="G915" s="161"/>
      <c r="H915" s="162"/>
      <c r="I915" s="154"/>
      <c r="J915" s="154"/>
    </row>
    <row r="916" spans="5:10" x14ac:dyDescent="0.25">
      <c r="E916" s="154"/>
      <c r="G916" s="161"/>
      <c r="H916" s="162"/>
      <c r="I916" s="154"/>
      <c r="J916" s="154"/>
    </row>
    <row r="917" spans="5:10" x14ac:dyDescent="0.25">
      <c r="E917" s="154"/>
      <c r="G917" s="161"/>
      <c r="H917" s="162"/>
      <c r="I917" s="154"/>
      <c r="J917" s="154"/>
    </row>
    <row r="918" spans="5:10" x14ac:dyDescent="0.25">
      <c r="E918" s="154"/>
      <c r="G918" s="161"/>
      <c r="H918" s="162"/>
      <c r="I918" s="154"/>
      <c r="J918" s="154"/>
    </row>
    <row r="919" spans="5:10" x14ac:dyDescent="0.25">
      <c r="E919" s="154"/>
      <c r="G919" s="161"/>
      <c r="H919" s="162"/>
      <c r="I919" s="154"/>
      <c r="J919" s="154"/>
    </row>
    <row r="920" spans="5:10" x14ac:dyDescent="0.25">
      <c r="E920" s="154"/>
      <c r="G920" s="161"/>
      <c r="H920" s="162"/>
      <c r="I920" s="154"/>
      <c r="J920" s="154"/>
    </row>
    <row r="921" spans="5:10" x14ac:dyDescent="0.25">
      <c r="E921" s="154"/>
      <c r="G921" s="161"/>
      <c r="H921" s="162"/>
      <c r="I921" s="154"/>
      <c r="J921" s="154"/>
    </row>
    <row r="922" spans="5:10" x14ac:dyDescent="0.25">
      <c r="E922" s="154"/>
      <c r="G922" s="161"/>
      <c r="H922" s="162"/>
      <c r="I922" s="154"/>
      <c r="J922" s="154"/>
    </row>
    <row r="923" spans="5:10" x14ac:dyDescent="0.25">
      <c r="E923" s="154"/>
      <c r="G923" s="161"/>
      <c r="H923" s="162"/>
      <c r="I923" s="154"/>
      <c r="J923" s="154"/>
    </row>
    <row r="924" spans="5:10" x14ac:dyDescent="0.25">
      <c r="E924" s="154"/>
      <c r="G924" s="161"/>
      <c r="H924" s="162"/>
      <c r="I924" s="154"/>
      <c r="J924" s="154"/>
    </row>
    <row r="925" spans="5:10" x14ac:dyDescent="0.25">
      <c r="E925" s="154"/>
      <c r="G925" s="161"/>
      <c r="H925" s="162"/>
      <c r="I925" s="154"/>
      <c r="J925" s="154"/>
    </row>
    <row r="926" spans="5:10" x14ac:dyDescent="0.25">
      <c r="E926" s="154"/>
      <c r="G926" s="161"/>
      <c r="H926" s="162"/>
      <c r="I926" s="154"/>
      <c r="J926" s="154"/>
    </row>
    <row r="927" spans="5:10" x14ac:dyDescent="0.25">
      <c r="E927" s="154"/>
      <c r="G927" s="161"/>
      <c r="H927" s="162"/>
      <c r="I927" s="154"/>
      <c r="J927" s="154"/>
    </row>
    <row r="928" spans="5:10" x14ac:dyDescent="0.25">
      <c r="E928" s="154"/>
      <c r="G928" s="161"/>
      <c r="H928" s="162"/>
      <c r="I928" s="154"/>
      <c r="J928" s="154"/>
    </row>
    <row r="929" spans="5:10" x14ac:dyDescent="0.25">
      <c r="E929" s="154"/>
      <c r="G929" s="161"/>
      <c r="H929" s="162"/>
      <c r="I929" s="154"/>
      <c r="J929" s="154"/>
    </row>
    <row r="930" spans="5:10" x14ac:dyDescent="0.25">
      <c r="E930" s="154"/>
      <c r="G930" s="161"/>
      <c r="H930" s="162"/>
      <c r="I930" s="154"/>
      <c r="J930" s="154"/>
    </row>
    <row r="931" spans="5:10" x14ac:dyDescent="0.25">
      <c r="E931" s="154"/>
      <c r="G931" s="161"/>
      <c r="H931" s="162"/>
      <c r="I931" s="154"/>
      <c r="J931" s="154"/>
    </row>
    <row r="932" spans="5:10" x14ac:dyDescent="0.25">
      <c r="E932" s="154"/>
      <c r="G932" s="161"/>
      <c r="H932" s="162"/>
      <c r="I932" s="154"/>
      <c r="J932" s="154"/>
    </row>
    <row r="933" spans="5:10" x14ac:dyDescent="0.25">
      <c r="E933" s="154"/>
      <c r="G933" s="161"/>
      <c r="H933" s="162"/>
      <c r="I933" s="154"/>
      <c r="J933" s="154"/>
    </row>
    <row r="934" spans="5:10" x14ac:dyDescent="0.25">
      <c r="E934" s="154"/>
      <c r="G934" s="161"/>
      <c r="H934" s="162"/>
      <c r="I934" s="154"/>
      <c r="J934" s="154"/>
    </row>
    <row r="935" spans="5:10" x14ac:dyDescent="0.25">
      <c r="E935" s="154"/>
      <c r="G935" s="161"/>
      <c r="H935" s="162"/>
      <c r="I935" s="154"/>
      <c r="J935" s="154"/>
    </row>
    <row r="936" spans="5:10" x14ac:dyDescent="0.25">
      <c r="E936" s="154"/>
      <c r="G936" s="161"/>
      <c r="H936" s="162"/>
      <c r="I936" s="154"/>
      <c r="J936" s="154"/>
    </row>
    <row r="937" spans="5:10" x14ac:dyDescent="0.25">
      <c r="E937" s="154"/>
      <c r="G937" s="161"/>
      <c r="H937" s="162"/>
      <c r="I937" s="154"/>
      <c r="J937" s="154"/>
    </row>
    <row r="938" spans="5:10" x14ac:dyDescent="0.25">
      <c r="E938" s="154"/>
      <c r="G938" s="161"/>
      <c r="H938" s="162"/>
      <c r="I938" s="154"/>
      <c r="J938" s="154"/>
    </row>
    <row r="939" spans="5:10" x14ac:dyDescent="0.25">
      <c r="E939" s="154"/>
      <c r="G939" s="161"/>
      <c r="H939" s="162"/>
      <c r="I939" s="154"/>
      <c r="J939" s="154"/>
    </row>
    <row r="940" spans="5:10" x14ac:dyDescent="0.25">
      <c r="E940" s="154"/>
      <c r="G940" s="161"/>
      <c r="H940" s="162"/>
      <c r="I940" s="154"/>
      <c r="J940" s="154"/>
    </row>
    <row r="941" spans="5:10" x14ac:dyDescent="0.25">
      <c r="E941" s="154"/>
      <c r="G941" s="161"/>
      <c r="H941" s="162"/>
      <c r="I941" s="154"/>
      <c r="J941" s="154"/>
    </row>
    <row r="942" spans="5:10" x14ac:dyDescent="0.25">
      <c r="E942" s="154"/>
      <c r="G942" s="161"/>
      <c r="H942" s="162"/>
      <c r="I942" s="154"/>
      <c r="J942" s="154"/>
    </row>
    <row r="943" spans="5:10" x14ac:dyDescent="0.25">
      <c r="E943" s="154"/>
      <c r="G943" s="161"/>
      <c r="H943" s="162"/>
      <c r="I943" s="154"/>
      <c r="J943" s="154"/>
    </row>
    <row r="944" spans="5:10" x14ac:dyDescent="0.25">
      <c r="E944" s="154"/>
      <c r="G944" s="161"/>
      <c r="H944" s="162"/>
      <c r="I944" s="154"/>
      <c r="J944" s="154"/>
    </row>
    <row r="945" spans="5:10" x14ac:dyDescent="0.25">
      <c r="E945" s="154"/>
      <c r="G945" s="161"/>
      <c r="H945" s="162"/>
      <c r="I945" s="154"/>
      <c r="J945" s="154"/>
    </row>
    <row r="946" spans="5:10" x14ac:dyDescent="0.25">
      <c r="E946" s="154"/>
      <c r="G946" s="161"/>
      <c r="H946" s="162"/>
      <c r="I946" s="154"/>
      <c r="J946" s="154"/>
    </row>
    <row r="947" spans="5:10" x14ac:dyDescent="0.25">
      <c r="E947" s="154"/>
      <c r="G947" s="161"/>
      <c r="H947" s="162"/>
      <c r="I947" s="154"/>
      <c r="J947" s="154"/>
    </row>
    <row r="948" spans="5:10" x14ac:dyDescent="0.25">
      <c r="E948" s="154"/>
      <c r="G948" s="161"/>
      <c r="H948" s="162"/>
      <c r="I948" s="154"/>
      <c r="J948" s="154"/>
    </row>
    <row r="949" spans="5:10" x14ac:dyDescent="0.25">
      <c r="E949" s="154"/>
      <c r="G949" s="161"/>
      <c r="H949" s="162"/>
      <c r="I949" s="154"/>
      <c r="J949" s="154"/>
    </row>
    <row r="950" spans="5:10" x14ac:dyDescent="0.25">
      <c r="E950" s="154"/>
      <c r="G950" s="161"/>
      <c r="H950" s="162"/>
      <c r="I950" s="154"/>
      <c r="J950" s="154"/>
    </row>
    <row r="951" spans="5:10" x14ac:dyDescent="0.25">
      <c r="E951" s="154"/>
      <c r="G951" s="161"/>
      <c r="H951" s="162"/>
      <c r="I951" s="154"/>
      <c r="J951" s="154"/>
    </row>
    <row r="952" spans="5:10" x14ac:dyDescent="0.25">
      <c r="E952" s="154"/>
      <c r="G952" s="161"/>
      <c r="H952" s="162"/>
      <c r="I952" s="154"/>
      <c r="J952" s="154"/>
    </row>
    <row r="953" spans="5:10" x14ac:dyDescent="0.25">
      <c r="E953" s="154"/>
      <c r="G953" s="161"/>
      <c r="H953" s="162"/>
      <c r="I953" s="154"/>
      <c r="J953" s="154"/>
    </row>
    <row r="954" spans="5:10" x14ac:dyDescent="0.25">
      <c r="E954" s="154"/>
      <c r="G954" s="161"/>
      <c r="H954" s="162"/>
      <c r="I954" s="154"/>
      <c r="J954" s="154"/>
    </row>
    <row r="955" spans="5:10" x14ac:dyDescent="0.25">
      <c r="E955" s="154"/>
      <c r="G955" s="161"/>
      <c r="H955" s="162"/>
      <c r="I955" s="154"/>
      <c r="J955" s="154"/>
    </row>
    <row r="956" spans="5:10" x14ac:dyDescent="0.25">
      <c r="E956" s="154"/>
      <c r="G956" s="161"/>
      <c r="H956" s="162"/>
      <c r="I956" s="154"/>
      <c r="J956" s="154"/>
    </row>
    <row r="957" spans="5:10" x14ac:dyDescent="0.25">
      <c r="E957" s="154"/>
      <c r="G957" s="161"/>
      <c r="H957" s="162"/>
      <c r="I957" s="154"/>
      <c r="J957" s="154"/>
    </row>
    <row r="958" spans="5:10" x14ac:dyDescent="0.25">
      <c r="E958" s="154"/>
      <c r="G958" s="161"/>
      <c r="H958" s="162"/>
      <c r="I958" s="154"/>
      <c r="J958" s="154"/>
    </row>
    <row r="959" spans="5:10" x14ac:dyDescent="0.25">
      <c r="E959" s="154"/>
      <c r="G959" s="161"/>
      <c r="H959" s="162"/>
      <c r="I959" s="154"/>
      <c r="J959" s="154"/>
    </row>
    <row r="960" spans="5:10" x14ac:dyDescent="0.25">
      <c r="E960" s="154"/>
      <c r="G960" s="161"/>
      <c r="H960" s="162"/>
      <c r="I960" s="154"/>
      <c r="J960" s="154"/>
    </row>
    <row r="961" spans="5:10" x14ac:dyDescent="0.25">
      <c r="E961" s="154"/>
      <c r="G961" s="161"/>
      <c r="H961" s="162"/>
      <c r="I961" s="154"/>
      <c r="J961" s="154"/>
    </row>
    <row r="962" spans="5:10" x14ac:dyDescent="0.25">
      <c r="E962" s="154"/>
      <c r="G962" s="161"/>
      <c r="H962" s="162"/>
      <c r="I962" s="154"/>
      <c r="J962" s="154"/>
    </row>
    <row r="963" spans="5:10" x14ac:dyDescent="0.25">
      <c r="E963" s="154"/>
      <c r="G963" s="161"/>
      <c r="H963" s="162"/>
      <c r="I963" s="154"/>
      <c r="J963" s="154"/>
    </row>
    <row r="964" spans="5:10" x14ac:dyDescent="0.25">
      <c r="E964" s="154"/>
      <c r="G964" s="161"/>
      <c r="H964" s="162"/>
      <c r="I964" s="154"/>
      <c r="J964" s="154"/>
    </row>
    <row r="965" spans="5:10" x14ac:dyDescent="0.25">
      <c r="E965" s="154"/>
      <c r="G965" s="161"/>
      <c r="H965" s="162"/>
      <c r="I965" s="154"/>
      <c r="J965" s="154"/>
    </row>
    <row r="966" spans="5:10" x14ac:dyDescent="0.25">
      <c r="E966" s="154"/>
      <c r="G966" s="161"/>
      <c r="H966" s="162"/>
      <c r="I966" s="154"/>
      <c r="J966" s="154"/>
    </row>
    <row r="967" spans="5:10" x14ac:dyDescent="0.25">
      <c r="E967" s="154"/>
      <c r="G967" s="161"/>
      <c r="H967" s="162"/>
      <c r="I967" s="154"/>
      <c r="J967" s="154"/>
    </row>
    <row r="968" spans="5:10" x14ac:dyDescent="0.25">
      <c r="E968" s="154"/>
      <c r="G968" s="161"/>
      <c r="H968" s="162"/>
      <c r="I968" s="154"/>
      <c r="J968" s="154"/>
    </row>
    <row r="969" spans="5:10" x14ac:dyDescent="0.25">
      <c r="E969" s="154"/>
      <c r="G969" s="161"/>
      <c r="H969" s="162"/>
      <c r="I969" s="154"/>
      <c r="J969" s="154"/>
    </row>
    <row r="970" spans="5:10" x14ac:dyDescent="0.25">
      <c r="E970" s="154"/>
      <c r="G970" s="161"/>
      <c r="H970" s="162"/>
      <c r="I970" s="154"/>
      <c r="J970" s="154"/>
    </row>
    <row r="971" spans="5:10" x14ac:dyDescent="0.25">
      <c r="E971" s="154"/>
      <c r="G971" s="161"/>
      <c r="H971" s="162"/>
      <c r="I971" s="154"/>
      <c r="J971" s="154"/>
    </row>
    <row r="972" spans="5:10" x14ac:dyDescent="0.25">
      <c r="E972" s="154"/>
      <c r="G972" s="161"/>
      <c r="H972" s="162"/>
      <c r="I972" s="154"/>
      <c r="J972" s="154"/>
    </row>
    <row r="973" spans="5:10" x14ac:dyDescent="0.25">
      <c r="E973" s="154"/>
      <c r="G973" s="161"/>
      <c r="H973" s="162"/>
      <c r="I973" s="154"/>
      <c r="J973" s="154"/>
    </row>
    <row r="974" spans="5:10" x14ac:dyDescent="0.25">
      <c r="E974" s="154"/>
      <c r="G974" s="161"/>
      <c r="H974" s="162"/>
      <c r="I974" s="154"/>
      <c r="J974" s="154"/>
    </row>
    <row r="975" spans="5:10" x14ac:dyDescent="0.25">
      <c r="E975" s="154"/>
      <c r="G975" s="161"/>
      <c r="H975" s="162"/>
      <c r="I975" s="154"/>
      <c r="J975" s="154"/>
    </row>
    <row r="976" spans="5:10" x14ac:dyDescent="0.25">
      <c r="E976" s="154"/>
      <c r="G976" s="161"/>
      <c r="H976" s="162"/>
      <c r="I976" s="154"/>
      <c r="J976" s="154"/>
    </row>
    <row r="977" spans="5:10" x14ac:dyDescent="0.25">
      <c r="E977" s="154"/>
      <c r="G977" s="161"/>
      <c r="H977" s="162"/>
      <c r="I977" s="154"/>
      <c r="J977" s="154"/>
    </row>
    <row r="978" spans="5:10" x14ac:dyDescent="0.25">
      <c r="E978" s="154"/>
      <c r="G978" s="161"/>
      <c r="H978" s="162"/>
      <c r="I978" s="154"/>
      <c r="J978" s="154"/>
    </row>
    <row r="979" spans="5:10" x14ac:dyDescent="0.25">
      <c r="E979" s="154"/>
      <c r="G979" s="161"/>
      <c r="H979" s="162"/>
      <c r="I979" s="154"/>
      <c r="J979" s="154"/>
    </row>
    <row r="980" spans="5:10" x14ac:dyDescent="0.25">
      <c r="E980" s="154"/>
      <c r="G980" s="161"/>
      <c r="H980" s="162"/>
      <c r="I980" s="154"/>
      <c r="J980" s="154"/>
    </row>
    <row r="981" spans="5:10" x14ac:dyDescent="0.25">
      <c r="E981" s="154"/>
      <c r="G981" s="161"/>
      <c r="H981" s="162"/>
      <c r="I981" s="154"/>
      <c r="J981" s="154"/>
    </row>
    <row r="982" spans="5:10" x14ac:dyDescent="0.25">
      <c r="E982" s="154"/>
      <c r="G982" s="161"/>
      <c r="H982" s="162"/>
      <c r="I982" s="154"/>
      <c r="J982" s="154"/>
    </row>
    <row r="983" spans="5:10" x14ac:dyDescent="0.25">
      <c r="E983" s="154"/>
      <c r="G983" s="161"/>
      <c r="H983" s="162"/>
      <c r="I983" s="154"/>
      <c r="J983" s="154"/>
    </row>
    <row r="984" spans="5:10" x14ac:dyDescent="0.25">
      <c r="E984" s="154"/>
      <c r="G984" s="161"/>
      <c r="H984" s="162"/>
      <c r="I984" s="154"/>
      <c r="J984" s="154"/>
    </row>
    <row r="985" spans="5:10" x14ac:dyDescent="0.25">
      <c r="E985" s="154"/>
      <c r="G985" s="161"/>
      <c r="H985" s="162"/>
      <c r="I985" s="154"/>
      <c r="J985" s="154"/>
    </row>
    <row r="986" spans="5:10" x14ac:dyDescent="0.25">
      <c r="E986" s="154"/>
      <c r="G986" s="161"/>
      <c r="H986" s="162"/>
      <c r="I986" s="154"/>
      <c r="J986" s="154"/>
    </row>
    <row r="987" spans="5:10" x14ac:dyDescent="0.25">
      <c r="E987" s="154"/>
      <c r="G987" s="161"/>
      <c r="H987" s="162"/>
      <c r="I987" s="154"/>
      <c r="J987" s="154"/>
    </row>
    <row r="988" spans="5:10" x14ac:dyDescent="0.25">
      <c r="E988" s="154"/>
      <c r="G988" s="161"/>
      <c r="H988" s="162"/>
      <c r="I988" s="154"/>
      <c r="J988" s="154"/>
    </row>
    <row r="989" spans="5:10" x14ac:dyDescent="0.25">
      <c r="E989" s="154"/>
      <c r="G989" s="161"/>
      <c r="H989" s="162"/>
      <c r="I989" s="154"/>
      <c r="J989" s="154"/>
    </row>
    <row r="990" spans="5:10" x14ac:dyDescent="0.25">
      <c r="E990" s="154"/>
      <c r="G990" s="161"/>
      <c r="H990" s="162"/>
      <c r="I990" s="154"/>
      <c r="J990" s="154"/>
    </row>
    <row r="991" spans="5:10" x14ac:dyDescent="0.25">
      <c r="E991" s="154"/>
      <c r="G991" s="161"/>
      <c r="H991" s="162"/>
      <c r="I991" s="154"/>
      <c r="J991" s="154"/>
    </row>
    <row r="992" spans="5:10" x14ac:dyDescent="0.25">
      <c r="E992" s="154"/>
      <c r="G992" s="161"/>
      <c r="H992" s="162"/>
      <c r="I992" s="154"/>
      <c r="J992" s="154"/>
    </row>
    <row r="993" spans="5:10" x14ac:dyDescent="0.25">
      <c r="E993" s="154"/>
      <c r="G993" s="161"/>
      <c r="H993" s="162"/>
      <c r="I993" s="154"/>
      <c r="J993" s="154"/>
    </row>
    <row r="994" spans="5:10" x14ac:dyDescent="0.25">
      <c r="E994" s="154"/>
      <c r="G994" s="161"/>
      <c r="H994" s="162"/>
      <c r="I994" s="154"/>
      <c r="J994" s="154"/>
    </row>
    <row r="995" spans="5:10" x14ac:dyDescent="0.25">
      <c r="E995" s="154"/>
      <c r="G995" s="161"/>
      <c r="H995" s="162"/>
      <c r="I995" s="154"/>
      <c r="J995" s="154"/>
    </row>
    <row r="996" spans="5:10" x14ac:dyDescent="0.25">
      <c r="E996" s="154"/>
      <c r="G996" s="161"/>
      <c r="H996" s="162"/>
      <c r="I996" s="154"/>
      <c r="J996" s="154"/>
    </row>
    <row r="997" spans="5:10" x14ac:dyDescent="0.25">
      <c r="E997" s="154"/>
      <c r="G997" s="161"/>
      <c r="H997" s="162"/>
      <c r="I997" s="154"/>
      <c r="J997" s="154"/>
    </row>
    <row r="998" spans="5:10" x14ac:dyDescent="0.25">
      <c r="E998" s="154"/>
      <c r="G998" s="161"/>
      <c r="H998" s="162"/>
      <c r="I998" s="154"/>
      <c r="J998" s="154"/>
    </row>
    <row r="999" spans="5:10" x14ac:dyDescent="0.25">
      <c r="E999" s="154"/>
      <c r="G999" s="161"/>
      <c r="H999" s="162"/>
      <c r="I999" s="154"/>
      <c r="J999" s="154"/>
    </row>
    <row r="1000" spans="5:10" x14ac:dyDescent="0.25">
      <c r="E1000" s="154"/>
      <c r="G1000" s="161"/>
      <c r="H1000" s="162"/>
      <c r="I1000" s="154"/>
      <c r="J1000" s="154"/>
    </row>
    <row r="1001" spans="5:10" x14ac:dyDescent="0.25">
      <c r="E1001" s="154"/>
      <c r="G1001" s="161"/>
      <c r="H1001" s="162"/>
      <c r="I1001" s="154"/>
      <c r="J1001" s="154"/>
    </row>
    <row r="1002" spans="5:10" x14ac:dyDescent="0.25">
      <c r="E1002" s="154"/>
      <c r="G1002" s="161"/>
      <c r="H1002" s="162"/>
      <c r="I1002" s="154"/>
      <c r="J1002" s="154"/>
    </row>
    <row r="1003" spans="5:10" x14ac:dyDescent="0.25">
      <c r="E1003" s="154"/>
      <c r="G1003" s="161"/>
      <c r="H1003" s="162"/>
      <c r="I1003" s="154"/>
      <c r="J1003" s="154"/>
    </row>
    <row r="1004" spans="5:10" x14ac:dyDescent="0.25">
      <c r="E1004" s="154"/>
      <c r="G1004" s="161"/>
      <c r="H1004" s="162"/>
      <c r="I1004" s="154"/>
      <c r="J1004" s="154"/>
    </row>
    <row r="1005" spans="5:10" x14ac:dyDescent="0.25">
      <c r="E1005" s="154"/>
      <c r="G1005" s="161"/>
      <c r="H1005" s="162"/>
      <c r="I1005" s="154"/>
      <c r="J1005" s="154"/>
    </row>
    <row r="1006" spans="5:10" x14ac:dyDescent="0.25">
      <c r="E1006" s="154"/>
      <c r="G1006" s="161"/>
      <c r="H1006" s="162"/>
      <c r="I1006" s="154"/>
      <c r="J1006" s="154"/>
    </row>
    <row r="1007" spans="5:10" x14ac:dyDescent="0.25">
      <c r="E1007" s="154"/>
      <c r="G1007" s="161"/>
      <c r="H1007" s="162"/>
      <c r="I1007" s="154"/>
      <c r="J1007" s="154"/>
    </row>
    <row r="1008" spans="5:10" x14ac:dyDescent="0.25">
      <c r="E1008" s="154"/>
      <c r="G1008" s="161"/>
      <c r="H1008" s="162"/>
      <c r="I1008" s="154"/>
      <c r="J1008" s="154"/>
    </row>
    <row r="1009" spans="5:10" x14ac:dyDescent="0.25">
      <c r="E1009" s="154"/>
      <c r="G1009" s="161"/>
      <c r="H1009" s="162"/>
      <c r="I1009" s="154"/>
      <c r="J1009" s="154"/>
    </row>
    <row r="1010" spans="5:10" x14ac:dyDescent="0.25">
      <c r="E1010" s="154"/>
      <c r="G1010" s="161"/>
      <c r="H1010" s="162"/>
      <c r="I1010" s="154"/>
      <c r="J1010" s="154"/>
    </row>
    <row r="1011" spans="5:10" x14ac:dyDescent="0.25">
      <c r="E1011" s="154"/>
      <c r="G1011" s="161"/>
      <c r="H1011" s="162"/>
      <c r="I1011" s="154"/>
      <c r="J1011" s="154"/>
    </row>
    <row r="1012" spans="5:10" x14ac:dyDescent="0.25">
      <c r="E1012" s="154"/>
      <c r="G1012" s="161"/>
      <c r="H1012" s="162"/>
      <c r="I1012" s="154"/>
      <c r="J1012" s="154"/>
    </row>
    <row r="1013" spans="5:10" x14ac:dyDescent="0.25">
      <c r="E1013" s="154"/>
      <c r="G1013" s="161"/>
      <c r="H1013" s="162"/>
      <c r="I1013" s="154"/>
      <c r="J1013" s="154"/>
    </row>
    <row r="1014" spans="5:10" x14ac:dyDescent="0.25">
      <c r="E1014" s="154"/>
      <c r="G1014" s="161"/>
      <c r="H1014" s="162"/>
      <c r="I1014" s="154"/>
      <c r="J1014" s="154"/>
    </row>
    <row r="1015" spans="5:10" x14ac:dyDescent="0.25">
      <c r="E1015" s="154"/>
      <c r="G1015" s="161"/>
      <c r="H1015" s="162"/>
      <c r="I1015" s="154"/>
      <c r="J1015" s="154"/>
    </row>
    <row r="1016" spans="5:10" x14ac:dyDescent="0.25">
      <c r="E1016" s="154"/>
      <c r="G1016" s="161"/>
      <c r="H1016" s="162"/>
      <c r="I1016" s="154"/>
      <c r="J1016" s="154"/>
    </row>
    <row r="1017" spans="5:10" x14ac:dyDescent="0.25">
      <c r="E1017" s="154"/>
      <c r="G1017" s="161"/>
      <c r="H1017" s="162"/>
      <c r="I1017" s="154"/>
      <c r="J1017" s="154"/>
    </row>
    <row r="1018" spans="5:10" x14ac:dyDescent="0.25">
      <c r="E1018" s="154"/>
      <c r="G1018" s="161"/>
      <c r="H1018" s="162"/>
      <c r="I1018" s="154"/>
      <c r="J1018" s="154"/>
    </row>
    <row r="1019" spans="5:10" x14ac:dyDescent="0.25">
      <c r="E1019" s="154"/>
      <c r="G1019" s="161"/>
      <c r="H1019" s="162"/>
      <c r="I1019" s="154"/>
      <c r="J1019" s="154"/>
    </row>
    <row r="1020" spans="5:10" x14ac:dyDescent="0.25">
      <c r="E1020" s="154"/>
      <c r="G1020" s="161"/>
      <c r="H1020" s="162"/>
      <c r="I1020" s="154"/>
      <c r="J1020" s="154"/>
    </row>
    <row r="1021" spans="5:10" x14ac:dyDescent="0.25">
      <c r="E1021" s="154"/>
      <c r="G1021" s="161"/>
      <c r="H1021" s="162"/>
      <c r="I1021" s="154"/>
      <c r="J1021" s="154"/>
    </row>
    <row r="1022" spans="5:10" x14ac:dyDescent="0.25">
      <c r="E1022" s="154"/>
      <c r="G1022" s="161"/>
      <c r="H1022" s="162"/>
      <c r="I1022" s="154"/>
      <c r="J1022" s="154"/>
    </row>
    <row r="1023" spans="5:10" x14ac:dyDescent="0.25">
      <c r="E1023" s="154"/>
      <c r="G1023" s="161"/>
      <c r="H1023" s="162"/>
      <c r="I1023" s="154"/>
      <c r="J1023" s="154"/>
    </row>
    <row r="1024" spans="5:10" x14ac:dyDescent="0.25">
      <c r="E1024" s="154"/>
      <c r="G1024" s="161"/>
      <c r="H1024" s="162"/>
      <c r="I1024" s="154"/>
      <c r="J1024" s="154"/>
    </row>
    <row r="1025" spans="5:10" x14ac:dyDescent="0.25">
      <c r="E1025" s="154"/>
      <c r="G1025" s="161"/>
      <c r="H1025" s="162"/>
      <c r="I1025" s="154"/>
      <c r="J1025" s="154"/>
    </row>
    <row r="1026" spans="5:10" x14ac:dyDescent="0.25">
      <c r="E1026" s="154"/>
      <c r="G1026" s="161"/>
      <c r="H1026" s="162"/>
      <c r="I1026" s="154"/>
      <c r="J1026" s="154"/>
    </row>
    <row r="1027" spans="5:10" x14ac:dyDescent="0.25">
      <c r="E1027" s="154"/>
      <c r="G1027" s="161"/>
      <c r="H1027" s="162"/>
      <c r="I1027" s="154"/>
      <c r="J1027" s="154"/>
    </row>
    <row r="1028" spans="5:10" x14ac:dyDescent="0.25">
      <c r="E1028" s="154"/>
      <c r="G1028" s="161"/>
      <c r="H1028" s="162"/>
      <c r="I1028" s="154"/>
      <c r="J1028" s="154"/>
    </row>
    <row r="1029" spans="5:10" x14ac:dyDescent="0.25">
      <c r="E1029" s="154"/>
      <c r="G1029" s="161"/>
      <c r="H1029" s="162"/>
      <c r="I1029" s="154"/>
      <c r="J1029" s="154"/>
    </row>
    <row r="1030" spans="5:10" x14ac:dyDescent="0.25">
      <c r="E1030" s="154"/>
      <c r="G1030" s="161"/>
      <c r="H1030" s="162"/>
      <c r="I1030" s="154"/>
      <c r="J1030" s="154"/>
    </row>
    <row r="1031" spans="5:10" x14ac:dyDescent="0.25">
      <c r="E1031" s="154"/>
      <c r="G1031" s="161"/>
      <c r="H1031" s="162"/>
      <c r="I1031" s="154"/>
      <c r="J1031" s="154"/>
    </row>
    <row r="1032" spans="5:10" x14ac:dyDescent="0.25">
      <c r="E1032" s="154"/>
      <c r="G1032" s="161"/>
      <c r="H1032" s="162"/>
      <c r="I1032" s="154"/>
      <c r="J1032" s="154"/>
    </row>
    <row r="1033" spans="5:10" x14ac:dyDescent="0.25">
      <c r="E1033" s="154"/>
      <c r="G1033" s="161"/>
      <c r="H1033" s="162"/>
      <c r="I1033" s="154"/>
      <c r="J1033" s="154"/>
    </row>
    <row r="1034" spans="5:10" x14ac:dyDescent="0.25">
      <c r="E1034" s="154"/>
      <c r="G1034" s="161"/>
      <c r="H1034" s="162"/>
      <c r="I1034" s="154"/>
      <c r="J1034" s="154"/>
    </row>
    <row r="1035" spans="5:10" x14ac:dyDescent="0.25">
      <c r="E1035" s="154"/>
      <c r="G1035" s="161"/>
      <c r="H1035" s="162"/>
      <c r="I1035" s="154"/>
      <c r="J1035" s="154"/>
    </row>
    <row r="1036" spans="5:10" x14ac:dyDescent="0.25">
      <c r="E1036" s="154"/>
      <c r="G1036" s="161"/>
      <c r="H1036" s="162"/>
      <c r="I1036" s="154"/>
      <c r="J1036" s="154"/>
    </row>
    <row r="1037" spans="5:10" x14ac:dyDescent="0.25">
      <c r="E1037" s="154"/>
      <c r="G1037" s="161"/>
      <c r="H1037" s="162"/>
      <c r="I1037" s="154"/>
      <c r="J1037" s="154"/>
    </row>
    <row r="1038" spans="5:10" x14ac:dyDescent="0.25">
      <c r="E1038" s="154"/>
      <c r="G1038" s="161"/>
      <c r="H1038" s="162"/>
      <c r="I1038" s="154"/>
      <c r="J1038" s="154"/>
    </row>
    <row r="1039" spans="5:10" x14ac:dyDescent="0.25">
      <c r="E1039" s="154"/>
      <c r="G1039" s="161"/>
      <c r="H1039" s="162"/>
      <c r="I1039" s="154"/>
      <c r="J1039" s="154"/>
    </row>
    <row r="1040" spans="5:10" x14ac:dyDescent="0.25">
      <c r="E1040" s="154"/>
      <c r="G1040" s="161"/>
      <c r="H1040" s="162"/>
      <c r="I1040" s="154"/>
      <c r="J1040" s="154"/>
    </row>
    <row r="1041" spans="5:10" x14ac:dyDescent="0.25">
      <c r="E1041" s="154"/>
      <c r="G1041" s="161"/>
      <c r="H1041" s="162"/>
      <c r="I1041" s="154"/>
      <c r="J1041" s="154"/>
    </row>
    <row r="1042" spans="5:10" x14ac:dyDescent="0.25">
      <c r="E1042" s="154"/>
      <c r="G1042" s="161"/>
      <c r="H1042" s="162"/>
      <c r="I1042" s="154"/>
      <c r="J1042" s="154"/>
    </row>
    <row r="1043" spans="5:10" x14ac:dyDescent="0.25">
      <c r="E1043" s="154"/>
      <c r="G1043" s="161"/>
      <c r="H1043" s="162"/>
      <c r="I1043" s="154"/>
      <c r="J1043" s="154"/>
    </row>
    <row r="1044" spans="5:10" x14ac:dyDescent="0.25">
      <c r="E1044" s="154"/>
      <c r="G1044" s="161"/>
      <c r="H1044" s="162"/>
      <c r="I1044" s="154"/>
      <c r="J1044" s="154"/>
    </row>
    <row r="1045" spans="5:10" x14ac:dyDescent="0.25">
      <c r="E1045" s="154"/>
      <c r="G1045" s="161"/>
      <c r="H1045" s="162"/>
      <c r="I1045" s="154"/>
      <c r="J1045" s="154"/>
    </row>
    <row r="1046" spans="5:10" x14ac:dyDescent="0.25">
      <c r="E1046" s="154"/>
      <c r="G1046" s="161"/>
      <c r="H1046" s="162"/>
      <c r="I1046" s="154"/>
      <c r="J1046" s="154"/>
    </row>
    <row r="1047" spans="5:10" x14ac:dyDescent="0.25">
      <c r="E1047" s="154"/>
      <c r="G1047" s="161"/>
      <c r="H1047" s="162"/>
      <c r="I1047" s="154"/>
      <c r="J1047" s="154"/>
    </row>
    <row r="1048" spans="5:10" x14ac:dyDescent="0.25">
      <c r="E1048" s="154"/>
      <c r="G1048" s="161"/>
      <c r="H1048" s="162"/>
      <c r="I1048" s="154"/>
      <c r="J1048" s="154"/>
    </row>
    <row r="1049" spans="5:10" x14ac:dyDescent="0.25">
      <c r="E1049" s="154"/>
      <c r="G1049" s="161"/>
      <c r="H1049" s="162"/>
      <c r="I1049" s="154"/>
      <c r="J1049" s="154"/>
    </row>
    <row r="1050" spans="5:10" x14ac:dyDescent="0.25">
      <c r="E1050" s="154"/>
      <c r="G1050" s="161"/>
      <c r="H1050" s="162"/>
      <c r="I1050" s="154"/>
      <c r="J1050" s="154"/>
    </row>
    <row r="1051" spans="5:10" x14ac:dyDescent="0.25">
      <c r="E1051" s="154"/>
      <c r="G1051" s="161"/>
      <c r="H1051" s="162"/>
      <c r="I1051" s="154"/>
      <c r="J1051" s="154"/>
    </row>
    <row r="1052" spans="5:10" x14ac:dyDescent="0.25">
      <c r="E1052" s="154"/>
      <c r="G1052" s="161"/>
      <c r="H1052" s="162"/>
      <c r="I1052" s="154"/>
      <c r="J1052" s="154"/>
    </row>
    <row r="1053" spans="5:10" x14ac:dyDescent="0.25">
      <c r="E1053" s="154"/>
      <c r="G1053" s="161"/>
      <c r="H1053" s="162"/>
      <c r="I1053" s="154"/>
      <c r="J1053" s="154"/>
    </row>
    <row r="1054" spans="5:10" x14ac:dyDescent="0.25">
      <c r="E1054" s="154"/>
      <c r="G1054" s="161"/>
      <c r="H1054" s="162"/>
      <c r="I1054" s="154"/>
      <c r="J1054" s="154"/>
    </row>
    <row r="1055" spans="5:10" x14ac:dyDescent="0.25">
      <c r="E1055" s="154"/>
      <c r="G1055" s="161"/>
      <c r="H1055" s="162"/>
      <c r="I1055" s="154"/>
      <c r="J1055" s="154"/>
    </row>
    <row r="1056" spans="5:10" x14ac:dyDescent="0.25">
      <c r="E1056" s="154"/>
      <c r="G1056" s="161"/>
      <c r="H1056" s="162"/>
      <c r="I1056" s="154"/>
      <c r="J1056" s="154"/>
    </row>
    <row r="1057" spans="5:10" x14ac:dyDescent="0.25">
      <c r="E1057" s="154"/>
      <c r="G1057" s="161"/>
      <c r="H1057" s="162"/>
      <c r="I1057" s="154"/>
      <c r="J1057" s="154"/>
    </row>
    <row r="1058" spans="5:10" x14ac:dyDescent="0.25">
      <c r="E1058" s="154"/>
      <c r="G1058" s="161"/>
      <c r="H1058" s="162"/>
      <c r="I1058" s="154"/>
      <c r="J1058" s="154"/>
    </row>
    <row r="1059" spans="5:10" x14ac:dyDescent="0.25">
      <c r="E1059" s="154"/>
      <c r="G1059" s="161"/>
      <c r="H1059" s="162"/>
      <c r="I1059" s="154"/>
      <c r="J1059" s="154"/>
    </row>
    <row r="1060" spans="5:10" x14ac:dyDescent="0.25">
      <c r="E1060" s="154"/>
      <c r="G1060" s="161"/>
      <c r="H1060" s="162"/>
      <c r="I1060" s="154"/>
      <c r="J1060" s="154"/>
    </row>
    <row r="1061" spans="5:10" x14ac:dyDescent="0.25">
      <c r="E1061" s="154"/>
      <c r="G1061" s="161"/>
      <c r="H1061" s="162"/>
      <c r="I1061" s="154"/>
      <c r="J1061" s="154"/>
    </row>
    <row r="1062" spans="5:10" x14ac:dyDescent="0.25">
      <c r="E1062" s="154"/>
      <c r="G1062" s="161"/>
      <c r="H1062" s="162"/>
      <c r="I1062" s="154"/>
      <c r="J1062" s="154"/>
    </row>
    <row r="1063" spans="5:10" x14ac:dyDescent="0.25">
      <c r="E1063" s="154"/>
      <c r="G1063" s="161"/>
      <c r="H1063" s="162"/>
      <c r="I1063" s="154"/>
      <c r="J1063" s="154"/>
    </row>
    <row r="1064" spans="5:10" x14ac:dyDescent="0.25">
      <c r="E1064" s="154"/>
      <c r="G1064" s="161"/>
      <c r="H1064" s="162"/>
      <c r="I1064" s="154"/>
      <c r="J1064" s="154"/>
    </row>
    <row r="1065" spans="5:10" x14ac:dyDescent="0.25">
      <c r="E1065" s="154"/>
      <c r="G1065" s="161"/>
      <c r="H1065" s="162"/>
      <c r="I1065" s="154"/>
      <c r="J1065" s="154"/>
    </row>
    <row r="1066" spans="5:10" x14ac:dyDescent="0.25">
      <c r="E1066" s="154"/>
      <c r="G1066" s="161"/>
      <c r="H1066" s="162"/>
      <c r="I1066" s="154"/>
      <c r="J1066" s="154"/>
    </row>
    <row r="1067" spans="5:10" x14ac:dyDescent="0.25">
      <c r="E1067" s="154"/>
      <c r="G1067" s="161"/>
      <c r="H1067" s="162"/>
      <c r="I1067" s="154"/>
      <c r="J1067" s="154"/>
    </row>
    <row r="1068" spans="5:10" x14ac:dyDescent="0.25">
      <c r="E1068" s="154"/>
      <c r="G1068" s="161"/>
      <c r="H1068" s="162"/>
      <c r="I1068" s="154"/>
      <c r="J1068" s="154"/>
    </row>
    <row r="1069" spans="5:10" x14ac:dyDescent="0.25">
      <c r="E1069" s="154"/>
      <c r="G1069" s="161"/>
      <c r="H1069" s="162"/>
      <c r="I1069" s="154"/>
      <c r="J1069" s="154"/>
    </row>
    <row r="1070" spans="5:10" x14ac:dyDescent="0.25">
      <c r="E1070" s="154"/>
      <c r="G1070" s="161"/>
      <c r="H1070" s="162"/>
      <c r="I1070" s="154"/>
      <c r="J1070" s="154"/>
    </row>
    <row r="1071" spans="5:10" x14ac:dyDescent="0.25">
      <c r="E1071" s="154"/>
      <c r="G1071" s="161"/>
      <c r="H1071" s="162"/>
      <c r="I1071" s="154"/>
      <c r="J1071" s="154"/>
    </row>
    <row r="1072" spans="5:10" x14ac:dyDescent="0.25">
      <c r="E1072" s="154"/>
      <c r="G1072" s="161"/>
      <c r="H1072" s="162"/>
      <c r="I1072" s="154"/>
      <c r="J1072" s="154"/>
    </row>
    <row r="1073" spans="5:10" x14ac:dyDescent="0.25">
      <c r="E1073" s="154"/>
      <c r="G1073" s="161"/>
      <c r="H1073" s="162"/>
      <c r="I1073" s="154"/>
      <c r="J1073" s="154"/>
    </row>
    <row r="1074" spans="5:10" x14ac:dyDescent="0.25">
      <c r="E1074" s="154"/>
      <c r="G1074" s="161"/>
      <c r="H1074" s="162"/>
      <c r="I1074" s="154"/>
      <c r="J1074" s="154"/>
    </row>
    <row r="1075" spans="5:10" x14ac:dyDescent="0.25">
      <c r="E1075" s="154"/>
      <c r="G1075" s="161"/>
      <c r="H1075" s="162"/>
      <c r="I1075" s="154"/>
      <c r="J1075" s="154"/>
    </row>
    <row r="1076" spans="5:10" x14ac:dyDescent="0.25">
      <c r="E1076" s="154"/>
      <c r="G1076" s="161"/>
      <c r="H1076" s="162"/>
      <c r="I1076" s="154"/>
      <c r="J1076" s="154"/>
    </row>
    <row r="1077" spans="5:10" x14ac:dyDescent="0.25">
      <c r="E1077" s="154"/>
      <c r="G1077" s="161"/>
      <c r="H1077" s="162"/>
      <c r="I1077" s="154"/>
      <c r="J1077" s="154"/>
    </row>
    <row r="1078" spans="5:10" x14ac:dyDescent="0.25">
      <c r="E1078" s="154"/>
      <c r="G1078" s="161"/>
      <c r="H1078" s="162"/>
      <c r="I1078" s="154"/>
      <c r="J1078" s="154"/>
    </row>
    <row r="1079" spans="5:10" x14ac:dyDescent="0.25">
      <c r="E1079" s="154"/>
      <c r="G1079" s="161"/>
      <c r="H1079" s="162"/>
      <c r="I1079" s="154"/>
      <c r="J1079" s="154"/>
    </row>
    <row r="1080" spans="5:10" x14ac:dyDescent="0.25">
      <c r="E1080" s="154"/>
      <c r="G1080" s="161"/>
      <c r="H1080" s="162"/>
      <c r="I1080" s="154"/>
      <c r="J1080" s="154"/>
    </row>
    <row r="1081" spans="5:10" x14ac:dyDescent="0.25">
      <c r="E1081" s="154"/>
      <c r="G1081" s="161"/>
      <c r="H1081" s="162"/>
      <c r="I1081" s="154"/>
      <c r="J1081" s="154"/>
    </row>
    <row r="1082" spans="5:10" x14ac:dyDescent="0.25">
      <c r="E1082" s="154"/>
      <c r="G1082" s="161"/>
      <c r="H1082" s="162"/>
      <c r="I1082" s="154"/>
      <c r="J1082" s="154"/>
    </row>
    <row r="1083" spans="5:10" x14ac:dyDescent="0.25">
      <c r="E1083" s="154"/>
      <c r="G1083" s="161"/>
      <c r="H1083" s="162"/>
      <c r="I1083" s="154"/>
      <c r="J1083" s="154"/>
    </row>
    <row r="1084" spans="5:10" x14ac:dyDescent="0.25">
      <c r="E1084" s="154"/>
      <c r="G1084" s="161"/>
      <c r="H1084" s="162"/>
      <c r="I1084" s="154"/>
      <c r="J1084" s="154"/>
    </row>
    <row r="1085" spans="5:10" x14ac:dyDescent="0.25">
      <c r="E1085" s="154"/>
      <c r="G1085" s="161"/>
      <c r="H1085" s="162"/>
      <c r="I1085" s="154"/>
      <c r="J1085" s="154"/>
    </row>
    <row r="1086" spans="5:10" x14ac:dyDescent="0.25">
      <c r="E1086" s="154"/>
      <c r="G1086" s="161"/>
      <c r="H1086" s="162"/>
      <c r="I1086" s="154"/>
      <c r="J1086" s="154"/>
    </row>
    <row r="1087" spans="5:10" x14ac:dyDescent="0.25">
      <c r="E1087" s="154"/>
      <c r="G1087" s="161"/>
      <c r="H1087" s="162"/>
      <c r="I1087" s="154"/>
      <c r="J1087" s="154"/>
    </row>
    <row r="1088" spans="5:10" x14ac:dyDescent="0.25">
      <c r="E1088" s="154"/>
      <c r="G1088" s="161"/>
      <c r="H1088" s="162"/>
      <c r="I1088" s="154"/>
      <c r="J1088" s="154"/>
    </row>
    <row r="1089" spans="5:10" x14ac:dyDescent="0.25">
      <c r="E1089" s="154"/>
      <c r="G1089" s="161"/>
      <c r="H1089" s="162"/>
      <c r="I1089" s="154"/>
      <c r="J1089" s="154"/>
    </row>
    <row r="1090" spans="5:10" x14ac:dyDescent="0.25">
      <c r="E1090" s="154"/>
      <c r="G1090" s="161"/>
      <c r="H1090" s="162"/>
      <c r="I1090" s="154"/>
      <c r="J1090" s="154"/>
    </row>
    <row r="1091" spans="5:10" x14ac:dyDescent="0.25">
      <c r="E1091" s="154"/>
      <c r="G1091" s="161"/>
      <c r="H1091" s="162"/>
      <c r="I1091" s="154"/>
      <c r="J1091" s="154"/>
    </row>
    <row r="1092" spans="5:10" x14ac:dyDescent="0.25">
      <c r="E1092" s="154"/>
      <c r="G1092" s="161"/>
      <c r="H1092" s="162"/>
      <c r="I1092" s="154"/>
      <c r="J1092" s="154"/>
    </row>
    <row r="1093" spans="5:10" x14ac:dyDescent="0.25">
      <c r="E1093" s="154"/>
      <c r="G1093" s="161"/>
      <c r="H1093" s="162"/>
      <c r="I1093" s="154"/>
      <c r="J1093" s="154"/>
    </row>
    <row r="1094" spans="5:10" x14ac:dyDescent="0.25">
      <c r="E1094" s="154"/>
      <c r="G1094" s="161"/>
      <c r="H1094" s="162"/>
      <c r="I1094" s="154"/>
      <c r="J1094" s="154"/>
    </row>
    <row r="1095" spans="5:10" x14ac:dyDescent="0.25">
      <c r="E1095" s="154"/>
      <c r="G1095" s="161"/>
      <c r="H1095" s="162"/>
      <c r="I1095" s="154"/>
      <c r="J1095" s="154"/>
    </row>
    <row r="1096" spans="5:10" x14ac:dyDescent="0.25">
      <c r="E1096" s="154"/>
      <c r="G1096" s="161"/>
      <c r="H1096" s="162"/>
      <c r="I1096" s="154"/>
      <c r="J1096" s="154"/>
    </row>
    <row r="1097" spans="5:10" x14ac:dyDescent="0.25">
      <c r="E1097" s="154"/>
      <c r="G1097" s="161"/>
      <c r="H1097" s="162"/>
      <c r="I1097" s="154"/>
      <c r="J1097" s="154"/>
    </row>
    <row r="1098" spans="5:10" x14ac:dyDescent="0.25">
      <c r="E1098" s="154"/>
      <c r="G1098" s="161"/>
      <c r="H1098" s="162"/>
      <c r="I1098" s="154"/>
      <c r="J1098" s="154"/>
    </row>
    <row r="1099" spans="5:10" x14ac:dyDescent="0.25">
      <c r="E1099" s="154"/>
      <c r="G1099" s="161"/>
      <c r="H1099" s="162"/>
      <c r="I1099" s="154"/>
      <c r="J1099" s="154"/>
    </row>
    <row r="1100" spans="5:10" x14ac:dyDescent="0.25">
      <c r="E1100" s="154"/>
      <c r="G1100" s="161"/>
      <c r="H1100" s="162"/>
      <c r="I1100" s="154"/>
      <c r="J1100" s="154"/>
    </row>
    <row r="1101" spans="5:10" x14ac:dyDescent="0.25">
      <c r="E1101" s="154"/>
      <c r="G1101" s="161"/>
      <c r="H1101" s="162"/>
      <c r="I1101" s="154"/>
      <c r="J1101" s="154"/>
    </row>
    <row r="1102" spans="5:10" x14ac:dyDescent="0.25">
      <c r="E1102" s="154"/>
      <c r="G1102" s="161"/>
      <c r="H1102" s="162"/>
      <c r="I1102" s="154"/>
      <c r="J1102" s="154"/>
    </row>
    <row r="1103" spans="5:10" x14ac:dyDescent="0.25">
      <c r="E1103" s="154"/>
      <c r="G1103" s="161"/>
      <c r="H1103" s="162"/>
      <c r="I1103" s="154"/>
      <c r="J1103" s="154"/>
    </row>
    <row r="1104" spans="5:10" x14ac:dyDescent="0.25">
      <c r="E1104" s="154"/>
      <c r="G1104" s="161"/>
      <c r="H1104" s="162"/>
      <c r="I1104" s="154"/>
      <c r="J1104" s="154"/>
    </row>
    <row r="1105" spans="5:10" x14ac:dyDescent="0.25">
      <c r="E1105" s="154"/>
      <c r="G1105" s="161"/>
      <c r="H1105" s="162"/>
      <c r="I1105" s="154"/>
      <c r="J1105" s="154"/>
    </row>
    <row r="1106" spans="5:10" x14ac:dyDescent="0.25">
      <c r="E1106" s="154"/>
      <c r="G1106" s="161"/>
      <c r="H1106" s="162"/>
      <c r="I1106" s="154"/>
      <c r="J1106" s="154"/>
    </row>
    <row r="1107" spans="5:10" x14ac:dyDescent="0.25">
      <c r="E1107" s="154"/>
      <c r="G1107" s="161"/>
      <c r="H1107" s="162"/>
      <c r="I1107" s="154"/>
      <c r="J1107" s="154"/>
    </row>
    <row r="1108" spans="5:10" x14ac:dyDescent="0.25">
      <c r="E1108" s="154"/>
      <c r="G1108" s="161"/>
      <c r="H1108" s="162"/>
      <c r="I1108" s="154"/>
      <c r="J1108" s="154"/>
    </row>
    <row r="1109" spans="5:10" x14ac:dyDescent="0.25">
      <c r="E1109" s="154"/>
      <c r="G1109" s="161"/>
      <c r="H1109" s="162"/>
      <c r="I1109" s="154"/>
      <c r="J1109" s="154"/>
    </row>
    <row r="1110" spans="5:10" x14ac:dyDescent="0.25">
      <c r="E1110" s="154"/>
      <c r="G1110" s="161"/>
      <c r="H1110" s="162"/>
      <c r="I1110" s="154"/>
      <c r="J1110" s="154"/>
    </row>
    <row r="1111" spans="5:10" x14ac:dyDescent="0.25">
      <c r="E1111" s="154"/>
      <c r="G1111" s="161"/>
      <c r="H1111" s="162"/>
      <c r="I1111" s="154"/>
      <c r="J1111" s="154"/>
    </row>
    <row r="1112" spans="5:10" x14ac:dyDescent="0.25">
      <c r="E1112" s="154"/>
      <c r="G1112" s="161"/>
      <c r="H1112" s="162"/>
      <c r="I1112" s="154"/>
      <c r="J1112" s="154"/>
    </row>
    <row r="1113" spans="5:10" x14ac:dyDescent="0.25">
      <c r="E1113" s="154"/>
      <c r="G1113" s="161"/>
      <c r="H1113" s="162"/>
      <c r="I1113" s="154"/>
      <c r="J1113" s="154"/>
    </row>
    <row r="1114" spans="5:10" x14ac:dyDescent="0.25">
      <c r="E1114" s="154"/>
      <c r="G1114" s="161"/>
      <c r="H1114" s="162"/>
      <c r="I1114" s="154"/>
      <c r="J1114" s="154"/>
    </row>
    <row r="1115" spans="5:10" x14ac:dyDescent="0.25">
      <c r="E1115" s="154"/>
      <c r="G1115" s="161"/>
      <c r="H1115" s="162"/>
      <c r="I1115" s="154"/>
      <c r="J1115" s="154"/>
    </row>
    <row r="1116" spans="5:10" x14ac:dyDescent="0.25">
      <c r="E1116" s="154"/>
      <c r="G1116" s="161"/>
      <c r="H1116" s="162"/>
      <c r="I1116" s="154"/>
      <c r="J1116" s="154"/>
    </row>
    <row r="1117" spans="5:10" x14ac:dyDescent="0.25">
      <c r="E1117" s="154"/>
      <c r="G1117" s="161"/>
      <c r="H1117" s="162"/>
      <c r="I1117" s="154"/>
      <c r="J1117" s="154"/>
    </row>
    <row r="1118" spans="5:10" x14ac:dyDescent="0.25">
      <c r="E1118" s="154"/>
      <c r="G1118" s="161"/>
      <c r="H1118" s="162"/>
      <c r="I1118" s="154"/>
      <c r="J1118" s="154"/>
    </row>
    <row r="1119" spans="5:10" x14ac:dyDescent="0.25">
      <c r="E1119" s="154"/>
      <c r="G1119" s="161"/>
      <c r="H1119" s="162"/>
      <c r="I1119" s="154"/>
      <c r="J1119" s="154"/>
    </row>
    <row r="1120" spans="5:10" x14ac:dyDescent="0.25">
      <c r="E1120" s="154"/>
      <c r="G1120" s="161"/>
      <c r="H1120" s="162"/>
      <c r="I1120" s="154"/>
      <c r="J1120" s="154"/>
    </row>
    <row r="1121" spans="5:10" x14ac:dyDescent="0.25">
      <c r="E1121" s="154"/>
      <c r="G1121" s="161"/>
      <c r="H1121" s="162"/>
      <c r="I1121" s="154"/>
      <c r="J1121" s="154"/>
    </row>
    <row r="1122" spans="5:10" x14ac:dyDescent="0.25">
      <c r="E1122" s="154"/>
      <c r="G1122" s="161"/>
      <c r="H1122" s="162"/>
      <c r="I1122" s="154"/>
      <c r="J1122" s="154"/>
    </row>
    <row r="1123" spans="5:10" x14ac:dyDescent="0.25">
      <c r="E1123" s="154"/>
      <c r="G1123" s="161"/>
      <c r="H1123" s="162"/>
      <c r="I1123" s="154"/>
      <c r="J1123" s="154"/>
    </row>
    <row r="1124" spans="5:10" x14ac:dyDescent="0.25">
      <c r="E1124" s="154"/>
      <c r="G1124" s="161"/>
      <c r="H1124" s="162"/>
      <c r="I1124" s="154"/>
      <c r="J1124" s="154"/>
    </row>
    <row r="1125" spans="5:10" x14ac:dyDescent="0.25">
      <c r="E1125" s="154"/>
      <c r="G1125" s="161"/>
      <c r="H1125" s="162"/>
      <c r="I1125" s="154"/>
      <c r="J1125" s="154"/>
    </row>
    <row r="1126" spans="5:10" x14ac:dyDescent="0.25">
      <c r="E1126" s="154"/>
      <c r="G1126" s="161"/>
      <c r="H1126" s="162"/>
      <c r="I1126" s="154"/>
      <c r="J1126" s="154"/>
    </row>
    <row r="1127" spans="5:10" x14ac:dyDescent="0.25">
      <c r="E1127" s="154"/>
      <c r="G1127" s="161"/>
      <c r="H1127" s="162"/>
      <c r="I1127" s="154"/>
      <c r="J1127" s="154"/>
    </row>
    <row r="1128" spans="5:10" x14ac:dyDescent="0.25">
      <c r="E1128" s="154"/>
      <c r="G1128" s="161"/>
      <c r="H1128" s="162"/>
      <c r="I1128" s="154"/>
      <c r="J1128" s="154"/>
    </row>
    <row r="1129" spans="5:10" x14ac:dyDescent="0.25">
      <c r="E1129" s="154"/>
      <c r="G1129" s="161"/>
      <c r="H1129" s="162"/>
      <c r="I1129" s="154"/>
      <c r="J1129" s="154"/>
    </row>
    <row r="1130" spans="5:10" x14ac:dyDescent="0.25">
      <c r="E1130" s="154"/>
      <c r="G1130" s="161"/>
      <c r="H1130" s="162"/>
      <c r="I1130" s="154"/>
      <c r="J1130" s="154"/>
    </row>
    <row r="1131" spans="5:10" x14ac:dyDescent="0.25">
      <c r="E1131" s="154"/>
      <c r="G1131" s="161"/>
      <c r="H1131" s="162"/>
      <c r="I1131" s="154"/>
      <c r="J1131" s="154"/>
    </row>
    <row r="1132" spans="5:10" x14ac:dyDescent="0.25">
      <c r="E1132" s="154"/>
      <c r="G1132" s="161"/>
      <c r="H1132" s="162"/>
      <c r="I1132" s="154"/>
      <c r="J1132" s="154"/>
    </row>
    <row r="1133" spans="5:10" x14ac:dyDescent="0.25">
      <c r="E1133" s="154"/>
      <c r="G1133" s="161"/>
      <c r="H1133" s="162"/>
      <c r="I1133" s="154"/>
      <c r="J1133" s="154"/>
    </row>
    <row r="1134" spans="5:10" x14ac:dyDescent="0.25">
      <c r="E1134" s="154"/>
      <c r="G1134" s="161"/>
      <c r="H1134" s="162"/>
      <c r="I1134" s="154"/>
      <c r="J1134" s="154"/>
    </row>
    <row r="1135" spans="5:10" x14ac:dyDescent="0.25">
      <c r="E1135" s="154"/>
      <c r="G1135" s="161"/>
      <c r="H1135" s="162"/>
      <c r="I1135" s="154"/>
      <c r="J1135" s="154"/>
    </row>
    <row r="1136" spans="5:10" x14ac:dyDescent="0.25">
      <c r="E1136" s="154"/>
      <c r="G1136" s="161"/>
      <c r="H1136" s="162"/>
      <c r="I1136" s="154"/>
      <c r="J1136" s="154"/>
    </row>
    <row r="1137" spans="5:10" x14ac:dyDescent="0.25">
      <c r="E1137" s="154"/>
      <c r="G1137" s="161"/>
      <c r="H1137" s="162"/>
      <c r="I1137" s="154"/>
      <c r="J1137" s="154"/>
    </row>
    <row r="1138" spans="5:10" x14ac:dyDescent="0.25">
      <c r="E1138" s="154"/>
      <c r="G1138" s="161"/>
      <c r="H1138" s="162"/>
      <c r="I1138" s="154"/>
      <c r="J1138" s="154"/>
    </row>
    <row r="1139" spans="5:10" x14ac:dyDescent="0.25">
      <c r="E1139" s="154"/>
      <c r="G1139" s="161"/>
      <c r="H1139" s="162"/>
      <c r="I1139" s="154"/>
      <c r="J1139" s="154"/>
    </row>
    <row r="1140" spans="5:10" x14ac:dyDescent="0.25">
      <c r="E1140" s="154"/>
      <c r="G1140" s="161"/>
      <c r="H1140" s="162"/>
      <c r="I1140" s="154"/>
      <c r="J1140" s="154"/>
    </row>
    <row r="1141" spans="5:10" x14ac:dyDescent="0.25">
      <c r="E1141" s="154"/>
      <c r="G1141" s="161"/>
      <c r="H1141" s="162"/>
      <c r="I1141" s="154"/>
      <c r="J1141" s="154"/>
    </row>
    <row r="1142" spans="5:10" x14ac:dyDescent="0.25">
      <c r="E1142" s="154"/>
      <c r="G1142" s="161"/>
      <c r="H1142" s="162"/>
      <c r="I1142" s="154"/>
      <c r="J1142" s="154"/>
    </row>
    <row r="1143" spans="5:10" x14ac:dyDescent="0.25">
      <c r="E1143" s="154"/>
      <c r="G1143" s="161"/>
      <c r="H1143" s="162"/>
      <c r="I1143" s="154"/>
      <c r="J1143" s="154"/>
    </row>
    <row r="1144" spans="5:10" x14ac:dyDescent="0.25">
      <c r="E1144" s="154"/>
      <c r="G1144" s="161"/>
      <c r="H1144" s="162"/>
      <c r="I1144" s="154"/>
      <c r="J1144" s="154"/>
    </row>
    <row r="1145" spans="5:10" x14ac:dyDescent="0.25">
      <c r="E1145" s="154"/>
      <c r="G1145" s="161"/>
      <c r="H1145" s="162"/>
      <c r="I1145" s="154"/>
      <c r="J1145" s="154"/>
    </row>
    <row r="1146" spans="5:10" x14ac:dyDescent="0.25">
      <c r="E1146" s="154"/>
      <c r="G1146" s="161"/>
      <c r="H1146" s="162"/>
      <c r="I1146" s="154"/>
      <c r="J1146" s="154"/>
    </row>
    <row r="1147" spans="5:10" x14ac:dyDescent="0.25">
      <c r="E1147" s="154"/>
      <c r="G1147" s="161"/>
      <c r="H1147" s="162"/>
      <c r="I1147" s="154"/>
      <c r="J1147" s="154"/>
    </row>
    <row r="1148" spans="5:10" x14ac:dyDescent="0.25">
      <c r="E1148" s="154"/>
      <c r="G1148" s="161"/>
      <c r="H1148" s="162"/>
      <c r="I1148" s="154"/>
      <c r="J1148" s="154"/>
    </row>
    <row r="1149" spans="5:10" x14ac:dyDescent="0.25">
      <c r="E1149" s="154"/>
      <c r="G1149" s="161"/>
      <c r="H1149" s="162"/>
      <c r="I1149" s="154"/>
      <c r="J1149" s="154"/>
    </row>
    <row r="1150" spans="5:10" x14ac:dyDescent="0.25">
      <c r="E1150" s="154"/>
      <c r="G1150" s="161"/>
      <c r="H1150" s="162"/>
      <c r="I1150" s="154"/>
      <c r="J1150" s="154"/>
    </row>
    <row r="1151" spans="5:10" x14ac:dyDescent="0.25">
      <c r="E1151" s="154"/>
      <c r="G1151" s="161"/>
      <c r="H1151" s="162"/>
      <c r="I1151" s="154"/>
      <c r="J1151" s="154"/>
    </row>
    <row r="1152" spans="5:10" x14ac:dyDescent="0.25">
      <c r="E1152" s="154"/>
      <c r="G1152" s="161"/>
      <c r="H1152" s="162"/>
      <c r="I1152" s="154"/>
      <c r="J1152" s="154"/>
    </row>
    <row r="1153" spans="5:10" x14ac:dyDescent="0.25">
      <c r="E1153" s="154"/>
      <c r="G1153" s="161"/>
      <c r="H1153" s="162"/>
      <c r="I1153" s="154"/>
      <c r="J1153" s="154"/>
    </row>
    <row r="1154" spans="5:10" x14ac:dyDescent="0.25">
      <c r="E1154" s="154"/>
      <c r="G1154" s="161"/>
      <c r="H1154" s="162"/>
      <c r="I1154" s="154"/>
      <c r="J1154" s="154"/>
    </row>
    <row r="1155" spans="5:10" x14ac:dyDescent="0.25">
      <c r="E1155" s="154"/>
      <c r="G1155" s="161"/>
      <c r="H1155" s="162"/>
      <c r="I1155" s="154"/>
      <c r="J1155" s="154"/>
    </row>
    <row r="1156" spans="5:10" x14ac:dyDescent="0.25">
      <c r="E1156" s="154"/>
      <c r="G1156" s="161"/>
      <c r="H1156" s="162"/>
      <c r="I1156" s="154"/>
      <c r="J1156" s="154"/>
    </row>
    <row r="1157" spans="5:10" x14ac:dyDescent="0.25">
      <c r="E1157" s="154"/>
      <c r="G1157" s="161"/>
      <c r="H1157" s="162"/>
      <c r="I1157" s="154"/>
      <c r="J1157" s="154"/>
    </row>
    <row r="1158" spans="5:10" x14ac:dyDescent="0.25">
      <c r="E1158" s="154"/>
      <c r="G1158" s="161"/>
      <c r="H1158" s="162"/>
      <c r="I1158" s="154"/>
      <c r="J1158" s="154"/>
    </row>
    <row r="1159" spans="5:10" x14ac:dyDescent="0.25">
      <c r="E1159" s="154"/>
      <c r="G1159" s="161"/>
      <c r="H1159" s="162"/>
      <c r="I1159" s="154"/>
      <c r="J1159" s="154"/>
    </row>
    <row r="1160" spans="5:10" x14ac:dyDescent="0.25">
      <c r="E1160" s="154"/>
      <c r="G1160" s="161"/>
      <c r="H1160" s="162"/>
      <c r="I1160" s="154"/>
      <c r="J1160" s="154"/>
    </row>
    <row r="1161" spans="5:10" x14ac:dyDescent="0.25">
      <c r="E1161" s="154"/>
      <c r="G1161" s="161"/>
      <c r="H1161" s="162"/>
      <c r="I1161" s="154"/>
      <c r="J1161" s="154"/>
    </row>
    <row r="1162" spans="5:10" x14ac:dyDescent="0.25">
      <c r="E1162" s="154"/>
      <c r="G1162" s="161"/>
      <c r="H1162" s="162"/>
      <c r="I1162" s="154"/>
      <c r="J1162" s="154"/>
    </row>
    <row r="1163" spans="5:10" x14ac:dyDescent="0.25">
      <c r="E1163" s="154"/>
      <c r="G1163" s="161"/>
      <c r="H1163" s="162"/>
      <c r="I1163" s="154"/>
      <c r="J1163" s="154"/>
    </row>
    <row r="1164" spans="5:10" x14ac:dyDescent="0.25">
      <c r="E1164" s="154"/>
      <c r="G1164" s="161"/>
      <c r="H1164" s="162"/>
      <c r="I1164" s="154"/>
      <c r="J1164" s="154"/>
    </row>
    <row r="1165" spans="5:10" x14ac:dyDescent="0.25">
      <c r="E1165" s="154"/>
      <c r="G1165" s="161"/>
      <c r="H1165" s="162"/>
      <c r="I1165" s="154"/>
      <c r="J1165" s="154"/>
    </row>
    <row r="1166" spans="5:10" x14ac:dyDescent="0.25">
      <c r="E1166" s="154"/>
      <c r="G1166" s="161"/>
      <c r="H1166" s="162"/>
      <c r="I1166" s="154"/>
      <c r="J1166" s="154"/>
    </row>
    <row r="1167" spans="5:10" x14ac:dyDescent="0.25">
      <c r="E1167" s="154"/>
      <c r="G1167" s="161"/>
      <c r="H1167" s="162"/>
      <c r="I1167" s="154"/>
      <c r="J1167" s="154"/>
    </row>
    <row r="1168" spans="5:10" x14ac:dyDescent="0.25">
      <c r="E1168" s="154"/>
      <c r="G1168" s="161"/>
      <c r="H1168" s="162"/>
      <c r="I1168" s="154"/>
      <c r="J1168" s="154"/>
    </row>
    <row r="1169" spans="5:10" x14ac:dyDescent="0.25">
      <c r="E1169" s="154"/>
      <c r="G1169" s="161"/>
      <c r="H1169" s="162"/>
      <c r="I1169" s="154"/>
      <c r="J1169" s="154"/>
    </row>
    <row r="1170" spans="5:10" x14ac:dyDescent="0.25">
      <c r="E1170" s="154"/>
      <c r="G1170" s="161"/>
      <c r="H1170" s="162"/>
      <c r="I1170" s="154"/>
      <c r="J1170" s="154"/>
    </row>
    <row r="1171" spans="5:10" x14ac:dyDescent="0.25">
      <c r="E1171" s="154"/>
      <c r="G1171" s="161"/>
      <c r="H1171" s="162"/>
      <c r="I1171" s="154"/>
      <c r="J1171" s="154"/>
    </row>
    <row r="1172" spans="5:10" x14ac:dyDescent="0.25">
      <c r="E1172" s="154"/>
      <c r="G1172" s="161"/>
      <c r="H1172" s="162"/>
      <c r="I1172" s="154"/>
      <c r="J1172" s="154"/>
    </row>
    <row r="1173" spans="5:10" x14ac:dyDescent="0.25">
      <c r="E1173" s="154"/>
      <c r="G1173" s="161"/>
      <c r="H1173" s="162"/>
      <c r="I1173" s="154"/>
      <c r="J1173" s="154"/>
    </row>
    <row r="1174" spans="5:10" x14ac:dyDescent="0.25">
      <c r="E1174" s="154"/>
      <c r="G1174" s="161"/>
      <c r="H1174" s="162"/>
      <c r="I1174" s="154"/>
      <c r="J1174" s="154"/>
    </row>
    <row r="1175" spans="5:10" x14ac:dyDescent="0.25">
      <c r="E1175" s="154"/>
      <c r="G1175" s="161"/>
      <c r="H1175" s="162"/>
      <c r="I1175" s="154"/>
      <c r="J1175" s="154"/>
    </row>
    <row r="1176" spans="5:10" x14ac:dyDescent="0.25">
      <c r="E1176" s="154"/>
      <c r="G1176" s="161"/>
      <c r="H1176" s="162"/>
      <c r="I1176" s="154"/>
      <c r="J1176" s="154"/>
    </row>
    <row r="1177" spans="5:10" x14ac:dyDescent="0.25">
      <c r="E1177" s="154"/>
      <c r="G1177" s="161"/>
      <c r="H1177" s="162"/>
      <c r="I1177" s="154"/>
      <c r="J1177" s="154"/>
    </row>
    <row r="1178" spans="5:10" x14ac:dyDescent="0.25">
      <c r="E1178" s="154"/>
      <c r="G1178" s="161"/>
      <c r="H1178" s="162"/>
      <c r="I1178" s="154"/>
      <c r="J1178" s="154"/>
    </row>
    <row r="1179" spans="5:10" x14ac:dyDescent="0.25">
      <c r="E1179" s="154"/>
      <c r="G1179" s="161"/>
      <c r="H1179" s="162"/>
      <c r="I1179" s="154"/>
      <c r="J1179" s="154"/>
    </row>
    <row r="1180" spans="5:10" x14ac:dyDescent="0.25">
      <c r="E1180" s="154"/>
      <c r="G1180" s="161"/>
      <c r="H1180" s="162"/>
      <c r="I1180" s="154"/>
      <c r="J1180" s="154"/>
    </row>
    <row r="1181" spans="5:10" x14ac:dyDescent="0.25">
      <c r="E1181" s="154"/>
      <c r="G1181" s="161"/>
      <c r="H1181" s="162"/>
      <c r="I1181" s="154"/>
      <c r="J1181" s="154"/>
    </row>
    <row r="1182" spans="5:10" x14ac:dyDescent="0.25">
      <c r="E1182" s="154"/>
      <c r="G1182" s="161"/>
      <c r="H1182" s="162"/>
      <c r="I1182" s="154"/>
      <c r="J1182" s="154"/>
    </row>
    <row r="1183" spans="5:10" x14ac:dyDescent="0.25">
      <c r="E1183" s="154"/>
      <c r="G1183" s="161"/>
      <c r="H1183" s="162"/>
      <c r="I1183" s="154"/>
      <c r="J1183" s="154"/>
    </row>
    <row r="1184" spans="5:10" x14ac:dyDescent="0.25">
      <c r="E1184" s="154"/>
      <c r="G1184" s="161"/>
      <c r="H1184" s="162"/>
      <c r="I1184" s="154"/>
      <c r="J1184" s="154"/>
    </row>
    <row r="1185" spans="5:10" x14ac:dyDescent="0.25">
      <c r="E1185" s="154"/>
      <c r="G1185" s="161"/>
      <c r="H1185" s="162"/>
      <c r="I1185" s="154"/>
      <c r="J1185" s="154"/>
    </row>
    <row r="1186" spans="5:10" x14ac:dyDescent="0.25">
      <c r="F1186" s="154"/>
    </row>
  </sheetData>
  <sortState ref="F1:F1192">
    <sortCondition ref="F1:F119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M13"/>
  <sheetViews>
    <sheetView workbookViewId="0">
      <selection activeCell="E22" sqref="E22"/>
    </sheetView>
  </sheetViews>
  <sheetFormatPr baseColWidth="10" defaultRowHeight="15" x14ac:dyDescent="0.25"/>
  <cols>
    <col min="1" max="1" width="29.85546875" style="154" customWidth="1"/>
    <col min="2" max="13" width="8.7109375" style="155" customWidth="1"/>
    <col min="14" max="16384" width="11.42578125" style="155"/>
  </cols>
  <sheetData>
    <row r="1" spans="1:13" ht="75" x14ac:dyDescent="0.25">
      <c r="A1" s="152"/>
      <c r="B1" s="153" t="s">
        <v>441</v>
      </c>
      <c r="C1" s="153" t="s">
        <v>442</v>
      </c>
      <c r="D1" s="153" t="s">
        <v>443</v>
      </c>
      <c r="E1" s="153" t="s">
        <v>444</v>
      </c>
      <c r="F1" s="153" t="s">
        <v>445</v>
      </c>
      <c r="G1" s="153" t="s">
        <v>446</v>
      </c>
      <c r="H1" s="153" t="s">
        <v>447</v>
      </c>
      <c r="I1" s="153" t="s">
        <v>448</v>
      </c>
      <c r="J1" s="153" t="s">
        <v>449</v>
      </c>
      <c r="K1" s="153" t="s">
        <v>450</v>
      </c>
      <c r="L1" s="153" t="s">
        <v>451</v>
      </c>
      <c r="M1" s="153" t="s">
        <v>452</v>
      </c>
    </row>
    <row r="2" spans="1:13" x14ac:dyDescent="0.25">
      <c r="A2" s="154" t="s">
        <v>441</v>
      </c>
      <c r="B2" s="156">
        <v>8.9999999999999998E-4</v>
      </c>
      <c r="C2" s="157">
        <f>B3</f>
        <v>8.3999999999999993E-4</v>
      </c>
      <c r="D2" s="157">
        <f>B4</f>
        <v>0</v>
      </c>
      <c r="E2" s="157">
        <f>B5</f>
        <v>0</v>
      </c>
      <c r="F2" s="157">
        <f>B6</f>
        <v>2.1000000000000004E-4</v>
      </c>
      <c r="G2" s="157">
        <f>B7</f>
        <v>6.2999999999999992E-4</v>
      </c>
      <c r="H2" s="157">
        <f>B8</f>
        <v>0</v>
      </c>
      <c r="I2" s="157">
        <f>B9</f>
        <v>0</v>
      </c>
      <c r="J2" s="157">
        <f>B10</f>
        <v>0</v>
      </c>
      <c r="K2" s="157">
        <f>B11</f>
        <v>0</v>
      </c>
      <c r="L2" s="157">
        <f>B12</f>
        <v>0</v>
      </c>
      <c r="M2" s="157">
        <f>B13</f>
        <v>-6.0000000000000006E-4</v>
      </c>
    </row>
    <row r="3" spans="1:13" x14ac:dyDescent="0.25">
      <c r="A3" s="154" t="s">
        <v>442</v>
      </c>
      <c r="B3" s="157">
        <v>8.3999999999999993E-4</v>
      </c>
      <c r="C3" s="156">
        <v>1.6000000000000001E-3</v>
      </c>
      <c r="D3" s="157">
        <f>C4</f>
        <v>0</v>
      </c>
      <c r="E3" s="157">
        <f>C5</f>
        <v>0</v>
      </c>
      <c r="F3" s="157">
        <f>C6</f>
        <v>2.8000000000000003E-4</v>
      </c>
      <c r="G3" s="157">
        <f>C7</f>
        <v>1.6800000000000001E-3</v>
      </c>
      <c r="H3" s="157">
        <f>C8</f>
        <v>0</v>
      </c>
      <c r="I3" s="157">
        <f>C9</f>
        <v>-2.3999999999999998E-4</v>
      </c>
      <c r="J3" s="157">
        <f>C10</f>
        <v>0</v>
      </c>
      <c r="K3" s="157">
        <f>C11</f>
        <v>0</v>
      </c>
      <c r="L3" s="157">
        <f>C12</f>
        <v>0</v>
      </c>
      <c r="M3" s="157">
        <f>C13</f>
        <v>-8.0000000000000004E-4</v>
      </c>
    </row>
    <row r="4" spans="1:13" x14ac:dyDescent="0.25">
      <c r="A4" s="154" t="s">
        <v>443</v>
      </c>
      <c r="B4" s="157">
        <v>0</v>
      </c>
      <c r="C4" s="157">
        <v>0</v>
      </c>
      <c r="D4" s="156">
        <v>2.2499999999999999E-2</v>
      </c>
      <c r="E4" s="157">
        <f>D5</f>
        <v>2.4299999999999999E-2</v>
      </c>
      <c r="F4" s="157">
        <f>D6</f>
        <v>1.0500000000000002E-3</v>
      </c>
      <c r="G4" s="157">
        <f>D7</f>
        <v>1.89E-2</v>
      </c>
      <c r="H4" s="157">
        <f>D8</f>
        <v>3.0000000000000003E-4</v>
      </c>
      <c r="I4" s="157">
        <f>D9</f>
        <v>0</v>
      </c>
      <c r="J4" s="157">
        <f>D10</f>
        <v>5.8500000000000002E-3</v>
      </c>
      <c r="K4" s="157">
        <f>D11</f>
        <v>7.8000000000000005E-3</v>
      </c>
      <c r="L4" s="157">
        <f>D12</f>
        <v>6.7499999999999999E-3</v>
      </c>
      <c r="M4" s="157">
        <f>D13</f>
        <v>3.0000000000000001E-3</v>
      </c>
    </row>
    <row r="5" spans="1:13" x14ac:dyDescent="0.25">
      <c r="A5" s="154" t="s">
        <v>444</v>
      </c>
      <c r="B5" s="157">
        <v>0</v>
      </c>
      <c r="C5" s="157">
        <v>0</v>
      </c>
      <c r="D5" s="157">
        <v>2.4299999999999999E-2</v>
      </c>
      <c r="E5" s="156">
        <v>3.2399999999999998E-2</v>
      </c>
      <c r="F5" s="157">
        <f>E6</f>
        <v>1.2600000000000001E-3</v>
      </c>
      <c r="G5" s="157">
        <f>E7</f>
        <v>2.6459999999999997E-2</v>
      </c>
      <c r="H5" s="157">
        <f>E8</f>
        <v>3.6000000000000002E-4</v>
      </c>
      <c r="I5" s="157">
        <f>E9</f>
        <v>1.08E-3</v>
      </c>
      <c r="J5" s="157">
        <f>E10</f>
        <v>7.0200000000000002E-3</v>
      </c>
      <c r="K5" s="157">
        <f>E11</f>
        <v>9.3600000000000003E-3</v>
      </c>
      <c r="L5" s="157">
        <f>E12</f>
        <v>9.7199999999999995E-3</v>
      </c>
      <c r="M5" s="157">
        <f>E13</f>
        <v>3.5999999999999999E-3</v>
      </c>
    </row>
    <row r="6" spans="1:13" x14ac:dyDescent="0.25">
      <c r="A6" s="154" t="s">
        <v>445</v>
      </c>
      <c r="B6" s="157">
        <v>2.1000000000000004E-4</v>
      </c>
      <c r="C6" s="157">
        <v>2.8000000000000003E-4</v>
      </c>
      <c r="D6" s="157">
        <v>1.0500000000000002E-3</v>
      </c>
      <c r="E6" s="157">
        <v>1.2600000000000001E-3</v>
      </c>
      <c r="F6" s="158">
        <v>4.9000000000000007E-3</v>
      </c>
      <c r="G6" s="157">
        <f>F7</f>
        <v>2.9400000000000003E-3</v>
      </c>
      <c r="H6" s="157">
        <f>F8</f>
        <v>0</v>
      </c>
      <c r="I6" s="157">
        <f>F9</f>
        <v>0</v>
      </c>
      <c r="J6" s="157">
        <f>F10</f>
        <v>4.5500000000000006E-4</v>
      </c>
      <c r="K6" s="157">
        <f>F11</f>
        <v>0</v>
      </c>
      <c r="L6" s="157">
        <f>F12</f>
        <v>1.2600000000000001E-3</v>
      </c>
      <c r="M6" s="157">
        <f>F13</f>
        <v>1.4000000000000002E-3</v>
      </c>
    </row>
    <row r="7" spans="1:13" x14ac:dyDescent="0.25">
      <c r="A7" s="154" t="s">
        <v>446</v>
      </c>
      <c r="B7" s="157">
        <v>6.2999999999999992E-4</v>
      </c>
      <c r="C7" s="157">
        <v>1.6800000000000001E-3</v>
      </c>
      <c r="D7" s="157">
        <v>1.89E-2</v>
      </c>
      <c r="E7" s="157">
        <v>2.6459999999999997E-2</v>
      </c>
      <c r="F7" s="157">
        <v>2.9400000000000003E-3</v>
      </c>
      <c r="G7" s="156">
        <v>4.4099999999999993E-2</v>
      </c>
      <c r="H7" s="157">
        <f>G8</f>
        <v>4.2000000000000002E-4</v>
      </c>
      <c r="I7" s="159">
        <f>G9</f>
        <v>2.5199999999999997E-3</v>
      </c>
      <c r="J7" s="157">
        <f>G10</f>
        <v>9.5549999999999993E-3</v>
      </c>
      <c r="K7" s="157">
        <f>G11</f>
        <v>1.0920000000000001E-2</v>
      </c>
      <c r="L7" s="157">
        <f>G12</f>
        <v>1.3229999999999999E-2</v>
      </c>
      <c r="M7" s="157">
        <f>G13</f>
        <v>1.26E-2</v>
      </c>
    </row>
    <row r="8" spans="1:13" x14ac:dyDescent="0.25">
      <c r="A8" s="154" t="s">
        <v>447</v>
      </c>
      <c r="B8" s="157">
        <v>0</v>
      </c>
      <c r="C8" s="157">
        <v>0</v>
      </c>
      <c r="D8" s="157">
        <v>3.0000000000000003E-4</v>
      </c>
      <c r="E8" s="157">
        <v>3.6000000000000002E-4</v>
      </c>
      <c r="F8" s="157">
        <v>0</v>
      </c>
      <c r="G8" s="157">
        <v>4.2000000000000002E-4</v>
      </c>
      <c r="H8" s="156">
        <v>1E-4</v>
      </c>
      <c r="I8" s="157">
        <f>H9</f>
        <v>5.9999999999999995E-5</v>
      </c>
      <c r="J8" s="157">
        <f>H10</f>
        <v>6.5000000000000008E-5</v>
      </c>
      <c r="K8" s="157">
        <f>H11</f>
        <v>1.3000000000000002E-4</v>
      </c>
      <c r="L8" s="157">
        <f>H12</f>
        <v>9.0000000000000006E-5</v>
      </c>
      <c r="M8" s="157">
        <f>H13</f>
        <v>0</v>
      </c>
    </row>
    <row r="9" spans="1:13" x14ac:dyDescent="0.25">
      <c r="A9" s="154" t="s">
        <v>448</v>
      </c>
      <c r="B9" s="157">
        <v>0</v>
      </c>
      <c r="C9" s="157">
        <v>-2.3999999999999998E-4</v>
      </c>
      <c r="D9" s="157">
        <v>0</v>
      </c>
      <c r="E9" s="157">
        <v>1.08E-3</v>
      </c>
      <c r="F9" s="157">
        <v>0</v>
      </c>
      <c r="G9" s="157">
        <v>2.5199999999999997E-3</v>
      </c>
      <c r="H9" s="157">
        <v>5.9999999999999995E-5</v>
      </c>
      <c r="I9" s="156">
        <v>3.5999999999999999E-3</v>
      </c>
      <c r="J9" s="157">
        <f>I10</f>
        <v>0</v>
      </c>
      <c r="K9" s="157">
        <f>I11</f>
        <v>0</v>
      </c>
      <c r="L9" s="157">
        <f>I12</f>
        <v>5.4000000000000001E-4</v>
      </c>
      <c r="M9" s="157">
        <f>I13</f>
        <v>0</v>
      </c>
    </row>
    <row r="10" spans="1:13" x14ac:dyDescent="0.25">
      <c r="A10" s="154" t="s">
        <v>449</v>
      </c>
      <c r="B10" s="157">
        <v>0</v>
      </c>
      <c r="C10" s="157">
        <v>0</v>
      </c>
      <c r="D10" s="157">
        <v>5.8500000000000002E-3</v>
      </c>
      <c r="E10" s="157">
        <v>7.0200000000000002E-3</v>
      </c>
      <c r="F10" s="157">
        <v>4.5500000000000006E-4</v>
      </c>
      <c r="G10" s="157">
        <v>9.5549999999999993E-3</v>
      </c>
      <c r="H10" s="157">
        <v>6.5000000000000008E-5</v>
      </c>
      <c r="I10" s="157">
        <v>0</v>
      </c>
      <c r="J10" s="156">
        <v>4.2250000000000005E-3</v>
      </c>
      <c r="K10" s="157">
        <f>J11</f>
        <v>3.3800000000000006E-3</v>
      </c>
      <c r="L10" s="157">
        <f>J12</f>
        <v>3.5100000000000001E-3</v>
      </c>
      <c r="M10" s="157">
        <f>J13</f>
        <v>5.2000000000000006E-3</v>
      </c>
    </row>
    <row r="11" spans="1:13" x14ac:dyDescent="0.25">
      <c r="A11" s="154" t="s">
        <v>450</v>
      </c>
      <c r="B11" s="157">
        <v>0</v>
      </c>
      <c r="C11" s="157">
        <v>0</v>
      </c>
      <c r="D11" s="157">
        <v>7.8000000000000005E-3</v>
      </c>
      <c r="E11" s="157">
        <v>9.3600000000000003E-3</v>
      </c>
      <c r="F11" s="157">
        <v>0</v>
      </c>
      <c r="G11" s="157">
        <v>1.0920000000000001E-2</v>
      </c>
      <c r="H11" s="157">
        <v>1.3000000000000002E-4</v>
      </c>
      <c r="I11" s="157">
        <v>0</v>
      </c>
      <c r="J11" s="157">
        <v>3.3800000000000006E-3</v>
      </c>
      <c r="K11" s="156">
        <v>1.6900000000000002E-2</v>
      </c>
      <c r="L11" s="157">
        <f>K12</f>
        <v>4.6800000000000001E-3</v>
      </c>
      <c r="M11" s="157">
        <f>K13</f>
        <v>7.8000000000000005E-3</v>
      </c>
    </row>
    <row r="12" spans="1:13" x14ac:dyDescent="0.25">
      <c r="A12" s="154" t="s">
        <v>451</v>
      </c>
      <c r="B12" s="157">
        <v>0</v>
      </c>
      <c r="C12" s="157">
        <v>0</v>
      </c>
      <c r="D12" s="157">
        <v>6.7499999999999999E-3</v>
      </c>
      <c r="E12" s="157">
        <v>9.7199999999999995E-3</v>
      </c>
      <c r="F12" s="157">
        <v>1.2600000000000001E-3</v>
      </c>
      <c r="G12" s="157">
        <v>1.3229999999999999E-2</v>
      </c>
      <c r="H12" s="157">
        <v>9.0000000000000006E-5</v>
      </c>
      <c r="I12" s="157">
        <v>5.4000000000000001E-4</v>
      </c>
      <c r="J12" s="157">
        <v>3.5100000000000001E-3</v>
      </c>
      <c r="K12" s="157">
        <v>4.6800000000000001E-3</v>
      </c>
      <c r="L12" s="156">
        <v>8.0999999999999996E-3</v>
      </c>
      <c r="M12" s="157">
        <f>L13</f>
        <v>7.1999999999999998E-3</v>
      </c>
    </row>
    <row r="13" spans="1:13" x14ac:dyDescent="0.25">
      <c r="A13" s="154" t="s">
        <v>452</v>
      </c>
      <c r="B13" s="157">
        <v>-6.0000000000000006E-4</v>
      </c>
      <c r="C13" s="157">
        <v>-8.0000000000000004E-4</v>
      </c>
      <c r="D13" s="157">
        <v>3.0000000000000001E-3</v>
      </c>
      <c r="E13" s="157">
        <v>3.5999999999999999E-3</v>
      </c>
      <c r="F13" s="157">
        <v>1.4000000000000002E-3</v>
      </c>
      <c r="G13" s="157">
        <v>1.26E-2</v>
      </c>
      <c r="H13" s="157">
        <v>0</v>
      </c>
      <c r="I13" s="157">
        <v>0</v>
      </c>
      <c r="J13" s="157">
        <v>5.2000000000000006E-3</v>
      </c>
      <c r="K13" s="157">
        <v>7.8000000000000005E-3</v>
      </c>
      <c r="L13" s="157">
        <v>7.1999999999999998E-3</v>
      </c>
      <c r="M13" s="156">
        <v>4.0000000000000008E-2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AA12"/>
  <sheetViews>
    <sheetView workbookViewId="0">
      <selection activeCell="G22" sqref="G22"/>
    </sheetView>
  </sheetViews>
  <sheetFormatPr baseColWidth="10" defaultRowHeight="12.75" x14ac:dyDescent="0.2"/>
  <cols>
    <col min="1" max="12" width="8.7109375" customWidth="1"/>
    <col min="13" max="13" width="0.140625" customWidth="1"/>
  </cols>
  <sheetData>
    <row r="1" spans="1:27" x14ac:dyDescent="0.2">
      <c r="A1" s="144">
        <v>0.03</v>
      </c>
      <c r="B1" s="144">
        <v>0</v>
      </c>
      <c r="C1" s="144">
        <v>0</v>
      </c>
      <c r="D1" s="144">
        <v>0</v>
      </c>
      <c r="E1" s="144">
        <v>0</v>
      </c>
      <c r="F1" s="144">
        <v>0</v>
      </c>
      <c r="G1" s="144">
        <v>0</v>
      </c>
      <c r="H1" s="144">
        <v>0</v>
      </c>
      <c r="I1" s="144">
        <v>0</v>
      </c>
      <c r="J1" s="144">
        <v>0</v>
      </c>
      <c r="K1" s="144">
        <v>0</v>
      </c>
      <c r="L1" s="144">
        <v>0</v>
      </c>
      <c r="O1" s="144">
        <v>0.03</v>
      </c>
      <c r="P1" s="144">
        <v>2.66666666666667E-2</v>
      </c>
      <c r="Q1" s="144">
        <v>0</v>
      </c>
      <c r="R1" s="144">
        <v>0</v>
      </c>
      <c r="S1" s="144">
        <v>6.6666666666666697E-3</v>
      </c>
      <c r="T1" s="144">
        <v>0.02</v>
      </c>
      <c r="U1" s="144">
        <v>0</v>
      </c>
      <c r="V1" s="144">
        <v>0</v>
      </c>
      <c r="W1" s="144">
        <v>0</v>
      </c>
      <c r="X1" s="144">
        <v>0</v>
      </c>
      <c r="Y1" s="144">
        <v>0</v>
      </c>
      <c r="Z1" s="144">
        <v>-0.02</v>
      </c>
      <c r="AA1" s="164"/>
    </row>
    <row r="2" spans="1:27" x14ac:dyDescent="0.2">
      <c r="A2" s="144">
        <v>2.66666666666667E-2</v>
      </c>
      <c r="B2" s="144">
        <v>2.9814239699997198E-2</v>
      </c>
      <c r="C2" s="144">
        <v>0</v>
      </c>
      <c r="D2" s="144">
        <v>0</v>
      </c>
      <c r="E2" s="144">
        <v>0</v>
      </c>
      <c r="F2" s="144">
        <v>0</v>
      </c>
      <c r="G2" s="144">
        <v>0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O2" s="144">
        <v>0</v>
      </c>
      <c r="P2" s="144">
        <v>2.9814239699997198E-2</v>
      </c>
      <c r="Q2" s="144">
        <v>0</v>
      </c>
      <c r="R2" s="144">
        <v>0</v>
      </c>
      <c r="S2" s="144">
        <v>4.09945795874961E-3</v>
      </c>
      <c r="T2" s="144">
        <v>3.91311896062463E-2</v>
      </c>
      <c r="U2" s="144">
        <v>0</v>
      </c>
      <c r="V2" s="144">
        <v>-6.7082039324993696E-3</v>
      </c>
      <c r="W2" s="144">
        <v>0</v>
      </c>
      <c r="X2" s="144">
        <v>0</v>
      </c>
      <c r="Y2" s="144">
        <v>0</v>
      </c>
      <c r="Z2" s="144">
        <v>-8.9442719099991595E-3</v>
      </c>
      <c r="AA2" s="165"/>
    </row>
    <row r="3" spans="1:27" x14ac:dyDescent="0.2">
      <c r="A3" s="144">
        <v>0</v>
      </c>
      <c r="B3" s="144">
        <v>0</v>
      </c>
      <c r="C3" s="144">
        <v>0.15</v>
      </c>
      <c r="D3" s="144">
        <v>0</v>
      </c>
      <c r="E3" s="144">
        <v>0</v>
      </c>
      <c r="F3" s="144">
        <v>0</v>
      </c>
      <c r="G3" s="144">
        <v>0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O3" s="144">
        <v>0</v>
      </c>
      <c r="P3" s="144">
        <v>0</v>
      </c>
      <c r="Q3" s="144">
        <v>0.15</v>
      </c>
      <c r="R3" s="144">
        <v>0.16200000000000001</v>
      </c>
      <c r="S3" s="144">
        <v>7.3333333333333297E-3</v>
      </c>
      <c r="T3" s="144">
        <v>0.126</v>
      </c>
      <c r="U3" s="144">
        <v>2E-3</v>
      </c>
      <c r="V3" s="144">
        <v>0</v>
      </c>
      <c r="W3" s="144">
        <v>3.9333333333333297E-2</v>
      </c>
      <c r="X3" s="144">
        <v>5.1999999999999998E-2</v>
      </c>
      <c r="Y3" s="144">
        <v>4.5333333333333302E-2</v>
      </c>
      <c r="Z3" s="144">
        <v>0.02</v>
      </c>
      <c r="AA3" s="165"/>
    </row>
    <row r="4" spans="1:27" x14ac:dyDescent="0.2">
      <c r="A4" s="144">
        <v>0</v>
      </c>
      <c r="B4" s="144">
        <v>0</v>
      </c>
      <c r="C4" s="144">
        <v>0.16200000000000001</v>
      </c>
      <c r="D4" s="144">
        <v>7.84601809837321E-2</v>
      </c>
      <c r="E4" s="144">
        <v>0</v>
      </c>
      <c r="F4" s="144">
        <v>0</v>
      </c>
      <c r="G4" s="144">
        <v>0</v>
      </c>
      <c r="H4" s="144">
        <v>0</v>
      </c>
      <c r="I4" s="144">
        <v>0</v>
      </c>
      <c r="J4" s="144">
        <v>0</v>
      </c>
      <c r="K4" s="144">
        <v>0</v>
      </c>
      <c r="L4" s="144">
        <v>0</v>
      </c>
      <c r="O4" s="144">
        <v>0</v>
      </c>
      <c r="P4" s="144">
        <v>0</v>
      </c>
      <c r="Q4" s="144">
        <v>0</v>
      </c>
      <c r="R4" s="144">
        <v>7.84601809837321E-2</v>
      </c>
      <c r="S4" s="144">
        <v>1.42747567741683E-3</v>
      </c>
      <c r="T4" s="144">
        <v>7.7593499322443305E-2</v>
      </c>
      <c r="U4" s="144">
        <v>9.6864420967570503E-4</v>
      </c>
      <c r="V4" s="144">
        <v>1.4019850403201001E-2</v>
      </c>
      <c r="W4" s="144">
        <v>8.0040600483729206E-3</v>
      </c>
      <c r="X4" s="144">
        <v>1.2439430903203701E-2</v>
      </c>
      <c r="Y4" s="144">
        <v>3.0027970499946901E-2</v>
      </c>
      <c r="Z4" s="144">
        <v>4.58831467741123E-3</v>
      </c>
      <c r="AA4" s="165"/>
    </row>
    <row r="5" spans="1:27" x14ac:dyDescent="0.2">
      <c r="A5" s="144">
        <v>6.6666666666666697E-3</v>
      </c>
      <c r="B5" s="144">
        <v>4.09945795874961E-3</v>
      </c>
      <c r="C5" s="144">
        <v>7.3333333333333297E-3</v>
      </c>
      <c r="D5" s="144">
        <v>1.42747567741683E-3</v>
      </c>
      <c r="E5" s="144">
        <v>6.9158763258264006E-2</v>
      </c>
      <c r="F5" s="144">
        <v>0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6.9158763258264006E-2</v>
      </c>
      <c r="T5" s="144">
        <v>2.2722892847621499E-2</v>
      </c>
      <c r="U5" s="144">
        <v>-2.32065785446671E-4</v>
      </c>
      <c r="V5" s="144">
        <v>1.0825821914207601E-4</v>
      </c>
      <c r="W5" s="144">
        <v>2.8937757861366201E-3</v>
      </c>
      <c r="X5" s="144">
        <v>-5.7706398956010197E-3</v>
      </c>
      <c r="Y5" s="144">
        <v>1.3370559484581299E-2</v>
      </c>
      <c r="Z5" s="144">
        <v>2.0485959536902201E-2</v>
      </c>
      <c r="AA5" s="165"/>
    </row>
    <row r="6" spans="1:27" x14ac:dyDescent="0.2">
      <c r="A6" s="144">
        <v>0.02</v>
      </c>
      <c r="B6" s="144">
        <v>3.91311896062463E-2</v>
      </c>
      <c r="C6" s="144">
        <v>0.126</v>
      </c>
      <c r="D6" s="144">
        <v>7.7593499322443305E-2</v>
      </c>
      <c r="E6" s="144">
        <v>2.2722892847621499E-2</v>
      </c>
      <c r="F6" s="144">
        <v>0.140554861187842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0</v>
      </c>
      <c r="O6" s="144">
        <v>0</v>
      </c>
      <c r="P6" s="144">
        <v>0</v>
      </c>
      <c r="Q6" s="144">
        <v>0</v>
      </c>
      <c r="R6" s="144">
        <v>0</v>
      </c>
      <c r="S6" s="144">
        <v>0</v>
      </c>
      <c r="T6" s="144">
        <v>0.140554861187842</v>
      </c>
      <c r="U6" s="144">
        <v>5.5574536155495195E-4</v>
      </c>
      <c r="V6" s="144">
        <v>1.1897068469871401E-2</v>
      </c>
      <c r="W6" s="144">
        <v>2.8154003223395101E-2</v>
      </c>
      <c r="X6" s="144">
        <v>2.5000249930555801E-2</v>
      </c>
      <c r="Y6" s="144">
        <v>3.4536029987535098E-2</v>
      </c>
      <c r="Z6" s="144">
        <v>7.1206902843251804E-2</v>
      </c>
      <c r="AA6" s="165"/>
    </row>
    <row r="7" spans="1:27" x14ac:dyDescent="0.2">
      <c r="A7" s="144">
        <v>0</v>
      </c>
      <c r="B7" s="144">
        <v>0</v>
      </c>
      <c r="C7" s="144">
        <v>2E-3</v>
      </c>
      <c r="D7" s="144">
        <v>9.6864420967570503E-4</v>
      </c>
      <c r="E7" s="144">
        <v>-2.32065785446671E-4</v>
      </c>
      <c r="F7" s="144">
        <v>5.5574536155495195E-4</v>
      </c>
      <c r="G7" s="144">
        <v>9.7313421972201192E-3</v>
      </c>
      <c r="H7" s="144">
        <v>0</v>
      </c>
      <c r="I7" s="144">
        <v>0</v>
      </c>
      <c r="J7" s="144">
        <v>0</v>
      </c>
      <c r="K7" s="144">
        <v>0</v>
      </c>
      <c r="L7" s="144">
        <v>0</v>
      </c>
      <c r="O7" s="144">
        <v>0</v>
      </c>
      <c r="P7" s="144">
        <v>0</v>
      </c>
      <c r="Q7" s="144">
        <v>0</v>
      </c>
      <c r="R7" s="144">
        <v>0</v>
      </c>
      <c r="S7" s="144">
        <v>0</v>
      </c>
      <c r="T7" s="144">
        <v>0</v>
      </c>
      <c r="U7" s="144">
        <v>9.7313421972201192E-3</v>
      </c>
      <c r="V7" s="144">
        <v>8.2037126923404907E-3</v>
      </c>
      <c r="W7" s="144">
        <v>-1.43316657460345E-4</v>
      </c>
      <c r="X7" s="144">
        <v>-3.2145949755532201E-3</v>
      </c>
      <c r="Y7" s="144">
        <v>-3.6833023417300798E-3</v>
      </c>
      <c r="Z7" s="144">
        <v>-8.1451518725092608E-3</v>
      </c>
      <c r="AA7" s="165"/>
    </row>
    <row r="8" spans="1:27" x14ac:dyDescent="0.2">
      <c r="A8" s="144">
        <v>0</v>
      </c>
      <c r="B8" s="144">
        <v>-6.7082039324993696E-3</v>
      </c>
      <c r="C8" s="144">
        <v>0</v>
      </c>
      <c r="D8" s="144">
        <v>1.4019850403201001E-2</v>
      </c>
      <c r="E8" s="144">
        <v>1.0825821914207601E-4</v>
      </c>
      <c r="F8" s="144">
        <v>1.1897068469871401E-2</v>
      </c>
      <c r="G8" s="144">
        <v>8.2037126923404907E-3</v>
      </c>
      <c r="H8" s="144">
        <v>5.6121216440082403E-2</v>
      </c>
      <c r="I8" s="144">
        <v>0</v>
      </c>
      <c r="J8" s="144">
        <v>0</v>
      </c>
      <c r="K8" s="144">
        <v>0</v>
      </c>
      <c r="L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5.6121216440082403E-2</v>
      </c>
      <c r="W8" s="144">
        <v>-7.9524893291292899E-3</v>
      </c>
      <c r="X8" s="144">
        <v>-7.9262771010394709E-3</v>
      </c>
      <c r="Y8" s="144">
        <v>-5.4007362237413203E-3</v>
      </c>
      <c r="Z8" s="144">
        <v>-1.6159275034626601E-2</v>
      </c>
      <c r="AA8" s="165"/>
    </row>
    <row r="9" spans="1:27" x14ac:dyDescent="0.2">
      <c r="A9" s="144">
        <v>0</v>
      </c>
      <c r="B9" s="144">
        <v>0</v>
      </c>
      <c r="C9" s="144">
        <v>3.9333333333333297E-2</v>
      </c>
      <c r="D9" s="144">
        <v>8.0040600483729206E-3</v>
      </c>
      <c r="E9" s="144">
        <v>2.8937757861366201E-3</v>
      </c>
      <c r="F9" s="144">
        <v>2.8154003223395101E-2</v>
      </c>
      <c r="G9" s="144">
        <v>-1.43316657460345E-4</v>
      </c>
      <c r="H9" s="144">
        <v>-7.9524893291292899E-3</v>
      </c>
      <c r="I9" s="144">
        <v>4.1527574569595702E-2</v>
      </c>
      <c r="J9" s="144">
        <v>0</v>
      </c>
      <c r="K9" s="144">
        <v>0</v>
      </c>
      <c r="L9" s="144">
        <v>0</v>
      </c>
      <c r="O9" s="144">
        <v>0</v>
      </c>
      <c r="P9" s="144">
        <v>0</v>
      </c>
      <c r="Q9" s="144">
        <v>0</v>
      </c>
      <c r="R9" s="144">
        <v>0</v>
      </c>
      <c r="S9" s="144">
        <v>0</v>
      </c>
      <c r="T9" s="144">
        <v>0</v>
      </c>
      <c r="U9" s="144">
        <v>0</v>
      </c>
      <c r="V9" s="144">
        <v>0</v>
      </c>
      <c r="W9" s="144">
        <v>4.1527574569595702E-2</v>
      </c>
      <c r="X9" s="144">
        <v>1.21473069827752E-2</v>
      </c>
      <c r="Y9" s="144">
        <v>1.01630576214979E-2</v>
      </c>
      <c r="Z9" s="144">
        <v>5.2564910561184897E-2</v>
      </c>
      <c r="AA9" s="165"/>
    </row>
    <row r="10" spans="1:27" x14ac:dyDescent="0.2">
      <c r="A10" s="144">
        <v>0</v>
      </c>
      <c r="B10" s="144">
        <v>0</v>
      </c>
      <c r="C10" s="144">
        <v>5.1999999999999998E-2</v>
      </c>
      <c r="D10" s="144">
        <v>1.2439430903203701E-2</v>
      </c>
      <c r="E10" s="144">
        <v>-5.7706398956010197E-3</v>
      </c>
      <c r="F10" s="144">
        <v>2.5000249930555801E-2</v>
      </c>
      <c r="G10" s="144">
        <v>-3.2145949755532201E-3</v>
      </c>
      <c r="H10" s="144">
        <v>-7.9262771010394709E-3</v>
      </c>
      <c r="I10" s="144">
        <v>1.21473069827752E-2</v>
      </c>
      <c r="J10" s="144">
        <v>0.114726767674054</v>
      </c>
      <c r="K10" s="144">
        <v>0</v>
      </c>
      <c r="L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0.114726767674054</v>
      </c>
      <c r="Y10" s="144">
        <v>8.7580369224933997E-3</v>
      </c>
      <c r="Z10" s="144">
        <v>3.7028519404896203E-2</v>
      </c>
      <c r="AA10" s="165"/>
    </row>
    <row r="11" spans="1:27" x14ac:dyDescent="0.2">
      <c r="A11" s="144">
        <v>0</v>
      </c>
      <c r="B11" s="144">
        <v>0</v>
      </c>
      <c r="C11" s="144">
        <v>4.5333333333333302E-2</v>
      </c>
      <c r="D11" s="144">
        <v>3.0027970499946901E-2</v>
      </c>
      <c r="E11" s="144">
        <v>1.3370559484581299E-2</v>
      </c>
      <c r="F11" s="144">
        <v>3.4536029987535098E-2</v>
      </c>
      <c r="G11" s="144">
        <v>-3.6833023417300798E-3</v>
      </c>
      <c r="H11" s="144">
        <v>-5.4007362237413203E-3</v>
      </c>
      <c r="I11" s="144">
        <v>1.01630576214979E-2</v>
      </c>
      <c r="J11" s="144">
        <v>8.7580369224933997E-3</v>
      </c>
      <c r="K11" s="144">
        <v>5.9573274456419599E-2</v>
      </c>
      <c r="L11" s="144">
        <v>0</v>
      </c>
      <c r="O11" s="144">
        <v>0</v>
      </c>
      <c r="P11" s="144">
        <v>0</v>
      </c>
      <c r="Q11" s="144">
        <v>0</v>
      </c>
      <c r="R11" s="144">
        <v>0</v>
      </c>
      <c r="S11" s="144">
        <v>0</v>
      </c>
      <c r="T11" s="144">
        <v>0</v>
      </c>
      <c r="U11" s="144">
        <v>0</v>
      </c>
      <c r="V11" s="144">
        <v>0</v>
      </c>
      <c r="W11" s="144">
        <v>0</v>
      </c>
      <c r="X11" s="144">
        <v>0</v>
      </c>
      <c r="Y11" s="144">
        <v>5.9573274456419599E-2</v>
      </c>
      <c r="Z11" s="144">
        <v>4.1069635861870499E-2</v>
      </c>
      <c r="AA11" s="165"/>
    </row>
    <row r="12" spans="1:27" x14ac:dyDescent="0.2">
      <c r="A12" s="144">
        <v>-0.02</v>
      </c>
      <c r="B12" s="144">
        <v>-8.9442719099991595E-3</v>
      </c>
      <c r="C12" s="144">
        <v>0.02</v>
      </c>
      <c r="D12" s="144">
        <v>4.58831467741123E-3</v>
      </c>
      <c r="E12" s="144">
        <v>2.0485959536902201E-2</v>
      </c>
      <c r="F12" s="144">
        <v>7.1206902843251804E-2</v>
      </c>
      <c r="G12" s="144">
        <v>-8.1451518725092608E-3</v>
      </c>
      <c r="H12" s="144">
        <v>-1.6159275034626601E-2</v>
      </c>
      <c r="I12" s="144">
        <v>5.2564910561184897E-2</v>
      </c>
      <c r="J12" s="144">
        <v>3.7028519404896203E-2</v>
      </c>
      <c r="K12" s="144">
        <v>4.1069635861870499E-2</v>
      </c>
      <c r="L12" s="144">
        <v>0.165712063796283</v>
      </c>
      <c r="O12" s="144">
        <v>0</v>
      </c>
      <c r="P12" s="144">
        <v>0</v>
      </c>
      <c r="Q12" s="144">
        <v>0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144">
        <v>0</v>
      </c>
      <c r="X12" s="144">
        <v>0</v>
      </c>
      <c r="Y12" s="144">
        <v>0</v>
      </c>
      <c r="Z12" s="144">
        <v>0.165712063796283</v>
      </c>
      <c r="AA12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103</vt:i4>
      </vt:variant>
    </vt:vector>
  </HeadingPairs>
  <TitlesOfParts>
    <vt:vector size="122" baseType="lpstr">
      <vt:lpstr>Parameter</vt:lpstr>
      <vt:lpstr>Deckblatt</vt:lpstr>
      <vt:lpstr>Zinszahlen</vt:lpstr>
      <vt:lpstr>Männer</vt:lpstr>
      <vt:lpstr>Frauen</vt:lpstr>
      <vt:lpstr>4-Decrement model - Männer</vt:lpstr>
      <vt:lpstr>4-Decrement model - Frauen</vt:lpstr>
      <vt:lpstr>Hilfsparameter</vt:lpstr>
      <vt:lpstr>Salaries</vt:lpstr>
      <vt:lpstr>Active persons</vt:lpstr>
      <vt:lpstr>Disabled persons</vt:lpstr>
      <vt:lpstr>Retired persons</vt:lpstr>
      <vt:lpstr>Withdrawal at t = 0</vt:lpstr>
      <vt:lpstr>Result</vt:lpstr>
      <vt:lpstr>result2</vt:lpstr>
      <vt:lpstr>Correlation Matrix</vt:lpstr>
      <vt:lpstr>Yield - Risk</vt:lpstr>
      <vt:lpstr>Variance-Covariance Matrix</vt:lpstr>
      <vt:lpstr>Cholesky Decomposition</vt:lpstr>
      <vt:lpstr>_qa1</vt:lpstr>
      <vt:lpstr>_qa3</vt:lpstr>
      <vt:lpstr>_qa4</vt:lpstr>
      <vt:lpstr>äimx</vt:lpstr>
      <vt:lpstr>äimy</vt:lpstr>
      <vt:lpstr>äkx</vt:lpstr>
      <vt:lpstr>äky</vt:lpstr>
      <vt:lpstr>äms25zs</vt:lpstr>
      <vt:lpstr>äms25zsy</vt:lpstr>
      <vt:lpstr>ämwx</vt:lpstr>
      <vt:lpstr>ämx</vt:lpstr>
      <vt:lpstr>ämy</vt:lpstr>
      <vt:lpstr>äw12x</vt:lpstr>
      <vt:lpstr>äw12y</vt:lpstr>
      <vt:lpstr>äwx</vt:lpstr>
      <vt:lpstr>äwy</vt:lpstr>
      <vt:lpstr>BeginnAlter</vt:lpstr>
      <vt:lpstr>Caix</vt:lpstr>
      <vt:lpstr>Caiy</vt:lpstr>
      <vt:lpstr>Cax</vt:lpstr>
      <vt:lpstr>Cay</vt:lpstr>
      <vt:lpstr>Daix</vt:lpstr>
      <vt:lpstr>Daixs</vt:lpstr>
      <vt:lpstr>Daiy</vt:lpstr>
      <vt:lpstr>Daiys</vt:lpstr>
      <vt:lpstr>Dakx</vt:lpstr>
      <vt:lpstr>Daky</vt:lpstr>
      <vt:lpstr>Dawx</vt:lpstr>
      <vt:lpstr>Dawy</vt:lpstr>
      <vt:lpstr>Dax</vt:lpstr>
      <vt:lpstr>Day</vt:lpstr>
      <vt:lpstr>Dazx</vt:lpstr>
      <vt:lpstr>Dazy</vt:lpstr>
      <vt:lpstr>Dikx</vt:lpstr>
      <vt:lpstr>Diky</vt:lpstr>
      <vt:lpstr>Diwx</vt:lpstr>
      <vt:lpstr>Diwy</vt:lpstr>
      <vt:lpstr>Dix</vt:lpstr>
      <vt:lpstr>Diy</vt:lpstr>
      <vt:lpstr>Ds25zs</vt:lpstr>
      <vt:lpstr>Ds25zsy</vt:lpstr>
      <vt:lpstr>Dx</vt:lpstr>
      <vt:lpstr>Dy</vt:lpstr>
      <vt:lpstr>FaktorAlter</vt:lpstr>
      <vt:lpstr>FT</vt:lpstr>
      <vt:lpstr>Grundlagen</vt:lpstr>
      <vt:lpstr>Frauen!Impression_des_titres</vt:lpstr>
      <vt:lpstr>Männer!Impression_des_titres</vt:lpstr>
      <vt:lpstr>Zinszahlen!Impression_des_titres</vt:lpstr>
      <vt:lpstr>Ix</vt:lpstr>
      <vt:lpstr>Iy</vt:lpstr>
      <vt:lpstr>kx</vt:lpstr>
      <vt:lpstr>ky</vt:lpstr>
      <vt:lpstr>lix</vt:lpstr>
      <vt:lpstr>liy</vt:lpstr>
      <vt:lpstr>lx</vt:lpstr>
      <vt:lpstr>ly</vt:lpstr>
      <vt:lpstr>Zinszahlen!m</vt:lpstr>
      <vt:lpstr>m</vt:lpstr>
      <vt:lpstr>MT</vt:lpstr>
      <vt:lpstr>Naix</vt:lpstr>
      <vt:lpstr>Naixs</vt:lpstr>
      <vt:lpstr>Naiy</vt:lpstr>
      <vt:lpstr>Naiys</vt:lpstr>
      <vt:lpstr>Nakx</vt:lpstr>
      <vt:lpstr>Naky</vt:lpstr>
      <vt:lpstr>Nawx</vt:lpstr>
      <vt:lpstr>Nawy</vt:lpstr>
      <vt:lpstr>Nax</vt:lpstr>
      <vt:lpstr>Nay</vt:lpstr>
      <vt:lpstr>Nazx</vt:lpstr>
      <vt:lpstr>Nazy</vt:lpstr>
      <vt:lpstr>Nix</vt:lpstr>
      <vt:lpstr>Niy</vt:lpstr>
      <vt:lpstr>Nx</vt:lpstr>
      <vt:lpstr>Ny</vt:lpstr>
      <vt:lpstr>qix</vt:lpstr>
      <vt:lpstr>qiy</vt:lpstr>
      <vt:lpstr>qx</vt:lpstr>
      <vt:lpstr>qy</vt:lpstr>
      <vt:lpstr>RAF</vt:lpstr>
      <vt:lpstr>RAK</vt:lpstr>
      <vt:lpstr>RAM</vt:lpstr>
      <vt:lpstr>Rundäx</vt:lpstr>
      <vt:lpstr>RundCx</vt:lpstr>
      <vt:lpstr>RundDx</vt:lpstr>
      <vt:lpstr>Rundex</vt:lpstr>
      <vt:lpstr>RundIx</vt:lpstr>
      <vt:lpstr>Rundlx</vt:lpstr>
      <vt:lpstr>Spezifikation</vt:lpstr>
      <vt:lpstr>TitelRA</vt:lpstr>
      <vt:lpstr>Zinszahlen!v</vt:lpstr>
      <vt:lpstr>v</vt:lpstr>
      <vt:lpstr>wx</vt:lpstr>
      <vt:lpstr>yx</vt:lpstr>
      <vt:lpstr>Zinszahlen!Zins</vt:lpstr>
      <vt:lpstr>Zins</vt:lpstr>
      <vt:lpstr>Frauen!Zone_d_impression</vt:lpstr>
      <vt:lpstr>Männer!Zone_d_impression</vt:lpstr>
      <vt:lpstr>Parameter!Zone_d_impression</vt:lpstr>
      <vt:lpstr>Zinszahlen!Zone_d_impression</vt:lpstr>
      <vt:lpstr>zx</vt:lpstr>
      <vt:lpstr>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Eidg. Verwaltung, Bundesgasse 3</dc:creator>
  <cp:lastModifiedBy>Andrea</cp:lastModifiedBy>
  <cp:lastPrinted>2000-09-11T09:37:10Z</cp:lastPrinted>
  <dcterms:created xsi:type="dcterms:W3CDTF">1999-08-02T08:35:50Z</dcterms:created>
  <dcterms:modified xsi:type="dcterms:W3CDTF">2017-05-28T09:27:09Z</dcterms:modified>
</cp:coreProperties>
</file>