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250" tabRatio="672" firstSheet="1" activeTab="1"/>
  </bookViews>
  <sheets>
    <sheet name="partner_vehicles_form_AMD" sheetId="1" r:id="rId1"/>
    <sheet name="cost_base" sheetId="13" r:id="rId2"/>
    <sheet name="AMD_OU_Data" sheetId="5" r:id="rId3"/>
    <sheet name="AMD_EMI_Data" sheetId="6" r:id="rId4"/>
    <sheet name="vehicle_mapping" sheetId="12" r:id="rId5"/>
    <sheet name="rough" sheetId="11" state="hidden" r:id="rId6"/>
    <sheet name="Pivot Tables" sheetId="14" r:id="rId7"/>
  </sheets>
  <definedNames>
    <definedName name="b">#REF!</definedName>
    <definedName name="cp">#REF!</definedName>
    <definedName name="p">#REF!</definedName>
  </definedNames>
  <calcPr calcId="144525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4" l="1"/>
  <c r="I18" i="14"/>
  <c r="P53" i="13" l="1"/>
  <c r="P54" i="13"/>
  <c r="P55" i="13"/>
  <c r="P56" i="13"/>
  <c r="P57" i="13"/>
  <c r="P58" i="13"/>
  <c r="P59" i="13"/>
  <c r="P60" i="13"/>
  <c r="P61" i="13"/>
  <c r="P62" i="13"/>
  <c r="P63" i="13"/>
  <c r="P64" i="13"/>
  <c r="N56" i="13"/>
  <c r="N60" i="13"/>
  <c r="K56" i="13"/>
  <c r="K60" i="13"/>
  <c r="J56" i="13"/>
  <c r="J60" i="13"/>
  <c r="I56" i="13"/>
  <c r="I60" i="13"/>
  <c r="H63" i="13"/>
  <c r="M63" i="13" s="1"/>
  <c r="H64" i="13"/>
  <c r="M64" i="13" s="1"/>
  <c r="D64" i="13"/>
  <c r="C64" i="13"/>
  <c r="J64" i="13" s="1"/>
  <c r="B64" i="13"/>
  <c r="D63" i="13"/>
  <c r="C63" i="13"/>
  <c r="N63" i="13" s="1"/>
  <c r="B63" i="13"/>
  <c r="H53" i="13"/>
  <c r="M53" i="13" s="1"/>
  <c r="H54" i="13"/>
  <c r="M54" i="13" s="1"/>
  <c r="H55" i="13"/>
  <c r="M55" i="13" s="1"/>
  <c r="H56" i="13"/>
  <c r="M56" i="13" s="1"/>
  <c r="H57" i="13"/>
  <c r="M57" i="13" s="1"/>
  <c r="H58" i="13"/>
  <c r="M58" i="13" s="1"/>
  <c r="H59" i="13"/>
  <c r="M59" i="13" s="1"/>
  <c r="H60" i="13"/>
  <c r="M60" i="13" s="1"/>
  <c r="H61" i="13"/>
  <c r="M61" i="13" s="1"/>
  <c r="H62" i="13"/>
  <c r="M62" i="13" s="1"/>
  <c r="D62" i="13"/>
  <c r="C62" i="13"/>
  <c r="N62" i="13" s="1"/>
  <c r="B62" i="13"/>
  <c r="D61" i="13"/>
  <c r="C61" i="13"/>
  <c r="N61" i="13" s="1"/>
  <c r="B61" i="13"/>
  <c r="D60" i="13"/>
  <c r="C60" i="13"/>
  <c r="B60" i="13"/>
  <c r="C59" i="13"/>
  <c r="N59" i="13" s="1"/>
  <c r="D59" i="13"/>
  <c r="C58" i="13"/>
  <c r="N58" i="13" s="1"/>
  <c r="D58" i="13"/>
  <c r="C57" i="13"/>
  <c r="N57" i="13" s="1"/>
  <c r="D57" i="13"/>
  <c r="B59" i="13"/>
  <c r="B58" i="13"/>
  <c r="B57" i="13"/>
  <c r="D56" i="13"/>
  <c r="C56" i="13"/>
  <c r="B56" i="13"/>
  <c r="D55" i="13"/>
  <c r="C55" i="13"/>
  <c r="N55" i="13" s="1"/>
  <c r="B55" i="13"/>
  <c r="D54" i="13"/>
  <c r="C54" i="13"/>
  <c r="N54" i="13" s="1"/>
  <c r="B54" i="13"/>
  <c r="D53" i="13"/>
  <c r="C53" i="13"/>
  <c r="N53" i="13" s="1"/>
  <c r="B53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N40" i="13"/>
  <c r="N44" i="13"/>
  <c r="N48" i="13"/>
  <c r="N52" i="13"/>
  <c r="K42" i="13"/>
  <c r="J40" i="13"/>
  <c r="J44" i="13"/>
  <c r="J48" i="13"/>
  <c r="J52" i="13"/>
  <c r="I42" i="13"/>
  <c r="H39" i="13"/>
  <c r="M39" i="13" s="1"/>
  <c r="H40" i="13"/>
  <c r="M40" i="13" s="1"/>
  <c r="H41" i="13"/>
  <c r="M41" i="13" s="1"/>
  <c r="H42" i="13"/>
  <c r="M42" i="13" s="1"/>
  <c r="H43" i="13"/>
  <c r="M43" i="13" s="1"/>
  <c r="H44" i="13"/>
  <c r="M44" i="13" s="1"/>
  <c r="H45" i="13"/>
  <c r="M45" i="13" s="1"/>
  <c r="H46" i="13"/>
  <c r="M46" i="13" s="1"/>
  <c r="H47" i="13"/>
  <c r="M47" i="13" s="1"/>
  <c r="H48" i="13"/>
  <c r="M48" i="13" s="1"/>
  <c r="H49" i="13"/>
  <c r="M49" i="13" s="1"/>
  <c r="H50" i="13"/>
  <c r="M50" i="13" s="1"/>
  <c r="H51" i="13"/>
  <c r="M51" i="13" s="1"/>
  <c r="H52" i="13"/>
  <c r="M52" i="13" s="1"/>
  <c r="D52" i="13"/>
  <c r="C52" i="13"/>
  <c r="K52" i="13" s="1"/>
  <c r="B52" i="13"/>
  <c r="C51" i="13"/>
  <c r="K51" i="13" s="1"/>
  <c r="D51" i="13"/>
  <c r="B51" i="13"/>
  <c r="D50" i="13"/>
  <c r="C50" i="13"/>
  <c r="N50" i="13" s="1"/>
  <c r="B50" i="13"/>
  <c r="D49" i="13"/>
  <c r="C49" i="13"/>
  <c r="N49" i="13" s="1"/>
  <c r="B49" i="13"/>
  <c r="C48" i="13"/>
  <c r="K48" i="13" s="1"/>
  <c r="D48" i="13"/>
  <c r="B48" i="13"/>
  <c r="D47" i="13"/>
  <c r="C47" i="13"/>
  <c r="K47" i="13" s="1"/>
  <c r="B47" i="13"/>
  <c r="D46" i="13"/>
  <c r="C46" i="13"/>
  <c r="N46" i="13" s="1"/>
  <c r="B46" i="13"/>
  <c r="D45" i="13"/>
  <c r="C45" i="13"/>
  <c r="N45" i="13" s="1"/>
  <c r="B45" i="13"/>
  <c r="D44" i="13"/>
  <c r="C44" i="13"/>
  <c r="K44" i="13" s="1"/>
  <c r="B44" i="13"/>
  <c r="D43" i="13"/>
  <c r="C43" i="13"/>
  <c r="K43" i="13" s="1"/>
  <c r="B43" i="13"/>
  <c r="C42" i="13"/>
  <c r="N42" i="13" s="1"/>
  <c r="D42" i="13"/>
  <c r="B42" i="13"/>
  <c r="D41" i="13"/>
  <c r="C41" i="13"/>
  <c r="N41" i="13" s="1"/>
  <c r="B41" i="13"/>
  <c r="D40" i="13"/>
  <c r="C40" i="13"/>
  <c r="K40" i="13" s="1"/>
  <c r="B40" i="13"/>
  <c r="D39" i="13"/>
  <c r="C39" i="13"/>
  <c r="K39" i="13" s="1"/>
  <c r="B39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N14" i="13"/>
  <c r="N18" i="13"/>
  <c r="N22" i="13"/>
  <c r="N26" i="13"/>
  <c r="N30" i="13"/>
  <c r="N34" i="13"/>
  <c r="N38" i="13"/>
  <c r="K17" i="13"/>
  <c r="K21" i="13"/>
  <c r="K25" i="13"/>
  <c r="K29" i="13"/>
  <c r="K33" i="13"/>
  <c r="K37" i="13"/>
  <c r="J24" i="13"/>
  <c r="J28" i="13"/>
  <c r="I15" i="13"/>
  <c r="I19" i="13"/>
  <c r="I23" i="13"/>
  <c r="I27" i="13"/>
  <c r="I31" i="13"/>
  <c r="I35" i="13"/>
  <c r="H14" i="13"/>
  <c r="M14" i="13" s="1"/>
  <c r="H15" i="13"/>
  <c r="M15" i="13" s="1"/>
  <c r="H16" i="13"/>
  <c r="M16" i="13" s="1"/>
  <c r="H17" i="13"/>
  <c r="M17" i="13" s="1"/>
  <c r="H18" i="13"/>
  <c r="M18" i="13" s="1"/>
  <c r="H19" i="13"/>
  <c r="M19" i="13" s="1"/>
  <c r="H20" i="13"/>
  <c r="M20" i="13" s="1"/>
  <c r="H21" i="13"/>
  <c r="M21" i="13" s="1"/>
  <c r="H22" i="13"/>
  <c r="M22" i="13" s="1"/>
  <c r="H23" i="13"/>
  <c r="M23" i="13" s="1"/>
  <c r="H24" i="13"/>
  <c r="M24" i="13" s="1"/>
  <c r="H25" i="13"/>
  <c r="M25" i="13" s="1"/>
  <c r="H26" i="13"/>
  <c r="M26" i="13" s="1"/>
  <c r="H27" i="13"/>
  <c r="M27" i="13" s="1"/>
  <c r="H28" i="13"/>
  <c r="M28" i="13" s="1"/>
  <c r="H29" i="13"/>
  <c r="M29" i="13" s="1"/>
  <c r="H30" i="13"/>
  <c r="M30" i="13" s="1"/>
  <c r="H31" i="13"/>
  <c r="M31" i="13" s="1"/>
  <c r="H32" i="13"/>
  <c r="M32" i="13" s="1"/>
  <c r="H33" i="13"/>
  <c r="M33" i="13" s="1"/>
  <c r="H34" i="13"/>
  <c r="M34" i="13" s="1"/>
  <c r="H35" i="13"/>
  <c r="M35" i="13" s="1"/>
  <c r="H36" i="13"/>
  <c r="M36" i="13" s="1"/>
  <c r="H37" i="13"/>
  <c r="M37" i="13" s="1"/>
  <c r="H38" i="13"/>
  <c r="M38" i="13" s="1"/>
  <c r="D38" i="13"/>
  <c r="C38" i="13"/>
  <c r="K38" i="13" s="1"/>
  <c r="B38" i="13"/>
  <c r="D37" i="13"/>
  <c r="C37" i="13"/>
  <c r="J37" i="13" s="1"/>
  <c r="B37" i="13"/>
  <c r="D36" i="13"/>
  <c r="C36" i="13"/>
  <c r="I36" i="13" s="1"/>
  <c r="B36" i="13"/>
  <c r="D35" i="13"/>
  <c r="C35" i="13"/>
  <c r="N35" i="13" s="1"/>
  <c r="B35" i="13"/>
  <c r="C34" i="13"/>
  <c r="K34" i="13" s="1"/>
  <c r="D34" i="13"/>
  <c r="B34" i="13"/>
  <c r="D33" i="13"/>
  <c r="C33" i="13"/>
  <c r="J33" i="13" s="1"/>
  <c r="B33" i="13"/>
  <c r="D32" i="13"/>
  <c r="C32" i="13"/>
  <c r="I32" i="13" s="1"/>
  <c r="B32" i="13"/>
  <c r="D31" i="13"/>
  <c r="C31" i="13"/>
  <c r="N31" i="13" s="1"/>
  <c r="B31" i="13"/>
  <c r="C30" i="13"/>
  <c r="K30" i="13" s="1"/>
  <c r="D30" i="13"/>
  <c r="B30" i="13"/>
  <c r="D29" i="13"/>
  <c r="C29" i="13"/>
  <c r="J29" i="13" s="1"/>
  <c r="B29" i="13"/>
  <c r="C28" i="13"/>
  <c r="I28" i="13" s="1"/>
  <c r="D28" i="13"/>
  <c r="C27" i="13"/>
  <c r="N27" i="13" s="1"/>
  <c r="D27" i="13"/>
  <c r="B28" i="13"/>
  <c r="B27" i="13"/>
  <c r="D26" i="13"/>
  <c r="C26" i="13"/>
  <c r="K26" i="13" s="1"/>
  <c r="B26" i="13"/>
  <c r="D25" i="13"/>
  <c r="C25" i="13"/>
  <c r="J25" i="13" s="1"/>
  <c r="B25" i="13"/>
  <c r="C24" i="13"/>
  <c r="I24" i="13" s="1"/>
  <c r="D24" i="13"/>
  <c r="B24" i="13"/>
  <c r="D23" i="13"/>
  <c r="C23" i="13"/>
  <c r="N23" i="13" s="1"/>
  <c r="B23" i="13"/>
  <c r="D22" i="13"/>
  <c r="C22" i="13"/>
  <c r="K22" i="13" s="1"/>
  <c r="B22" i="13"/>
  <c r="D21" i="13"/>
  <c r="C21" i="13"/>
  <c r="J21" i="13" s="1"/>
  <c r="B21" i="13"/>
  <c r="D20" i="13"/>
  <c r="C20" i="13"/>
  <c r="I20" i="13" s="1"/>
  <c r="B20" i="13"/>
  <c r="D19" i="13"/>
  <c r="C19" i="13"/>
  <c r="N19" i="13" s="1"/>
  <c r="B19" i="13"/>
  <c r="D18" i="13"/>
  <c r="C18" i="13"/>
  <c r="K18" i="13" s="1"/>
  <c r="B18" i="13"/>
  <c r="D17" i="13"/>
  <c r="C17" i="13"/>
  <c r="J17" i="13" s="1"/>
  <c r="B17" i="13"/>
  <c r="D16" i="13"/>
  <c r="C16" i="13"/>
  <c r="I16" i="13" s="1"/>
  <c r="B16" i="13"/>
  <c r="D15" i="13"/>
  <c r="C15" i="13"/>
  <c r="N15" i="13" s="1"/>
  <c r="B15" i="13"/>
  <c r="D14" i="13"/>
  <c r="C14" i="13"/>
  <c r="K14" i="13" s="1"/>
  <c r="B14" i="13"/>
  <c r="P13" i="13"/>
  <c r="I13" i="13"/>
  <c r="H13" i="13"/>
  <c r="M13" i="13" s="1"/>
  <c r="D13" i="13"/>
  <c r="C13" i="13"/>
  <c r="N13" i="13" s="1"/>
  <c r="B13" i="13"/>
  <c r="J6" i="13"/>
  <c r="J10" i="13"/>
  <c r="P9" i="13"/>
  <c r="P10" i="13"/>
  <c r="P11" i="13"/>
  <c r="P12" i="13"/>
  <c r="N10" i="13"/>
  <c r="K10" i="13"/>
  <c r="I10" i="13"/>
  <c r="H9" i="13"/>
  <c r="M9" i="13" s="1"/>
  <c r="H10" i="13"/>
  <c r="M10" i="13" s="1"/>
  <c r="H11" i="13"/>
  <c r="M11" i="13" s="1"/>
  <c r="H12" i="13"/>
  <c r="M12" i="13" s="1"/>
  <c r="D12" i="13"/>
  <c r="D11" i="13"/>
  <c r="C12" i="13"/>
  <c r="J12" i="13" s="1"/>
  <c r="C11" i="13"/>
  <c r="J11" i="13" s="1"/>
  <c r="B12" i="13"/>
  <c r="B11" i="13"/>
  <c r="C10" i="13"/>
  <c r="C9" i="13"/>
  <c r="J9" i="13" s="1"/>
  <c r="C8" i="13"/>
  <c r="J8" i="13" s="1"/>
  <c r="C7" i="13"/>
  <c r="I7" i="13" s="1"/>
  <c r="C6" i="13"/>
  <c r="I6" i="13" s="1"/>
  <c r="C5" i="13"/>
  <c r="K5" i="13" s="1"/>
  <c r="C4" i="13"/>
  <c r="J4" i="13" s="1"/>
  <c r="C3" i="13"/>
  <c r="J3" i="13" s="1"/>
  <c r="C2" i="13"/>
  <c r="K2" i="13" s="1"/>
  <c r="D10" i="13"/>
  <c r="B10" i="13"/>
  <c r="D9" i="13"/>
  <c r="B9" i="13"/>
  <c r="P8" i="13"/>
  <c r="H8" i="13"/>
  <c r="M8" i="13" s="1"/>
  <c r="D8" i="13"/>
  <c r="B8" i="13"/>
  <c r="P7" i="13"/>
  <c r="H7" i="13"/>
  <c r="M7" i="13" s="1"/>
  <c r="D7" i="13"/>
  <c r="B7" i="13"/>
  <c r="P6" i="13"/>
  <c r="H6" i="13"/>
  <c r="M6" i="13" s="1"/>
  <c r="D6" i="13"/>
  <c r="B6" i="13"/>
  <c r="P5" i="13"/>
  <c r="H5" i="13"/>
  <c r="M5" i="13" s="1"/>
  <c r="D5" i="13"/>
  <c r="B5" i="13"/>
  <c r="P4" i="13"/>
  <c r="P3" i="13"/>
  <c r="H4" i="13"/>
  <c r="M4" i="13" s="1"/>
  <c r="D4" i="13"/>
  <c r="B4" i="13"/>
  <c r="P2" i="13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E7" i="6"/>
  <c r="D8" i="6"/>
  <c r="D7" i="6"/>
  <c r="C8" i="6"/>
  <c r="C7" i="6"/>
  <c r="H3" i="13"/>
  <c r="M3" i="13" s="1"/>
  <c r="H2" i="13"/>
  <c r="M2" i="13" s="1"/>
  <c r="D3" i="13"/>
  <c r="B3" i="13"/>
  <c r="D2" i="13"/>
  <c r="J16" i="13" l="1"/>
  <c r="K50" i="13"/>
  <c r="K46" i="13"/>
  <c r="K64" i="13"/>
  <c r="I9" i="13"/>
  <c r="K9" i="13"/>
  <c r="N9" i="13"/>
  <c r="J5" i="13"/>
  <c r="J13" i="13"/>
  <c r="I38" i="13"/>
  <c r="I34" i="13"/>
  <c r="L34" i="13" s="1"/>
  <c r="I30" i="13"/>
  <c r="I26" i="13"/>
  <c r="I22" i="13"/>
  <c r="L22" i="13" s="1"/>
  <c r="I18" i="13"/>
  <c r="L18" i="13" s="1"/>
  <c r="I14" i="13"/>
  <c r="L14" i="13" s="1"/>
  <c r="J35" i="13"/>
  <c r="J31" i="13"/>
  <c r="J27" i="13"/>
  <c r="J23" i="13"/>
  <c r="J19" i="13"/>
  <c r="J15" i="13"/>
  <c r="K36" i="13"/>
  <c r="K32" i="13"/>
  <c r="K28" i="13"/>
  <c r="K24" i="13"/>
  <c r="K20" i="13"/>
  <c r="K16" i="13"/>
  <c r="N37" i="13"/>
  <c r="N33" i="13"/>
  <c r="N29" i="13"/>
  <c r="N25" i="13"/>
  <c r="N21" i="13"/>
  <c r="N17" i="13"/>
  <c r="I49" i="13"/>
  <c r="I45" i="13"/>
  <c r="I41" i="13"/>
  <c r="J51" i="13"/>
  <c r="J47" i="13"/>
  <c r="J43" i="13"/>
  <c r="J39" i="13"/>
  <c r="K49" i="13"/>
  <c r="K45" i="13"/>
  <c r="K41" i="13"/>
  <c r="N51" i="13"/>
  <c r="N47" i="13"/>
  <c r="N43" i="13"/>
  <c r="N39" i="13"/>
  <c r="I63" i="13"/>
  <c r="I59" i="13"/>
  <c r="I55" i="13"/>
  <c r="J63" i="13"/>
  <c r="J59" i="13"/>
  <c r="J55" i="13"/>
  <c r="K63" i="13"/>
  <c r="K59" i="13"/>
  <c r="K55" i="13"/>
  <c r="J36" i="13"/>
  <c r="J32" i="13"/>
  <c r="J20" i="13"/>
  <c r="I50" i="13"/>
  <c r="I46" i="13"/>
  <c r="N64" i="13"/>
  <c r="I12" i="13"/>
  <c r="K12" i="13"/>
  <c r="N12" i="13"/>
  <c r="K13" i="13"/>
  <c r="I37" i="13"/>
  <c r="I33" i="13"/>
  <c r="I29" i="13"/>
  <c r="I25" i="13"/>
  <c r="I21" i="13"/>
  <c r="I17" i="13"/>
  <c r="J38" i="13"/>
  <c r="J34" i="13"/>
  <c r="J30" i="13"/>
  <c r="J26" i="13"/>
  <c r="J22" i="13"/>
  <c r="J18" i="13"/>
  <c r="J14" i="13"/>
  <c r="K35" i="13"/>
  <c r="K31" i="13"/>
  <c r="K27" i="13"/>
  <c r="K23" i="13"/>
  <c r="K19" i="13"/>
  <c r="K15" i="13"/>
  <c r="N36" i="13"/>
  <c r="N32" i="13"/>
  <c r="N28" i="13"/>
  <c r="N24" i="13"/>
  <c r="N20" i="13"/>
  <c r="N16" i="13"/>
  <c r="I52" i="13"/>
  <c r="L52" i="13" s="1"/>
  <c r="O52" i="13" s="1"/>
  <c r="Q52" i="13" s="1"/>
  <c r="I48" i="13"/>
  <c r="I44" i="13"/>
  <c r="I40" i="13"/>
  <c r="J50" i="13"/>
  <c r="J46" i="13"/>
  <c r="J42" i="13"/>
  <c r="I62" i="13"/>
  <c r="I58" i="13"/>
  <c r="I54" i="13"/>
  <c r="J62" i="13"/>
  <c r="J58" i="13"/>
  <c r="J54" i="13"/>
  <c r="K62" i="13"/>
  <c r="K58" i="13"/>
  <c r="K54" i="13"/>
  <c r="I64" i="13"/>
  <c r="I11" i="13"/>
  <c r="K11" i="13"/>
  <c r="N11" i="13"/>
  <c r="J7" i="13"/>
  <c r="I51" i="13"/>
  <c r="I47" i="13"/>
  <c r="I43" i="13"/>
  <c r="I39" i="13"/>
  <c r="L39" i="13" s="1"/>
  <c r="J49" i="13"/>
  <c r="J45" i="13"/>
  <c r="J41" i="13"/>
  <c r="I61" i="13"/>
  <c r="I57" i="13"/>
  <c r="I53" i="13"/>
  <c r="J61" i="13"/>
  <c r="J57" i="13"/>
  <c r="J53" i="13"/>
  <c r="K61" i="13"/>
  <c r="K57" i="13"/>
  <c r="K53" i="13"/>
  <c r="L13" i="13"/>
  <c r="L48" i="13"/>
  <c r="L44" i="13"/>
  <c r="L40" i="13"/>
  <c r="L38" i="13"/>
  <c r="L30" i="13"/>
  <c r="L26" i="13"/>
  <c r="L36" i="13"/>
  <c r="L32" i="13"/>
  <c r="L28" i="13"/>
  <c r="L24" i="13"/>
  <c r="L20" i="13"/>
  <c r="L16" i="13"/>
  <c r="L50" i="13"/>
  <c r="O50" i="13" s="1"/>
  <c r="Q50" i="13" s="1"/>
  <c r="L46" i="13"/>
  <c r="O46" i="13" s="1"/>
  <c r="Q46" i="13" s="1"/>
  <c r="L42" i="13"/>
  <c r="O42" i="13" s="1"/>
  <c r="Q42" i="13" s="1"/>
  <c r="L63" i="13"/>
  <c r="L59" i="13"/>
  <c r="L55" i="13"/>
  <c r="L12" i="13"/>
  <c r="O12" i="13" s="1"/>
  <c r="Q12" i="13" s="1"/>
  <c r="O13" i="13"/>
  <c r="Q13" i="13" s="1"/>
  <c r="L11" i="13"/>
  <c r="O11" i="13" s="1"/>
  <c r="Q11" i="13" s="1"/>
  <c r="L35" i="13"/>
  <c r="O35" i="13" s="1"/>
  <c r="Q35" i="13" s="1"/>
  <c r="L31" i="13"/>
  <c r="O31" i="13" s="1"/>
  <c r="Q31" i="13" s="1"/>
  <c r="L27" i="13"/>
  <c r="O27" i="13" s="1"/>
  <c r="Q27" i="13" s="1"/>
  <c r="L23" i="13"/>
  <c r="O23" i="13" s="1"/>
  <c r="Q23" i="13" s="1"/>
  <c r="L19" i="13"/>
  <c r="O19" i="13" s="1"/>
  <c r="Q19" i="13" s="1"/>
  <c r="L15" i="13"/>
  <c r="O15" i="13" s="1"/>
  <c r="Q15" i="13" s="1"/>
  <c r="L49" i="13"/>
  <c r="O49" i="13" s="1"/>
  <c r="Q49" i="13" s="1"/>
  <c r="L45" i="13"/>
  <c r="O45" i="13" s="1"/>
  <c r="Q45" i="13" s="1"/>
  <c r="L41" i="13"/>
  <c r="L62" i="13"/>
  <c r="O62" i="13" s="1"/>
  <c r="Q62" i="13" s="1"/>
  <c r="L58" i="13"/>
  <c r="O58" i="13" s="1"/>
  <c r="Q58" i="13" s="1"/>
  <c r="L54" i="13"/>
  <c r="L10" i="13"/>
  <c r="L61" i="13"/>
  <c r="L57" i="13"/>
  <c r="L53" i="13"/>
  <c r="L9" i="13"/>
  <c r="O9" i="13" s="1"/>
  <c r="Q9" i="13" s="1"/>
  <c r="L37" i="13"/>
  <c r="O37" i="13" s="1"/>
  <c r="Q37" i="13" s="1"/>
  <c r="L33" i="13"/>
  <c r="O33" i="13" s="1"/>
  <c r="Q33" i="13" s="1"/>
  <c r="L29" i="13"/>
  <c r="O29" i="13" s="1"/>
  <c r="Q29" i="13" s="1"/>
  <c r="L25" i="13"/>
  <c r="L21" i="13"/>
  <c r="O21" i="13" s="1"/>
  <c r="Q21" i="13" s="1"/>
  <c r="L17" i="13"/>
  <c r="O17" i="13" s="1"/>
  <c r="Q17" i="13" s="1"/>
  <c r="L51" i="13"/>
  <c r="L47" i="13"/>
  <c r="L43" i="13"/>
  <c r="O43" i="13" s="1"/>
  <c r="Q43" i="13" s="1"/>
  <c r="L64" i="13"/>
  <c r="O64" i="13" s="1"/>
  <c r="Q64" i="13" s="1"/>
  <c r="L60" i="13"/>
  <c r="O60" i="13" s="1"/>
  <c r="Q60" i="13" s="1"/>
  <c r="L56" i="13"/>
  <c r="O36" i="13"/>
  <c r="Q36" i="13" s="1"/>
  <c r="O32" i="13"/>
  <c r="Q32" i="13" s="1"/>
  <c r="O28" i="13"/>
  <c r="Q28" i="13" s="1"/>
  <c r="O24" i="13"/>
  <c r="Q24" i="13" s="1"/>
  <c r="O20" i="13"/>
  <c r="Q20" i="13" s="1"/>
  <c r="O16" i="13"/>
  <c r="Q16" i="13" s="1"/>
  <c r="O34" i="13"/>
  <c r="Q34" i="13" s="1"/>
  <c r="O18" i="13"/>
  <c r="Q18" i="13" s="1"/>
  <c r="O63" i="13"/>
  <c r="Q63" i="13" s="1"/>
  <c r="O59" i="13"/>
  <c r="Q59" i="13" s="1"/>
  <c r="O55" i="13"/>
  <c r="Q55" i="13" s="1"/>
  <c r="O30" i="13"/>
  <c r="Q30" i="13" s="1"/>
  <c r="O14" i="13"/>
  <c r="Q14" i="13" s="1"/>
  <c r="O41" i="13"/>
  <c r="Q41" i="13" s="1"/>
  <c r="O48" i="13"/>
  <c r="Q48" i="13" s="1"/>
  <c r="O54" i="13"/>
  <c r="Q54" i="13" s="1"/>
  <c r="O10" i="13"/>
  <c r="Q10" i="13" s="1"/>
  <c r="O26" i="13"/>
  <c r="Q26" i="13" s="1"/>
  <c r="O44" i="13"/>
  <c r="Q44" i="13" s="1"/>
  <c r="O61" i="13"/>
  <c r="Q61" i="13" s="1"/>
  <c r="O57" i="13"/>
  <c r="Q57" i="13" s="1"/>
  <c r="O53" i="13"/>
  <c r="Q53" i="13" s="1"/>
  <c r="O25" i="13"/>
  <c r="Q25" i="13" s="1"/>
  <c r="O38" i="13"/>
  <c r="Q38" i="13" s="1"/>
  <c r="O22" i="13"/>
  <c r="Q22" i="13" s="1"/>
  <c r="O39" i="13"/>
  <c r="Q39" i="13" s="1"/>
  <c r="O51" i="13"/>
  <c r="Q51" i="13" s="1"/>
  <c r="O47" i="13"/>
  <c r="Q47" i="13" s="1"/>
  <c r="O40" i="13"/>
  <c r="Q40" i="13" s="1"/>
  <c r="O56" i="13"/>
  <c r="Q56" i="13" s="1"/>
  <c r="K7" i="13"/>
  <c r="L7" i="13" s="1"/>
  <c r="N4" i="13"/>
  <c r="N7" i="13"/>
  <c r="N6" i="13"/>
  <c r="K6" i="13"/>
  <c r="L6" i="13" s="1"/>
  <c r="K4" i="13"/>
  <c r="N3" i="13"/>
  <c r="I5" i="13"/>
  <c r="L5" i="13" s="1"/>
  <c r="I4" i="13"/>
  <c r="N5" i="13"/>
  <c r="I2" i="13"/>
  <c r="L2" i="13" s="1"/>
  <c r="I3" i="13"/>
  <c r="J2" i="13"/>
  <c r="N2" i="13"/>
  <c r="K3" i="13"/>
  <c r="O7" i="13" l="1"/>
  <c r="Q7" i="13" s="1"/>
  <c r="N8" i="13"/>
  <c r="I8" i="13"/>
  <c r="K8" i="13"/>
  <c r="O6" i="13"/>
  <c r="Q6" i="13" s="1"/>
  <c r="O5" i="13"/>
  <c r="Q5" i="13" s="1"/>
  <c r="L4" i="13"/>
  <c r="O4" i="13" s="1"/>
  <c r="Q4" i="13" s="1"/>
  <c r="O2" i="13"/>
  <c r="Q2" i="13" s="1"/>
  <c r="L3" i="13"/>
  <c r="O3" i="13" s="1"/>
  <c r="Q3" i="13" s="1"/>
  <c r="L8" i="13" l="1"/>
  <c r="O8" i="13" s="1"/>
  <c r="Q8" i="13" s="1"/>
  <c r="B2" i="13"/>
  <c r="B3" i="6" l="1"/>
  <c r="M74" i="11" l="1"/>
  <c r="L74" i="11"/>
  <c r="K74" i="11"/>
  <c r="J74" i="11"/>
  <c r="I74" i="11"/>
  <c r="H74" i="11"/>
  <c r="G74" i="11"/>
  <c r="F74" i="11"/>
  <c r="E74" i="11"/>
  <c r="D74" i="11"/>
  <c r="M73" i="11"/>
  <c r="L73" i="11"/>
  <c r="K73" i="11"/>
  <c r="J73" i="11"/>
  <c r="I73" i="11"/>
  <c r="H73" i="11"/>
  <c r="G73" i="11"/>
  <c r="F73" i="11"/>
  <c r="E73" i="11"/>
  <c r="D73" i="11"/>
  <c r="M72" i="11"/>
  <c r="L72" i="11"/>
  <c r="K72" i="11"/>
  <c r="J72" i="11"/>
  <c r="I72" i="11"/>
  <c r="H72" i="11"/>
  <c r="G72" i="11"/>
  <c r="F72" i="11"/>
  <c r="E72" i="11"/>
  <c r="D72" i="11"/>
  <c r="M71" i="11"/>
  <c r="L71" i="11"/>
  <c r="K71" i="11"/>
  <c r="J71" i="11"/>
  <c r="I71" i="11"/>
  <c r="H71" i="11"/>
  <c r="G71" i="11"/>
  <c r="F71" i="11"/>
  <c r="E71" i="11"/>
  <c r="D71" i="11"/>
  <c r="M70" i="11"/>
  <c r="L70" i="11"/>
  <c r="K70" i="11"/>
  <c r="J70" i="11"/>
  <c r="I70" i="11"/>
  <c r="H70" i="11"/>
  <c r="G70" i="11"/>
  <c r="F70" i="11"/>
  <c r="E70" i="11"/>
  <c r="D70" i="11"/>
  <c r="M69" i="11"/>
  <c r="L69" i="11"/>
  <c r="K69" i="11"/>
  <c r="J69" i="11"/>
  <c r="I69" i="11"/>
  <c r="H69" i="11"/>
  <c r="G69" i="11"/>
  <c r="F69" i="11"/>
  <c r="E69" i="11"/>
  <c r="D69" i="11"/>
  <c r="M68" i="11"/>
  <c r="L68" i="11"/>
  <c r="K68" i="11"/>
  <c r="J68" i="11"/>
  <c r="I68" i="11"/>
  <c r="H68" i="11"/>
  <c r="G68" i="11"/>
  <c r="F68" i="11"/>
  <c r="E68" i="11"/>
  <c r="D68" i="11"/>
  <c r="M67" i="11"/>
  <c r="L67" i="11"/>
  <c r="K67" i="11"/>
  <c r="J67" i="11"/>
  <c r="I67" i="11"/>
  <c r="H67" i="11"/>
  <c r="G67" i="11"/>
  <c r="F67" i="11"/>
  <c r="E67" i="11"/>
  <c r="D67" i="11"/>
  <c r="M66" i="11"/>
  <c r="L66" i="11"/>
  <c r="K66" i="11"/>
  <c r="J66" i="11"/>
  <c r="I66" i="11"/>
  <c r="H66" i="11"/>
  <c r="G66" i="11"/>
  <c r="F66" i="11"/>
  <c r="E66" i="11"/>
  <c r="D66" i="11"/>
  <c r="M65" i="11"/>
  <c r="L65" i="11"/>
  <c r="K65" i="11"/>
  <c r="J65" i="11"/>
  <c r="I65" i="11"/>
  <c r="H65" i="11"/>
  <c r="G65" i="11"/>
  <c r="F65" i="11"/>
  <c r="E65" i="11"/>
  <c r="D65" i="11"/>
  <c r="M64" i="11"/>
  <c r="L64" i="11"/>
  <c r="K64" i="11"/>
  <c r="J64" i="11"/>
  <c r="I64" i="11"/>
  <c r="H64" i="11"/>
  <c r="G64" i="11"/>
  <c r="F64" i="11"/>
  <c r="E64" i="11"/>
  <c r="D64" i="11"/>
  <c r="M63" i="11"/>
  <c r="L63" i="11"/>
  <c r="K63" i="11"/>
  <c r="J63" i="11"/>
  <c r="I63" i="11"/>
  <c r="H63" i="11"/>
  <c r="G63" i="11"/>
  <c r="F63" i="11"/>
  <c r="E63" i="11"/>
  <c r="D63" i="11"/>
  <c r="M62" i="11"/>
  <c r="L62" i="11"/>
  <c r="K62" i="11"/>
  <c r="J62" i="11"/>
  <c r="I62" i="11"/>
  <c r="H62" i="11"/>
  <c r="G62" i="11"/>
  <c r="F62" i="11"/>
  <c r="E62" i="11"/>
  <c r="D62" i="11"/>
  <c r="M38" i="11"/>
  <c r="L38" i="11"/>
  <c r="K38" i="11"/>
  <c r="J38" i="11"/>
  <c r="I38" i="11"/>
  <c r="H38" i="11"/>
  <c r="G38" i="11"/>
  <c r="F38" i="11"/>
  <c r="E38" i="11"/>
  <c r="D38" i="11"/>
  <c r="M37" i="11"/>
  <c r="L37" i="11"/>
  <c r="K37" i="11"/>
  <c r="J37" i="11"/>
  <c r="I37" i="11"/>
  <c r="H37" i="11"/>
  <c r="G37" i="11"/>
  <c r="F37" i="11"/>
  <c r="E37" i="11"/>
  <c r="D37" i="11"/>
  <c r="M36" i="11"/>
  <c r="L36" i="11"/>
  <c r="K36" i="11"/>
  <c r="J36" i="11"/>
  <c r="I36" i="11"/>
  <c r="H36" i="11"/>
  <c r="G36" i="11"/>
  <c r="F36" i="11"/>
  <c r="E36" i="11"/>
  <c r="D36" i="11"/>
  <c r="M35" i="11"/>
  <c r="L35" i="11"/>
  <c r="K35" i="11"/>
  <c r="J35" i="11"/>
  <c r="I35" i="11"/>
  <c r="H35" i="11"/>
  <c r="G35" i="11"/>
  <c r="F35" i="11"/>
  <c r="E35" i="11"/>
  <c r="D35" i="11"/>
  <c r="M34" i="11"/>
  <c r="L34" i="11"/>
  <c r="K34" i="11"/>
  <c r="J34" i="11"/>
  <c r="I34" i="11"/>
  <c r="H34" i="11"/>
  <c r="G34" i="11"/>
  <c r="F34" i="11"/>
  <c r="E34" i="11"/>
  <c r="D34" i="11"/>
  <c r="M33" i="11"/>
  <c r="L33" i="11"/>
  <c r="K33" i="11"/>
  <c r="J33" i="11"/>
  <c r="I33" i="11"/>
  <c r="H33" i="11"/>
  <c r="G33" i="11"/>
  <c r="F33" i="11"/>
  <c r="E33" i="11"/>
  <c r="D33" i="11"/>
  <c r="M32" i="11"/>
  <c r="L32" i="11"/>
  <c r="K32" i="11"/>
  <c r="J32" i="11"/>
  <c r="I32" i="11"/>
  <c r="H32" i="11"/>
  <c r="G32" i="11"/>
  <c r="F32" i="11"/>
  <c r="E32" i="11"/>
  <c r="D32" i="11"/>
  <c r="M31" i="11"/>
  <c r="L31" i="11"/>
  <c r="K31" i="11"/>
  <c r="J31" i="11"/>
  <c r="I31" i="11"/>
  <c r="H31" i="11"/>
  <c r="G31" i="11"/>
  <c r="F31" i="11"/>
  <c r="E31" i="11"/>
  <c r="D31" i="11"/>
  <c r="M30" i="11"/>
  <c r="L30" i="11"/>
  <c r="K30" i="11"/>
  <c r="J30" i="11"/>
  <c r="I30" i="11"/>
  <c r="H30" i="11"/>
  <c r="G30" i="11"/>
  <c r="F30" i="11"/>
  <c r="E30" i="11"/>
  <c r="D30" i="11"/>
  <c r="M29" i="11"/>
  <c r="L29" i="11"/>
  <c r="K29" i="11"/>
  <c r="J29" i="11"/>
  <c r="I29" i="11"/>
  <c r="H29" i="11"/>
  <c r="G29" i="11"/>
  <c r="F29" i="11"/>
  <c r="E29" i="11"/>
  <c r="D29" i="1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19" i="11"/>
  <c r="L19" i="11"/>
  <c r="K19" i="11"/>
  <c r="J19" i="11"/>
  <c r="I19" i="11"/>
  <c r="H19" i="11"/>
  <c r="G19" i="11"/>
  <c r="F19" i="11"/>
  <c r="E19" i="11"/>
  <c r="D19" i="11"/>
  <c r="M18" i="11"/>
  <c r="L18" i="11"/>
  <c r="K18" i="11"/>
  <c r="J18" i="11"/>
  <c r="I18" i="11"/>
  <c r="H18" i="11"/>
  <c r="G18" i="11"/>
  <c r="F18" i="11"/>
  <c r="E18" i="11"/>
  <c r="D18" i="11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4" i="11"/>
  <c r="L14" i="11"/>
  <c r="K14" i="11"/>
  <c r="J14" i="11"/>
  <c r="I14" i="11"/>
  <c r="H14" i="11"/>
  <c r="G14" i="11"/>
  <c r="F14" i="11"/>
  <c r="E14" i="11"/>
  <c r="D14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8" i="11"/>
  <c r="L8" i="11"/>
  <c r="K8" i="11"/>
  <c r="J8" i="11"/>
  <c r="I8" i="11"/>
  <c r="H8" i="11"/>
  <c r="G8" i="11"/>
  <c r="F8" i="11"/>
  <c r="E8" i="11"/>
  <c r="D8" i="11"/>
  <c r="M7" i="11"/>
  <c r="L7" i="11"/>
  <c r="K7" i="11"/>
  <c r="J7" i="11"/>
  <c r="I7" i="11"/>
  <c r="H7" i="11"/>
  <c r="G7" i="11"/>
  <c r="F7" i="11"/>
  <c r="E7" i="11"/>
  <c r="D7" i="11"/>
</calcChain>
</file>

<file path=xl/comments1.xml><?xml version="1.0" encoding="utf-8"?>
<comments xmlns="http://schemas.openxmlformats.org/spreadsheetml/2006/main">
  <authors>
    <author>Aritra Basu</author>
  </authors>
  <commentList>
    <comment ref="G12" authorId="0">
      <text>
        <r>
          <rPr>
            <sz val="9"/>
            <color indexed="81"/>
            <rFont val="Tahoma"/>
            <family val="2"/>
          </rPr>
          <t>Present Scenario: Renting from market is cheapest.</t>
        </r>
      </text>
    </comment>
    <comment ref="G18" authorId="0">
      <text>
        <r>
          <rPr>
            <sz val="9"/>
            <color indexed="81"/>
            <rFont val="Tahoma"/>
            <family val="2"/>
          </rPr>
          <t>Hypothetical Scenario: 
At 56000 km (same as owned), it won't be cheapest.</t>
        </r>
      </text>
    </comment>
    <comment ref="G24" authorId="0">
      <text>
        <r>
          <rPr>
            <sz val="9"/>
            <color indexed="81"/>
            <rFont val="Tahoma"/>
            <family val="2"/>
          </rPr>
          <t>Hypothetical Scenario: At 76,300 km (same as EMI), it becomes costliest.</t>
        </r>
      </text>
    </comment>
  </commentList>
</comments>
</file>

<file path=xl/sharedStrings.xml><?xml version="1.0" encoding="utf-8"?>
<sst xmlns="http://schemas.openxmlformats.org/spreadsheetml/2006/main" count="688" uniqueCount="173">
  <si>
    <t>BP name</t>
  </si>
  <si>
    <t>Vehicle</t>
  </si>
  <si>
    <t>Year of purchase</t>
  </si>
  <si>
    <t>AGARWAL SUGANDHA AMIT</t>
  </si>
  <si>
    <t>14 ft,Tata Ace</t>
  </si>
  <si>
    <t>EMI,EMI</t>
  </si>
  <si>
    <t>2018,2017</t>
  </si>
  <si>
    <t>Amit Ramesh Agarwal</t>
  </si>
  <si>
    <t>14 ft</t>
  </si>
  <si>
    <t>Market</t>
  </si>
  <si>
    <t>NA</t>
  </si>
  <si>
    <t>ASHISH SAXENA</t>
  </si>
  <si>
    <t>17 ft</t>
  </si>
  <si>
    <t>EMI</t>
  </si>
  <si>
    <t>Mahindra</t>
  </si>
  <si>
    <t>BELIM RIYAZUDDIN MEHBOOBBHAI</t>
  </si>
  <si>
    <t>AL Dost</t>
  </si>
  <si>
    <t>Bharat madhusing lodha</t>
  </si>
  <si>
    <t>Tata Ace</t>
  </si>
  <si>
    <t>Owned</t>
  </si>
  <si>
    <t>DENISH B. BAVARIYA</t>
  </si>
  <si>
    <t>Devendar Vanga</t>
  </si>
  <si>
    <t>14 ft,17 ft,22 ft</t>
  </si>
  <si>
    <t>Devendra r. mistry</t>
  </si>
  <si>
    <t>Dharmendra Sharma</t>
  </si>
  <si>
    <t>14 ft,19 ft</t>
  </si>
  <si>
    <t>DINESHBHAI MOHANBHAI SOLANKI</t>
  </si>
  <si>
    <t>EKTA AGARWAL</t>
  </si>
  <si>
    <t>FAIZILA Theba</t>
  </si>
  <si>
    <t>Super ace</t>
  </si>
  <si>
    <t>GAJRAJSINGH B RATHOD</t>
  </si>
  <si>
    <t>GOHIL RAGHUVIRSINH R</t>
  </si>
  <si>
    <t>Gulamhusen Mohamad Ghanchi</t>
  </si>
  <si>
    <t>GULZAR F MEMON</t>
  </si>
  <si>
    <t>19 ft</t>
  </si>
  <si>
    <t>Hardik Patel</t>
  </si>
  <si>
    <t>EMI,Owned</t>
  </si>
  <si>
    <t>2020,2018</t>
  </si>
  <si>
    <t>Harun Abdul Bhai Theba</t>
  </si>
  <si>
    <t>Inderkumar moolchand gupta</t>
  </si>
  <si>
    <t>14 ft,AL Dost,Super ace</t>
  </si>
  <si>
    <t>Karan Mistry_Delivery</t>
  </si>
  <si>
    <t>Tata Ace,Super ace</t>
  </si>
  <si>
    <t>2013,2015</t>
  </si>
  <si>
    <t>LALAJI BHAI THAKOR</t>
  </si>
  <si>
    <t>MAMATA PAL</t>
  </si>
  <si>
    <t>MANISHA PRAVIN PATIL</t>
  </si>
  <si>
    <t>Owned,Owned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</si>
  <si>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</si>
  <si>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</si>
  <si>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</si>
  <si>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</si>
  <si>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</si>
  <si>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</si>
  <si>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</si>
  <si>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Pickup,Tata Ace</t>
  </si>
  <si>
    <t>2014,2020</t>
  </si>
  <si>
    <t>PATHAN PARVEZBHAI</t>
  </si>
  <si>
    <t>Pravin Patil</t>
  </si>
  <si>
    <t>Pravin Thakor</t>
  </si>
  <si>
    <t>RAJENDRASINH L CHAVDA</t>
  </si>
  <si>
    <t>Rajesh Kumar Misra_Delivery</t>
  </si>
  <si>
    <t>Super ace,AL Dost</t>
  </si>
  <si>
    <t>2014,2018</t>
  </si>
  <si>
    <t>RAKIB GULAMKADAR BLOCH</t>
  </si>
  <si>
    <t>SADHU RAM KARGWAL</t>
  </si>
  <si>
    <t>Mahindra,Mahindra</t>
  </si>
  <si>
    <t>2019,2018</t>
  </si>
  <si>
    <t>SANDEEP KUMAR</t>
  </si>
  <si>
    <t>SHEKH JENULABEDEEN BADRUDIN</t>
  </si>
  <si>
    <t>Shekh Seemabanu Mohammad</t>
  </si>
  <si>
    <t>Siddhant Subhash Borse</t>
  </si>
  <si>
    <t>SURESHBHAI RAJABHAI BHARWAD</t>
  </si>
  <si>
    <t>17 ft,Mahindra,Pickup,Tata Ace</t>
  </si>
  <si>
    <t>SWAPNIL PANDEY_BP</t>
  </si>
  <si>
    <t>VIKAS AGARWAL</t>
  </si>
  <si>
    <t>20 ft</t>
  </si>
  <si>
    <t>VIRENDRA SOLANKI</t>
  </si>
  <si>
    <t>Visharad Chauhan</t>
  </si>
  <si>
    <t>ZAINULSHA.M.DIWAN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</si>
  <si>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</si>
  <si>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</si>
  <si>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</si>
  <si>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</si>
  <si>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</si>
  <si>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</si>
  <si>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</si>
  <si>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</si>
  <si>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</si>
  <si>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</si>
  <si>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</si>
  <si>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</si>
  <si>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</si>
  <si>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</si>
  <si>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Mileage</t>
  </si>
  <si>
    <t>OU</t>
  </si>
  <si>
    <t>Jamnager</t>
  </si>
  <si>
    <t>Ahmmedabad City</t>
  </si>
  <si>
    <t>Ahmedabad Branch</t>
  </si>
  <si>
    <t>Vapi</t>
  </si>
  <si>
    <t>Surat</t>
  </si>
  <si>
    <t>Sanand</t>
  </si>
  <si>
    <t>Vadodara</t>
  </si>
  <si>
    <t>Rajkot</t>
  </si>
  <si>
    <t>Bhavnager</t>
  </si>
  <si>
    <t>Mehsana</t>
  </si>
  <si>
    <t>Rampura Branch</t>
  </si>
  <si>
    <t>Amreli</t>
  </si>
  <si>
    <t>Junagarh</t>
  </si>
  <si>
    <t>Gandhi Nager</t>
  </si>
  <si>
    <t>Pickup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</si>
  <si>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</si>
  <si>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</si>
  <si>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</si>
  <si>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</si>
  <si>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</si>
  <si>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</si>
  <si>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</si>
  <si>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</si>
  <si>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</si>
  <si>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</si>
  <si>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</si>
  <si>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</si>
  <si>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</si>
  <si>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</si>
  <si>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22 ft</t>
  </si>
  <si>
    <t>Km travelled</t>
  </si>
  <si>
    <t>Fuel Cost/liter</t>
  </si>
  <si>
    <t>Vehicles</t>
  </si>
  <si>
    <t>Downpayment Amount</t>
  </si>
  <si>
    <t>Ex- Showroom Price</t>
  </si>
  <si>
    <t>Capacity</t>
  </si>
  <si>
    <t>KM and Fuel cost</t>
  </si>
  <si>
    <t>Maintenance and additional cost</t>
  </si>
  <si>
    <t>EMI,EMI,Market</t>
  </si>
  <si>
    <t>EMI,Market</t>
  </si>
  <si>
    <t>Market,EMI,EMI</t>
  </si>
  <si>
    <t>Vehicle ownership</t>
  </si>
  <si>
    <t>Market,Owned</t>
  </si>
  <si>
    <t>Market,EMI,EMI,EMI</t>
  </si>
  <si>
    <t>2015</t>
  </si>
  <si>
    <t>Ashok Kumar_GNCB1</t>
  </si>
  <si>
    <t>2016,2017,NA</t>
  </si>
  <si>
    <t>2013,NA</t>
  </si>
  <si>
    <t>NA,2013</t>
  </si>
  <si>
    <t>NA,2019,2018</t>
  </si>
  <si>
    <t>NA,2018,2018,2014</t>
  </si>
  <si>
    <t>Balance</t>
  </si>
  <si>
    <t>Downpayment</t>
  </si>
  <si>
    <t>Tenure (yrs)</t>
  </si>
  <si>
    <t>Tenure (months)</t>
  </si>
  <si>
    <t>Interest @ p.a.</t>
  </si>
  <si>
    <t>Code</t>
  </si>
  <si>
    <t>Name</t>
  </si>
  <si>
    <t>OU Code</t>
  </si>
  <si>
    <t>BP Name</t>
  </si>
  <si>
    <t>Ownership</t>
  </si>
  <si>
    <t>Purchase Year</t>
  </si>
  <si>
    <t>Vehicle Name</t>
  </si>
  <si>
    <t>Vehicle Capacity</t>
  </si>
  <si>
    <t>KM Travelled</t>
  </si>
  <si>
    <t>Fuel Cost</t>
  </si>
  <si>
    <t>Maintenance</t>
  </si>
  <si>
    <t>Vehicle cost</t>
  </si>
  <si>
    <t xml:space="preserve">Team cost </t>
  </si>
  <si>
    <t xml:space="preserve">Total cost </t>
  </si>
  <si>
    <t>Row Labels</t>
  </si>
  <si>
    <t>Grand Total</t>
  </si>
  <si>
    <t>Average of Vehicle cost</t>
  </si>
  <si>
    <t xml:space="preserve">Sum of Total cost </t>
  </si>
  <si>
    <t xml:space="preserve">Average of Total cost </t>
  </si>
  <si>
    <t>Sum of KM Travelled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</si>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</sst>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₹&quot;\ #,##0;[Red]&quot;₹&quot;\ \-#,##0"/>
    <numFmt numFmtId="164" formatCode="0.0"/>
    <numFmt numFmtId="165" formatCode="&quot;₹&quot;\ #,##0.00"/>
    <numFmt numFmtId="166" formatCode="&quot;₹&quot;\ #,##0"/>
  </numFmts>
  <fonts count="11" x14ac:knownFonts="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" fontId="5" fillId="0" borderId="0" xfId="0" applyNumberFormat="1" applyFont="1"/>
    <xf numFmtId="9" fontId="5" fillId="0" borderId="0" xfId="0" applyNumberFormat="1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1" fillId="0" borderId="1" xfId="0" applyFont="1" applyBorder="1"/>
    <xf numFmtId="2" fontId="1" fillId="0" borderId="1" xfId="0" applyNumberFormat="1" applyFont="1" applyBorder="1"/>
    <xf numFmtId="6" fontId="1" fillId="3" borderId="1" xfId="0" applyNumberFormat="1" applyFont="1" applyFill="1" applyBorder="1"/>
    <xf numFmtId="1" fontId="1" fillId="0" borderId="2" xfId="0" applyNumberFormat="1" applyFont="1" applyBorder="1"/>
    <xf numFmtId="164" fontId="1" fillId="0" borderId="3" xfId="0" applyNumberFormat="1" applyFont="1" applyBorder="1"/>
    <xf numFmtId="1" fontId="1" fillId="0" borderId="1" xfId="0" applyNumberFormat="1" applyFont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2" fontId="1" fillId="3" borderId="11" xfId="0" applyNumberFormat="1" applyFont="1" applyFill="1" applyBorder="1"/>
    <xf numFmtId="2" fontId="1" fillId="3" borderId="10" xfId="0" applyNumberFormat="1" applyFont="1" applyFill="1" applyBorder="1"/>
    <xf numFmtId="2" fontId="1" fillId="0" borderId="11" xfId="0" applyNumberFormat="1" applyFont="1" applyBorder="1"/>
    <xf numFmtId="2" fontId="1" fillId="0" borderId="10" xfId="0" applyNumberFormat="1" applyFont="1" applyBorder="1"/>
    <xf numFmtId="2" fontId="1" fillId="0" borderId="8" xfId="0" applyNumberFormat="1" applyFont="1" applyBorder="1"/>
    <xf numFmtId="1" fontId="1" fillId="3" borderId="11" xfId="0" applyNumberFormat="1" applyFont="1" applyFill="1" applyBorder="1"/>
    <xf numFmtId="1" fontId="1" fillId="3" borderId="10" xfId="0" applyNumberFormat="1" applyFont="1" applyFill="1" applyBorder="1"/>
    <xf numFmtId="1" fontId="1" fillId="0" borderId="11" xfId="0" applyNumberFormat="1" applyFont="1" applyBorder="1"/>
    <xf numFmtId="1" fontId="1" fillId="0" borderId="10" xfId="0" applyNumberFormat="1" applyFont="1" applyBorder="1"/>
    <xf numFmtId="1" fontId="1" fillId="0" borderId="8" xfId="0" applyNumberFormat="1" applyFont="1" applyBorder="1"/>
    <xf numFmtId="0" fontId="1" fillId="3" borderId="12" xfId="0" applyFont="1" applyFill="1" applyBorder="1"/>
    <xf numFmtId="0" fontId="1" fillId="3" borderId="14" xfId="0" applyFont="1" applyFill="1" applyBorder="1"/>
    <xf numFmtId="1" fontId="1" fillId="0" borderId="12" xfId="0" applyNumberFormat="1" applyFont="1" applyBorder="1"/>
    <xf numFmtId="164" fontId="1" fillId="0" borderId="14" xfId="0" applyNumberFormat="1" applyFont="1" applyBorder="1"/>
    <xf numFmtId="1" fontId="1" fillId="3" borderId="12" xfId="0" applyNumberFormat="1" applyFont="1" applyFill="1" applyBorder="1"/>
    <xf numFmtId="164" fontId="1" fillId="3" borderId="14" xfId="0" applyNumberFormat="1" applyFont="1" applyFill="1" applyBorder="1"/>
    <xf numFmtId="0" fontId="6" fillId="2" borderId="11" xfId="0" applyFont="1" applyFill="1" applyBorder="1"/>
    <xf numFmtId="0" fontId="6" fillId="2" borderId="10" xfId="0" applyFont="1" applyFill="1" applyBorder="1"/>
    <xf numFmtId="0" fontId="1" fillId="3" borderId="11" xfId="0" applyFont="1" applyFill="1" applyBorder="1"/>
    <xf numFmtId="6" fontId="1" fillId="3" borderId="11" xfId="0" applyNumberFormat="1" applyFont="1" applyFill="1" applyBorder="1"/>
    <xf numFmtId="0" fontId="1" fillId="0" borderId="11" xfId="0" applyFont="1" applyBorder="1"/>
    <xf numFmtId="6" fontId="1" fillId="0" borderId="11" xfId="0" applyNumberFormat="1" applyFont="1" applyBorder="1"/>
    <xf numFmtId="0" fontId="1" fillId="0" borderId="8" xfId="0" applyFont="1" applyBorder="1"/>
    <xf numFmtId="6" fontId="1" fillId="0" borderId="8" xfId="0" applyNumberFormat="1" applyFont="1" applyBorder="1"/>
    <xf numFmtId="0" fontId="1" fillId="3" borderId="10" xfId="0" applyFont="1" applyFill="1" applyBorder="1"/>
    <xf numFmtId="0" fontId="1" fillId="0" borderId="10" xfId="0" applyFont="1" applyBorder="1"/>
    <xf numFmtId="6" fontId="1" fillId="3" borderId="10" xfId="0" applyNumberFormat="1" applyFont="1" applyFill="1" applyBorder="1"/>
    <xf numFmtId="0" fontId="0" fillId="0" borderId="0" xfId="0" applyFill="1"/>
    <xf numFmtId="0" fontId="5" fillId="0" borderId="7" xfId="0" applyFont="1" applyFill="1" applyBorder="1"/>
    <xf numFmtId="0" fontId="5" fillId="0" borderId="1" xfId="0" applyFont="1" applyFill="1" applyBorder="1"/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166" fontId="8" fillId="3" borderId="1" xfId="0" applyNumberFormat="1" applyFont="1" applyFill="1" applyBorder="1"/>
    <xf numFmtId="0" fontId="8" fillId="3" borderId="11" xfId="0" applyFont="1" applyFill="1" applyBorder="1"/>
    <xf numFmtId="1" fontId="8" fillId="3" borderId="11" xfId="0" applyNumberFormat="1" applyFont="1" applyFill="1" applyBorder="1"/>
    <xf numFmtId="164" fontId="8" fillId="3" borderId="11" xfId="0" applyNumberFormat="1" applyFont="1" applyFill="1" applyBorder="1"/>
    <xf numFmtId="6" fontId="8" fillId="3" borderId="11" xfId="0" applyNumberFormat="1" applyFont="1" applyFill="1" applyBorder="1"/>
    <xf numFmtId="166" fontId="8" fillId="3" borderId="11" xfId="0" applyNumberFormat="1" applyFont="1" applyFill="1" applyBorder="1"/>
    <xf numFmtId="166" fontId="8" fillId="3" borderId="10" xfId="0" applyNumberFormat="1" applyFont="1" applyFill="1" applyBorder="1"/>
    <xf numFmtId="0" fontId="8" fillId="0" borderId="11" xfId="0" applyFont="1" applyBorder="1"/>
    <xf numFmtId="1" fontId="8" fillId="0" borderId="11" xfId="0" applyNumberFormat="1" applyFont="1" applyBorder="1"/>
    <xf numFmtId="164" fontId="8" fillId="0" borderId="11" xfId="0" applyNumberFormat="1" applyFont="1" applyBorder="1"/>
    <xf numFmtId="6" fontId="8" fillId="0" borderId="11" xfId="0" applyNumberFormat="1" applyFont="1" applyBorder="1"/>
    <xf numFmtId="166" fontId="8" fillId="0" borderId="11" xfId="0" applyNumberFormat="1" applyFont="1" applyBorder="1"/>
    <xf numFmtId="166" fontId="8" fillId="0" borderId="10" xfId="0" applyNumberFormat="1" applyFont="1" applyBorder="1"/>
    <xf numFmtId="0" fontId="8" fillId="3" borderId="11" xfId="0" applyFont="1" applyFill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8" fillId="3" borderId="8" xfId="0" applyFont="1" applyFill="1" applyBorder="1"/>
    <xf numFmtId="1" fontId="8" fillId="3" borderId="8" xfId="0" applyNumberFormat="1" applyFont="1" applyFill="1" applyBorder="1"/>
    <xf numFmtId="164" fontId="8" fillId="3" borderId="8" xfId="0" applyNumberFormat="1" applyFont="1" applyFill="1" applyBorder="1"/>
    <xf numFmtId="6" fontId="8" fillId="3" borderId="8" xfId="0" applyNumberFormat="1" applyFont="1" applyFill="1" applyBorder="1"/>
    <xf numFmtId="166" fontId="8" fillId="3" borderId="8" xfId="0" applyNumberFormat="1" applyFont="1" applyFill="1" applyBorder="1"/>
    <xf numFmtId="0" fontId="7" fillId="2" borderId="11" xfId="0" applyFont="1" applyFill="1" applyBorder="1"/>
    <xf numFmtId="0" fontId="7" fillId="2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9" fillId="4" borderId="1" xfId="0" applyFont="1" applyFill="1" applyBorder="1"/>
    <xf numFmtId="0" fontId="0" fillId="0" borderId="1" xfId="0" applyBorder="1" applyAlignment="1">
      <alignment horizontal="left"/>
    </xf>
    <xf numFmtId="166" fontId="0" fillId="0" borderId="1" xfId="0" applyNumberFormat="1" applyBorder="1"/>
    <xf numFmtId="0" fontId="0" fillId="0" borderId="0" xfId="0" applyBorder="1" applyAlignment="1">
      <alignment horizontal="left"/>
    </xf>
    <xf numFmtId="1" fontId="0" fillId="0" borderId="0" xfId="0" applyNumberFormat="1" applyBorder="1"/>
    <xf numFmtId="166" fontId="0" fillId="0" borderId="0" xfId="0" applyNumberFormat="1" applyBorder="1"/>
    <xf numFmtId="0" fontId="9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1" xfId="0" applyFont="1" applyFill="1" applyBorder="1"/>
    <xf numFmtId="0" fontId="8" fillId="3" borderId="1" xfId="0" applyFont="1" applyFill="1" applyBorder="1"/>
    <xf numFmtId="0" fontId="8" fillId="0" borderId="1" xfId="0" applyFont="1" applyBorder="1"/>
  </cellXfs>
  <cellStyles count="2">
    <cellStyle name="Normal" xfId="0" builtinId="0"/>
    <cellStyle name="Normal 2" xfId="1"/>
  </cellStyles>
  <dxfs count="3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5" formatCode="&quot;₹&quot;\ #,##0.00"/>
    </dxf>
    <dxf>
      <numFmt numFmtId="165" formatCode="&quot;₹&quot;\ #,##0.00"/>
    </dxf>
    <dxf>
      <numFmt numFmtId="166" formatCode="&quot;₹&quot;\ #,##0"/>
    </dxf>
    <dxf>
      <numFmt numFmtId="166" formatCode="&quot;₹&quot;\ #,##0"/>
    </dxf>
    <dxf>
      <numFmt numFmtId="165" formatCode="&quot;₹&quot;\ #,##0.00"/>
    </dxf>
    <dxf>
      <numFmt numFmtId="165" formatCode="&quot;₹&quot;\ #,##0.0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5" formatCode="&quot;₹&quot;\ #,##0.00"/>
    </dxf>
    <dxf>
      <numFmt numFmtId="165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9F9F9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tra Basu" refreshedDate="45100.250239699075" createdVersion="4" refreshedVersion="4" minRefreshableVersion="3" recordCount="63">
  <cacheSource type="worksheet">
    <worksheetSource ref="B1:Q64" sheet="cost_base"/>
  </cacheSource>
  <cacheFields count="16">
    <cacheField name="OU" numFmtId="0">
      <sharedItems/>
    </cacheField>
    <cacheField name="OU Code" numFmtId="0">
      <sharedItems/>
    </cacheField>
    <cacheField name="BP Name" numFmtId="0">
      <sharedItems/>
    </cacheField>
    <cacheField name="Vehicle" numFmtId="0">
      <sharedItems/>
    </cacheField>
    <cacheField name="Ownership" numFmtId="0">
      <sharedItems count="3">
        <s v="EMI"/>
        <s v="Market"/>
        <s v="Owned"/>
      </sharedItems>
    </cacheField>
    <cacheField name="Purchase Year" numFmtId="0">
      <sharedItems containsMixedTypes="1" containsNumber="1" containsInteger="1" minValue="2010" maxValue="2020"/>
    </cacheField>
    <cacheField name="Vehicle Name" numFmtId="0">
      <sharedItems/>
    </cacheField>
    <cacheField name="Mileage" numFmtId="1">
      <sharedItems containsSemiMixedTypes="0" containsString="0" containsNumber="1" minValue="3.5462174548919334" maxValue="18.889971546597494"/>
    </cacheField>
    <cacheField name="Vehicle Capacity" numFmtId="164">
      <sharedItems containsSemiMixedTypes="0" containsString="0" containsNumber="1" minValue="0.44282249549748876" maxValue="8.6536756158497194"/>
    </cacheField>
    <cacheField name="KM Travelled" numFmtId="0">
      <sharedItems containsSemiMixedTypes="0" containsString="0" containsNumber="1" containsInteger="1" minValue="1600" maxValue="3100"/>
    </cacheField>
    <cacheField name="Fuel Cost" numFmtId="6">
      <sharedItems containsSemiMixedTypes="0" containsString="0" containsNumber="1" minValue="9285.0019192570508" maxValue="48007.908019457667"/>
    </cacheField>
    <cacheField name="EMI" numFmtId="6">
      <sharedItems containsSemiMixedTypes="0" containsString="0" containsNumber="1" minValue="6090.9052802258566" maxValue="21318.1684807905"/>
    </cacheField>
    <cacheField name="Maintenance" numFmtId="6">
      <sharedItems containsSemiMixedTypes="0" containsString="0" containsNumber="1" containsInteger="1" minValue="5880" maxValue="22100"/>
    </cacheField>
    <cacheField name="Vehicle cost" numFmtId="166">
      <sharedItems containsSemiMixedTypes="0" containsString="0" containsNumber="1" minValue="22519.476708797287" maxValue="86746.947067284098"/>
    </cacheField>
    <cacheField name="Team cost " numFmtId="6">
      <sharedItems containsSemiMixedTypes="0" containsString="0" containsNumber="1" containsInteger="1" minValue="36000" maxValue="36000"/>
    </cacheField>
    <cacheField name="Total cost " numFmtId="166">
      <sharedItems containsSemiMixedTypes="0" containsString="0" containsNumber="1" minValue="58519.476708797287" maxValue="122746.9470672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itra Basu" refreshedDate="45100.252201620373" createdVersion="4" refreshedVersion="4" minRefreshableVersion="3" recordCount="63">
  <cacheSource type="worksheet">
    <worksheetSource ref="D1:Q64" sheet="cost_base"/>
  </cacheSource>
  <cacheFields count="14">
    <cacheField name="BP Name" numFmtId="0">
      <sharedItems count="48"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Vehicle" numFmtId="0">
      <sharedItems/>
    </cacheField>
    <cacheField name="Ownership" numFmtId="0">
      <sharedItems/>
    </cacheField>
    <cacheField name="Purchase Year" numFmtId="0">
      <sharedItems containsMixedTypes="1" containsNumber="1" containsInteger="1" minValue="2010" maxValue="2020"/>
    </cacheField>
    <cacheField name="Vehicle Name" numFmtId="0">
      <sharedItems/>
    </cacheField>
    <cacheField name="Mileage" numFmtId="1">
      <sharedItems containsSemiMixedTypes="0" containsString="0" containsNumber="1" minValue="3.5462174548919334" maxValue="18.889971546597494"/>
    </cacheField>
    <cacheField name="Vehicle Capacity" numFmtId="164">
      <sharedItems containsSemiMixedTypes="0" containsString="0" containsNumber="1" minValue="0.44282249549748876" maxValue="8.6536756158497194"/>
    </cacheField>
    <cacheField name="KM Travelled" numFmtId="0">
      <sharedItems containsSemiMixedTypes="0" containsString="0" containsNumber="1" containsInteger="1" minValue="1600" maxValue="3100"/>
    </cacheField>
    <cacheField name="Fuel Cost" numFmtId="6">
      <sharedItems containsSemiMixedTypes="0" containsString="0" containsNumber="1" minValue="9285.0019192570508" maxValue="48007.908019457667"/>
    </cacheField>
    <cacheField name="EMI" numFmtId="6">
      <sharedItems containsSemiMixedTypes="0" containsString="0" containsNumber="1" minValue="6090.9052802258566" maxValue="21318.1684807905"/>
    </cacheField>
    <cacheField name="Maintenance" numFmtId="6">
      <sharedItems containsSemiMixedTypes="0" containsString="0" containsNumber="1" containsInteger="1" minValue="5880" maxValue="22100"/>
    </cacheField>
    <cacheField name="Vehicle cost" numFmtId="166">
      <sharedItems containsSemiMixedTypes="0" containsString="0" containsNumber="1" minValue="22519.476708797287" maxValue="86746.947067284098"/>
    </cacheField>
    <cacheField name="Team cost " numFmtId="6">
      <sharedItems containsSemiMixedTypes="0" containsString="0" containsNumber="1" containsInteger="1" minValue="36000" maxValue="36000"/>
    </cacheField>
    <cacheField name="Total cost " numFmtId="166">
      <sharedItems containsSemiMixedTypes="0" containsString="0" containsNumber="1" minValue="58519.476708797287" maxValue="122746.9470672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Vapi"/>
    <s v="VAPT1"/>
    <s v="AGARWAL SUGANDHA AMIT"/>
    <s v="14 ft"/>
    <x v="0"/>
    <n v="2018"/>
    <s v="Eicher 14"/>
    <n v="9"/>
    <n v="2.5"/>
    <n v="1600"/>
    <n v="16408.888888888887"/>
    <n v="11420.447400423482"/>
    <n v="9580"/>
    <n v="37409.33628931237"/>
    <n v="36000"/>
    <n v="73409.33628931237"/>
  </r>
  <r>
    <s v="Vapi"/>
    <s v="VAPT1"/>
    <s v="AGARWAL SUGANDHA AMIT"/>
    <s v="Tata Ace"/>
    <x v="0"/>
    <n v="2017"/>
    <s v="Tata Ace"/>
    <n v="14"/>
    <n v="0.75"/>
    <n v="1600"/>
    <n v="10548.571428571429"/>
    <n v="6090.9052802258566"/>
    <n v="5880"/>
    <n v="22519.476708797287"/>
    <n v="36000"/>
    <n v="58519.476708797287"/>
  </r>
  <r>
    <s v="Vapi"/>
    <s v="VAPT1"/>
    <s v="Amit Ramesh Agarwal"/>
    <s v="14 ft"/>
    <x v="1"/>
    <s v="NA"/>
    <s v="Eicher 14"/>
    <n v="9"/>
    <n v="2.5"/>
    <n v="1600"/>
    <n v="16408.888888888887"/>
    <n v="11420.447400423482"/>
    <n v="9580"/>
    <n v="37409.33628931237"/>
    <n v="36000"/>
    <n v="73409.33628931237"/>
  </r>
  <r>
    <s v="Ahmedabad Branch"/>
    <s v="AMDT1"/>
    <s v="ASHISH SAXENA"/>
    <s v="17 ft"/>
    <x v="0"/>
    <n v="2014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s v="Gandhi Nager"/>
    <s v="GNCB1"/>
    <s v="Ashok Kumar_GNCB1"/>
    <s v="Mahindra"/>
    <x v="0"/>
    <n v="2019"/>
    <s v="Mahindra"/>
    <n v="16.829787347508621"/>
    <n v="1.3894248629666022"/>
    <n v="2700"/>
    <n v="18194.528820724201"/>
    <n v="11420.447400423482"/>
    <n v="8200"/>
    <n v="37814.976221147685"/>
    <n v="36000"/>
    <n v="73814.976221147692"/>
  </r>
  <r>
    <s v="Rampura Branch"/>
    <s v="AMDBP"/>
    <s v="BELIM RIYAZUDDIN MEHBOOBBHAI"/>
    <s v="AL Dost"/>
    <x v="0"/>
    <n v="2016"/>
    <s v="AL Dost"/>
    <n v="15.340744990271009"/>
    <n v="1.5806763812306639"/>
    <n v="2600"/>
    <n v="13701.339883206299"/>
    <n v="7613.6316002823205"/>
    <n v="11400"/>
    <n v="32714.971483488618"/>
    <n v="36000"/>
    <n v="68714.971483488625"/>
  </r>
  <r>
    <s v="Rampura Branch"/>
    <s v="AMDBP"/>
    <s v="Bharat madhusing lodha"/>
    <s v="Tata Ace"/>
    <x v="0"/>
    <n v="2012"/>
    <s v="Tata Ace"/>
    <n v="7.7853868200690899"/>
    <n v="0.75264980525332092"/>
    <n v="2600"/>
    <n v="26997.857143266792"/>
    <n v="6090.9052802258566"/>
    <n v="6900"/>
    <n v="39988.762423492648"/>
    <n v="36000"/>
    <n v="75988.762423492648"/>
  </r>
  <r>
    <s v="Jamnager"/>
    <s v="JGAB1"/>
    <s v="DENISH B. BAVARIYA"/>
    <s v="Tata Ace"/>
    <x v="0"/>
    <n v="2019"/>
    <s v="Tata Ace"/>
    <n v="17.527489465012966"/>
    <n v="0.78423707313208679"/>
    <n v="1900"/>
    <n v="10865.739812694012"/>
    <n v="6090.9052802258566"/>
    <n v="10700"/>
    <n v="27656.645092919869"/>
    <n v="36000"/>
    <n v="63656.645092919869"/>
  </r>
  <r>
    <s v="Surat"/>
    <s v="STVT1"/>
    <s v="Devendar Vanga"/>
    <s v="14 ft"/>
    <x v="0"/>
    <n v="2016"/>
    <s v="Eicher 14"/>
    <n v="13.044642984582476"/>
    <n v="2.042136553081618"/>
    <n v="2900"/>
    <n v="22100.936769178697"/>
    <n v="11420.447400423482"/>
    <n v="18700"/>
    <n v="52221.384169602177"/>
    <n v="36000"/>
    <n v="88221.384169602185"/>
  </r>
  <r>
    <s v="Surat"/>
    <s v="STVT1"/>
    <s v="Devendar Vanga"/>
    <s v="17 ft"/>
    <x v="0"/>
    <n v="2017"/>
    <s v="Eicher 17"/>
    <n v="7.7766332599738792"/>
    <n v="5.1635046388777424"/>
    <n v="2900"/>
    <n v="37072.44769566723"/>
    <n v="17511.352680649339"/>
    <n v="15600"/>
    <n v="70183.800376316562"/>
    <n v="36000"/>
    <n v="106183.80037631656"/>
  </r>
  <r>
    <s v="Surat"/>
    <s v="STVT1"/>
    <s v="Devendar Vanga"/>
    <s v="22 ft"/>
    <x v="1"/>
    <s v="NA"/>
    <s v="22 ft"/>
    <n v="6.653749290515103"/>
    <n v="8.2407106661901022"/>
    <n v="2900"/>
    <n v="43328.778586493601"/>
    <n v="21318.1684807905"/>
    <n v="22100"/>
    <n v="86746.947067284098"/>
    <n v="36000"/>
    <n v="122746.9470672841"/>
  </r>
  <r>
    <s v="Vadodara"/>
    <s v="BDQT1"/>
    <s v="Devendra r. mistry"/>
    <s v="Tata Ace"/>
    <x v="2"/>
    <n v="2016"/>
    <s v="Tata Ace"/>
    <n v="18.889971546597494"/>
    <n v="0.79022382032227789"/>
    <n v="3000"/>
    <n v="12476.910857713416"/>
    <n v="6090.9052802258566"/>
    <n v="10700"/>
    <n v="29267.816137939273"/>
    <n v="36000"/>
    <n v="65267.81613793927"/>
  </r>
  <r>
    <s v="Ahmmedabad City"/>
    <s v="AMDBL"/>
    <s v="Dharmendra Sharma"/>
    <s v="14 ft"/>
    <x v="0"/>
    <n v="2013"/>
    <s v="Eicher 14"/>
    <n v="9.095012736983012"/>
    <n v="2.4855141620694923"/>
    <n v="1800"/>
    <n v="18718.663328438746"/>
    <n v="11420.447400423482"/>
    <n v="12000"/>
    <n v="42139.11072886223"/>
    <n v="36000"/>
    <n v="78139.11072886223"/>
  </r>
  <r>
    <s v="Ahmmedabad City"/>
    <s v="AMDBL"/>
    <s v="Dharmendra Sharma"/>
    <s v="19 ft"/>
    <x v="1"/>
    <s v="NA"/>
    <s v="Eicher 19"/>
    <n v="3.5462174548919334"/>
    <n v="8.6536756158497194"/>
    <n v="1800"/>
    <n v="48007.908019457667"/>
    <n v="17511.352680649339"/>
    <n v="19000"/>
    <n v="84519.260700106999"/>
    <n v="36000"/>
    <n v="120519.260700107"/>
  </r>
  <r>
    <s v="Sanand"/>
    <s v="AMDBC"/>
    <s v="DINESHBHAI MOHANBHAI SOLANKI"/>
    <s v="Tata Ace"/>
    <x v="0"/>
    <n v="2020"/>
    <s v="Tata Ace"/>
    <n v="17.157710528177709"/>
    <n v="1.0426350561035722"/>
    <n v="3100"/>
    <n v="16815.46394439719"/>
    <n v="6090.9052802258566"/>
    <n v="11800"/>
    <n v="34706.369224623049"/>
    <n v="36000"/>
    <n v="70706.369224623049"/>
  </r>
  <r>
    <s v="Vapi"/>
    <s v="VAPT1"/>
    <s v="EKTA AGARWAL"/>
    <s v="Tata Ace"/>
    <x v="0"/>
    <n v="2010"/>
    <s v="Tata Ace"/>
    <n v="14"/>
    <n v="0.75"/>
    <n v="1600"/>
    <n v="10548.571428571429"/>
    <n v="6090.9052802258566"/>
    <n v="5880"/>
    <n v="22519.476708797287"/>
    <n v="36000"/>
    <n v="58519.476708797287"/>
  </r>
  <r>
    <s v="Rajkot"/>
    <s v="RAJB1"/>
    <s v="FAIZILA Theba"/>
    <s v="Super ace"/>
    <x v="2"/>
    <n v="2019"/>
    <s v="Super ace"/>
    <n v="17.582051377297987"/>
    <n v="1.1466290648202664"/>
    <n v="1800"/>
    <n v="9285.0019192570508"/>
    <n v="8374.9947603105538"/>
    <n v="9900"/>
    <n v="27559.996679567605"/>
    <n v="36000"/>
    <n v="63559.996679567601"/>
  </r>
  <r>
    <s v="Gandhi Nager"/>
    <s v="GNCB1"/>
    <s v="GAJRAJSINGH B RATHOD"/>
    <s v="Mahindra"/>
    <x v="0"/>
    <n v="2019"/>
    <s v="Mahindra"/>
    <n v="16.829787347508621"/>
    <n v="1.3894248629666022"/>
    <n v="2700"/>
    <n v="18194.528820724201"/>
    <n v="11420.447400423482"/>
    <n v="8200"/>
    <n v="37814.976221147685"/>
    <n v="36000"/>
    <n v="73814.976221147692"/>
  </r>
  <r>
    <s v="Bhavnager"/>
    <s v="BVCB1"/>
    <s v="GOHIL RAGHUVIRSINH R"/>
    <s v="Mahindra"/>
    <x v="2"/>
    <n v="2020"/>
    <s v="Mahindra"/>
    <n v="9.8332980589745791"/>
    <n v="2.1170956821339351"/>
    <n v="2500"/>
    <n v="24433.001229891568"/>
    <n v="11420.447400423482"/>
    <n v="10200"/>
    <n v="46053.448630315048"/>
    <n v="36000"/>
    <n v="82053.448630315048"/>
  </r>
  <r>
    <s v="Ahmedabad Branch"/>
    <s v="AMDT1"/>
    <s v="Gulamhusen Mohamad Ghanchi"/>
    <s v="17 ft"/>
    <x v="2"/>
    <n v="2012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s v="Ahmedabad Branch"/>
    <s v="AMDT1"/>
    <s v="GULZAR F MEMON"/>
    <s v="19 ft"/>
    <x v="1"/>
    <s v="NA"/>
    <s v="Eicher 19"/>
    <n v="6.9433969910850388"/>
    <n v="6.3444422201305457"/>
    <n v="2900"/>
    <n v="41971.214224738593"/>
    <n v="17511.352680649339"/>
    <n v="11400"/>
    <n v="70882.566905387939"/>
    <n v="36000"/>
    <n v="106882.56690538794"/>
  </r>
  <r>
    <s v="Jamnager"/>
    <s v="JGAB1"/>
    <s v="Hardik Patel"/>
    <s v="14 ft"/>
    <x v="0"/>
    <n v="2020"/>
    <s v="Eicher 14"/>
    <n v="8.5572888357740542"/>
    <n v="3.0291773948414247"/>
    <n v="1900"/>
    <n v="22255.780277088084"/>
    <n v="11420.447400423482"/>
    <n v="11900"/>
    <n v="45576.227677511568"/>
    <n v="36000"/>
    <n v="81576.227677511575"/>
  </r>
  <r>
    <s v="Jamnager"/>
    <s v="JGAB1"/>
    <s v="Hardik Patel"/>
    <s v="Tata Ace"/>
    <x v="2"/>
    <n v="2018"/>
    <s v="Tata Ace"/>
    <n v="17.527489465012966"/>
    <n v="0.78423707313208679"/>
    <n v="1900"/>
    <n v="10865.739812694012"/>
    <n v="6090.9052802258566"/>
    <n v="10700"/>
    <n v="27656.645092919869"/>
    <n v="36000"/>
    <n v="63656.645092919869"/>
  </r>
  <r>
    <s v="Rajkot"/>
    <s v="RAJB1"/>
    <s v="Harun Abdul Bhai Theba"/>
    <s v="Mahindra"/>
    <x v="2"/>
    <n v="2013"/>
    <s v="Mahindra"/>
    <n v="9.8850325042295175"/>
    <n v="1.3434882381767432"/>
    <n v="1800"/>
    <n v="16514.804651662827"/>
    <n v="11420.447400423482"/>
    <n v="8600"/>
    <n v="36535.252052086311"/>
    <n v="36000"/>
    <n v="72535.252052086318"/>
  </r>
  <r>
    <s v="Vadodara"/>
    <s v="BDQT1"/>
    <s v="Inderkumar moolchand gupta"/>
    <s v="14 ft"/>
    <x v="1"/>
    <s v="NA"/>
    <s v="Eicher 14"/>
    <n v="12.597885435760045"/>
    <n v="2.7317924077831095"/>
    <n v="3000"/>
    <n v="18708.575521938008"/>
    <n v="11420.447400423482"/>
    <n v="15100"/>
    <n v="45229.022922361488"/>
    <n v="36000"/>
    <n v="81229.022922361488"/>
  </r>
  <r>
    <s v="Vadodara"/>
    <s v="BDQT1"/>
    <s v="Inderkumar moolchand gupta"/>
    <s v="AL Dost"/>
    <x v="0"/>
    <n v="2019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s v="Vadodara"/>
    <s v="BDQT1"/>
    <s v="Inderkumar moolchand gupta"/>
    <s v="Super ace"/>
    <x v="0"/>
    <n v="2018"/>
    <s v="Super ace"/>
    <n v="9.9226528824228826"/>
    <n v="1.6651510049498304"/>
    <n v="3000"/>
    <n v="23752.568379081509"/>
    <n v="8374.9947603105538"/>
    <n v="10500"/>
    <n v="42627.563139392063"/>
    <n v="36000"/>
    <n v="78627.563139392063"/>
  </r>
  <r>
    <s v="Vadodara"/>
    <s v="BDQT1"/>
    <s v="Karan Mistry_Delivery"/>
    <s v="Tata Ace"/>
    <x v="0"/>
    <n v="2013"/>
    <s v="Tata Ace"/>
    <n v="18.889971546597494"/>
    <n v="0.79022382032227789"/>
    <n v="3000"/>
    <n v="12476.910857713416"/>
    <n v="6090.9052802258566"/>
    <n v="10700"/>
    <n v="29267.816137939273"/>
    <n v="36000"/>
    <n v="65267.81613793927"/>
  </r>
  <r>
    <s v="Vadodara"/>
    <s v="BDQT1"/>
    <s v="Karan Mistry_Delivery"/>
    <s v="Super ace"/>
    <x v="2"/>
    <n v="2015"/>
    <s v="Super ace"/>
    <n v="9.9226528824228826"/>
    <n v="1.6651510049498304"/>
    <n v="3000"/>
    <n v="23752.568379081509"/>
    <n v="8374.9947603105538"/>
    <n v="10500"/>
    <n v="42627.563139392063"/>
    <n v="36000"/>
    <n v="78627.563139392063"/>
  </r>
  <r>
    <s v="Ahmedabad Branch"/>
    <s v="AMDT1"/>
    <s v="LALAJI BHAI THAKOR"/>
    <s v="AL Dost"/>
    <x v="0"/>
    <n v="2013"/>
    <s v="AL Dost"/>
    <n v="13.451738176402987"/>
    <n v="1.4794834103460122"/>
    <n v="2900"/>
    <n v="21664.323133455633"/>
    <n v="7613.6316002823205"/>
    <n v="7600"/>
    <n v="36877.954733737955"/>
    <n v="36000"/>
    <n v="72877.954733737948"/>
  </r>
  <r>
    <s v="Amreli"/>
    <s v="AKVB1"/>
    <s v="MAMATA PAL"/>
    <s v="AL Dost"/>
    <x v="2"/>
    <n v="2011"/>
    <s v="AL Dost"/>
    <n v="12.342261159350826"/>
    <n v="1.4205369964896497"/>
    <n v="2400"/>
    <n v="19100.862449123269"/>
    <n v="7613.6316002823205"/>
    <n v="6500"/>
    <n v="33214.494049405592"/>
    <n v="36000"/>
    <n v="69214.494049405592"/>
  </r>
  <r>
    <s v="Surat"/>
    <s v="STVT1"/>
    <s v="MANISHA PRAVIN PATIL"/>
    <s v="14 ft"/>
    <x v="1"/>
    <s v="NA"/>
    <s v="Eicher 14"/>
    <n v="13.044642984582476"/>
    <n v="2.042136553081618"/>
    <n v="2900"/>
    <n v="22100.936769178697"/>
    <n v="11420.447400423482"/>
    <n v="18700"/>
    <n v="52221.384169602177"/>
    <n v="36000"/>
    <n v="88221.384169602185"/>
  </r>
  <r>
    <s v="Surat"/>
    <s v="STVT1"/>
    <s v="MANISHA PRAVIN PATIL"/>
    <s v="Tata Ace"/>
    <x v="2"/>
    <n v="2013"/>
    <s v="Tata Ace"/>
    <n v="17.294647938760768"/>
    <n v="1.0764283836997799"/>
    <n v="2900"/>
    <n v="16669.829348340325"/>
    <n v="6090.9052802258566"/>
    <n v="11500"/>
    <n v="34260.734628566177"/>
    <n v="36000"/>
    <n v="70260.734628566177"/>
  </r>
  <r>
    <s v="Vadodara"/>
    <s v="BDQT1"/>
    <s v="Meenakshi Gupta"/>
    <s v="AL Dost"/>
    <x v="2"/>
    <n v="2015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s v="Surat"/>
    <s v="STVT1"/>
    <s v="mo. Farukh"/>
    <s v="AL Dost"/>
    <x v="2"/>
    <n v="2014"/>
    <s v="AL Dost"/>
    <n v="6.5028597954101208"/>
    <n v="1.2307641755925045"/>
    <n v="2900"/>
    <n v="44334.160484631124"/>
    <n v="7613.6316002823205"/>
    <n v="11200"/>
    <n v="63147.792084913446"/>
    <n v="36000"/>
    <n v="99147.792084913439"/>
  </r>
  <r>
    <s v="Gandhi Nager"/>
    <s v="GNCB1"/>
    <s v="MOINUDDIN R SHAIKH"/>
    <s v="Tata Ace"/>
    <x v="0"/>
    <n v="2012"/>
    <s v="Tata Ace"/>
    <n v="9.3641429387747763"/>
    <n v="0.9429848152367003"/>
    <n v="2700"/>
    <n v="32700.275181934616"/>
    <n v="6090.9052802258566"/>
    <n v="7800"/>
    <n v="46591.180462160475"/>
    <n v="36000"/>
    <n v="82591.180462160468"/>
  </r>
  <r>
    <s v="Rampura Branch"/>
    <s v="AMDBP"/>
    <s v="MUKESHBHAI RAJABHAI BHARWAD"/>
    <s v="Mahindra"/>
    <x v="0"/>
    <n v="2015"/>
    <s v="Mahindra"/>
    <n v="11.216814907083885"/>
    <n v="1.4849540362195355"/>
    <n v="2600"/>
    <n v="18738.720654163106"/>
    <n v="11420.447400423482"/>
    <n v="11200"/>
    <n v="41359.168054586589"/>
    <n v="36000"/>
    <n v="77359.168054586597"/>
  </r>
  <r>
    <s v="Ahmedabad Branch"/>
    <s v="AMDT1"/>
    <s v="MULIYA TOFIKHUSEN HABIBBHAI"/>
    <s v="17 ft"/>
    <x v="1"/>
    <s v="NA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s v="Vadodara"/>
    <s v="BDQT1"/>
    <s v="OD Maheshbhai Bhikhabhai"/>
    <s v="AL Dost"/>
    <x v="2"/>
    <n v="2014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s v="Rajkot"/>
    <s v="RAJB1"/>
    <s v="Patani Salim Gafarbhai"/>
    <s v="Pickup"/>
    <x v="2"/>
    <n v="2014"/>
    <s v="Pickup"/>
    <n v="13.840671454814565"/>
    <n v="1.6537934308679081"/>
    <n v="1800"/>
    <n v="11794.903254198736"/>
    <n v="9897.7210803670168"/>
    <n v="9300"/>
    <n v="30992.624334565753"/>
    <n v="36000"/>
    <n v="66992.624334565757"/>
  </r>
  <r>
    <s v="Rajkot"/>
    <s v="RAJB1"/>
    <s v="Patani Salim Gafarbhai"/>
    <s v="Tata Ace"/>
    <x v="2"/>
    <n v="2020"/>
    <s v="Tata Ace"/>
    <n v="15.252132362435546"/>
    <n v="0.44282249549748876"/>
    <n v="1800"/>
    <n v="10703.38080626382"/>
    <n v="6090.9052802258566"/>
    <n v="6200"/>
    <n v="22994.286086489676"/>
    <n v="36000"/>
    <n v="58994.286086489679"/>
  </r>
  <r>
    <s v="Rampura Branch"/>
    <s v="AMDBC"/>
    <s v="PATHAN PARVEZBHAI"/>
    <s v="Tata Ace"/>
    <x v="0"/>
    <n v="2012"/>
    <s v="Tata Ace"/>
    <n v="17.157710528177709"/>
    <n v="1.0426350561035722"/>
    <n v="3100"/>
    <n v="16815.46394439719"/>
    <n v="6090.9052802258566"/>
    <n v="11800"/>
    <n v="34706.369224623049"/>
    <n v="36000"/>
    <n v="70706.369224623049"/>
  </r>
  <r>
    <s v="Surat"/>
    <s v="STVT1"/>
    <s v="Pravin Patil"/>
    <s v="Tata Ace"/>
    <x v="2"/>
    <n v="2019"/>
    <s v="Tata Ace"/>
    <n v="17.294647938760768"/>
    <n v="1.0764283836997799"/>
    <n v="2900"/>
    <n v="16669.829348340325"/>
    <n v="6090.9052802258566"/>
    <n v="11500"/>
    <n v="34260.734628566177"/>
    <n v="36000"/>
    <n v="70260.734628566177"/>
  </r>
  <r>
    <s v="Ahmedabad Branch"/>
    <s v="AMDT1"/>
    <s v="Pravin Thakor"/>
    <s v="17 ft"/>
    <x v="1"/>
    <s v="NA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s v="Gandhi Nager"/>
    <s v="GNCB1"/>
    <s v="RAJENDRASINH L CHAVDA"/>
    <s v="Tata Ace"/>
    <x v="2"/>
    <n v="2020"/>
    <s v="Tata Ace"/>
    <n v="9.3641429387747763"/>
    <n v="0.9429848152367003"/>
    <n v="2700"/>
    <n v="32700.275181934616"/>
    <n v="6090.9052802258566"/>
    <n v="7800"/>
    <n v="46591.180462160475"/>
    <n v="36000"/>
    <n v="82591.180462160468"/>
  </r>
  <r>
    <s v="Vadodara"/>
    <s v="BDQT1"/>
    <s v="Rajesh Kumar Misra_Delivery"/>
    <s v="Super ace"/>
    <x v="2"/>
    <n v="2014"/>
    <s v="Super ace"/>
    <n v="9.9226528824228826"/>
    <n v="1.6651510049498304"/>
    <n v="3000"/>
    <n v="23752.568379081509"/>
    <n v="8374.9947603105538"/>
    <n v="10500"/>
    <n v="42627.563139392063"/>
    <n v="36000"/>
    <n v="78627.563139392063"/>
  </r>
  <r>
    <s v="Vadodara"/>
    <s v="BDQT1"/>
    <s v="Rajesh Kumar Misra_Delivery"/>
    <s v="AL Dost"/>
    <x v="2"/>
    <n v="2018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s v="Junagarh"/>
    <s v="JNDB1"/>
    <s v="RAKIB GULAMKADAR BLOCH"/>
    <s v="Tata Ace"/>
    <x v="2"/>
    <n v="2015"/>
    <s v="Tata Ace"/>
    <n v="10.173410042173559"/>
    <n v="1.020976097530419"/>
    <n v="1800"/>
    <n v="14495.51069292958"/>
    <n v="6090.9052802258566"/>
    <n v="9700"/>
    <n v="30286.415973155435"/>
    <n v="36000"/>
    <n v="66286.415973155439"/>
  </r>
  <r>
    <s v="Mehsana"/>
    <s v="MSHB1"/>
    <s v="SADHU RAM KARGWAL"/>
    <s v="Mahindra"/>
    <x v="0"/>
    <n v="2019"/>
    <s v="Mahindra"/>
    <n v="8.6217992604575731"/>
    <n v="1.7903212444492185"/>
    <n v="2000"/>
    <n v="23052.631423483541"/>
    <n v="11420.447400423482"/>
    <n v="10200"/>
    <n v="44673.078823907024"/>
    <n v="36000"/>
    <n v="80673.078823907024"/>
  </r>
  <r>
    <s v="Mehsana"/>
    <s v="MSHB1"/>
    <s v="SADHU RAM KARGWAL"/>
    <s v="Mahindra"/>
    <x v="2"/>
    <n v="2018"/>
    <s v="Mahindra"/>
    <n v="8.6217992604575731"/>
    <n v="1.7903212444492185"/>
    <n v="2000"/>
    <n v="23052.631423483541"/>
    <n v="11420.447400423482"/>
    <n v="10200"/>
    <n v="44673.078823907024"/>
    <n v="36000"/>
    <n v="80673.078823907024"/>
  </r>
  <r>
    <s v="Ahmedabad Branch"/>
    <s v="AMDT1"/>
    <s v="SANDEEP KUMAR"/>
    <s v="17 ft"/>
    <x v="1"/>
    <s v="NA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s v="Rampura Branch"/>
    <s v="AMDBP"/>
    <s v="SHEKH JENULABEDEEN BADRUDIN"/>
    <s v="Mahindra"/>
    <x v="0"/>
    <n v="2011"/>
    <s v="Mahindra"/>
    <n v="11.216814907083885"/>
    <n v="1.4849540362195355"/>
    <n v="2600"/>
    <n v="18738.720654163106"/>
    <n v="11420.447400423482"/>
    <n v="11200"/>
    <n v="41359.168054586589"/>
    <n v="36000"/>
    <n v="77359.168054586597"/>
  </r>
  <r>
    <s v="Vadodara"/>
    <s v="BDQT1"/>
    <s v="Shekh Seemabanu Mohammad"/>
    <s v="AL Dost"/>
    <x v="2"/>
    <n v="2015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s v="Surat"/>
    <s v="STVT1"/>
    <s v="Siddhant Subhash Borse"/>
    <s v="Tata Ace"/>
    <x v="2"/>
    <n v="2019"/>
    <s v="Tata Ace"/>
    <n v="17.294647938760768"/>
    <n v="1.0764283836997799"/>
    <n v="2900"/>
    <n v="16669.829348340325"/>
    <n v="6090.9052802258566"/>
    <n v="11500"/>
    <n v="34260.734628566177"/>
    <n v="36000"/>
    <n v="70260.734628566177"/>
  </r>
  <r>
    <s v="Rampura Branch"/>
    <s v="AMDBP"/>
    <s v="SURESHBHAI RAJABHAI BHARWAD"/>
    <s v="17 ft"/>
    <x v="1"/>
    <s v="NA"/>
    <s v="Eicher 17"/>
    <n v="4.6995094079618678"/>
    <n v="2.6680743558814162"/>
    <n v="2600"/>
    <n v="44725.681539693796"/>
    <n v="17511.352680649339"/>
    <n v="11200"/>
    <n v="73437.034220343136"/>
    <n v="36000"/>
    <n v="109437.03422034314"/>
  </r>
  <r>
    <s v="Rampura Branch"/>
    <s v="AMDBP"/>
    <s v="SURESHBHAI RAJABHAI BHARWAD"/>
    <s v="Mahindra"/>
    <x v="0"/>
    <n v="2018"/>
    <s v="Mahindra"/>
    <n v="11.216814907083885"/>
    <n v="1.4849540362195355"/>
    <n v="2600"/>
    <n v="18738.720654163106"/>
    <n v="11420.447400423482"/>
    <n v="11200"/>
    <n v="41359.168054586589"/>
    <n v="36000"/>
    <n v="77359.168054586597"/>
  </r>
  <r>
    <s v="Rampura Branch"/>
    <s v="AMDBP"/>
    <s v="SURESHBHAI RAJABHAI BHARWAD"/>
    <s v="Pickup"/>
    <x v="0"/>
    <n v="2018"/>
    <s v="Pickup"/>
    <n v="8.0856008470429561"/>
    <n v="1.2007936330416782"/>
    <n v="2600"/>
    <n v="25995.441173696705"/>
    <n v="9897.7210803670168"/>
    <n v="9800"/>
    <n v="45693.162254063718"/>
    <n v="36000"/>
    <n v="81693.162254063718"/>
  </r>
  <r>
    <s v="Rampura Branch"/>
    <s v="AMDBP"/>
    <s v="SURESHBHAI RAJABHAI BHARWAD"/>
    <s v="Tata Ace"/>
    <x v="0"/>
    <n v="2014"/>
    <s v="Tata Ace"/>
    <n v="7.7853868200690899"/>
    <n v="0.75264980525332092"/>
    <n v="2600"/>
    <n v="26997.857143266792"/>
    <n v="6090.9052802258566"/>
    <n v="6900"/>
    <n v="39988.762423492648"/>
    <n v="36000"/>
    <n v="75988.762423492648"/>
  </r>
  <r>
    <s v="Ahmmedabad City"/>
    <s v="AMDBL"/>
    <s v="SWAPNIL PANDEY_BP"/>
    <s v="Mahindra"/>
    <x v="0"/>
    <n v="2019"/>
    <s v="Mahindra"/>
    <n v="12.660297306770655"/>
    <n v="0.76558845019723076"/>
    <n v="1800"/>
    <n v="13447.273572351289"/>
    <n v="11420.447400423482"/>
    <n v="11800"/>
    <n v="36667.720972774769"/>
    <n v="36000"/>
    <n v="72667.720972774769"/>
  </r>
  <r>
    <s v="Vapi"/>
    <s v="VAPT1"/>
    <s v="VIKAS AGARWAL"/>
    <s v="20 ft"/>
    <x v="1"/>
    <s v="NA"/>
    <s v="Eicher 20"/>
    <n v="7"/>
    <n v="6.5"/>
    <n v="1600"/>
    <n v="21097.142857142859"/>
    <n v="19034.079000705802"/>
    <n v="11080"/>
    <n v="51211.221857848665"/>
    <n v="36000"/>
    <n v="87211.221857848665"/>
  </r>
  <r>
    <s v="Sanand"/>
    <s v="AMDT1"/>
    <s v="VIRENDRA SOLANKI"/>
    <s v="AL Dost"/>
    <x v="0"/>
    <n v="2010"/>
    <s v="AL Dost"/>
    <n v="13.451738176402987"/>
    <n v="1.4794834103460122"/>
    <n v="2900"/>
    <n v="21664.323133455633"/>
    <n v="7613.6316002823205"/>
    <n v="7600"/>
    <n v="36877.954733737955"/>
    <n v="36000"/>
    <n v="72877.954733737948"/>
  </r>
  <r>
    <s v="Sanand"/>
    <s v="AMDBC"/>
    <s v="Visharad Chauhan"/>
    <s v="AL Dost"/>
    <x v="0"/>
    <n v="2015"/>
    <s v="AL Dost"/>
    <n v="17.133678707427691"/>
    <n v="1.8308787786446832"/>
    <n v="3100"/>
    <n v="16839.049434836263"/>
    <n v="7613.6316002823205"/>
    <n v="11700"/>
    <n v="36152.681035118585"/>
    <n v="36000"/>
    <n v="72152.681035118585"/>
  </r>
  <r>
    <s v="Vadodara"/>
    <s v="BDQT1"/>
    <s v="ZAINULSHA.M.DIWAN"/>
    <s v="14 ft"/>
    <x v="0"/>
    <n v="2015"/>
    <s v="Eicher 14"/>
    <n v="12.597885435760045"/>
    <n v="2.7317924077831095"/>
    <n v="3000"/>
    <n v="18708.575521938008"/>
    <n v="11420.447400423482"/>
    <n v="15100"/>
    <n v="45229.022922361488"/>
    <n v="36000"/>
    <n v="81229.0229223614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">
  <r>
    <x v="0"/>
    <s v="14 ft"/>
    <s v="EMI"/>
    <n v="2018"/>
    <s v="Eicher 14"/>
    <n v="9"/>
    <n v="2.5"/>
    <n v="1600"/>
    <n v="16408.888888888887"/>
    <n v="11420.447400423482"/>
    <n v="9580"/>
    <n v="37409.33628931237"/>
    <n v="36000"/>
    <n v="73409.33628931237"/>
  </r>
  <r>
    <x v="0"/>
    <s v="Tata Ace"/>
    <s v="EMI"/>
    <n v="2017"/>
    <s v="Tata Ace"/>
    <n v="14"/>
    <n v="0.75"/>
    <n v="1600"/>
    <n v="10548.571428571429"/>
    <n v="6090.9052802258566"/>
    <n v="5880"/>
    <n v="22519.476708797287"/>
    <n v="36000"/>
    <n v="58519.476708797287"/>
  </r>
  <r>
    <x v="1"/>
    <s v="14 ft"/>
    <s v="Market"/>
    <s v="NA"/>
    <s v="Eicher 14"/>
    <n v="9"/>
    <n v="2.5"/>
    <n v="1600"/>
    <n v="16408.888888888887"/>
    <n v="11420.447400423482"/>
    <n v="9580"/>
    <n v="37409.33628931237"/>
    <n v="36000"/>
    <n v="73409.33628931237"/>
  </r>
  <r>
    <x v="2"/>
    <s v="17 ft"/>
    <s v="EMI"/>
    <n v="2014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x v="3"/>
    <s v="Mahindra"/>
    <s v="EMI"/>
    <n v="2019"/>
    <s v="Mahindra"/>
    <n v="16.829787347508621"/>
    <n v="1.3894248629666022"/>
    <n v="2700"/>
    <n v="18194.528820724201"/>
    <n v="11420.447400423482"/>
    <n v="8200"/>
    <n v="37814.976221147685"/>
    <n v="36000"/>
    <n v="73814.976221147692"/>
  </r>
  <r>
    <x v="4"/>
    <s v="AL Dost"/>
    <s v="EMI"/>
    <n v="2016"/>
    <s v="AL Dost"/>
    <n v="15.340744990271009"/>
    <n v="1.5806763812306639"/>
    <n v="2600"/>
    <n v="13701.339883206299"/>
    <n v="7613.6316002823205"/>
    <n v="11400"/>
    <n v="32714.971483488618"/>
    <n v="36000"/>
    <n v="68714.971483488625"/>
  </r>
  <r>
    <x v="5"/>
    <s v="Tata Ace"/>
    <s v="EMI"/>
    <n v="2012"/>
    <s v="Tata Ace"/>
    <n v="7.7853868200690899"/>
    <n v="0.75264980525332092"/>
    <n v="2600"/>
    <n v="26997.857143266792"/>
    <n v="6090.9052802258566"/>
    <n v="6900"/>
    <n v="39988.762423492648"/>
    <n v="36000"/>
    <n v="75988.762423492648"/>
  </r>
  <r>
    <x v="6"/>
    <s v="Tata Ace"/>
    <s v="EMI"/>
    <n v="2019"/>
    <s v="Tata Ace"/>
    <n v="17.527489465012966"/>
    <n v="0.78423707313208679"/>
    <n v="1900"/>
    <n v="10865.739812694012"/>
    <n v="6090.9052802258566"/>
    <n v="10700"/>
    <n v="27656.645092919869"/>
    <n v="36000"/>
    <n v="63656.645092919869"/>
  </r>
  <r>
    <x v="7"/>
    <s v="14 ft"/>
    <s v="EMI"/>
    <n v="2016"/>
    <s v="Eicher 14"/>
    <n v="13.044642984582476"/>
    <n v="2.042136553081618"/>
    <n v="2900"/>
    <n v="22100.936769178697"/>
    <n v="11420.447400423482"/>
    <n v="18700"/>
    <n v="52221.384169602177"/>
    <n v="36000"/>
    <n v="88221.384169602185"/>
  </r>
  <r>
    <x v="7"/>
    <s v="17 ft"/>
    <s v="EMI"/>
    <n v="2017"/>
    <s v="Eicher 17"/>
    <n v="7.7766332599738792"/>
    <n v="5.1635046388777424"/>
    <n v="2900"/>
    <n v="37072.44769566723"/>
    <n v="17511.352680649339"/>
    <n v="15600"/>
    <n v="70183.800376316562"/>
    <n v="36000"/>
    <n v="106183.80037631656"/>
  </r>
  <r>
    <x v="7"/>
    <s v="22 ft"/>
    <s v="Market"/>
    <s v="NA"/>
    <s v="22 ft"/>
    <n v="6.653749290515103"/>
    <n v="8.2407106661901022"/>
    <n v="2900"/>
    <n v="43328.778586493601"/>
    <n v="21318.1684807905"/>
    <n v="22100"/>
    <n v="86746.947067284098"/>
    <n v="36000"/>
    <n v="122746.9470672841"/>
  </r>
  <r>
    <x v="8"/>
    <s v="Tata Ace"/>
    <s v="Owned"/>
    <n v="2016"/>
    <s v="Tata Ace"/>
    <n v="18.889971546597494"/>
    <n v="0.79022382032227789"/>
    <n v="3000"/>
    <n v="12476.910857713416"/>
    <n v="6090.9052802258566"/>
    <n v="10700"/>
    <n v="29267.816137939273"/>
    <n v="36000"/>
    <n v="65267.81613793927"/>
  </r>
  <r>
    <x v="9"/>
    <s v="14 ft"/>
    <s v="EMI"/>
    <n v="2013"/>
    <s v="Eicher 14"/>
    <n v="9.095012736983012"/>
    <n v="2.4855141620694923"/>
    <n v="1800"/>
    <n v="18718.663328438746"/>
    <n v="11420.447400423482"/>
    <n v="12000"/>
    <n v="42139.11072886223"/>
    <n v="36000"/>
    <n v="78139.11072886223"/>
  </r>
  <r>
    <x v="9"/>
    <s v="19 ft"/>
    <s v="Market"/>
    <s v="NA"/>
    <s v="Eicher 19"/>
    <n v="3.5462174548919334"/>
    <n v="8.6536756158497194"/>
    <n v="1800"/>
    <n v="48007.908019457667"/>
    <n v="17511.352680649339"/>
    <n v="19000"/>
    <n v="84519.260700106999"/>
    <n v="36000"/>
    <n v="120519.260700107"/>
  </r>
  <r>
    <x v="10"/>
    <s v="Tata Ace"/>
    <s v="EMI"/>
    <n v="2020"/>
    <s v="Tata Ace"/>
    <n v="17.157710528177709"/>
    <n v="1.0426350561035722"/>
    <n v="3100"/>
    <n v="16815.46394439719"/>
    <n v="6090.9052802258566"/>
    <n v="11800"/>
    <n v="34706.369224623049"/>
    <n v="36000"/>
    <n v="70706.369224623049"/>
  </r>
  <r>
    <x v="11"/>
    <s v="Tata Ace"/>
    <s v="EMI"/>
    <n v="2010"/>
    <s v="Tata Ace"/>
    <n v="14"/>
    <n v="0.75"/>
    <n v="1600"/>
    <n v="10548.571428571429"/>
    <n v="6090.9052802258566"/>
    <n v="5880"/>
    <n v="22519.476708797287"/>
    <n v="36000"/>
    <n v="58519.476708797287"/>
  </r>
  <r>
    <x v="12"/>
    <s v="Super ace"/>
    <s v="Owned"/>
    <n v="2019"/>
    <s v="Super ace"/>
    <n v="17.582051377297987"/>
    <n v="1.1466290648202664"/>
    <n v="1800"/>
    <n v="9285.0019192570508"/>
    <n v="8374.9947603105538"/>
    <n v="9900"/>
    <n v="27559.996679567605"/>
    <n v="36000"/>
    <n v="63559.996679567601"/>
  </r>
  <r>
    <x v="13"/>
    <s v="Mahindra"/>
    <s v="EMI"/>
    <n v="2019"/>
    <s v="Mahindra"/>
    <n v="16.829787347508621"/>
    <n v="1.3894248629666022"/>
    <n v="2700"/>
    <n v="18194.528820724201"/>
    <n v="11420.447400423482"/>
    <n v="8200"/>
    <n v="37814.976221147685"/>
    <n v="36000"/>
    <n v="73814.976221147692"/>
  </r>
  <r>
    <x v="14"/>
    <s v="Mahindra"/>
    <s v="Owned"/>
    <n v="2020"/>
    <s v="Mahindra"/>
    <n v="9.8332980589745791"/>
    <n v="2.1170956821339351"/>
    <n v="2500"/>
    <n v="24433.001229891568"/>
    <n v="11420.447400423482"/>
    <n v="10200"/>
    <n v="46053.448630315048"/>
    <n v="36000"/>
    <n v="82053.448630315048"/>
  </r>
  <r>
    <x v="15"/>
    <s v="17 ft"/>
    <s v="Owned"/>
    <n v="2012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x v="16"/>
    <s v="19 ft"/>
    <s v="Market"/>
    <s v="NA"/>
    <s v="Eicher 19"/>
    <n v="6.9433969910850388"/>
    <n v="6.3444422201305457"/>
    <n v="2900"/>
    <n v="41971.214224738593"/>
    <n v="17511.352680649339"/>
    <n v="11400"/>
    <n v="70882.566905387939"/>
    <n v="36000"/>
    <n v="106882.56690538794"/>
  </r>
  <r>
    <x v="17"/>
    <s v="14 ft"/>
    <s v="EMI"/>
    <n v="2020"/>
    <s v="Eicher 14"/>
    <n v="8.5572888357740542"/>
    <n v="3.0291773948414247"/>
    <n v="1900"/>
    <n v="22255.780277088084"/>
    <n v="11420.447400423482"/>
    <n v="11900"/>
    <n v="45576.227677511568"/>
    <n v="36000"/>
    <n v="81576.227677511575"/>
  </r>
  <r>
    <x v="17"/>
    <s v="Tata Ace"/>
    <s v="Owned"/>
    <n v="2018"/>
    <s v="Tata Ace"/>
    <n v="17.527489465012966"/>
    <n v="0.78423707313208679"/>
    <n v="1900"/>
    <n v="10865.739812694012"/>
    <n v="6090.9052802258566"/>
    <n v="10700"/>
    <n v="27656.645092919869"/>
    <n v="36000"/>
    <n v="63656.645092919869"/>
  </r>
  <r>
    <x v="18"/>
    <s v="Mahindra"/>
    <s v="Owned"/>
    <n v="2013"/>
    <s v="Mahindra"/>
    <n v="9.8850325042295175"/>
    <n v="1.3434882381767432"/>
    <n v="1800"/>
    <n v="16514.804651662827"/>
    <n v="11420.447400423482"/>
    <n v="8600"/>
    <n v="36535.252052086311"/>
    <n v="36000"/>
    <n v="72535.252052086318"/>
  </r>
  <r>
    <x v="19"/>
    <s v="14 ft"/>
    <s v="Market"/>
    <s v="NA"/>
    <s v="Eicher 14"/>
    <n v="12.597885435760045"/>
    <n v="2.7317924077831095"/>
    <n v="3000"/>
    <n v="18708.575521938008"/>
    <n v="11420.447400423482"/>
    <n v="15100"/>
    <n v="45229.022922361488"/>
    <n v="36000"/>
    <n v="81229.022922361488"/>
  </r>
  <r>
    <x v="19"/>
    <s v="AL Dost"/>
    <s v="EMI"/>
    <n v="2019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x v="19"/>
    <s v="Super ace"/>
    <s v="EMI"/>
    <n v="2018"/>
    <s v="Super ace"/>
    <n v="9.9226528824228826"/>
    <n v="1.6651510049498304"/>
    <n v="3000"/>
    <n v="23752.568379081509"/>
    <n v="8374.9947603105538"/>
    <n v="10500"/>
    <n v="42627.563139392063"/>
    <n v="36000"/>
    <n v="78627.563139392063"/>
  </r>
  <r>
    <x v="20"/>
    <s v="Tata Ace"/>
    <s v="EMI"/>
    <n v="2013"/>
    <s v="Tata Ace"/>
    <n v="18.889971546597494"/>
    <n v="0.79022382032227789"/>
    <n v="3000"/>
    <n v="12476.910857713416"/>
    <n v="6090.9052802258566"/>
    <n v="10700"/>
    <n v="29267.816137939273"/>
    <n v="36000"/>
    <n v="65267.81613793927"/>
  </r>
  <r>
    <x v="20"/>
    <s v="Super ace"/>
    <s v="Owned"/>
    <n v="2015"/>
    <s v="Super ace"/>
    <n v="9.9226528824228826"/>
    <n v="1.6651510049498304"/>
    <n v="3000"/>
    <n v="23752.568379081509"/>
    <n v="8374.9947603105538"/>
    <n v="10500"/>
    <n v="42627.563139392063"/>
    <n v="36000"/>
    <n v="78627.563139392063"/>
  </r>
  <r>
    <x v="21"/>
    <s v="AL Dost"/>
    <s v="EMI"/>
    <n v="2013"/>
    <s v="AL Dost"/>
    <n v="13.451738176402987"/>
    <n v="1.4794834103460122"/>
    <n v="2900"/>
    <n v="21664.323133455633"/>
    <n v="7613.6316002823205"/>
    <n v="7600"/>
    <n v="36877.954733737955"/>
    <n v="36000"/>
    <n v="72877.954733737948"/>
  </r>
  <r>
    <x v="22"/>
    <s v="AL Dost"/>
    <s v="Owned"/>
    <n v="2011"/>
    <s v="AL Dost"/>
    <n v="12.342261159350826"/>
    <n v="1.4205369964896497"/>
    <n v="2400"/>
    <n v="19100.862449123269"/>
    <n v="7613.6316002823205"/>
    <n v="6500"/>
    <n v="33214.494049405592"/>
    <n v="36000"/>
    <n v="69214.494049405592"/>
  </r>
  <r>
    <x v="23"/>
    <s v="14 ft"/>
    <s v="Market"/>
    <s v="NA"/>
    <s v="Eicher 14"/>
    <n v="13.044642984582476"/>
    <n v="2.042136553081618"/>
    <n v="2900"/>
    <n v="22100.936769178697"/>
    <n v="11420.447400423482"/>
    <n v="18700"/>
    <n v="52221.384169602177"/>
    <n v="36000"/>
    <n v="88221.384169602185"/>
  </r>
  <r>
    <x v="23"/>
    <s v="Tata Ace"/>
    <s v="Owned"/>
    <n v="2013"/>
    <s v="Tata Ace"/>
    <n v="17.294647938760768"/>
    <n v="1.0764283836997799"/>
    <n v="2900"/>
    <n v="16669.829348340325"/>
    <n v="6090.9052802258566"/>
    <n v="11500"/>
    <n v="34260.734628566177"/>
    <n v="36000"/>
    <n v="70260.734628566177"/>
  </r>
  <r>
    <x v="24"/>
    <s v="AL Dost"/>
    <s v="Owned"/>
    <n v="2015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x v="25"/>
    <s v="AL Dost"/>
    <s v="Owned"/>
    <n v="2014"/>
    <s v="AL Dost"/>
    <n v="6.5028597954101208"/>
    <n v="1.2307641755925045"/>
    <n v="2900"/>
    <n v="44334.160484631124"/>
    <n v="7613.6316002823205"/>
    <n v="11200"/>
    <n v="63147.792084913446"/>
    <n v="36000"/>
    <n v="99147.792084913439"/>
  </r>
  <r>
    <x v="26"/>
    <s v="Tata Ace"/>
    <s v="EMI"/>
    <n v="2012"/>
    <s v="Tata Ace"/>
    <n v="9.3641429387747763"/>
    <n v="0.9429848152367003"/>
    <n v="2700"/>
    <n v="32700.275181934616"/>
    <n v="6090.9052802258566"/>
    <n v="7800"/>
    <n v="46591.180462160475"/>
    <n v="36000"/>
    <n v="82591.180462160468"/>
  </r>
  <r>
    <x v="27"/>
    <s v="Mahindra"/>
    <s v="EMI"/>
    <n v="2015"/>
    <s v="Mahindra"/>
    <n v="11.216814907083885"/>
    <n v="1.4849540362195355"/>
    <n v="2600"/>
    <n v="18738.720654163106"/>
    <n v="11420.447400423482"/>
    <n v="11200"/>
    <n v="41359.168054586589"/>
    <n v="36000"/>
    <n v="77359.168054586597"/>
  </r>
  <r>
    <x v="28"/>
    <s v="17 ft"/>
    <s v="Market"/>
    <s v="NA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x v="29"/>
    <s v="AL Dost"/>
    <s v="Owned"/>
    <n v="2014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x v="30"/>
    <s v="Pickup"/>
    <s v="Owned"/>
    <n v="2014"/>
    <s v="Pickup"/>
    <n v="13.840671454814565"/>
    <n v="1.6537934308679081"/>
    <n v="1800"/>
    <n v="11794.903254198736"/>
    <n v="9897.7210803670168"/>
    <n v="9300"/>
    <n v="30992.624334565753"/>
    <n v="36000"/>
    <n v="66992.624334565757"/>
  </r>
  <r>
    <x v="30"/>
    <s v="Tata Ace"/>
    <s v="Owned"/>
    <n v="2020"/>
    <s v="Tata Ace"/>
    <n v="15.252132362435546"/>
    <n v="0.44282249549748876"/>
    <n v="1800"/>
    <n v="10703.38080626382"/>
    <n v="6090.9052802258566"/>
    <n v="6200"/>
    <n v="22994.286086489676"/>
    <n v="36000"/>
    <n v="58994.286086489679"/>
  </r>
  <r>
    <x v="31"/>
    <s v="Tata Ace"/>
    <s v="EMI"/>
    <n v="2012"/>
    <s v="Tata Ace"/>
    <n v="17.157710528177709"/>
    <n v="1.0426350561035722"/>
    <n v="3100"/>
    <n v="16815.46394439719"/>
    <n v="6090.9052802258566"/>
    <n v="11800"/>
    <n v="34706.369224623049"/>
    <n v="36000"/>
    <n v="70706.369224623049"/>
  </r>
  <r>
    <x v="32"/>
    <s v="Tata Ace"/>
    <s v="Owned"/>
    <n v="2019"/>
    <s v="Tata Ace"/>
    <n v="17.294647938760768"/>
    <n v="1.0764283836997799"/>
    <n v="2900"/>
    <n v="16669.829348340325"/>
    <n v="6090.9052802258566"/>
    <n v="11500"/>
    <n v="34260.734628566177"/>
    <n v="36000"/>
    <n v="70260.734628566177"/>
  </r>
  <r>
    <x v="33"/>
    <s v="17 ft"/>
    <s v="Market"/>
    <s v="NA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x v="34"/>
    <s v="Tata Ace"/>
    <s v="Owned"/>
    <n v="2020"/>
    <s v="Tata Ace"/>
    <n v="9.3641429387747763"/>
    <n v="0.9429848152367003"/>
    <n v="2700"/>
    <n v="32700.275181934616"/>
    <n v="6090.9052802258566"/>
    <n v="7800"/>
    <n v="46591.180462160475"/>
    <n v="36000"/>
    <n v="82591.180462160468"/>
  </r>
  <r>
    <x v="35"/>
    <s v="Super ace"/>
    <s v="Owned"/>
    <n v="2014"/>
    <s v="Super ace"/>
    <n v="9.9226528824228826"/>
    <n v="1.6651510049498304"/>
    <n v="3000"/>
    <n v="23752.568379081509"/>
    <n v="8374.9947603105538"/>
    <n v="10500"/>
    <n v="42627.563139392063"/>
    <n v="36000"/>
    <n v="78627.563139392063"/>
  </r>
  <r>
    <x v="35"/>
    <s v="AL Dost"/>
    <s v="Owned"/>
    <n v="2018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x v="36"/>
    <s v="Tata Ace"/>
    <s v="Owned"/>
    <n v="2015"/>
    <s v="Tata Ace"/>
    <n v="10.173410042173559"/>
    <n v="1.020976097530419"/>
    <n v="1800"/>
    <n v="14495.51069292958"/>
    <n v="6090.9052802258566"/>
    <n v="9700"/>
    <n v="30286.415973155435"/>
    <n v="36000"/>
    <n v="66286.415973155439"/>
  </r>
  <r>
    <x v="37"/>
    <s v="Mahindra"/>
    <s v="EMI"/>
    <n v="2019"/>
    <s v="Mahindra"/>
    <n v="8.6217992604575731"/>
    <n v="1.7903212444492185"/>
    <n v="2000"/>
    <n v="23052.631423483541"/>
    <n v="11420.447400423482"/>
    <n v="10200"/>
    <n v="44673.078823907024"/>
    <n v="36000"/>
    <n v="80673.078823907024"/>
  </r>
  <r>
    <x v="37"/>
    <s v="Mahindra"/>
    <s v="Owned"/>
    <n v="2018"/>
    <s v="Mahindra"/>
    <n v="8.6217992604575731"/>
    <n v="1.7903212444492185"/>
    <n v="2000"/>
    <n v="23052.631423483541"/>
    <n v="11420.447400423482"/>
    <n v="10200"/>
    <n v="44673.078823907024"/>
    <n v="36000"/>
    <n v="80673.078823907024"/>
  </r>
  <r>
    <x v="38"/>
    <s v="17 ft"/>
    <s v="Market"/>
    <s v="NA"/>
    <s v="Eicher 17"/>
    <n v="6.5525461364709248"/>
    <n v="6.5900268382448797"/>
    <n v="2900"/>
    <n v="44474.742564298867"/>
    <n v="17511.352680649339"/>
    <n v="12500"/>
    <n v="74486.095244948199"/>
    <n v="36000"/>
    <n v="110486.0952449482"/>
  </r>
  <r>
    <x v="39"/>
    <s v="Mahindra"/>
    <s v="EMI"/>
    <n v="2011"/>
    <s v="Mahindra"/>
    <n v="11.216814907083885"/>
    <n v="1.4849540362195355"/>
    <n v="2600"/>
    <n v="18738.720654163106"/>
    <n v="11420.447400423482"/>
    <n v="11200"/>
    <n v="41359.168054586589"/>
    <n v="36000"/>
    <n v="77359.168054586597"/>
  </r>
  <r>
    <x v="40"/>
    <s v="AL Dost"/>
    <s v="Owned"/>
    <n v="2015"/>
    <s v="AL Dost"/>
    <n v="16.206961290646341"/>
    <n v="0.97146367060579686"/>
    <n v="3000"/>
    <n v="14542.423275093808"/>
    <n v="7613.6316002823205"/>
    <n v="10200"/>
    <n v="32356.054875376129"/>
    <n v="36000"/>
    <n v="68356.054875376125"/>
  </r>
  <r>
    <x v="41"/>
    <s v="Tata Ace"/>
    <s v="Owned"/>
    <n v="2019"/>
    <s v="Tata Ace"/>
    <n v="17.294647938760768"/>
    <n v="1.0764283836997799"/>
    <n v="2900"/>
    <n v="16669.829348340325"/>
    <n v="6090.9052802258566"/>
    <n v="11500"/>
    <n v="34260.734628566177"/>
    <n v="36000"/>
    <n v="70260.734628566177"/>
  </r>
  <r>
    <x v="42"/>
    <s v="17 ft"/>
    <s v="Market"/>
    <s v="NA"/>
    <s v="Eicher 17"/>
    <n v="4.6995094079618678"/>
    <n v="2.6680743558814162"/>
    <n v="2600"/>
    <n v="44725.681539693796"/>
    <n v="17511.352680649339"/>
    <n v="11200"/>
    <n v="73437.034220343136"/>
    <n v="36000"/>
    <n v="109437.03422034314"/>
  </r>
  <r>
    <x v="42"/>
    <s v="Mahindra"/>
    <s v="EMI"/>
    <n v="2018"/>
    <s v="Mahindra"/>
    <n v="11.216814907083885"/>
    <n v="1.4849540362195355"/>
    <n v="2600"/>
    <n v="18738.720654163106"/>
    <n v="11420.447400423482"/>
    <n v="11200"/>
    <n v="41359.168054586589"/>
    <n v="36000"/>
    <n v="77359.168054586597"/>
  </r>
  <r>
    <x v="42"/>
    <s v="Pickup"/>
    <s v="EMI"/>
    <n v="2018"/>
    <s v="Pickup"/>
    <n v="8.0856008470429561"/>
    <n v="1.2007936330416782"/>
    <n v="2600"/>
    <n v="25995.441173696705"/>
    <n v="9897.7210803670168"/>
    <n v="9800"/>
    <n v="45693.162254063718"/>
    <n v="36000"/>
    <n v="81693.162254063718"/>
  </r>
  <r>
    <x v="42"/>
    <s v="Tata Ace"/>
    <s v="EMI"/>
    <n v="2014"/>
    <s v="Tata Ace"/>
    <n v="7.7853868200690899"/>
    <n v="0.75264980525332092"/>
    <n v="2600"/>
    <n v="26997.857143266792"/>
    <n v="6090.9052802258566"/>
    <n v="6900"/>
    <n v="39988.762423492648"/>
    <n v="36000"/>
    <n v="75988.762423492648"/>
  </r>
  <r>
    <x v="43"/>
    <s v="Mahindra"/>
    <s v="EMI"/>
    <n v="2019"/>
    <s v="Mahindra"/>
    <n v="12.660297306770655"/>
    <n v="0.76558845019723076"/>
    <n v="1800"/>
    <n v="13447.273572351289"/>
    <n v="11420.447400423482"/>
    <n v="11800"/>
    <n v="36667.720972774769"/>
    <n v="36000"/>
    <n v="72667.720972774769"/>
  </r>
  <r>
    <x v="44"/>
    <s v="20 ft"/>
    <s v="Market"/>
    <s v="NA"/>
    <s v="Eicher 20"/>
    <n v="7"/>
    <n v="6.5"/>
    <n v="1600"/>
    <n v="21097.142857142859"/>
    <n v="19034.079000705802"/>
    <n v="11080"/>
    <n v="51211.221857848665"/>
    <n v="36000"/>
    <n v="87211.221857848665"/>
  </r>
  <r>
    <x v="45"/>
    <s v="AL Dost"/>
    <s v="EMI"/>
    <n v="2010"/>
    <s v="AL Dost"/>
    <n v="13.451738176402987"/>
    <n v="1.4794834103460122"/>
    <n v="2900"/>
    <n v="21664.323133455633"/>
    <n v="7613.6316002823205"/>
    <n v="7600"/>
    <n v="36877.954733737955"/>
    <n v="36000"/>
    <n v="72877.954733737948"/>
  </r>
  <r>
    <x v="46"/>
    <s v="AL Dost"/>
    <s v="EMI"/>
    <n v="2015"/>
    <s v="AL Dost"/>
    <n v="17.133678707427691"/>
    <n v="1.8308787786446832"/>
    <n v="3100"/>
    <n v="16839.049434836263"/>
    <n v="7613.6316002823205"/>
    <n v="11700"/>
    <n v="36152.681035118585"/>
    <n v="36000"/>
    <n v="72152.681035118585"/>
  </r>
  <r>
    <x v="47"/>
    <s v="14 ft"/>
    <s v="EMI"/>
    <n v="2015"/>
    <s v="Eicher 14"/>
    <n v="12.597885435760045"/>
    <n v="2.7317924077831095"/>
    <n v="3000"/>
    <n v="18708.575521938008"/>
    <n v="11420.447400423482"/>
    <n v="15100"/>
    <n v="45229.022922361488"/>
    <n v="36000"/>
    <n v="81229.0229223614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Ownership">
  <location ref="G1:I5" firstHeaderRow="0" firstDataRow="1" firstDataCol="1"/>
  <pivotFields count="16">
    <pivotField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numFmtId="164" showAll="0"/>
    <pivotField dataField="1" showAll="0"/>
    <pivotField numFmtId="6" showAll="0"/>
    <pivotField numFmtId="6" showAll="0"/>
    <pivotField numFmtId="6" showAll="0"/>
    <pivotField numFmtId="166" showAll="0"/>
    <pivotField numFmtId="6" showAll="0"/>
    <pivotField dataField="1" numFmtId="166" showAll="0"/>
  </pivotFields>
  <rowFields count="1">
    <field x="4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M Travelled" fld="9" baseField="0" baseItem="0"/>
    <dataField name="Sum of Total cost " fld="15" baseField="0" baseItem="0" numFmtId="165"/>
  </dataFields>
  <formats count="10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4" count="1">
            <x v="0"/>
          </reference>
        </references>
      </pivotArea>
    </format>
    <format dxfId="6">
      <pivotArea collapsedLevelsAreSubtotals="1" fieldPosition="0">
        <references count="1">
          <reference field="4" count="1">
            <x v="2"/>
          </reference>
        </references>
      </pivotArea>
    </format>
    <format dxfId="5">
      <pivotArea collapsedLevelsAreSubtotals="1" fieldPosition="0">
        <references count="1">
          <reference field="4" count="1">
            <x v="1"/>
          </reference>
        </references>
      </pivotArea>
    </format>
    <format dxfId="4">
      <pivotArea grandRow="1" outline="0" collapsedLevelsAreSubtotals="1" fieldPosition="0"/>
    </format>
    <format dxfId="3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4" count="1">
            <x v="2"/>
          </reference>
        </references>
      </pivotArea>
    </format>
    <format dxfId="0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:E3" firstHeaderRow="1" firstDataRow="1" firstDataCol="1"/>
  <pivotFields count="14">
    <pivotField axis="axisRow" showAll="0">
      <items count="49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t="default"/>
      </items>
    </pivotField>
    <pivotField showAll="0"/>
    <pivotField showAll="0"/>
    <pivotField showAll="0"/>
    <pivotField showAll="0"/>
    <pivotField numFmtId="1" showAll="0"/>
    <pivotField numFmtId="164" showAll="0"/>
    <pivotField showAll="0"/>
    <pivotField numFmtId="6" showAll="0"/>
    <pivotField numFmtId="6" showAll="0"/>
    <pivotField numFmtId="6" showAll="0"/>
    <pivotField numFmtId="166" showAll="0"/>
    <pivotField numFmtId="6" showAll="0"/>
    <pivotField dataField="1" numFmtId="166" showAll="0"/>
  </pivotFields>
  <rowFields count="1">
    <field x="0"/>
  </rowFields>
  <rowItems count="2">
    <i>
      <x v="7"/>
    </i>
    <i t="grand">
      <x/>
    </i>
  </rowItems>
  <colItems count="1">
    <i/>
  </colItems>
  <dataFields count="1">
    <dataField name="Average of Total cost " fld="13" subtotal="average" baseField="0" baseItem="7" numFmtId="165"/>
  </dataFields>
  <formats count="4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5" firstHeaderRow="1" firstDataRow="1" firstDataCol="1"/>
  <pivotFields count="16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" showAll="0"/>
    <pivotField numFmtId="164" showAll="0"/>
    <pivotField showAll="0"/>
    <pivotField numFmtId="6" showAll="0"/>
    <pivotField numFmtId="6" showAll="0"/>
    <pivotField numFmtId="6" showAll="0"/>
    <pivotField dataField="1" numFmtId="166" showAll="0"/>
    <pivotField numFmtId="6" showAll="0"/>
    <pivotField numFmtId="166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Vehicle cost" fld="13" subtotal="average" baseField="4" baseItem="0" numFmtId="165"/>
  </dataFields>
  <formats count="6"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collapsedLevelsAreSubtotals="1" fieldPosition="0">
        <references count="1">
          <reference field="4" count="1">
            <x v="0"/>
          </reference>
        </references>
      </pivotArea>
    </format>
    <format dxfId="16">
      <pivotArea collapsedLevelsAreSubtotals="1" fieldPosition="0">
        <references count="1">
          <reference field="4" count="1">
            <x v="1"/>
          </reference>
        </references>
      </pivotArea>
    </format>
    <format dxfId="15">
      <pivotArea collapsedLevelsAreSubtotals="1" fieldPosition="0">
        <references count="1">
          <reference field="4" count="1">
            <x v="2"/>
          </reference>
        </references>
      </pivotArea>
    </format>
    <format dxfId="1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49" totalsRowShown="0" headerRowDxfId="30" dataDxfId="28" headerRowBorderDxfId="29" tableBorderDxfId="27" totalsRowBorderDxfId="26">
  <autoFilter ref="A1:F49"/>
  <tableColumns count="6">
    <tableColumn id="1" name="OU" dataDxfId="25"/>
    <tableColumn id="7" name="OU Code" dataDxfId="24"/>
    <tableColumn id="2" name="BP name" dataDxfId="23"/>
    <tableColumn id="3" name="Vehicle" dataDxfId="22"/>
    <tableColumn id="4" name="Vehicle ownership" dataDxfId="21"/>
    <tableColumn id="5" name="Year of purchase" dataDxfId="2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49"/>
  <sheetViews>
    <sheetView zoomScaleNormal="100" workbookViewId="0">
      <selection activeCell="C46" sqref="C46"/>
    </sheetView>
  </sheetViews>
  <sheetFormatPr defaultRowHeight="15" x14ac:dyDescent="0.25"/>
  <cols>
    <col min="1" max="1" width="18.42578125" style="6" bestFit="1" customWidth="1"/>
    <col min="2" max="2" width="18.42578125" style="6" customWidth="1"/>
    <col min="3" max="3" width="33.7109375" bestFit="1" customWidth="1"/>
    <col min="4" max="4" width="28.85546875" style="6" bestFit="1" customWidth="1"/>
    <col min="5" max="5" width="40.28515625" style="6" bestFit="1" customWidth="1"/>
    <col min="6" max="6" width="18.85546875" style="6" bestFit="1" customWidth="1"/>
    <col min="7" max="16384" width="9.140625" style="6"/>
  </cols>
  <sheetData>
    <row r="1" spans="1:7" x14ac:dyDescent="0.25">
      <c r="A1" s="9" t="s">
        <v>95</v>
      </c>
      <c r="B1" s="9" t="s">
        <v>154</v>
      </c>
      <c r="C1" s="10" t="s">
        <v>0</v>
      </c>
      <c r="D1" s="10" t="s">
        <v>1</v>
      </c>
      <c r="E1" s="10" t="s">
        <v>137</v>
      </c>
      <c r="F1" s="11" t="s">
        <v>2</v>
      </c>
      <c r="G1"/>
    </row>
    <row r="2" spans="1:7" ht="15" customHeight="1" x14ac:dyDescent="0.25">
      <c r="A2" s="49" t="s">
        <v>99</v>
      </c>
      <c r="B2" s="49" t="s">
        <v>80</v>
      </c>
      <c r="C2" s="50" t="s">
        <v>3</v>
      </c>
      <c r="D2" s="50" t="s">
        <v>4</v>
      </c>
      <c r="E2" s="50" t="s">
        <v>5</v>
      </c>
      <c r="F2" s="51" t="s">
        <v>6</v>
      </c>
    </row>
    <row r="3" spans="1:7" ht="15" customHeight="1" x14ac:dyDescent="0.25">
      <c r="A3" s="49" t="s">
        <v>99</v>
      </c>
      <c r="B3" s="49" t="s">
        <v>80</v>
      </c>
      <c r="C3" s="50" t="s">
        <v>7</v>
      </c>
      <c r="D3" s="50" t="s">
        <v>8</v>
      </c>
      <c r="E3" s="50" t="s">
        <v>9</v>
      </c>
      <c r="F3" s="51" t="s">
        <v>10</v>
      </c>
    </row>
    <row r="4" spans="1:7" ht="15" customHeight="1" x14ac:dyDescent="0.25">
      <c r="A4" s="49" t="s">
        <v>98</v>
      </c>
      <c r="B4" s="49" t="s">
        <v>81</v>
      </c>
      <c r="C4" s="50" t="s">
        <v>11</v>
      </c>
      <c r="D4" s="50" t="s">
        <v>12</v>
      </c>
      <c r="E4" s="50" t="s">
        <v>13</v>
      </c>
      <c r="F4" s="51">
        <v>2014</v>
      </c>
    </row>
    <row r="5" spans="1:7" ht="15" customHeight="1" x14ac:dyDescent="0.25">
      <c r="A5" s="49" t="s">
        <v>109</v>
      </c>
      <c r="B5" s="49" t="s">
        <v>82</v>
      </c>
      <c r="C5" s="50" t="s">
        <v>141</v>
      </c>
      <c r="D5" s="50" t="s">
        <v>14</v>
      </c>
      <c r="E5" s="50" t="s">
        <v>13</v>
      </c>
      <c r="F5" s="51">
        <v>2019</v>
      </c>
    </row>
    <row r="6" spans="1:7" x14ac:dyDescent="0.25">
      <c r="A6" s="49" t="s">
        <v>106</v>
      </c>
      <c r="B6" s="49" t="s">
        <v>83</v>
      </c>
      <c r="C6" s="50" t="s">
        <v>15</v>
      </c>
      <c r="D6" s="50" t="s">
        <v>16</v>
      </c>
      <c r="E6" s="50" t="s">
        <v>13</v>
      </c>
      <c r="F6" s="51">
        <v>2016</v>
      </c>
    </row>
    <row r="7" spans="1:7" x14ac:dyDescent="0.25">
      <c r="A7" s="49" t="s">
        <v>106</v>
      </c>
      <c r="B7" s="49" t="s">
        <v>83</v>
      </c>
      <c r="C7" s="50" t="s">
        <v>17</v>
      </c>
      <c r="D7" s="50" t="s">
        <v>18</v>
      </c>
      <c r="E7" s="50" t="s">
        <v>13</v>
      </c>
      <c r="F7" s="51">
        <v>2012</v>
      </c>
    </row>
    <row r="8" spans="1:7" ht="15" customHeight="1" x14ac:dyDescent="0.25">
      <c r="A8" s="49" t="s">
        <v>96</v>
      </c>
      <c r="B8" s="49" t="s">
        <v>85</v>
      </c>
      <c r="C8" s="50" t="s">
        <v>20</v>
      </c>
      <c r="D8" s="50" t="s">
        <v>18</v>
      </c>
      <c r="E8" s="50" t="s">
        <v>13</v>
      </c>
      <c r="F8" s="51">
        <v>2019</v>
      </c>
    </row>
    <row r="9" spans="1:7" ht="15" customHeight="1" x14ac:dyDescent="0.25">
      <c r="A9" s="49" t="s">
        <v>100</v>
      </c>
      <c r="B9" s="49" t="s">
        <v>86</v>
      </c>
      <c r="C9" s="50" t="s">
        <v>21</v>
      </c>
      <c r="D9" s="50" t="s">
        <v>22</v>
      </c>
      <c r="E9" s="50" t="s">
        <v>134</v>
      </c>
      <c r="F9" s="51" t="s">
        <v>142</v>
      </c>
    </row>
    <row r="10" spans="1:7" ht="15" customHeight="1" x14ac:dyDescent="0.25">
      <c r="A10" s="49" t="s">
        <v>102</v>
      </c>
      <c r="B10" s="49" t="s">
        <v>84</v>
      </c>
      <c r="C10" s="50" t="s">
        <v>23</v>
      </c>
      <c r="D10" s="50" t="s">
        <v>18</v>
      </c>
      <c r="E10" s="50" t="s">
        <v>19</v>
      </c>
      <c r="F10" s="51">
        <v>2016</v>
      </c>
    </row>
    <row r="11" spans="1:7" ht="15" customHeight="1" x14ac:dyDescent="0.25">
      <c r="A11" s="49" t="s">
        <v>97</v>
      </c>
      <c r="B11" s="49" t="s">
        <v>87</v>
      </c>
      <c r="C11" s="50" t="s">
        <v>24</v>
      </c>
      <c r="D11" s="50" t="s">
        <v>25</v>
      </c>
      <c r="E11" s="50" t="s">
        <v>135</v>
      </c>
      <c r="F11" s="51" t="s">
        <v>143</v>
      </c>
    </row>
    <row r="12" spans="1:7" ht="15" customHeight="1" x14ac:dyDescent="0.25">
      <c r="A12" s="49" t="s">
        <v>101</v>
      </c>
      <c r="B12" s="49" t="s">
        <v>88</v>
      </c>
      <c r="C12" s="50" t="s">
        <v>26</v>
      </c>
      <c r="D12" s="50" t="s">
        <v>18</v>
      </c>
      <c r="E12" s="50" t="s">
        <v>13</v>
      </c>
      <c r="F12" s="51">
        <v>2020</v>
      </c>
    </row>
    <row r="13" spans="1:7" ht="15" customHeight="1" x14ac:dyDescent="0.25">
      <c r="A13" s="49" t="s">
        <v>99</v>
      </c>
      <c r="B13" s="49" t="s">
        <v>80</v>
      </c>
      <c r="C13" s="50" t="s">
        <v>27</v>
      </c>
      <c r="D13" s="50" t="s">
        <v>18</v>
      </c>
      <c r="E13" s="50" t="s">
        <v>13</v>
      </c>
      <c r="F13" s="51">
        <v>2010</v>
      </c>
    </row>
    <row r="14" spans="1:7" ht="15" customHeight="1" x14ac:dyDescent="0.25">
      <c r="A14" s="49" t="s">
        <v>103</v>
      </c>
      <c r="B14" s="49" t="s">
        <v>89</v>
      </c>
      <c r="C14" s="50" t="s">
        <v>28</v>
      </c>
      <c r="D14" s="50" t="s">
        <v>29</v>
      </c>
      <c r="E14" s="50" t="s">
        <v>19</v>
      </c>
      <c r="F14" s="51">
        <v>2019</v>
      </c>
    </row>
    <row r="15" spans="1:7" ht="15" customHeight="1" x14ac:dyDescent="0.25">
      <c r="A15" s="49" t="s">
        <v>109</v>
      </c>
      <c r="B15" s="49" t="s">
        <v>82</v>
      </c>
      <c r="C15" s="50" t="s">
        <v>30</v>
      </c>
      <c r="D15" s="50" t="s">
        <v>14</v>
      </c>
      <c r="E15" s="50" t="s">
        <v>13</v>
      </c>
      <c r="F15" s="51">
        <v>2019</v>
      </c>
    </row>
    <row r="16" spans="1:7" ht="15" customHeight="1" x14ac:dyDescent="0.25">
      <c r="A16" s="49" t="s">
        <v>104</v>
      </c>
      <c r="B16" s="49" t="s">
        <v>90</v>
      </c>
      <c r="C16" s="50" t="s">
        <v>31</v>
      </c>
      <c r="D16" s="50" t="s">
        <v>14</v>
      </c>
      <c r="E16" s="50" t="s">
        <v>19</v>
      </c>
      <c r="F16" s="51">
        <v>2020</v>
      </c>
    </row>
    <row r="17" spans="1:6" ht="15" customHeight="1" x14ac:dyDescent="0.25">
      <c r="A17" s="49" t="s">
        <v>98</v>
      </c>
      <c r="B17" s="49" t="s">
        <v>81</v>
      </c>
      <c r="C17" s="50" t="s">
        <v>32</v>
      </c>
      <c r="D17" s="50" t="s">
        <v>12</v>
      </c>
      <c r="E17" s="50" t="s">
        <v>19</v>
      </c>
      <c r="F17" s="51">
        <v>2012</v>
      </c>
    </row>
    <row r="18" spans="1:6" ht="15" customHeight="1" x14ac:dyDescent="0.25">
      <c r="A18" s="49" t="s">
        <v>98</v>
      </c>
      <c r="B18" s="49" t="s">
        <v>81</v>
      </c>
      <c r="C18" s="50" t="s">
        <v>33</v>
      </c>
      <c r="D18" s="50" t="s">
        <v>34</v>
      </c>
      <c r="E18" s="50" t="s">
        <v>9</v>
      </c>
      <c r="F18" s="51" t="s">
        <v>10</v>
      </c>
    </row>
    <row r="19" spans="1:6" ht="15" customHeight="1" x14ac:dyDescent="0.25">
      <c r="A19" s="49" t="s">
        <v>96</v>
      </c>
      <c r="B19" s="49" t="s">
        <v>85</v>
      </c>
      <c r="C19" s="50" t="s">
        <v>35</v>
      </c>
      <c r="D19" s="50" t="s">
        <v>4</v>
      </c>
      <c r="E19" s="50" t="s">
        <v>36</v>
      </c>
      <c r="F19" s="51" t="s">
        <v>37</v>
      </c>
    </row>
    <row r="20" spans="1:6" ht="15" customHeight="1" x14ac:dyDescent="0.25">
      <c r="A20" s="49" t="s">
        <v>103</v>
      </c>
      <c r="B20" s="49" t="s">
        <v>89</v>
      </c>
      <c r="C20" s="50" t="s">
        <v>38</v>
      </c>
      <c r="D20" s="50" t="s">
        <v>14</v>
      </c>
      <c r="E20" s="50" t="s">
        <v>19</v>
      </c>
      <c r="F20" s="51">
        <v>2013</v>
      </c>
    </row>
    <row r="21" spans="1:6" ht="15" customHeight="1" x14ac:dyDescent="0.25">
      <c r="A21" s="49" t="s">
        <v>102</v>
      </c>
      <c r="B21" s="49" t="s">
        <v>84</v>
      </c>
      <c r="C21" s="50" t="s">
        <v>39</v>
      </c>
      <c r="D21" s="50" t="s">
        <v>40</v>
      </c>
      <c r="E21" s="50" t="s">
        <v>136</v>
      </c>
      <c r="F21" s="51" t="s">
        <v>145</v>
      </c>
    </row>
    <row r="22" spans="1:6" ht="15" customHeight="1" x14ac:dyDescent="0.25">
      <c r="A22" s="49" t="s">
        <v>102</v>
      </c>
      <c r="B22" s="49" t="s">
        <v>84</v>
      </c>
      <c r="C22" s="50" t="s">
        <v>41</v>
      </c>
      <c r="D22" s="50" t="s">
        <v>42</v>
      </c>
      <c r="E22" s="50" t="s">
        <v>36</v>
      </c>
      <c r="F22" s="51" t="s">
        <v>43</v>
      </c>
    </row>
    <row r="23" spans="1:6" ht="15" customHeight="1" x14ac:dyDescent="0.25">
      <c r="A23" s="49" t="s">
        <v>98</v>
      </c>
      <c r="B23" s="49" t="s">
        <v>81</v>
      </c>
      <c r="C23" s="50" t="s">
        <v>44</v>
      </c>
      <c r="D23" s="50" t="s">
        <v>16</v>
      </c>
      <c r="E23" s="50" t="s">
        <v>13</v>
      </c>
      <c r="F23" s="51">
        <v>2013</v>
      </c>
    </row>
    <row r="24" spans="1:6" ht="15" customHeight="1" x14ac:dyDescent="0.25">
      <c r="A24" s="49" t="s">
        <v>107</v>
      </c>
      <c r="B24" s="49" t="s">
        <v>91</v>
      </c>
      <c r="C24" s="50" t="s">
        <v>45</v>
      </c>
      <c r="D24" s="50" t="s">
        <v>16</v>
      </c>
      <c r="E24" s="50" t="s">
        <v>19</v>
      </c>
      <c r="F24" s="51">
        <v>2011</v>
      </c>
    </row>
    <row r="25" spans="1:6" ht="15" customHeight="1" x14ac:dyDescent="0.25">
      <c r="A25" s="49" t="s">
        <v>100</v>
      </c>
      <c r="B25" s="49" t="s">
        <v>86</v>
      </c>
      <c r="C25" s="50" t="s">
        <v>46</v>
      </c>
      <c r="D25" s="50" t="s">
        <v>4</v>
      </c>
      <c r="E25" s="50" t="s">
        <v>138</v>
      </c>
      <c r="F25" s="51" t="s">
        <v>144</v>
      </c>
    </row>
    <row r="26" spans="1:6" ht="15" customHeight="1" x14ac:dyDescent="0.25">
      <c r="A26" s="49" t="s">
        <v>102</v>
      </c>
      <c r="B26" s="49" t="s">
        <v>84</v>
      </c>
      <c r="C26" s="50" t="s">
        <v>48</v>
      </c>
      <c r="D26" s="50" t="s">
        <v>16</v>
      </c>
      <c r="E26" s="50" t="s">
        <v>19</v>
      </c>
      <c r="F26" s="51">
        <v>2015</v>
      </c>
    </row>
    <row r="27" spans="1:6" ht="15" customHeight="1" x14ac:dyDescent="0.25">
      <c r="A27" s="49" t="s">
        <v>100</v>
      </c>
      <c r="B27" s="49" t="s">
        <v>86</v>
      </c>
      <c r="C27" s="50" t="s">
        <v>49</v>
      </c>
      <c r="D27" s="50" t="s">
        <v>16</v>
      </c>
      <c r="E27" s="50" t="s">
        <v>19</v>
      </c>
      <c r="F27" s="51">
        <v>2014</v>
      </c>
    </row>
    <row r="28" spans="1:6" ht="15" customHeight="1" x14ac:dyDescent="0.25">
      <c r="A28" s="49" t="s">
        <v>109</v>
      </c>
      <c r="B28" s="49" t="s">
        <v>82</v>
      </c>
      <c r="C28" s="50" t="s">
        <v>50</v>
      </c>
      <c r="D28" s="50" t="s">
        <v>18</v>
      </c>
      <c r="E28" s="50" t="s">
        <v>13</v>
      </c>
      <c r="F28" s="51">
        <v>2012</v>
      </c>
    </row>
    <row r="29" spans="1:6" x14ac:dyDescent="0.25">
      <c r="A29" s="49" t="s">
        <v>106</v>
      </c>
      <c r="B29" s="49" t="s">
        <v>83</v>
      </c>
      <c r="C29" s="50" t="s">
        <v>51</v>
      </c>
      <c r="D29" s="50" t="s">
        <v>14</v>
      </c>
      <c r="E29" s="50" t="s">
        <v>13</v>
      </c>
      <c r="F29" s="51" t="s">
        <v>140</v>
      </c>
    </row>
    <row r="30" spans="1:6" ht="15" customHeight="1" x14ac:dyDescent="0.25">
      <c r="A30" s="49" t="s">
        <v>98</v>
      </c>
      <c r="B30" s="49" t="s">
        <v>81</v>
      </c>
      <c r="C30" s="50" t="s">
        <v>52</v>
      </c>
      <c r="D30" s="50" t="s">
        <v>12</v>
      </c>
      <c r="E30" s="50" t="s">
        <v>9</v>
      </c>
      <c r="F30" s="51" t="s">
        <v>10</v>
      </c>
    </row>
    <row r="31" spans="1:6" ht="15" customHeight="1" x14ac:dyDescent="0.25">
      <c r="A31" s="49" t="s">
        <v>102</v>
      </c>
      <c r="B31" s="49" t="s">
        <v>84</v>
      </c>
      <c r="C31" s="50" t="s">
        <v>53</v>
      </c>
      <c r="D31" s="50" t="s">
        <v>16</v>
      </c>
      <c r="E31" s="50" t="s">
        <v>19</v>
      </c>
      <c r="F31" s="51">
        <v>2014</v>
      </c>
    </row>
    <row r="32" spans="1:6" ht="15" customHeight="1" x14ac:dyDescent="0.25">
      <c r="A32" s="49" t="s">
        <v>103</v>
      </c>
      <c r="B32" s="49" t="s">
        <v>89</v>
      </c>
      <c r="C32" s="50" t="s">
        <v>54</v>
      </c>
      <c r="D32" s="50" t="s">
        <v>55</v>
      </c>
      <c r="E32" s="50" t="s">
        <v>47</v>
      </c>
      <c r="F32" s="51" t="s">
        <v>56</v>
      </c>
    </row>
    <row r="33" spans="1:6" ht="15" customHeight="1" x14ac:dyDescent="0.25">
      <c r="A33" s="49" t="s">
        <v>106</v>
      </c>
      <c r="B33" s="49" t="s">
        <v>88</v>
      </c>
      <c r="C33" s="50" t="s">
        <v>57</v>
      </c>
      <c r="D33" s="50" t="s">
        <v>18</v>
      </c>
      <c r="E33" s="50" t="s">
        <v>13</v>
      </c>
      <c r="F33" s="51">
        <v>2012</v>
      </c>
    </row>
    <row r="34" spans="1:6" ht="15" customHeight="1" x14ac:dyDescent="0.25">
      <c r="A34" s="49" t="s">
        <v>100</v>
      </c>
      <c r="B34" s="49" t="s">
        <v>86</v>
      </c>
      <c r="C34" s="50" t="s">
        <v>58</v>
      </c>
      <c r="D34" s="50" t="s">
        <v>18</v>
      </c>
      <c r="E34" s="50" t="s">
        <v>19</v>
      </c>
      <c r="F34" s="51">
        <v>2019</v>
      </c>
    </row>
    <row r="35" spans="1:6" ht="15" customHeight="1" x14ac:dyDescent="0.25">
      <c r="A35" s="49" t="s">
        <v>98</v>
      </c>
      <c r="B35" s="49" t="s">
        <v>81</v>
      </c>
      <c r="C35" s="50" t="s">
        <v>59</v>
      </c>
      <c r="D35" s="50" t="s">
        <v>12</v>
      </c>
      <c r="E35" s="50" t="s">
        <v>9</v>
      </c>
      <c r="F35" s="51" t="s">
        <v>10</v>
      </c>
    </row>
    <row r="36" spans="1:6" ht="15" customHeight="1" x14ac:dyDescent="0.25">
      <c r="A36" s="49" t="s">
        <v>109</v>
      </c>
      <c r="B36" s="49" t="s">
        <v>82</v>
      </c>
      <c r="C36" s="50" t="s">
        <v>60</v>
      </c>
      <c r="D36" s="50" t="s">
        <v>18</v>
      </c>
      <c r="E36" s="50" t="s">
        <v>19</v>
      </c>
      <c r="F36" s="51">
        <v>2020</v>
      </c>
    </row>
    <row r="37" spans="1:6" ht="15" customHeight="1" x14ac:dyDescent="0.25">
      <c r="A37" s="49" t="s">
        <v>102</v>
      </c>
      <c r="B37" s="49" t="s">
        <v>84</v>
      </c>
      <c r="C37" s="50" t="s">
        <v>61</v>
      </c>
      <c r="D37" s="50" t="s">
        <v>62</v>
      </c>
      <c r="E37" s="50" t="s">
        <v>47</v>
      </c>
      <c r="F37" s="51" t="s">
        <v>63</v>
      </c>
    </row>
    <row r="38" spans="1:6" ht="15" customHeight="1" x14ac:dyDescent="0.25">
      <c r="A38" s="49" t="s">
        <v>108</v>
      </c>
      <c r="B38" s="49" t="s">
        <v>92</v>
      </c>
      <c r="C38" s="50" t="s">
        <v>64</v>
      </c>
      <c r="D38" s="50" t="s">
        <v>18</v>
      </c>
      <c r="E38" s="50" t="s">
        <v>19</v>
      </c>
      <c r="F38" s="51">
        <v>2015</v>
      </c>
    </row>
    <row r="39" spans="1:6" ht="15" customHeight="1" x14ac:dyDescent="0.25">
      <c r="A39" s="49" t="s">
        <v>105</v>
      </c>
      <c r="B39" s="49" t="s">
        <v>93</v>
      </c>
      <c r="C39" s="50" t="s">
        <v>65</v>
      </c>
      <c r="D39" s="50" t="s">
        <v>66</v>
      </c>
      <c r="E39" s="50" t="s">
        <v>36</v>
      </c>
      <c r="F39" s="51" t="s">
        <v>67</v>
      </c>
    </row>
    <row r="40" spans="1:6" ht="15" customHeight="1" x14ac:dyDescent="0.25">
      <c r="A40" s="49" t="s">
        <v>98</v>
      </c>
      <c r="B40" s="49" t="s">
        <v>81</v>
      </c>
      <c r="C40" s="50" t="s">
        <v>68</v>
      </c>
      <c r="D40" s="50" t="s">
        <v>12</v>
      </c>
      <c r="E40" s="50" t="s">
        <v>9</v>
      </c>
      <c r="F40" s="51" t="s">
        <v>10</v>
      </c>
    </row>
    <row r="41" spans="1:6" x14ac:dyDescent="0.25">
      <c r="A41" s="49" t="s">
        <v>106</v>
      </c>
      <c r="B41" s="49" t="s">
        <v>83</v>
      </c>
      <c r="C41" s="50" t="s">
        <v>69</v>
      </c>
      <c r="D41" s="50" t="s">
        <v>14</v>
      </c>
      <c r="E41" s="50" t="s">
        <v>13</v>
      </c>
      <c r="F41" s="51">
        <v>2011</v>
      </c>
    </row>
    <row r="42" spans="1:6" ht="15" customHeight="1" x14ac:dyDescent="0.25">
      <c r="A42" s="49" t="s">
        <v>102</v>
      </c>
      <c r="B42" s="49" t="s">
        <v>84</v>
      </c>
      <c r="C42" s="50" t="s">
        <v>70</v>
      </c>
      <c r="D42" s="50" t="s">
        <v>16</v>
      </c>
      <c r="E42" s="50" t="s">
        <v>19</v>
      </c>
      <c r="F42" s="51">
        <v>2015</v>
      </c>
    </row>
    <row r="43" spans="1:6" ht="15" customHeight="1" x14ac:dyDescent="0.25">
      <c r="A43" s="49" t="s">
        <v>100</v>
      </c>
      <c r="B43" s="49" t="s">
        <v>86</v>
      </c>
      <c r="C43" s="50" t="s">
        <v>71</v>
      </c>
      <c r="D43" s="50" t="s">
        <v>18</v>
      </c>
      <c r="E43" s="50" t="s">
        <v>19</v>
      </c>
      <c r="F43" s="51">
        <v>2019</v>
      </c>
    </row>
    <row r="44" spans="1:6" x14ac:dyDescent="0.25">
      <c r="A44" s="49" t="s">
        <v>106</v>
      </c>
      <c r="B44" s="49" t="s">
        <v>83</v>
      </c>
      <c r="C44" s="50" t="s">
        <v>72</v>
      </c>
      <c r="D44" s="50" t="s">
        <v>73</v>
      </c>
      <c r="E44" s="50" t="s">
        <v>139</v>
      </c>
      <c r="F44" s="51" t="s">
        <v>146</v>
      </c>
    </row>
    <row r="45" spans="1:6" ht="15" customHeight="1" x14ac:dyDescent="0.25">
      <c r="A45" s="49" t="s">
        <v>97</v>
      </c>
      <c r="B45" s="49" t="s">
        <v>87</v>
      </c>
      <c r="C45" s="50" t="s">
        <v>74</v>
      </c>
      <c r="D45" s="50" t="s">
        <v>14</v>
      </c>
      <c r="E45" s="50" t="s">
        <v>13</v>
      </c>
      <c r="F45" s="51">
        <v>2019</v>
      </c>
    </row>
    <row r="46" spans="1:6" ht="15" customHeight="1" x14ac:dyDescent="0.25">
      <c r="A46" s="49" t="s">
        <v>99</v>
      </c>
      <c r="B46" s="49" t="s">
        <v>80</v>
      </c>
      <c r="C46" s="50" t="s">
        <v>75</v>
      </c>
      <c r="D46" s="50" t="s">
        <v>76</v>
      </c>
      <c r="E46" s="50" t="s">
        <v>9</v>
      </c>
      <c r="F46" s="51" t="s">
        <v>10</v>
      </c>
    </row>
    <row r="47" spans="1:6" ht="15" customHeight="1" x14ac:dyDescent="0.25">
      <c r="A47" s="49" t="s">
        <v>101</v>
      </c>
      <c r="B47" s="49" t="s">
        <v>81</v>
      </c>
      <c r="C47" s="50" t="s">
        <v>77</v>
      </c>
      <c r="D47" s="50" t="s">
        <v>16</v>
      </c>
      <c r="E47" s="50" t="s">
        <v>13</v>
      </c>
      <c r="F47" s="51">
        <v>2010</v>
      </c>
    </row>
    <row r="48" spans="1:6" ht="15" customHeight="1" x14ac:dyDescent="0.25">
      <c r="A48" s="49" t="s">
        <v>101</v>
      </c>
      <c r="B48" s="49" t="s">
        <v>88</v>
      </c>
      <c r="C48" s="50" t="s">
        <v>78</v>
      </c>
      <c r="D48" s="50" t="s">
        <v>16</v>
      </c>
      <c r="E48" s="50" t="s">
        <v>13</v>
      </c>
      <c r="F48" s="51">
        <v>2015</v>
      </c>
    </row>
    <row r="49" spans="1:6" ht="15" customHeight="1" x14ac:dyDescent="0.25">
      <c r="A49" s="52" t="s">
        <v>102</v>
      </c>
      <c r="B49" s="49" t="s">
        <v>84</v>
      </c>
      <c r="C49" s="53" t="s">
        <v>79</v>
      </c>
      <c r="D49" s="53" t="s">
        <v>8</v>
      </c>
      <c r="E49" s="53" t="s">
        <v>13</v>
      </c>
      <c r="F49" s="54">
        <v>2015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64"/>
  <sheetViews>
    <sheetView tabSelected="1" workbookViewId="0">
      <pane ySplit="1" topLeftCell="A2" activePane="bottomLeft" state="frozen"/>
      <selection pane="bottomLeft" activeCell="C56" sqref="C56"/>
    </sheetView>
  </sheetViews>
  <sheetFormatPr defaultRowHeight="12.75" x14ac:dyDescent="0.2"/>
  <cols>
    <col min="2" max="2" width="16.42578125" bestFit="1" customWidth="1"/>
    <col min="3" max="3" width="10" customWidth="1"/>
    <col min="4" max="4" width="28.42578125" bestFit="1" customWidth="1"/>
    <col min="5" max="5" width="8.85546875" bestFit="1" customWidth="1"/>
    <col min="6" max="6" width="11.7109375" customWidth="1"/>
    <col min="7" max="7" width="14.140625" customWidth="1"/>
    <col min="8" max="8" width="14" customWidth="1"/>
    <col min="9" max="9" width="9.28515625" customWidth="1"/>
    <col min="10" max="10" width="15.7109375" customWidth="1"/>
    <col min="11" max="11" width="13.28515625" customWidth="1"/>
    <col min="12" max="12" width="10.28515625" customWidth="1"/>
    <col min="13" max="13" width="7.85546875" bestFit="1" customWidth="1"/>
    <col min="14" max="14" width="13.28515625" customWidth="1"/>
    <col min="15" max="15" width="12.42578125" customWidth="1"/>
    <col min="16" max="16" width="11.42578125" customWidth="1"/>
    <col min="17" max="17" width="11" customWidth="1"/>
  </cols>
  <sheetData>
    <row r="1" spans="1:17" x14ac:dyDescent="0.2">
      <c r="A1" s="99" t="s">
        <v>172</v>
      </c>
      <c r="B1" s="75" t="s">
        <v>95</v>
      </c>
      <c r="C1" s="75" t="s">
        <v>154</v>
      </c>
      <c r="D1" s="75" t="s">
        <v>155</v>
      </c>
      <c r="E1" s="75" t="s">
        <v>1</v>
      </c>
      <c r="F1" s="75" t="s">
        <v>156</v>
      </c>
      <c r="G1" s="75" t="s">
        <v>157</v>
      </c>
      <c r="H1" s="75" t="s">
        <v>158</v>
      </c>
      <c r="I1" s="75" t="s">
        <v>94</v>
      </c>
      <c r="J1" s="75" t="s">
        <v>159</v>
      </c>
      <c r="K1" s="75" t="s">
        <v>160</v>
      </c>
      <c r="L1" s="75" t="s">
        <v>161</v>
      </c>
      <c r="M1" s="75" t="s">
        <v>13</v>
      </c>
      <c r="N1" s="75" t="s">
        <v>162</v>
      </c>
      <c r="O1" s="75" t="s">
        <v>163</v>
      </c>
      <c r="P1" s="75" t="s">
        <v>164</v>
      </c>
      <c r="Q1" s="76" t="s">
        <v>165</v>
      </c>
    </row>
    <row r="2" spans="1:17" x14ac:dyDescent="0.2">
      <c r="A2" s="100">
        <v>1</v>
      </c>
      <c r="B2" s="56" t="str">
        <f>Table1[[#This Row],[OU]]</f>
        <v>Vapi</v>
      </c>
      <c r="C2" s="56" t="str">
        <f>Table1[[#This Row],[OU Code]]</f>
        <v>VAPT1</v>
      </c>
      <c r="D2" s="56" t="str">
        <f>Table1[[#This Row],[BP name]]</f>
        <v>AGARWAL SUGANDHA AMIT</v>
      </c>
      <c r="E2" s="56" t="s">
        <v>8</v>
      </c>
      <c r="F2" s="56" t="s">
        <v>13</v>
      </c>
      <c r="G2" s="56">
        <v>2018</v>
      </c>
      <c r="H2" s="56" t="str">
        <f>VLOOKUP(E2,vehicle_mapping!$A$1:$B$11,2,FALSE)</f>
        <v>Eicher 14</v>
      </c>
      <c r="I2" s="57">
        <f>INDEX(AMD_OU_Data!$D$25:$M$38,MATCH(cost_base!$C2,AMD_OU_Data!$C$6:$C$19,0),MATCH(cost_base!$E2,AMD_OU_Data!$D$5:$M$5,0))</f>
        <v>9</v>
      </c>
      <c r="J2" s="58">
        <f>INDEX(AMD_OU_Data!$D$6:$M$19,MATCH(cost_base!C2,AMD_OU_Data!$C$6:$C$19,0), MATCH(cost_base!E2,AMD_OU_Data!$D$5:$M$5,0))</f>
        <v>2.5</v>
      </c>
      <c r="K2" s="56">
        <f>INDEX(AMD_OU_Data!$D$43:$D$56,MATCH(cost_base!C2,AMD_OU_Data!$C$43:$C$56,0))</f>
        <v>1600</v>
      </c>
      <c r="L2" s="59">
        <f>(K2/I2)*INDEX(AMD_OU_Data!$E$43:$E$56,MATCH(cost_base!C2,AMD_OU_Data!$C$43:$C$56,0))</f>
        <v>16408.888888888887</v>
      </c>
      <c r="M2" s="59">
        <f>VLOOKUP(H2,AMD_EMI_Data!$A$7:$E$26,5,FALSE)</f>
        <v>11420.447400423482</v>
      </c>
      <c r="N2" s="59">
        <f>INDEX(AMD_OU_Data!$D$61:$M$74,MATCH(cost_base!C2,AMD_OU_Data!$C$61:$C$74,0),MATCH(cost_base!E2,AMD_OU_Data!$D$60:$M$60,0))</f>
        <v>9580</v>
      </c>
      <c r="O2" s="60">
        <f>cost_base!$L2+cost_base!$M2+cost_base!$N2</f>
        <v>37409.33628931237</v>
      </c>
      <c r="P2" s="59">
        <f t="shared" ref="P2:P8" si="0">((20000*1)+(8000*2))</f>
        <v>36000</v>
      </c>
      <c r="Q2" s="61">
        <f>cost_base!$O2+cost_base!$P2</f>
        <v>73409.33628931237</v>
      </c>
    </row>
    <row r="3" spans="1:17" x14ac:dyDescent="0.2">
      <c r="A3" s="101">
        <v>2</v>
      </c>
      <c r="B3" s="62" t="str">
        <f>Table1[[#This Row],[OU]]</f>
        <v>Vapi</v>
      </c>
      <c r="C3" s="62" t="str">
        <f>partner_vehicles_form_AMD!B2</f>
        <v>VAPT1</v>
      </c>
      <c r="D3" s="62" t="str">
        <f>partner_vehicles_form_AMD!C2</f>
        <v>AGARWAL SUGANDHA AMIT</v>
      </c>
      <c r="E3" s="62" t="s">
        <v>18</v>
      </c>
      <c r="F3" s="62" t="s">
        <v>13</v>
      </c>
      <c r="G3" s="62">
        <v>2017</v>
      </c>
      <c r="H3" s="62" t="str">
        <f>VLOOKUP(E3,vehicle_mapping!$A$1:$B$11,2,FALSE)</f>
        <v>Tata Ace</v>
      </c>
      <c r="I3" s="63">
        <f>INDEX(AMD_OU_Data!$D$25:$M$38,MATCH(cost_base!$C3,AMD_OU_Data!$C$6:$C$19,0),MATCH(cost_base!$E3,AMD_OU_Data!$D$5:$M$5,0))</f>
        <v>14</v>
      </c>
      <c r="J3" s="64">
        <f>INDEX(AMD_OU_Data!$D$6:$M$19,MATCH(cost_base!C3,AMD_OU_Data!$C$6:$C$19,0), MATCH(cost_base!E3,AMD_OU_Data!$D$5:$M$5,0))</f>
        <v>0.75</v>
      </c>
      <c r="K3" s="62">
        <f>INDEX(AMD_OU_Data!$D$43:$D$56,MATCH(cost_base!C3,AMD_OU_Data!$C$43:$C$56,0))</f>
        <v>1600</v>
      </c>
      <c r="L3" s="65">
        <f>(K3/I3)*INDEX(AMD_OU_Data!$E$43:$E$56,MATCH(cost_base!C3,AMD_OU_Data!$C$43:$C$56,0))</f>
        <v>10548.571428571429</v>
      </c>
      <c r="M3" s="65">
        <f>VLOOKUP(H3,AMD_EMI_Data!$A$7:$E$26,5,FALSE)</f>
        <v>6090.9052802258566</v>
      </c>
      <c r="N3" s="65">
        <f>INDEX(AMD_OU_Data!$D$61:$M$74,MATCH(cost_base!C3,AMD_OU_Data!$C$61:$C$74,0),MATCH(cost_base!E3,AMD_OU_Data!$D$60:$M$60,0))</f>
        <v>5880</v>
      </c>
      <c r="O3" s="66">
        <f>cost_base!$L3+cost_base!$M3+cost_base!$N3</f>
        <v>22519.476708797287</v>
      </c>
      <c r="P3" s="65">
        <f t="shared" si="0"/>
        <v>36000</v>
      </c>
      <c r="Q3" s="67">
        <f>cost_base!$O3+cost_base!$P3</f>
        <v>58519.476708797287</v>
      </c>
    </row>
    <row r="4" spans="1:17" x14ac:dyDescent="0.2">
      <c r="A4" s="100">
        <v>3</v>
      </c>
      <c r="B4" s="56" t="str">
        <f>partner_vehicles_form_AMD!A3</f>
        <v>Vapi</v>
      </c>
      <c r="C4" s="56" t="str">
        <f>partner_vehicles_form_AMD!B3</f>
        <v>VAPT1</v>
      </c>
      <c r="D4" s="56" t="str">
        <f>partner_vehicles_form_AMD!C3</f>
        <v>Amit Ramesh Agarwal</v>
      </c>
      <c r="E4" s="56" t="s">
        <v>8</v>
      </c>
      <c r="F4" s="56" t="s">
        <v>9</v>
      </c>
      <c r="G4" s="68" t="s">
        <v>10</v>
      </c>
      <c r="H4" s="56" t="str">
        <f>VLOOKUP(E4,vehicle_mapping!$A$1:$B$11,2,FALSE)</f>
        <v>Eicher 14</v>
      </c>
      <c r="I4" s="57">
        <f>INDEX(AMD_OU_Data!$D$25:$M$38,MATCH(cost_base!$C4,AMD_OU_Data!$C$6:$C$19,0),MATCH(cost_base!$E4,AMD_OU_Data!$D$5:$M$5,0))</f>
        <v>9</v>
      </c>
      <c r="J4" s="58">
        <f>INDEX(AMD_OU_Data!$D$6:$M$19,MATCH(cost_base!C4,AMD_OU_Data!$C$6:$C$19,0), MATCH(cost_base!E4,AMD_OU_Data!$D$5:$M$5,0))</f>
        <v>2.5</v>
      </c>
      <c r="K4" s="56">
        <f>INDEX(AMD_OU_Data!$D$43:$D$56,MATCH(cost_base!C4,AMD_OU_Data!$C$43:$C$56,0))</f>
        <v>1600</v>
      </c>
      <c r="L4" s="59">
        <f>(K4/I4)*INDEX(AMD_OU_Data!$E$43:$E$56,MATCH(cost_base!C4,AMD_OU_Data!$C$43:$C$56,0))</f>
        <v>16408.888888888887</v>
      </c>
      <c r="M4" s="59">
        <f>VLOOKUP(H4,AMD_EMI_Data!$A$7:$E$26,5,FALSE)</f>
        <v>11420.447400423482</v>
      </c>
      <c r="N4" s="59">
        <f>INDEX(AMD_OU_Data!$D$61:$M$74,MATCH(cost_base!C4,AMD_OU_Data!$C$61:$C$74,0),MATCH(cost_base!E4,AMD_OU_Data!$D$60:$M$60,0))</f>
        <v>9580</v>
      </c>
      <c r="O4" s="60">
        <f>cost_base!$L4+cost_base!$M4+cost_base!$N4</f>
        <v>37409.33628931237</v>
      </c>
      <c r="P4" s="59">
        <f t="shared" si="0"/>
        <v>36000</v>
      </c>
      <c r="Q4" s="61">
        <f>cost_base!$O4+cost_base!$P4</f>
        <v>73409.33628931237</v>
      </c>
    </row>
    <row r="5" spans="1:17" s="48" customFormat="1" x14ac:dyDescent="0.2">
      <c r="A5" s="101">
        <v>4</v>
      </c>
      <c r="B5" s="62" t="str">
        <f>partner_vehicles_form_AMD!A4</f>
        <v>Ahmedabad Branch</v>
      </c>
      <c r="C5" s="62" t="str">
        <f>partner_vehicles_form_AMD!B4</f>
        <v>AMDT1</v>
      </c>
      <c r="D5" s="62" t="str">
        <f>partner_vehicles_form_AMD!C4</f>
        <v>ASHISH SAXENA</v>
      </c>
      <c r="E5" s="62" t="s">
        <v>12</v>
      </c>
      <c r="F5" s="62" t="s">
        <v>13</v>
      </c>
      <c r="G5" s="62">
        <v>2014</v>
      </c>
      <c r="H5" s="62" t="str">
        <f>VLOOKUP(E5,vehicle_mapping!$A$1:$B$11,2,FALSE)</f>
        <v>Eicher 17</v>
      </c>
      <c r="I5" s="63">
        <f>INDEX(AMD_OU_Data!$D$25:$M$38,MATCH(cost_base!$C5,AMD_OU_Data!$C$6:$C$19,0),MATCH(cost_base!$E5,AMD_OU_Data!$D$5:$M$5,0))</f>
        <v>6.5525461364709248</v>
      </c>
      <c r="J5" s="64">
        <f>INDEX(AMD_OU_Data!$D$6:$M$19,MATCH(cost_base!C5,AMD_OU_Data!$C$6:$C$19,0), MATCH(cost_base!E5,AMD_OU_Data!$D$5:$M$5,0))</f>
        <v>6.5900268382448797</v>
      </c>
      <c r="K5" s="62">
        <f>INDEX(AMD_OU_Data!$D$43:$D$56,MATCH(cost_base!C5,AMD_OU_Data!$C$43:$C$56,0))</f>
        <v>2900</v>
      </c>
      <c r="L5" s="65">
        <f>(K5/I5)*INDEX(AMD_OU_Data!$E$43:$E$56,MATCH(cost_base!C5,AMD_OU_Data!$C$43:$C$56,0))</f>
        <v>44474.742564298867</v>
      </c>
      <c r="M5" s="65">
        <f>VLOOKUP(H5,AMD_EMI_Data!$A$7:$E$26,5,FALSE)</f>
        <v>17511.352680649339</v>
      </c>
      <c r="N5" s="65">
        <f>INDEX(AMD_OU_Data!$D$61:$M$74,MATCH(cost_base!C5,AMD_OU_Data!$C$61:$C$74,0),MATCH(cost_base!E5,AMD_OU_Data!$D$60:$M$60,0))</f>
        <v>12500</v>
      </c>
      <c r="O5" s="66">
        <f>cost_base!$L5+cost_base!$M5+cost_base!$N5</f>
        <v>74486.095244948199</v>
      </c>
      <c r="P5" s="65">
        <f t="shared" si="0"/>
        <v>36000</v>
      </c>
      <c r="Q5" s="67">
        <f>cost_base!$O5+cost_base!$P5</f>
        <v>110486.0952449482</v>
      </c>
    </row>
    <row r="6" spans="1:17" x14ac:dyDescent="0.2">
      <c r="A6" s="100">
        <v>5</v>
      </c>
      <c r="B6" s="56" t="str">
        <f>partner_vehicles_form_AMD!A5</f>
        <v>Gandhi Nager</v>
      </c>
      <c r="C6" s="56" t="str">
        <f>partner_vehicles_form_AMD!B5</f>
        <v>GNCB1</v>
      </c>
      <c r="D6" s="56" t="str">
        <f>partner_vehicles_form_AMD!C5</f>
        <v>Ashok Kumar_GNCB1</v>
      </c>
      <c r="E6" s="56" t="s">
        <v>14</v>
      </c>
      <c r="F6" s="56" t="s">
        <v>13</v>
      </c>
      <c r="G6" s="56">
        <v>2019</v>
      </c>
      <c r="H6" s="56" t="str">
        <f>VLOOKUP(E6,vehicle_mapping!$A$1:$B$11,2,FALSE)</f>
        <v>Mahindra</v>
      </c>
      <c r="I6" s="57">
        <f>INDEX(AMD_OU_Data!$D$25:$M$38,MATCH(cost_base!$C6,AMD_OU_Data!$C$6:$C$19,0),MATCH(cost_base!$E6,AMD_OU_Data!$D$5:$M$5,0))</f>
        <v>16.829787347508621</v>
      </c>
      <c r="J6" s="58">
        <f>INDEX(AMD_OU_Data!$D$6:$M$19,MATCH(cost_base!C6,AMD_OU_Data!$C$6:$C$19,0), MATCH(cost_base!E6,AMD_OU_Data!$D$5:$M$5,0))</f>
        <v>1.3894248629666022</v>
      </c>
      <c r="K6" s="56">
        <f>INDEX(AMD_OU_Data!$D$43:$D$56,MATCH(cost_base!C6,AMD_OU_Data!$C$43:$C$56,0))</f>
        <v>2700</v>
      </c>
      <c r="L6" s="59">
        <f>(K6/I6)*INDEX(AMD_OU_Data!$E$43:$E$56,MATCH(cost_base!C6,AMD_OU_Data!$C$43:$C$56,0))</f>
        <v>18194.528820724201</v>
      </c>
      <c r="M6" s="59">
        <f>VLOOKUP(H6,AMD_EMI_Data!$A$7:$E$26,5,FALSE)</f>
        <v>11420.447400423482</v>
      </c>
      <c r="N6" s="59">
        <f>INDEX(AMD_OU_Data!$D$61:$M$74,MATCH(cost_base!C6,AMD_OU_Data!$C$61:$C$74,0),MATCH(cost_base!E6,AMD_OU_Data!$D$60:$M$60,0))</f>
        <v>8200</v>
      </c>
      <c r="O6" s="60">
        <f>cost_base!$L6+cost_base!$M6+cost_base!$N6</f>
        <v>37814.976221147685</v>
      </c>
      <c r="P6" s="59">
        <f t="shared" si="0"/>
        <v>36000</v>
      </c>
      <c r="Q6" s="61">
        <f>cost_base!$O6+cost_base!$P6</f>
        <v>73814.976221147692</v>
      </c>
    </row>
    <row r="7" spans="1:17" x14ac:dyDescent="0.2">
      <c r="A7" s="101">
        <v>6</v>
      </c>
      <c r="B7" s="62" t="str">
        <f>partner_vehicles_form_AMD!A6</f>
        <v>Rampura Branch</v>
      </c>
      <c r="C7" s="62" t="str">
        <f>partner_vehicles_form_AMD!B6</f>
        <v>AMDBP</v>
      </c>
      <c r="D7" s="62" t="str">
        <f>partner_vehicles_form_AMD!C6</f>
        <v>BELIM RIYAZUDDIN MEHBOOBBHAI</v>
      </c>
      <c r="E7" s="62" t="s">
        <v>16</v>
      </c>
      <c r="F7" s="62" t="s">
        <v>13</v>
      </c>
      <c r="G7" s="62">
        <v>2016</v>
      </c>
      <c r="H7" s="62" t="str">
        <f>VLOOKUP(E7,vehicle_mapping!$A$1:$B$11,2,FALSE)</f>
        <v>AL Dost</v>
      </c>
      <c r="I7" s="63">
        <f>INDEX(AMD_OU_Data!$D$25:$M$38,MATCH(cost_base!$C7,AMD_OU_Data!$C$6:$C$19,0),MATCH(cost_base!$E7,AMD_OU_Data!$D$5:$M$5,0))</f>
        <v>15.340744990271009</v>
      </c>
      <c r="J7" s="64">
        <f>INDEX(AMD_OU_Data!$D$6:$M$19,MATCH(cost_base!C7,AMD_OU_Data!$C$6:$C$19,0), MATCH(cost_base!E7,AMD_OU_Data!$D$5:$M$5,0))</f>
        <v>1.5806763812306639</v>
      </c>
      <c r="K7" s="62">
        <f>INDEX(AMD_OU_Data!$D$43:$D$56,MATCH(cost_base!C7,AMD_OU_Data!$C$43:$C$56,0))</f>
        <v>2600</v>
      </c>
      <c r="L7" s="65">
        <f>(K7/I7)*INDEX(AMD_OU_Data!$E$43:$E$56,MATCH(cost_base!C7,AMD_OU_Data!$C$43:$C$56,0))</f>
        <v>13701.339883206299</v>
      </c>
      <c r="M7" s="65">
        <f>VLOOKUP(H7,AMD_EMI_Data!$A$7:$E$26,5,FALSE)</f>
        <v>7613.6316002823205</v>
      </c>
      <c r="N7" s="65">
        <f>INDEX(AMD_OU_Data!$D$61:$M$74,MATCH(cost_base!C7,AMD_OU_Data!$C$61:$C$74,0),MATCH(cost_base!E7,AMD_OU_Data!$D$60:$M$60,0))</f>
        <v>11400</v>
      </c>
      <c r="O7" s="66">
        <f>cost_base!$L7+cost_base!$M7+cost_base!$N7</f>
        <v>32714.971483488618</v>
      </c>
      <c r="P7" s="65">
        <f t="shared" si="0"/>
        <v>36000</v>
      </c>
      <c r="Q7" s="67">
        <f>cost_base!$O7+cost_base!$P7</f>
        <v>68714.971483488625</v>
      </c>
    </row>
    <row r="8" spans="1:17" x14ac:dyDescent="0.2">
      <c r="A8" s="100">
        <v>7</v>
      </c>
      <c r="B8" s="56" t="str">
        <f>partner_vehicles_form_AMD!A7</f>
        <v>Rampura Branch</v>
      </c>
      <c r="C8" s="56" t="str">
        <f>partner_vehicles_form_AMD!B7</f>
        <v>AMDBP</v>
      </c>
      <c r="D8" s="56" t="str">
        <f>partner_vehicles_form_AMD!C7</f>
        <v>Bharat madhusing lodha</v>
      </c>
      <c r="E8" s="56" t="s">
        <v>18</v>
      </c>
      <c r="F8" s="56" t="s">
        <v>13</v>
      </c>
      <c r="G8" s="56">
        <v>2012</v>
      </c>
      <c r="H8" s="56" t="str">
        <f>VLOOKUP(E8,vehicle_mapping!$A$1:$B$11,2,FALSE)</f>
        <v>Tata Ace</v>
      </c>
      <c r="I8" s="57">
        <f>INDEX(AMD_OU_Data!$D$25:$M$38,MATCH(cost_base!$C8,AMD_OU_Data!$C$6:$C$19,0),MATCH(cost_base!$E8,AMD_OU_Data!$D$5:$M$5,0))</f>
        <v>7.7853868200690899</v>
      </c>
      <c r="J8" s="58">
        <f>INDEX(AMD_OU_Data!$D$6:$M$19,MATCH(cost_base!C8,AMD_OU_Data!$C$6:$C$19,0), MATCH(cost_base!E8,AMD_OU_Data!$D$5:$M$5,0))</f>
        <v>0.75264980525332092</v>
      </c>
      <c r="K8" s="56">
        <f>INDEX(AMD_OU_Data!$D$43:$D$56,MATCH(cost_base!C8,AMD_OU_Data!$C$43:$C$56,0))</f>
        <v>2600</v>
      </c>
      <c r="L8" s="59">
        <f>(K8/I8)*INDEX(AMD_OU_Data!$E$43:$E$56,MATCH(cost_base!C8,AMD_OU_Data!$C$43:$C$56,0))</f>
        <v>26997.857143266792</v>
      </c>
      <c r="M8" s="59">
        <f>VLOOKUP(H8,AMD_EMI_Data!$A$7:$E$26,5,FALSE)</f>
        <v>6090.9052802258566</v>
      </c>
      <c r="N8" s="59">
        <f>INDEX(AMD_OU_Data!$D$61:$M$74,MATCH(cost_base!C8,AMD_OU_Data!$C$61:$C$74,0),MATCH(cost_base!E8,AMD_OU_Data!$D$60:$M$60,0))</f>
        <v>6900</v>
      </c>
      <c r="O8" s="60">
        <f>cost_base!$L8+cost_base!$M8+cost_base!$N8</f>
        <v>39988.762423492648</v>
      </c>
      <c r="P8" s="59">
        <f t="shared" si="0"/>
        <v>36000</v>
      </c>
      <c r="Q8" s="61">
        <f>cost_base!$O8+cost_base!$P8</f>
        <v>75988.762423492648</v>
      </c>
    </row>
    <row r="9" spans="1:17" x14ac:dyDescent="0.2">
      <c r="A9" s="101">
        <v>8</v>
      </c>
      <c r="B9" s="62" t="str">
        <f>partner_vehicles_form_AMD!A8</f>
        <v>Jamnager</v>
      </c>
      <c r="C9" s="62" t="str">
        <f>partner_vehicles_form_AMD!B8</f>
        <v>JGAB1</v>
      </c>
      <c r="D9" s="62" t="str">
        <f>partner_vehicles_form_AMD!C8</f>
        <v>DENISH B. BAVARIYA</v>
      </c>
      <c r="E9" s="62" t="s">
        <v>18</v>
      </c>
      <c r="F9" s="62" t="s">
        <v>13</v>
      </c>
      <c r="G9" s="62">
        <v>2019</v>
      </c>
      <c r="H9" s="62" t="str">
        <f>VLOOKUP(E9,vehicle_mapping!$A$1:$B$11,2,FALSE)</f>
        <v>Tata Ace</v>
      </c>
      <c r="I9" s="63">
        <f>INDEX(AMD_OU_Data!$D$25:$M$38,MATCH(cost_base!$C9,AMD_OU_Data!$C$6:$C$19,0),MATCH(cost_base!$E9,AMD_OU_Data!$D$5:$M$5,0))</f>
        <v>17.527489465012966</v>
      </c>
      <c r="J9" s="64">
        <f>INDEX(AMD_OU_Data!$D$6:$M$19,MATCH(cost_base!C9,AMD_OU_Data!$C$6:$C$19,0), MATCH(cost_base!E9,AMD_OU_Data!$D$5:$M$5,0))</f>
        <v>0.78423707313208679</v>
      </c>
      <c r="K9" s="62">
        <f>INDEX(AMD_OU_Data!$D$43:$D$56,MATCH(cost_base!C9,AMD_OU_Data!$C$43:$C$56,0))</f>
        <v>1900</v>
      </c>
      <c r="L9" s="65">
        <f>(K9/I9)*INDEX(AMD_OU_Data!$E$43:$E$56,MATCH(cost_base!C9,AMD_OU_Data!$C$43:$C$56,0))</f>
        <v>10865.739812694012</v>
      </c>
      <c r="M9" s="65">
        <f>VLOOKUP(H9,AMD_EMI_Data!$A$7:$E$26,5,FALSE)</f>
        <v>6090.9052802258566</v>
      </c>
      <c r="N9" s="65">
        <f>INDEX(AMD_OU_Data!$D$61:$M$74,MATCH(cost_base!C9,AMD_OU_Data!$C$61:$C$74,0),MATCH(cost_base!E9,AMD_OU_Data!$D$60:$M$60,0))</f>
        <v>10700</v>
      </c>
      <c r="O9" s="66">
        <f>cost_base!$L9+cost_base!$M9+cost_base!$N9</f>
        <v>27656.645092919869</v>
      </c>
      <c r="P9" s="65">
        <f t="shared" ref="P9:P64" si="1">((20000*1)+(8000*2))</f>
        <v>36000</v>
      </c>
      <c r="Q9" s="67">
        <f>cost_base!$O9+cost_base!$P9</f>
        <v>63656.645092919869</v>
      </c>
    </row>
    <row r="10" spans="1:17" x14ac:dyDescent="0.2">
      <c r="A10" s="100">
        <v>9</v>
      </c>
      <c r="B10" s="56" t="str">
        <f>partner_vehicles_form_AMD!A9</f>
        <v>Surat</v>
      </c>
      <c r="C10" s="56" t="str">
        <f>partner_vehicles_form_AMD!B9</f>
        <v>STVT1</v>
      </c>
      <c r="D10" s="56" t="str">
        <f>partner_vehicles_form_AMD!C9</f>
        <v>Devendar Vanga</v>
      </c>
      <c r="E10" s="56" t="s">
        <v>8</v>
      </c>
      <c r="F10" s="56" t="s">
        <v>13</v>
      </c>
      <c r="G10" s="56">
        <v>2016</v>
      </c>
      <c r="H10" s="56" t="str">
        <f>VLOOKUP(E10,vehicle_mapping!$A$1:$B$11,2,FALSE)</f>
        <v>Eicher 14</v>
      </c>
      <c r="I10" s="57">
        <f>INDEX(AMD_OU_Data!$D$25:$M$38,MATCH(cost_base!$C10,AMD_OU_Data!$C$6:$C$19,0),MATCH(cost_base!$E10,AMD_OU_Data!$D$5:$M$5,0))</f>
        <v>13.044642984582476</v>
      </c>
      <c r="J10" s="58">
        <f>INDEX(AMD_OU_Data!$D$6:$M$19,MATCH(cost_base!C10,AMD_OU_Data!$C$6:$C$19,0), MATCH(cost_base!E10,AMD_OU_Data!$D$5:$M$5,0))</f>
        <v>2.042136553081618</v>
      </c>
      <c r="K10" s="56">
        <f>INDEX(AMD_OU_Data!$D$43:$D$56,MATCH(cost_base!C10,AMD_OU_Data!$C$43:$C$56,0))</f>
        <v>2900</v>
      </c>
      <c r="L10" s="59">
        <f>(K10/I10)*INDEX(AMD_OU_Data!$E$43:$E$56,MATCH(cost_base!C10,AMD_OU_Data!$C$43:$C$56,0))</f>
        <v>22100.936769178697</v>
      </c>
      <c r="M10" s="59">
        <f>VLOOKUP(H10,AMD_EMI_Data!$A$7:$E$26,5,FALSE)</f>
        <v>11420.447400423482</v>
      </c>
      <c r="N10" s="59">
        <f>INDEX(AMD_OU_Data!$D$61:$M$74,MATCH(cost_base!C10,AMD_OU_Data!$C$61:$C$74,0),MATCH(cost_base!E10,AMD_OU_Data!$D$60:$M$60,0))</f>
        <v>18700</v>
      </c>
      <c r="O10" s="60">
        <f>cost_base!$L10+cost_base!$M10+cost_base!$N10</f>
        <v>52221.384169602177</v>
      </c>
      <c r="P10" s="59">
        <f t="shared" si="1"/>
        <v>36000</v>
      </c>
      <c r="Q10" s="61">
        <f>cost_base!$O10+cost_base!$P10</f>
        <v>88221.384169602185</v>
      </c>
    </row>
    <row r="11" spans="1:17" x14ac:dyDescent="0.2">
      <c r="A11" s="101">
        <v>10</v>
      </c>
      <c r="B11" s="62" t="str">
        <f>partner_vehicles_form_AMD!A9</f>
        <v>Surat</v>
      </c>
      <c r="C11" s="62" t="str">
        <f>partner_vehicles_form_AMD!B9</f>
        <v>STVT1</v>
      </c>
      <c r="D11" s="62" t="str">
        <f>partner_vehicles_form_AMD!C9</f>
        <v>Devendar Vanga</v>
      </c>
      <c r="E11" s="62" t="s">
        <v>12</v>
      </c>
      <c r="F11" s="62" t="s">
        <v>13</v>
      </c>
      <c r="G11" s="62">
        <v>2017</v>
      </c>
      <c r="H11" s="62" t="str">
        <f>VLOOKUP(E11,vehicle_mapping!$A$1:$B$11,2,FALSE)</f>
        <v>Eicher 17</v>
      </c>
      <c r="I11" s="63">
        <f>INDEX(AMD_OU_Data!$D$25:$M$38,MATCH(cost_base!$C11,AMD_OU_Data!$C$6:$C$19,0),MATCH(cost_base!$E11,AMD_OU_Data!$D$5:$M$5,0))</f>
        <v>7.7766332599738792</v>
      </c>
      <c r="J11" s="64">
        <f>INDEX(AMD_OU_Data!$D$6:$M$19,MATCH(cost_base!C11,AMD_OU_Data!$C$6:$C$19,0), MATCH(cost_base!E11,AMD_OU_Data!$D$5:$M$5,0))</f>
        <v>5.1635046388777424</v>
      </c>
      <c r="K11" s="62">
        <f>INDEX(AMD_OU_Data!$D$43:$D$56,MATCH(cost_base!C11,AMD_OU_Data!$C$43:$C$56,0))</f>
        <v>2900</v>
      </c>
      <c r="L11" s="65">
        <f>(K11/I11)*INDEX(AMD_OU_Data!$E$43:$E$56,MATCH(cost_base!C11,AMD_OU_Data!$C$43:$C$56,0))</f>
        <v>37072.44769566723</v>
      </c>
      <c r="M11" s="65">
        <f>VLOOKUP(H11,AMD_EMI_Data!$A$7:$E$26,5,FALSE)</f>
        <v>17511.352680649339</v>
      </c>
      <c r="N11" s="65">
        <f>INDEX(AMD_OU_Data!$D$61:$M$74,MATCH(cost_base!C11,AMD_OU_Data!$C$61:$C$74,0),MATCH(cost_base!E11,AMD_OU_Data!$D$60:$M$60,0))</f>
        <v>15600</v>
      </c>
      <c r="O11" s="66">
        <f>cost_base!$L11+cost_base!$M11+cost_base!$N11</f>
        <v>70183.800376316562</v>
      </c>
      <c r="P11" s="65">
        <f t="shared" si="1"/>
        <v>36000</v>
      </c>
      <c r="Q11" s="67">
        <f>cost_base!$O11+cost_base!$P11</f>
        <v>106183.80037631656</v>
      </c>
    </row>
    <row r="12" spans="1:17" x14ac:dyDescent="0.2">
      <c r="A12" s="100">
        <v>11</v>
      </c>
      <c r="B12" s="56" t="str">
        <f>partner_vehicles_form_AMD!A9</f>
        <v>Surat</v>
      </c>
      <c r="C12" s="56" t="str">
        <f>partner_vehicles_form_AMD!B9</f>
        <v>STVT1</v>
      </c>
      <c r="D12" s="56" t="str">
        <f>partner_vehicles_form_AMD!C9</f>
        <v>Devendar Vanga</v>
      </c>
      <c r="E12" s="56" t="s">
        <v>125</v>
      </c>
      <c r="F12" s="56" t="s">
        <v>9</v>
      </c>
      <c r="G12" s="68" t="s">
        <v>10</v>
      </c>
      <c r="H12" s="56" t="str">
        <f>VLOOKUP(E12,vehicle_mapping!$A$1:$B$11,2,FALSE)</f>
        <v>22 ft</v>
      </c>
      <c r="I12" s="57">
        <f>INDEX(AMD_OU_Data!$D$25:$M$38,MATCH(cost_base!$C12,AMD_OU_Data!$C$6:$C$19,0),MATCH(cost_base!$E12,AMD_OU_Data!$D$5:$M$5,0))</f>
        <v>6.653749290515103</v>
      </c>
      <c r="J12" s="58">
        <f>INDEX(AMD_OU_Data!$D$6:$M$19,MATCH(cost_base!C12,AMD_OU_Data!$C$6:$C$19,0), MATCH(cost_base!E12,AMD_OU_Data!$D$5:$M$5,0))</f>
        <v>8.2407106661901022</v>
      </c>
      <c r="K12" s="56">
        <f>INDEX(AMD_OU_Data!$D$43:$D$56,MATCH(cost_base!C12,AMD_OU_Data!$C$43:$C$56,0))</f>
        <v>2900</v>
      </c>
      <c r="L12" s="59">
        <f>(K12/I12)*INDEX(AMD_OU_Data!$E$43:$E$56,MATCH(cost_base!C12,AMD_OU_Data!$C$43:$C$56,0))</f>
        <v>43328.778586493601</v>
      </c>
      <c r="M12" s="59">
        <f>VLOOKUP(H12,AMD_EMI_Data!$A$7:$E$26,5,FALSE)</f>
        <v>21318.1684807905</v>
      </c>
      <c r="N12" s="59">
        <f>INDEX(AMD_OU_Data!$D$61:$M$74,MATCH(cost_base!C12,AMD_OU_Data!$C$61:$C$74,0),MATCH(cost_base!E12,AMD_OU_Data!$D$60:$M$60,0))</f>
        <v>22100</v>
      </c>
      <c r="O12" s="60">
        <f>cost_base!$L12+cost_base!$M12+cost_base!$N12</f>
        <v>86746.947067284098</v>
      </c>
      <c r="P12" s="59">
        <f t="shared" si="1"/>
        <v>36000</v>
      </c>
      <c r="Q12" s="61">
        <f>cost_base!$O12+cost_base!$P12</f>
        <v>122746.9470672841</v>
      </c>
    </row>
    <row r="13" spans="1:17" x14ac:dyDescent="0.2">
      <c r="A13" s="101">
        <v>12</v>
      </c>
      <c r="B13" s="62" t="str">
        <f>partner_vehicles_form_AMD!A10</f>
        <v>Vadodara</v>
      </c>
      <c r="C13" s="62" t="str">
        <f>partner_vehicles_form_AMD!B10</f>
        <v>BDQT1</v>
      </c>
      <c r="D13" s="62" t="str">
        <f>partner_vehicles_form_AMD!C10</f>
        <v>Devendra r. mistry</v>
      </c>
      <c r="E13" s="62" t="s">
        <v>18</v>
      </c>
      <c r="F13" s="62" t="s">
        <v>19</v>
      </c>
      <c r="G13" s="62">
        <v>2016</v>
      </c>
      <c r="H13" s="62" t="str">
        <f>VLOOKUP(E13,vehicle_mapping!$A$1:$B$11,2,FALSE)</f>
        <v>Tata Ace</v>
      </c>
      <c r="I13" s="63">
        <f>INDEX(AMD_OU_Data!$D$25:$M$38,MATCH(cost_base!$C13,AMD_OU_Data!$C$6:$C$19,0),MATCH(cost_base!$E13,AMD_OU_Data!$D$5:$M$5,0))</f>
        <v>18.889971546597494</v>
      </c>
      <c r="J13" s="64">
        <f>INDEX(AMD_OU_Data!$D$6:$M$19,MATCH(cost_base!C13,AMD_OU_Data!$C$6:$C$19,0), MATCH(cost_base!E13,AMD_OU_Data!$D$5:$M$5,0))</f>
        <v>0.79022382032227789</v>
      </c>
      <c r="K13" s="62">
        <f>INDEX(AMD_OU_Data!$D$43:$D$56,MATCH(cost_base!C13,AMD_OU_Data!$C$43:$C$56,0))</f>
        <v>3000</v>
      </c>
      <c r="L13" s="65">
        <f>(K13/I13)*INDEX(AMD_OU_Data!$E$43:$E$56,MATCH(cost_base!C13,AMD_OU_Data!$C$43:$C$56,0))</f>
        <v>12476.910857713416</v>
      </c>
      <c r="M13" s="65">
        <f>VLOOKUP(H13,AMD_EMI_Data!$A$7:$E$26,5,FALSE)</f>
        <v>6090.9052802258566</v>
      </c>
      <c r="N13" s="65">
        <f>INDEX(AMD_OU_Data!$D$61:$M$74,MATCH(cost_base!C13,AMD_OU_Data!$C$61:$C$74,0),MATCH(cost_base!E13,AMD_OU_Data!$D$60:$M$60,0))</f>
        <v>10700</v>
      </c>
      <c r="O13" s="66">
        <f>cost_base!$L13+cost_base!$M13+cost_base!$N13</f>
        <v>29267.816137939273</v>
      </c>
      <c r="P13" s="65">
        <f t="shared" si="1"/>
        <v>36000</v>
      </c>
      <c r="Q13" s="67">
        <f>cost_base!$O13+cost_base!$P13</f>
        <v>65267.81613793927</v>
      </c>
    </row>
    <row r="14" spans="1:17" x14ac:dyDescent="0.2">
      <c r="A14" s="100">
        <v>13</v>
      </c>
      <c r="B14" s="56" t="str">
        <f>partner_vehicles_form_AMD!A11</f>
        <v>Ahmmedabad City</v>
      </c>
      <c r="C14" s="56" t="str">
        <f>partner_vehicles_form_AMD!B11</f>
        <v>AMDBL</v>
      </c>
      <c r="D14" s="56" t="str">
        <f>partner_vehicles_form_AMD!C11</f>
        <v>Dharmendra Sharma</v>
      </c>
      <c r="E14" s="56" t="s">
        <v>8</v>
      </c>
      <c r="F14" s="56" t="s">
        <v>13</v>
      </c>
      <c r="G14" s="56">
        <v>2013</v>
      </c>
      <c r="H14" s="56" t="str">
        <f>VLOOKUP(E14,vehicle_mapping!$A$1:$B$11,2,FALSE)</f>
        <v>Eicher 14</v>
      </c>
      <c r="I14" s="57">
        <f>INDEX(AMD_OU_Data!$D$25:$M$38,MATCH(cost_base!$C14,AMD_OU_Data!$C$6:$C$19,0),MATCH(cost_base!$E14,AMD_OU_Data!$D$5:$M$5,0))</f>
        <v>9.095012736983012</v>
      </c>
      <c r="J14" s="58">
        <f>INDEX(AMD_OU_Data!$D$6:$M$19,MATCH(cost_base!C14,AMD_OU_Data!$C$6:$C$19,0), MATCH(cost_base!E14,AMD_OU_Data!$D$5:$M$5,0))</f>
        <v>2.4855141620694923</v>
      </c>
      <c r="K14" s="56">
        <f>INDEX(AMD_OU_Data!$D$43:$D$56,MATCH(cost_base!C14,AMD_OU_Data!$C$43:$C$56,0))</f>
        <v>1800</v>
      </c>
      <c r="L14" s="59">
        <f>(K14/I14)*INDEX(AMD_OU_Data!$E$43:$E$56,MATCH(cost_base!C14,AMD_OU_Data!$C$43:$C$56,0))</f>
        <v>18718.663328438746</v>
      </c>
      <c r="M14" s="59">
        <f>VLOOKUP(H14,AMD_EMI_Data!$A$7:$E$26,5,FALSE)</f>
        <v>11420.447400423482</v>
      </c>
      <c r="N14" s="59">
        <f>INDEX(AMD_OU_Data!$D$61:$M$74,MATCH(cost_base!C14,AMD_OU_Data!$C$61:$C$74,0),MATCH(cost_base!E14,AMD_OU_Data!$D$60:$M$60,0))</f>
        <v>12000</v>
      </c>
      <c r="O14" s="60">
        <f>cost_base!$L14+cost_base!$M14+cost_base!$N14</f>
        <v>42139.11072886223</v>
      </c>
      <c r="P14" s="59">
        <f t="shared" si="1"/>
        <v>36000</v>
      </c>
      <c r="Q14" s="61">
        <f>cost_base!$O14+cost_base!$P14</f>
        <v>78139.11072886223</v>
      </c>
    </row>
    <row r="15" spans="1:17" x14ac:dyDescent="0.2">
      <c r="A15" s="101">
        <v>14</v>
      </c>
      <c r="B15" s="62" t="str">
        <f>partner_vehicles_form_AMD!A11</f>
        <v>Ahmmedabad City</v>
      </c>
      <c r="C15" s="62" t="str">
        <f>partner_vehicles_form_AMD!B11</f>
        <v>AMDBL</v>
      </c>
      <c r="D15" s="62" t="str">
        <f>partner_vehicles_form_AMD!C11</f>
        <v>Dharmendra Sharma</v>
      </c>
      <c r="E15" s="62" t="s">
        <v>34</v>
      </c>
      <c r="F15" s="62" t="s">
        <v>9</v>
      </c>
      <c r="G15" s="69" t="s">
        <v>10</v>
      </c>
      <c r="H15" s="62" t="str">
        <f>VLOOKUP(E15,vehicle_mapping!$A$1:$B$11,2,FALSE)</f>
        <v>Eicher 19</v>
      </c>
      <c r="I15" s="63">
        <f>INDEX(AMD_OU_Data!$D$25:$M$38,MATCH(cost_base!$C15,AMD_OU_Data!$C$6:$C$19,0),MATCH(cost_base!$E15,AMD_OU_Data!$D$5:$M$5,0))</f>
        <v>3.5462174548919334</v>
      </c>
      <c r="J15" s="64">
        <f>INDEX(AMD_OU_Data!$D$6:$M$19,MATCH(cost_base!C15,AMD_OU_Data!$C$6:$C$19,0), MATCH(cost_base!E15,AMD_OU_Data!$D$5:$M$5,0))</f>
        <v>8.6536756158497194</v>
      </c>
      <c r="K15" s="62">
        <f>INDEX(AMD_OU_Data!$D$43:$D$56,MATCH(cost_base!C15,AMD_OU_Data!$C$43:$C$56,0))</f>
        <v>1800</v>
      </c>
      <c r="L15" s="65">
        <f>(K15/I15)*INDEX(AMD_OU_Data!$E$43:$E$56,MATCH(cost_base!C15,AMD_OU_Data!$C$43:$C$56,0))</f>
        <v>48007.908019457667</v>
      </c>
      <c r="M15" s="65">
        <f>VLOOKUP(H15,AMD_EMI_Data!$A$7:$E$26,5,FALSE)</f>
        <v>17511.352680649339</v>
      </c>
      <c r="N15" s="65">
        <f>INDEX(AMD_OU_Data!$D$61:$M$74,MATCH(cost_base!C15,AMD_OU_Data!$C$61:$C$74,0),MATCH(cost_base!E15,AMD_OU_Data!$D$60:$M$60,0))</f>
        <v>19000</v>
      </c>
      <c r="O15" s="66">
        <f>cost_base!$L15+cost_base!$M15+cost_base!$N15</f>
        <v>84519.260700106999</v>
      </c>
      <c r="P15" s="65">
        <f t="shared" si="1"/>
        <v>36000</v>
      </c>
      <c r="Q15" s="67">
        <f>cost_base!$O15+cost_base!$P15</f>
        <v>120519.260700107</v>
      </c>
    </row>
    <row r="16" spans="1:17" x14ac:dyDescent="0.2">
      <c r="A16" s="100">
        <v>15</v>
      </c>
      <c r="B16" s="56" t="str">
        <f>partner_vehicles_form_AMD!A12</f>
        <v>Sanand</v>
      </c>
      <c r="C16" s="56" t="str">
        <f>partner_vehicles_form_AMD!B12</f>
        <v>AMDBC</v>
      </c>
      <c r="D16" s="56" t="str">
        <f>partner_vehicles_form_AMD!C12</f>
        <v>DINESHBHAI MOHANBHAI SOLANKI</v>
      </c>
      <c r="E16" s="56" t="s">
        <v>18</v>
      </c>
      <c r="F16" s="56" t="s">
        <v>13</v>
      </c>
      <c r="G16" s="56">
        <v>2020</v>
      </c>
      <c r="H16" s="56" t="str">
        <f>VLOOKUP(E16,vehicle_mapping!$A$1:$B$11,2,FALSE)</f>
        <v>Tata Ace</v>
      </c>
      <c r="I16" s="57">
        <f>INDEX(AMD_OU_Data!$D$25:$M$38,MATCH(cost_base!$C16,AMD_OU_Data!$C$6:$C$19,0),MATCH(cost_base!$E16,AMD_OU_Data!$D$5:$M$5,0))</f>
        <v>17.157710528177709</v>
      </c>
      <c r="J16" s="58">
        <f>INDEX(AMD_OU_Data!$D$6:$M$19,MATCH(cost_base!C16,AMD_OU_Data!$C$6:$C$19,0), MATCH(cost_base!E16,AMD_OU_Data!$D$5:$M$5,0))</f>
        <v>1.0426350561035722</v>
      </c>
      <c r="K16" s="56">
        <f>INDEX(AMD_OU_Data!$D$43:$D$56,MATCH(cost_base!C16,AMD_OU_Data!$C$43:$C$56,0))</f>
        <v>3100</v>
      </c>
      <c r="L16" s="59">
        <f>(K16/I16)*INDEX(AMD_OU_Data!$E$43:$E$56,MATCH(cost_base!C16,AMD_OU_Data!$C$43:$C$56,0))</f>
        <v>16815.46394439719</v>
      </c>
      <c r="M16" s="59">
        <f>VLOOKUP(H16,AMD_EMI_Data!$A$7:$E$26,5,FALSE)</f>
        <v>6090.9052802258566</v>
      </c>
      <c r="N16" s="59">
        <f>INDEX(AMD_OU_Data!$D$61:$M$74,MATCH(cost_base!C16,AMD_OU_Data!$C$61:$C$74,0),MATCH(cost_base!E16,AMD_OU_Data!$D$60:$M$60,0))</f>
        <v>11800</v>
      </c>
      <c r="O16" s="60">
        <f>cost_base!$L16+cost_base!$M16+cost_base!$N16</f>
        <v>34706.369224623049</v>
      </c>
      <c r="P16" s="59">
        <f t="shared" si="1"/>
        <v>36000</v>
      </c>
      <c r="Q16" s="61">
        <f>cost_base!$O16+cost_base!$P16</f>
        <v>70706.369224623049</v>
      </c>
    </row>
    <row r="17" spans="1:17" x14ac:dyDescent="0.2">
      <c r="A17" s="101">
        <v>16</v>
      </c>
      <c r="B17" s="62" t="str">
        <f>partner_vehicles_form_AMD!A13</f>
        <v>Vapi</v>
      </c>
      <c r="C17" s="62" t="str">
        <f>partner_vehicles_form_AMD!B13</f>
        <v>VAPT1</v>
      </c>
      <c r="D17" s="62" t="str">
        <f>partner_vehicles_form_AMD!C13</f>
        <v>EKTA AGARWAL</v>
      </c>
      <c r="E17" s="62" t="s">
        <v>18</v>
      </c>
      <c r="F17" s="62" t="s">
        <v>13</v>
      </c>
      <c r="G17" s="62">
        <v>2010</v>
      </c>
      <c r="H17" s="62" t="str">
        <f>VLOOKUP(E17,vehicle_mapping!$A$1:$B$11,2,FALSE)</f>
        <v>Tata Ace</v>
      </c>
      <c r="I17" s="63">
        <f>INDEX(AMD_OU_Data!$D$25:$M$38,MATCH(cost_base!$C17,AMD_OU_Data!$C$6:$C$19,0),MATCH(cost_base!$E17,AMD_OU_Data!$D$5:$M$5,0))</f>
        <v>14</v>
      </c>
      <c r="J17" s="64">
        <f>INDEX(AMD_OU_Data!$D$6:$M$19,MATCH(cost_base!C17,AMD_OU_Data!$C$6:$C$19,0), MATCH(cost_base!E17,AMD_OU_Data!$D$5:$M$5,0))</f>
        <v>0.75</v>
      </c>
      <c r="K17" s="62">
        <f>INDEX(AMD_OU_Data!$D$43:$D$56,MATCH(cost_base!C17,AMD_OU_Data!$C$43:$C$56,0))</f>
        <v>1600</v>
      </c>
      <c r="L17" s="65">
        <f>(K17/I17)*INDEX(AMD_OU_Data!$E$43:$E$56,MATCH(cost_base!C17,AMD_OU_Data!$C$43:$C$56,0))</f>
        <v>10548.571428571429</v>
      </c>
      <c r="M17" s="65">
        <f>VLOOKUP(H17,AMD_EMI_Data!$A$7:$E$26,5,FALSE)</f>
        <v>6090.9052802258566</v>
      </c>
      <c r="N17" s="65">
        <f>INDEX(AMD_OU_Data!$D$61:$M$74,MATCH(cost_base!C17,AMD_OU_Data!$C$61:$C$74,0),MATCH(cost_base!E17,AMD_OU_Data!$D$60:$M$60,0))</f>
        <v>5880</v>
      </c>
      <c r="O17" s="66">
        <f>cost_base!$L17+cost_base!$M17+cost_base!$N17</f>
        <v>22519.476708797287</v>
      </c>
      <c r="P17" s="65">
        <f t="shared" si="1"/>
        <v>36000</v>
      </c>
      <c r="Q17" s="67">
        <f>cost_base!$O17+cost_base!$P17</f>
        <v>58519.476708797287</v>
      </c>
    </row>
    <row r="18" spans="1:17" x14ac:dyDescent="0.2">
      <c r="A18" s="100">
        <v>17</v>
      </c>
      <c r="B18" s="56" t="str">
        <f>partner_vehicles_form_AMD!A14</f>
        <v>Rajkot</v>
      </c>
      <c r="C18" s="56" t="str">
        <f>partner_vehicles_form_AMD!B14</f>
        <v>RAJB1</v>
      </c>
      <c r="D18" s="56" t="str">
        <f>partner_vehicles_form_AMD!C14</f>
        <v>FAIZILA Theba</v>
      </c>
      <c r="E18" s="56" t="s">
        <v>29</v>
      </c>
      <c r="F18" s="56" t="s">
        <v>19</v>
      </c>
      <c r="G18" s="56">
        <v>2019</v>
      </c>
      <c r="H18" s="56" t="str">
        <f>VLOOKUP(E18,vehicle_mapping!$A$1:$B$11,2,FALSE)</f>
        <v>Super ace</v>
      </c>
      <c r="I18" s="57">
        <f>INDEX(AMD_OU_Data!$D$25:$M$38,MATCH(cost_base!$C18,AMD_OU_Data!$C$6:$C$19,0),MATCH(cost_base!$E18,AMD_OU_Data!$D$5:$M$5,0))</f>
        <v>17.582051377297987</v>
      </c>
      <c r="J18" s="58">
        <f>INDEX(AMD_OU_Data!$D$6:$M$19,MATCH(cost_base!C18,AMD_OU_Data!$C$6:$C$19,0), MATCH(cost_base!E18,AMD_OU_Data!$D$5:$M$5,0))</f>
        <v>1.1466290648202664</v>
      </c>
      <c r="K18" s="56">
        <f>INDEX(AMD_OU_Data!$D$43:$D$56,MATCH(cost_base!C18,AMD_OU_Data!$C$43:$C$56,0))</f>
        <v>1800</v>
      </c>
      <c r="L18" s="59">
        <f>(K18/I18)*INDEX(AMD_OU_Data!$E$43:$E$56,MATCH(cost_base!C18,AMD_OU_Data!$C$43:$C$56,0))</f>
        <v>9285.0019192570508</v>
      </c>
      <c r="M18" s="59">
        <f>VLOOKUP(H18,AMD_EMI_Data!$A$7:$E$26,5,FALSE)</f>
        <v>8374.9947603105538</v>
      </c>
      <c r="N18" s="59">
        <f>INDEX(AMD_OU_Data!$D$61:$M$74,MATCH(cost_base!C18,AMD_OU_Data!$C$61:$C$74,0),MATCH(cost_base!E18,AMD_OU_Data!$D$60:$M$60,0))</f>
        <v>9900</v>
      </c>
      <c r="O18" s="60">
        <f>cost_base!$L18+cost_base!$M18+cost_base!$N18</f>
        <v>27559.996679567605</v>
      </c>
      <c r="P18" s="59">
        <f t="shared" si="1"/>
        <v>36000</v>
      </c>
      <c r="Q18" s="61">
        <f>cost_base!$O18+cost_base!$P18</f>
        <v>63559.996679567601</v>
      </c>
    </row>
    <row r="19" spans="1:17" x14ac:dyDescent="0.2">
      <c r="A19" s="101">
        <v>18</v>
      </c>
      <c r="B19" s="62" t="str">
        <f>partner_vehicles_form_AMD!A15</f>
        <v>Gandhi Nager</v>
      </c>
      <c r="C19" s="62" t="str">
        <f>partner_vehicles_form_AMD!B15</f>
        <v>GNCB1</v>
      </c>
      <c r="D19" s="62" t="str">
        <f>partner_vehicles_form_AMD!C15</f>
        <v>GAJRAJSINGH B RATHOD</v>
      </c>
      <c r="E19" s="62" t="s">
        <v>14</v>
      </c>
      <c r="F19" s="62" t="s">
        <v>13</v>
      </c>
      <c r="G19" s="62">
        <v>2019</v>
      </c>
      <c r="H19" s="62" t="str">
        <f>VLOOKUP(E19,vehicle_mapping!$A$1:$B$11,2,FALSE)</f>
        <v>Mahindra</v>
      </c>
      <c r="I19" s="63">
        <f>INDEX(AMD_OU_Data!$D$25:$M$38,MATCH(cost_base!$C19,AMD_OU_Data!$C$6:$C$19,0),MATCH(cost_base!$E19,AMD_OU_Data!$D$5:$M$5,0))</f>
        <v>16.829787347508621</v>
      </c>
      <c r="J19" s="64">
        <f>INDEX(AMD_OU_Data!$D$6:$M$19,MATCH(cost_base!C19,AMD_OU_Data!$C$6:$C$19,0), MATCH(cost_base!E19,AMD_OU_Data!$D$5:$M$5,0))</f>
        <v>1.3894248629666022</v>
      </c>
      <c r="K19" s="62">
        <f>INDEX(AMD_OU_Data!$D$43:$D$56,MATCH(cost_base!C19,AMD_OU_Data!$C$43:$C$56,0))</f>
        <v>2700</v>
      </c>
      <c r="L19" s="65">
        <f>(K19/I19)*INDEX(AMD_OU_Data!$E$43:$E$56,MATCH(cost_base!C19,AMD_OU_Data!$C$43:$C$56,0))</f>
        <v>18194.528820724201</v>
      </c>
      <c r="M19" s="65">
        <f>VLOOKUP(H19,AMD_EMI_Data!$A$7:$E$26,5,FALSE)</f>
        <v>11420.447400423482</v>
      </c>
      <c r="N19" s="65">
        <f>INDEX(AMD_OU_Data!$D$61:$M$74,MATCH(cost_base!C19,AMD_OU_Data!$C$61:$C$74,0),MATCH(cost_base!E19,AMD_OU_Data!$D$60:$M$60,0))</f>
        <v>8200</v>
      </c>
      <c r="O19" s="66">
        <f>cost_base!$L19+cost_base!$M19+cost_base!$N19</f>
        <v>37814.976221147685</v>
      </c>
      <c r="P19" s="65">
        <f t="shared" si="1"/>
        <v>36000</v>
      </c>
      <c r="Q19" s="67">
        <f>cost_base!$O19+cost_base!$P19</f>
        <v>73814.976221147692</v>
      </c>
    </row>
    <row r="20" spans="1:17" x14ac:dyDescent="0.2">
      <c r="A20" s="100">
        <v>19</v>
      </c>
      <c r="B20" s="56" t="str">
        <f>partner_vehicles_form_AMD!A16</f>
        <v>Bhavnager</v>
      </c>
      <c r="C20" s="56" t="str">
        <f>partner_vehicles_form_AMD!B16</f>
        <v>BVCB1</v>
      </c>
      <c r="D20" s="56" t="str">
        <f>partner_vehicles_form_AMD!C16</f>
        <v>GOHIL RAGHUVIRSINH R</v>
      </c>
      <c r="E20" s="56" t="s">
        <v>14</v>
      </c>
      <c r="F20" s="56" t="s">
        <v>19</v>
      </c>
      <c r="G20" s="56">
        <v>2020</v>
      </c>
      <c r="H20" s="56" t="str">
        <f>VLOOKUP(E20,vehicle_mapping!$A$1:$B$11,2,FALSE)</f>
        <v>Mahindra</v>
      </c>
      <c r="I20" s="57">
        <f>INDEX(AMD_OU_Data!$D$25:$M$38,MATCH(cost_base!$C20,AMD_OU_Data!$C$6:$C$19,0),MATCH(cost_base!$E20,AMD_OU_Data!$D$5:$M$5,0))</f>
        <v>9.8332980589745791</v>
      </c>
      <c r="J20" s="58">
        <f>INDEX(AMD_OU_Data!$D$6:$M$19,MATCH(cost_base!C20,AMD_OU_Data!$C$6:$C$19,0), MATCH(cost_base!E20,AMD_OU_Data!$D$5:$M$5,0))</f>
        <v>2.1170956821339351</v>
      </c>
      <c r="K20" s="56">
        <f>INDEX(AMD_OU_Data!$D$43:$D$56,MATCH(cost_base!C20,AMD_OU_Data!$C$43:$C$56,0))</f>
        <v>2500</v>
      </c>
      <c r="L20" s="59">
        <f>(K20/I20)*INDEX(AMD_OU_Data!$E$43:$E$56,MATCH(cost_base!C20,AMD_OU_Data!$C$43:$C$56,0))</f>
        <v>24433.001229891568</v>
      </c>
      <c r="M20" s="59">
        <f>VLOOKUP(H20,AMD_EMI_Data!$A$7:$E$26,5,FALSE)</f>
        <v>11420.447400423482</v>
      </c>
      <c r="N20" s="59">
        <f>INDEX(AMD_OU_Data!$D$61:$M$74,MATCH(cost_base!C20,AMD_OU_Data!$C$61:$C$74,0),MATCH(cost_base!E20,AMD_OU_Data!$D$60:$M$60,0))</f>
        <v>10200</v>
      </c>
      <c r="O20" s="60">
        <f>cost_base!$L20+cost_base!$M20+cost_base!$N20</f>
        <v>46053.448630315048</v>
      </c>
      <c r="P20" s="59">
        <f t="shared" si="1"/>
        <v>36000</v>
      </c>
      <c r="Q20" s="61">
        <f>cost_base!$O20+cost_base!$P20</f>
        <v>82053.448630315048</v>
      </c>
    </row>
    <row r="21" spans="1:17" x14ac:dyDescent="0.2">
      <c r="A21" s="101">
        <v>20</v>
      </c>
      <c r="B21" s="62" t="str">
        <f>partner_vehicles_form_AMD!A17</f>
        <v>Ahmedabad Branch</v>
      </c>
      <c r="C21" s="62" t="str">
        <f>partner_vehicles_form_AMD!B17</f>
        <v>AMDT1</v>
      </c>
      <c r="D21" s="62" t="str">
        <f>partner_vehicles_form_AMD!C17</f>
        <v>Gulamhusen Mohamad Ghanchi</v>
      </c>
      <c r="E21" s="62" t="s">
        <v>12</v>
      </c>
      <c r="F21" s="62" t="s">
        <v>19</v>
      </c>
      <c r="G21" s="62">
        <v>2012</v>
      </c>
      <c r="H21" s="62" t="str">
        <f>VLOOKUP(E21,vehicle_mapping!$A$1:$B$11,2,FALSE)</f>
        <v>Eicher 17</v>
      </c>
      <c r="I21" s="63">
        <f>INDEX(AMD_OU_Data!$D$25:$M$38,MATCH(cost_base!$C21,AMD_OU_Data!$C$6:$C$19,0),MATCH(cost_base!$E21,AMD_OU_Data!$D$5:$M$5,0))</f>
        <v>6.5525461364709248</v>
      </c>
      <c r="J21" s="64">
        <f>INDEX(AMD_OU_Data!$D$6:$M$19,MATCH(cost_base!C21,AMD_OU_Data!$C$6:$C$19,0), MATCH(cost_base!E21,AMD_OU_Data!$D$5:$M$5,0))</f>
        <v>6.5900268382448797</v>
      </c>
      <c r="K21" s="62">
        <f>INDEX(AMD_OU_Data!$D$43:$D$56,MATCH(cost_base!C21,AMD_OU_Data!$C$43:$C$56,0))</f>
        <v>2900</v>
      </c>
      <c r="L21" s="65">
        <f>(K21/I21)*INDEX(AMD_OU_Data!$E$43:$E$56,MATCH(cost_base!C21,AMD_OU_Data!$C$43:$C$56,0))</f>
        <v>44474.742564298867</v>
      </c>
      <c r="M21" s="65">
        <f>VLOOKUP(H21,AMD_EMI_Data!$A$7:$E$26,5,FALSE)</f>
        <v>17511.352680649339</v>
      </c>
      <c r="N21" s="65">
        <f>INDEX(AMD_OU_Data!$D$61:$M$74,MATCH(cost_base!C21,AMD_OU_Data!$C$61:$C$74,0),MATCH(cost_base!E21,AMD_OU_Data!$D$60:$M$60,0))</f>
        <v>12500</v>
      </c>
      <c r="O21" s="66">
        <f>cost_base!$L21+cost_base!$M21+cost_base!$N21</f>
        <v>74486.095244948199</v>
      </c>
      <c r="P21" s="65">
        <f t="shared" si="1"/>
        <v>36000</v>
      </c>
      <c r="Q21" s="67">
        <f>cost_base!$O21+cost_base!$P21</f>
        <v>110486.0952449482</v>
      </c>
    </row>
    <row r="22" spans="1:17" x14ac:dyDescent="0.2">
      <c r="A22" s="100">
        <v>21</v>
      </c>
      <c r="B22" s="56" t="str">
        <f>partner_vehicles_form_AMD!A18</f>
        <v>Ahmedabad Branch</v>
      </c>
      <c r="C22" s="56" t="str">
        <f>partner_vehicles_form_AMD!B18</f>
        <v>AMDT1</v>
      </c>
      <c r="D22" s="56" t="str">
        <f>partner_vehicles_form_AMD!C18</f>
        <v>GULZAR F MEMON</v>
      </c>
      <c r="E22" s="56" t="s">
        <v>34</v>
      </c>
      <c r="F22" s="56" t="s">
        <v>9</v>
      </c>
      <c r="G22" s="68" t="s">
        <v>10</v>
      </c>
      <c r="H22" s="56" t="str">
        <f>VLOOKUP(E22,vehicle_mapping!$A$1:$B$11,2,FALSE)</f>
        <v>Eicher 19</v>
      </c>
      <c r="I22" s="57">
        <f>INDEX(AMD_OU_Data!$D$25:$M$38,MATCH(cost_base!$C22,AMD_OU_Data!$C$6:$C$19,0),MATCH(cost_base!$E22,AMD_OU_Data!$D$5:$M$5,0))</f>
        <v>6.9433969910850388</v>
      </c>
      <c r="J22" s="58">
        <f>INDEX(AMD_OU_Data!$D$6:$M$19,MATCH(cost_base!C22,AMD_OU_Data!$C$6:$C$19,0), MATCH(cost_base!E22,AMD_OU_Data!$D$5:$M$5,0))</f>
        <v>6.3444422201305457</v>
      </c>
      <c r="K22" s="56">
        <f>INDEX(AMD_OU_Data!$D$43:$D$56,MATCH(cost_base!C22,AMD_OU_Data!$C$43:$C$56,0))</f>
        <v>2900</v>
      </c>
      <c r="L22" s="59">
        <f>(K22/I22)*INDEX(AMD_OU_Data!$E$43:$E$56,MATCH(cost_base!C22,AMD_OU_Data!$C$43:$C$56,0))</f>
        <v>41971.214224738593</v>
      </c>
      <c r="M22" s="59">
        <f>VLOOKUP(H22,AMD_EMI_Data!$A$7:$E$26,5,FALSE)</f>
        <v>17511.352680649339</v>
      </c>
      <c r="N22" s="59">
        <f>INDEX(AMD_OU_Data!$D$61:$M$74,MATCH(cost_base!C22,AMD_OU_Data!$C$61:$C$74,0),MATCH(cost_base!E22,AMD_OU_Data!$D$60:$M$60,0))</f>
        <v>11400</v>
      </c>
      <c r="O22" s="60">
        <f>cost_base!$L22+cost_base!$M22+cost_base!$N22</f>
        <v>70882.566905387939</v>
      </c>
      <c r="P22" s="59">
        <f t="shared" si="1"/>
        <v>36000</v>
      </c>
      <c r="Q22" s="61">
        <f>cost_base!$O22+cost_base!$P22</f>
        <v>106882.56690538794</v>
      </c>
    </row>
    <row r="23" spans="1:17" x14ac:dyDescent="0.2">
      <c r="A23" s="101">
        <v>22</v>
      </c>
      <c r="B23" s="62" t="str">
        <f>partner_vehicles_form_AMD!A19</f>
        <v>Jamnager</v>
      </c>
      <c r="C23" s="62" t="str">
        <f>partner_vehicles_form_AMD!B19</f>
        <v>JGAB1</v>
      </c>
      <c r="D23" s="62" t="str">
        <f>partner_vehicles_form_AMD!C19</f>
        <v>Hardik Patel</v>
      </c>
      <c r="E23" s="62" t="s">
        <v>8</v>
      </c>
      <c r="F23" s="62" t="s">
        <v>13</v>
      </c>
      <c r="G23" s="62">
        <v>2020</v>
      </c>
      <c r="H23" s="62" t="str">
        <f>VLOOKUP(E23,vehicle_mapping!$A$1:$B$11,2,FALSE)</f>
        <v>Eicher 14</v>
      </c>
      <c r="I23" s="63">
        <f>INDEX(AMD_OU_Data!$D$25:$M$38,MATCH(cost_base!$C23,AMD_OU_Data!$C$6:$C$19,0),MATCH(cost_base!$E23,AMD_OU_Data!$D$5:$M$5,0))</f>
        <v>8.5572888357740542</v>
      </c>
      <c r="J23" s="64">
        <f>INDEX(AMD_OU_Data!$D$6:$M$19,MATCH(cost_base!C23,AMD_OU_Data!$C$6:$C$19,0), MATCH(cost_base!E23,AMD_OU_Data!$D$5:$M$5,0))</f>
        <v>3.0291773948414247</v>
      </c>
      <c r="K23" s="62">
        <f>INDEX(AMD_OU_Data!$D$43:$D$56,MATCH(cost_base!C23,AMD_OU_Data!$C$43:$C$56,0))</f>
        <v>1900</v>
      </c>
      <c r="L23" s="65">
        <f>(K23/I23)*INDEX(AMD_OU_Data!$E$43:$E$56,MATCH(cost_base!C23,AMD_OU_Data!$C$43:$C$56,0))</f>
        <v>22255.780277088084</v>
      </c>
      <c r="M23" s="65">
        <f>VLOOKUP(H23,AMD_EMI_Data!$A$7:$E$26,5,FALSE)</f>
        <v>11420.447400423482</v>
      </c>
      <c r="N23" s="65">
        <f>INDEX(AMD_OU_Data!$D$61:$M$74,MATCH(cost_base!C23,AMD_OU_Data!$C$61:$C$74,0),MATCH(cost_base!E23,AMD_OU_Data!$D$60:$M$60,0))</f>
        <v>11900</v>
      </c>
      <c r="O23" s="66">
        <f>cost_base!$L23+cost_base!$M23+cost_base!$N23</f>
        <v>45576.227677511568</v>
      </c>
      <c r="P23" s="65">
        <f t="shared" si="1"/>
        <v>36000</v>
      </c>
      <c r="Q23" s="67">
        <f>cost_base!$O23+cost_base!$P23</f>
        <v>81576.227677511575</v>
      </c>
    </row>
    <row r="24" spans="1:17" x14ac:dyDescent="0.2">
      <c r="A24" s="100">
        <v>23</v>
      </c>
      <c r="B24" s="56" t="str">
        <f>partner_vehicles_form_AMD!A19</f>
        <v>Jamnager</v>
      </c>
      <c r="C24" s="56" t="str">
        <f>partner_vehicles_form_AMD!B19</f>
        <v>JGAB1</v>
      </c>
      <c r="D24" s="56" t="str">
        <f>partner_vehicles_form_AMD!C19</f>
        <v>Hardik Patel</v>
      </c>
      <c r="E24" s="56" t="s">
        <v>18</v>
      </c>
      <c r="F24" s="56" t="s">
        <v>19</v>
      </c>
      <c r="G24" s="56">
        <v>2018</v>
      </c>
      <c r="H24" s="56" t="str">
        <f>VLOOKUP(E24,vehicle_mapping!$A$1:$B$11,2,FALSE)</f>
        <v>Tata Ace</v>
      </c>
      <c r="I24" s="57">
        <f>INDEX(AMD_OU_Data!$D$25:$M$38,MATCH(cost_base!$C24,AMD_OU_Data!$C$6:$C$19,0),MATCH(cost_base!$E24,AMD_OU_Data!$D$5:$M$5,0))</f>
        <v>17.527489465012966</v>
      </c>
      <c r="J24" s="58">
        <f>INDEX(AMD_OU_Data!$D$6:$M$19,MATCH(cost_base!C24,AMD_OU_Data!$C$6:$C$19,0), MATCH(cost_base!E24,AMD_OU_Data!$D$5:$M$5,0))</f>
        <v>0.78423707313208679</v>
      </c>
      <c r="K24" s="56">
        <f>INDEX(AMD_OU_Data!$D$43:$D$56,MATCH(cost_base!C24,AMD_OU_Data!$C$43:$C$56,0))</f>
        <v>1900</v>
      </c>
      <c r="L24" s="59">
        <f>(K24/I24)*INDEX(AMD_OU_Data!$E$43:$E$56,MATCH(cost_base!C24,AMD_OU_Data!$C$43:$C$56,0))</f>
        <v>10865.739812694012</v>
      </c>
      <c r="M24" s="59">
        <f>VLOOKUP(H24,AMD_EMI_Data!$A$7:$E$26,5,FALSE)</f>
        <v>6090.9052802258566</v>
      </c>
      <c r="N24" s="59">
        <f>INDEX(AMD_OU_Data!$D$61:$M$74,MATCH(cost_base!C24,AMD_OU_Data!$C$61:$C$74,0),MATCH(cost_base!E24,AMD_OU_Data!$D$60:$M$60,0))</f>
        <v>10700</v>
      </c>
      <c r="O24" s="60">
        <f>cost_base!$L24+cost_base!$M24+cost_base!$N24</f>
        <v>27656.645092919869</v>
      </c>
      <c r="P24" s="59">
        <f t="shared" si="1"/>
        <v>36000</v>
      </c>
      <c r="Q24" s="61">
        <f>cost_base!$O24+cost_base!$P24</f>
        <v>63656.645092919869</v>
      </c>
    </row>
    <row r="25" spans="1:17" x14ac:dyDescent="0.2">
      <c r="A25" s="101">
        <v>24</v>
      </c>
      <c r="B25" s="62" t="str">
        <f>partner_vehicles_form_AMD!A20</f>
        <v>Rajkot</v>
      </c>
      <c r="C25" s="62" t="str">
        <f>partner_vehicles_form_AMD!B20</f>
        <v>RAJB1</v>
      </c>
      <c r="D25" s="62" t="str">
        <f>partner_vehicles_form_AMD!C20</f>
        <v>Harun Abdul Bhai Theba</v>
      </c>
      <c r="E25" s="62" t="s">
        <v>14</v>
      </c>
      <c r="F25" s="62" t="s">
        <v>19</v>
      </c>
      <c r="G25" s="62">
        <v>2013</v>
      </c>
      <c r="H25" s="62" t="str">
        <f>VLOOKUP(E25,vehicle_mapping!$A$1:$B$11,2,FALSE)</f>
        <v>Mahindra</v>
      </c>
      <c r="I25" s="63">
        <f>INDEX(AMD_OU_Data!$D$25:$M$38,MATCH(cost_base!$C25,AMD_OU_Data!$C$6:$C$19,0),MATCH(cost_base!$E25,AMD_OU_Data!$D$5:$M$5,0))</f>
        <v>9.8850325042295175</v>
      </c>
      <c r="J25" s="64">
        <f>INDEX(AMD_OU_Data!$D$6:$M$19,MATCH(cost_base!C25,AMD_OU_Data!$C$6:$C$19,0), MATCH(cost_base!E25,AMD_OU_Data!$D$5:$M$5,0))</f>
        <v>1.3434882381767432</v>
      </c>
      <c r="K25" s="62">
        <f>INDEX(AMD_OU_Data!$D$43:$D$56,MATCH(cost_base!C25,AMD_OU_Data!$C$43:$C$56,0))</f>
        <v>1800</v>
      </c>
      <c r="L25" s="65">
        <f>(K25/I25)*INDEX(AMD_OU_Data!$E$43:$E$56,MATCH(cost_base!C25,AMD_OU_Data!$C$43:$C$56,0))</f>
        <v>16514.804651662827</v>
      </c>
      <c r="M25" s="65">
        <f>VLOOKUP(H25,AMD_EMI_Data!$A$7:$E$26,5,FALSE)</f>
        <v>11420.447400423482</v>
      </c>
      <c r="N25" s="65">
        <f>INDEX(AMD_OU_Data!$D$61:$M$74,MATCH(cost_base!C25,AMD_OU_Data!$C$61:$C$74,0),MATCH(cost_base!E25,AMD_OU_Data!$D$60:$M$60,0))</f>
        <v>8600</v>
      </c>
      <c r="O25" s="66">
        <f>cost_base!$L25+cost_base!$M25+cost_base!$N25</f>
        <v>36535.252052086311</v>
      </c>
      <c r="P25" s="65">
        <f t="shared" si="1"/>
        <v>36000</v>
      </c>
      <c r="Q25" s="67">
        <f>cost_base!$O25+cost_base!$P25</f>
        <v>72535.252052086318</v>
      </c>
    </row>
    <row r="26" spans="1:17" x14ac:dyDescent="0.2">
      <c r="A26" s="100">
        <v>25</v>
      </c>
      <c r="B26" s="56" t="str">
        <f>partner_vehicles_form_AMD!A21</f>
        <v>Vadodara</v>
      </c>
      <c r="C26" s="56" t="str">
        <f>partner_vehicles_form_AMD!B21</f>
        <v>BDQT1</v>
      </c>
      <c r="D26" s="56" t="str">
        <f>partner_vehicles_form_AMD!C21</f>
        <v>Inderkumar moolchand gupta</v>
      </c>
      <c r="E26" s="56" t="s">
        <v>8</v>
      </c>
      <c r="F26" s="56" t="s">
        <v>9</v>
      </c>
      <c r="G26" s="68" t="s">
        <v>10</v>
      </c>
      <c r="H26" s="56" t="str">
        <f>VLOOKUP(E26,vehicle_mapping!$A$1:$B$11,2,FALSE)</f>
        <v>Eicher 14</v>
      </c>
      <c r="I26" s="57">
        <f>INDEX(AMD_OU_Data!$D$25:$M$38,MATCH(cost_base!$C26,AMD_OU_Data!$C$6:$C$19,0),MATCH(cost_base!$E26,AMD_OU_Data!$D$5:$M$5,0))</f>
        <v>12.597885435760045</v>
      </c>
      <c r="J26" s="58">
        <f>INDEX(AMD_OU_Data!$D$6:$M$19,MATCH(cost_base!C26,AMD_OU_Data!$C$6:$C$19,0), MATCH(cost_base!E26,AMD_OU_Data!$D$5:$M$5,0))</f>
        <v>2.7317924077831095</v>
      </c>
      <c r="K26" s="56">
        <f>INDEX(AMD_OU_Data!$D$43:$D$56,MATCH(cost_base!C26,AMD_OU_Data!$C$43:$C$56,0))</f>
        <v>3000</v>
      </c>
      <c r="L26" s="59">
        <f>(K26/I26)*INDEX(AMD_OU_Data!$E$43:$E$56,MATCH(cost_base!C26,AMD_OU_Data!$C$43:$C$56,0))</f>
        <v>18708.575521938008</v>
      </c>
      <c r="M26" s="59">
        <f>VLOOKUP(H26,AMD_EMI_Data!$A$7:$E$26,5,FALSE)</f>
        <v>11420.447400423482</v>
      </c>
      <c r="N26" s="59">
        <f>INDEX(AMD_OU_Data!$D$61:$M$74,MATCH(cost_base!C26,AMD_OU_Data!$C$61:$C$74,0),MATCH(cost_base!E26,AMD_OU_Data!$D$60:$M$60,0))</f>
        <v>15100</v>
      </c>
      <c r="O26" s="60">
        <f>cost_base!$L26+cost_base!$M26+cost_base!$N26</f>
        <v>45229.022922361488</v>
      </c>
      <c r="P26" s="59">
        <f t="shared" si="1"/>
        <v>36000</v>
      </c>
      <c r="Q26" s="61">
        <f>cost_base!$O26+cost_base!$P26</f>
        <v>81229.022922361488</v>
      </c>
    </row>
    <row r="27" spans="1:17" x14ac:dyDescent="0.2">
      <c r="A27" s="101">
        <v>26</v>
      </c>
      <c r="B27" s="62" t="str">
        <f>partner_vehicles_form_AMD!A21</f>
        <v>Vadodara</v>
      </c>
      <c r="C27" s="62" t="str">
        <f>partner_vehicles_form_AMD!B21</f>
        <v>BDQT1</v>
      </c>
      <c r="D27" s="62" t="str">
        <f>partner_vehicles_form_AMD!C21</f>
        <v>Inderkumar moolchand gupta</v>
      </c>
      <c r="E27" s="62" t="s">
        <v>16</v>
      </c>
      <c r="F27" s="62" t="s">
        <v>13</v>
      </c>
      <c r="G27" s="62">
        <v>2019</v>
      </c>
      <c r="H27" s="62" t="str">
        <f>VLOOKUP(E27,vehicle_mapping!$A$1:$B$11,2,FALSE)</f>
        <v>AL Dost</v>
      </c>
      <c r="I27" s="63">
        <f>INDEX(AMD_OU_Data!$D$25:$M$38,MATCH(cost_base!$C27,AMD_OU_Data!$C$6:$C$19,0),MATCH(cost_base!$E27,AMD_OU_Data!$D$5:$M$5,0))</f>
        <v>16.206961290646341</v>
      </c>
      <c r="J27" s="64">
        <f>INDEX(AMD_OU_Data!$D$6:$M$19,MATCH(cost_base!C27,AMD_OU_Data!$C$6:$C$19,0), MATCH(cost_base!E27,AMD_OU_Data!$D$5:$M$5,0))</f>
        <v>0.97146367060579686</v>
      </c>
      <c r="K27" s="62">
        <f>INDEX(AMD_OU_Data!$D$43:$D$56,MATCH(cost_base!C27,AMD_OU_Data!$C$43:$C$56,0))</f>
        <v>3000</v>
      </c>
      <c r="L27" s="65">
        <f>(K27/I27)*INDEX(AMD_OU_Data!$E$43:$E$56,MATCH(cost_base!C27,AMD_OU_Data!$C$43:$C$56,0))</f>
        <v>14542.423275093808</v>
      </c>
      <c r="M27" s="65">
        <f>VLOOKUP(H27,AMD_EMI_Data!$A$7:$E$26,5,FALSE)</f>
        <v>7613.6316002823205</v>
      </c>
      <c r="N27" s="65">
        <f>INDEX(AMD_OU_Data!$D$61:$M$74,MATCH(cost_base!C27,AMD_OU_Data!$C$61:$C$74,0),MATCH(cost_base!E27,AMD_OU_Data!$D$60:$M$60,0))</f>
        <v>10200</v>
      </c>
      <c r="O27" s="66">
        <f>cost_base!$L27+cost_base!$M27+cost_base!$N27</f>
        <v>32356.054875376129</v>
      </c>
      <c r="P27" s="65">
        <f t="shared" si="1"/>
        <v>36000</v>
      </c>
      <c r="Q27" s="67">
        <f>cost_base!$O27+cost_base!$P27</f>
        <v>68356.054875376125</v>
      </c>
    </row>
    <row r="28" spans="1:17" x14ac:dyDescent="0.2">
      <c r="A28" s="100">
        <v>27</v>
      </c>
      <c r="B28" s="56" t="str">
        <f>partner_vehicles_form_AMD!A21</f>
        <v>Vadodara</v>
      </c>
      <c r="C28" s="56" t="str">
        <f>partner_vehicles_form_AMD!B21</f>
        <v>BDQT1</v>
      </c>
      <c r="D28" s="56" t="str">
        <f>partner_vehicles_form_AMD!C21</f>
        <v>Inderkumar moolchand gupta</v>
      </c>
      <c r="E28" s="56" t="s">
        <v>29</v>
      </c>
      <c r="F28" s="56" t="s">
        <v>13</v>
      </c>
      <c r="G28" s="56">
        <v>2018</v>
      </c>
      <c r="H28" s="56" t="str">
        <f>VLOOKUP(E28,vehicle_mapping!$A$1:$B$11,2,FALSE)</f>
        <v>Super ace</v>
      </c>
      <c r="I28" s="57">
        <f>INDEX(AMD_OU_Data!$D$25:$M$38,MATCH(cost_base!$C28,AMD_OU_Data!$C$6:$C$19,0),MATCH(cost_base!$E28,AMD_OU_Data!$D$5:$M$5,0))</f>
        <v>9.9226528824228826</v>
      </c>
      <c r="J28" s="58">
        <f>INDEX(AMD_OU_Data!$D$6:$M$19,MATCH(cost_base!C28,AMD_OU_Data!$C$6:$C$19,0), MATCH(cost_base!E28,AMD_OU_Data!$D$5:$M$5,0))</f>
        <v>1.6651510049498304</v>
      </c>
      <c r="K28" s="56">
        <f>INDEX(AMD_OU_Data!$D$43:$D$56,MATCH(cost_base!C28,AMD_OU_Data!$C$43:$C$56,0))</f>
        <v>3000</v>
      </c>
      <c r="L28" s="59">
        <f>(K28/I28)*INDEX(AMD_OU_Data!$E$43:$E$56,MATCH(cost_base!C28,AMD_OU_Data!$C$43:$C$56,0))</f>
        <v>23752.568379081509</v>
      </c>
      <c r="M28" s="59">
        <f>VLOOKUP(H28,AMD_EMI_Data!$A$7:$E$26,5,FALSE)</f>
        <v>8374.9947603105538</v>
      </c>
      <c r="N28" s="59">
        <f>INDEX(AMD_OU_Data!$D$61:$M$74,MATCH(cost_base!C28,AMD_OU_Data!$C$61:$C$74,0),MATCH(cost_base!E28,AMD_OU_Data!$D$60:$M$60,0))</f>
        <v>10500</v>
      </c>
      <c r="O28" s="60">
        <f>cost_base!$L28+cost_base!$M28+cost_base!$N28</f>
        <v>42627.563139392063</v>
      </c>
      <c r="P28" s="59">
        <f t="shared" si="1"/>
        <v>36000</v>
      </c>
      <c r="Q28" s="61">
        <f>cost_base!$O28+cost_base!$P28</f>
        <v>78627.563139392063</v>
      </c>
    </row>
    <row r="29" spans="1:17" x14ac:dyDescent="0.2">
      <c r="A29" s="101">
        <v>28</v>
      </c>
      <c r="B29" s="62" t="str">
        <f>partner_vehicles_form_AMD!A22</f>
        <v>Vadodara</v>
      </c>
      <c r="C29" s="62" t="str">
        <f>partner_vehicles_form_AMD!B22</f>
        <v>BDQT1</v>
      </c>
      <c r="D29" s="62" t="str">
        <f>partner_vehicles_form_AMD!C22</f>
        <v>Karan Mistry_Delivery</v>
      </c>
      <c r="E29" s="62" t="s">
        <v>18</v>
      </c>
      <c r="F29" s="62" t="s">
        <v>13</v>
      </c>
      <c r="G29" s="62">
        <v>2013</v>
      </c>
      <c r="H29" s="62" t="str">
        <f>VLOOKUP(E29,vehicle_mapping!$A$1:$B$11,2,FALSE)</f>
        <v>Tata Ace</v>
      </c>
      <c r="I29" s="63">
        <f>INDEX(AMD_OU_Data!$D$25:$M$38,MATCH(cost_base!$C29,AMD_OU_Data!$C$6:$C$19,0),MATCH(cost_base!$E29,AMD_OU_Data!$D$5:$M$5,0))</f>
        <v>18.889971546597494</v>
      </c>
      <c r="J29" s="64">
        <f>INDEX(AMD_OU_Data!$D$6:$M$19,MATCH(cost_base!C29,AMD_OU_Data!$C$6:$C$19,0), MATCH(cost_base!E29,AMD_OU_Data!$D$5:$M$5,0))</f>
        <v>0.79022382032227789</v>
      </c>
      <c r="K29" s="62">
        <f>INDEX(AMD_OU_Data!$D$43:$D$56,MATCH(cost_base!C29,AMD_OU_Data!$C$43:$C$56,0))</f>
        <v>3000</v>
      </c>
      <c r="L29" s="65">
        <f>(K29/I29)*INDEX(AMD_OU_Data!$E$43:$E$56,MATCH(cost_base!C29,AMD_OU_Data!$C$43:$C$56,0))</f>
        <v>12476.910857713416</v>
      </c>
      <c r="M29" s="65">
        <f>VLOOKUP(H29,AMD_EMI_Data!$A$7:$E$26,5,FALSE)</f>
        <v>6090.9052802258566</v>
      </c>
      <c r="N29" s="65">
        <f>INDEX(AMD_OU_Data!$D$61:$M$74,MATCH(cost_base!C29,AMD_OU_Data!$C$61:$C$74,0),MATCH(cost_base!E29,AMD_OU_Data!$D$60:$M$60,0))</f>
        <v>10700</v>
      </c>
      <c r="O29" s="66">
        <f>cost_base!$L29+cost_base!$M29+cost_base!$N29</f>
        <v>29267.816137939273</v>
      </c>
      <c r="P29" s="65">
        <f t="shared" si="1"/>
        <v>36000</v>
      </c>
      <c r="Q29" s="67">
        <f>cost_base!$O29+cost_base!$P29</f>
        <v>65267.81613793927</v>
      </c>
    </row>
    <row r="30" spans="1:17" x14ac:dyDescent="0.2">
      <c r="A30" s="100">
        <v>29</v>
      </c>
      <c r="B30" s="56" t="str">
        <f>partner_vehicles_form_AMD!A22</f>
        <v>Vadodara</v>
      </c>
      <c r="C30" s="56" t="str">
        <f>partner_vehicles_form_AMD!B22</f>
        <v>BDQT1</v>
      </c>
      <c r="D30" s="56" t="str">
        <f>partner_vehicles_form_AMD!C22</f>
        <v>Karan Mistry_Delivery</v>
      </c>
      <c r="E30" s="56" t="s">
        <v>29</v>
      </c>
      <c r="F30" s="56" t="s">
        <v>19</v>
      </c>
      <c r="G30" s="56">
        <v>2015</v>
      </c>
      <c r="H30" s="56" t="str">
        <f>VLOOKUP(E30,vehicle_mapping!$A$1:$B$11,2,FALSE)</f>
        <v>Super ace</v>
      </c>
      <c r="I30" s="57">
        <f>INDEX(AMD_OU_Data!$D$25:$M$38,MATCH(cost_base!$C30,AMD_OU_Data!$C$6:$C$19,0),MATCH(cost_base!$E30,AMD_OU_Data!$D$5:$M$5,0))</f>
        <v>9.9226528824228826</v>
      </c>
      <c r="J30" s="58">
        <f>INDEX(AMD_OU_Data!$D$6:$M$19,MATCH(cost_base!C30,AMD_OU_Data!$C$6:$C$19,0), MATCH(cost_base!E30,AMD_OU_Data!$D$5:$M$5,0))</f>
        <v>1.6651510049498304</v>
      </c>
      <c r="K30" s="56">
        <f>INDEX(AMD_OU_Data!$D$43:$D$56,MATCH(cost_base!C30,AMD_OU_Data!$C$43:$C$56,0))</f>
        <v>3000</v>
      </c>
      <c r="L30" s="59">
        <f>(K30/I30)*INDEX(AMD_OU_Data!$E$43:$E$56,MATCH(cost_base!C30,AMD_OU_Data!$C$43:$C$56,0))</f>
        <v>23752.568379081509</v>
      </c>
      <c r="M30" s="59">
        <f>VLOOKUP(H30,AMD_EMI_Data!$A$7:$E$26,5,FALSE)</f>
        <v>8374.9947603105538</v>
      </c>
      <c r="N30" s="59">
        <f>INDEX(AMD_OU_Data!$D$61:$M$74,MATCH(cost_base!C30,AMD_OU_Data!$C$61:$C$74,0),MATCH(cost_base!E30,AMD_OU_Data!$D$60:$M$60,0))</f>
        <v>10500</v>
      </c>
      <c r="O30" s="60">
        <f>cost_base!$L30+cost_base!$M30+cost_base!$N30</f>
        <v>42627.563139392063</v>
      </c>
      <c r="P30" s="59">
        <f t="shared" si="1"/>
        <v>36000</v>
      </c>
      <c r="Q30" s="61">
        <f>cost_base!$O30+cost_base!$P30</f>
        <v>78627.563139392063</v>
      </c>
    </row>
    <row r="31" spans="1:17" x14ac:dyDescent="0.2">
      <c r="A31" s="101">
        <v>30</v>
      </c>
      <c r="B31" s="62" t="str">
        <f>partner_vehicles_form_AMD!A23</f>
        <v>Ahmedabad Branch</v>
      </c>
      <c r="C31" s="62" t="str">
        <f>partner_vehicles_form_AMD!B23</f>
        <v>AMDT1</v>
      </c>
      <c r="D31" s="62" t="str">
        <f>partner_vehicles_form_AMD!C23</f>
        <v>LALAJI BHAI THAKOR</v>
      </c>
      <c r="E31" s="62" t="s">
        <v>16</v>
      </c>
      <c r="F31" s="62" t="s">
        <v>13</v>
      </c>
      <c r="G31" s="62">
        <v>2013</v>
      </c>
      <c r="H31" s="62" t="str">
        <f>VLOOKUP(E31,vehicle_mapping!$A$1:$B$11,2,FALSE)</f>
        <v>AL Dost</v>
      </c>
      <c r="I31" s="63">
        <f>INDEX(AMD_OU_Data!$D$25:$M$38,MATCH(cost_base!$C31,AMD_OU_Data!$C$6:$C$19,0),MATCH(cost_base!$E31,AMD_OU_Data!$D$5:$M$5,0))</f>
        <v>13.451738176402987</v>
      </c>
      <c r="J31" s="64">
        <f>INDEX(AMD_OU_Data!$D$6:$M$19,MATCH(cost_base!C31,AMD_OU_Data!$C$6:$C$19,0), MATCH(cost_base!E31,AMD_OU_Data!$D$5:$M$5,0))</f>
        <v>1.4794834103460122</v>
      </c>
      <c r="K31" s="62">
        <f>INDEX(AMD_OU_Data!$D$43:$D$56,MATCH(cost_base!C31,AMD_OU_Data!$C$43:$C$56,0))</f>
        <v>2900</v>
      </c>
      <c r="L31" s="65">
        <f>(K31/I31)*INDEX(AMD_OU_Data!$E$43:$E$56,MATCH(cost_base!C31,AMD_OU_Data!$C$43:$C$56,0))</f>
        <v>21664.323133455633</v>
      </c>
      <c r="M31" s="65">
        <f>VLOOKUP(H31,AMD_EMI_Data!$A$7:$E$26,5,FALSE)</f>
        <v>7613.6316002823205</v>
      </c>
      <c r="N31" s="65">
        <f>INDEX(AMD_OU_Data!$D$61:$M$74,MATCH(cost_base!C31,AMD_OU_Data!$C$61:$C$74,0),MATCH(cost_base!E31,AMD_OU_Data!$D$60:$M$60,0))</f>
        <v>7600</v>
      </c>
      <c r="O31" s="66">
        <f>cost_base!$L31+cost_base!$M31+cost_base!$N31</f>
        <v>36877.954733737955</v>
      </c>
      <c r="P31" s="65">
        <f t="shared" si="1"/>
        <v>36000</v>
      </c>
      <c r="Q31" s="67">
        <f>cost_base!$O31+cost_base!$P31</f>
        <v>72877.954733737948</v>
      </c>
    </row>
    <row r="32" spans="1:17" x14ac:dyDescent="0.2">
      <c r="A32" s="100">
        <v>31</v>
      </c>
      <c r="B32" s="56" t="str">
        <f>partner_vehicles_form_AMD!A24</f>
        <v>Amreli</v>
      </c>
      <c r="C32" s="56" t="str">
        <f>partner_vehicles_form_AMD!B24</f>
        <v>AKVB1</v>
      </c>
      <c r="D32" s="56" t="str">
        <f>partner_vehicles_form_AMD!C24</f>
        <v>MAMATA PAL</v>
      </c>
      <c r="E32" s="56" t="s">
        <v>16</v>
      </c>
      <c r="F32" s="56" t="s">
        <v>19</v>
      </c>
      <c r="G32" s="56">
        <v>2011</v>
      </c>
      <c r="H32" s="56" t="str">
        <f>VLOOKUP(E32,vehicle_mapping!$A$1:$B$11,2,FALSE)</f>
        <v>AL Dost</v>
      </c>
      <c r="I32" s="57">
        <f>INDEX(AMD_OU_Data!$D$25:$M$38,MATCH(cost_base!$C32,AMD_OU_Data!$C$6:$C$19,0),MATCH(cost_base!$E32,AMD_OU_Data!$D$5:$M$5,0))</f>
        <v>12.342261159350826</v>
      </c>
      <c r="J32" s="58">
        <f>INDEX(AMD_OU_Data!$D$6:$M$19,MATCH(cost_base!C32,AMD_OU_Data!$C$6:$C$19,0), MATCH(cost_base!E32,AMD_OU_Data!$D$5:$M$5,0))</f>
        <v>1.4205369964896497</v>
      </c>
      <c r="K32" s="56">
        <f>INDEX(AMD_OU_Data!$D$43:$D$56,MATCH(cost_base!C32,AMD_OU_Data!$C$43:$C$56,0))</f>
        <v>2400</v>
      </c>
      <c r="L32" s="59">
        <f>(K32/I32)*INDEX(AMD_OU_Data!$E$43:$E$56,MATCH(cost_base!C32,AMD_OU_Data!$C$43:$C$56,0))</f>
        <v>19100.862449123269</v>
      </c>
      <c r="M32" s="59">
        <f>VLOOKUP(H32,AMD_EMI_Data!$A$7:$E$26,5,FALSE)</f>
        <v>7613.6316002823205</v>
      </c>
      <c r="N32" s="59">
        <f>INDEX(AMD_OU_Data!$D$61:$M$74,MATCH(cost_base!C32,AMD_OU_Data!$C$61:$C$74,0),MATCH(cost_base!E32,AMD_OU_Data!$D$60:$M$60,0))</f>
        <v>6500</v>
      </c>
      <c r="O32" s="60">
        <f>cost_base!$L32+cost_base!$M32+cost_base!$N32</f>
        <v>33214.494049405592</v>
      </c>
      <c r="P32" s="59">
        <f t="shared" si="1"/>
        <v>36000</v>
      </c>
      <c r="Q32" s="61">
        <f>cost_base!$O32+cost_base!$P32</f>
        <v>69214.494049405592</v>
      </c>
    </row>
    <row r="33" spans="1:17" x14ac:dyDescent="0.2">
      <c r="A33" s="101">
        <v>32</v>
      </c>
      <c r="B33" s="62" t="str">
        <f>partner_vehicles_form_AMD!A25</f>
        <v>Surat</v>
      </c>
      <c r="C33" s="62" t="str">
        <f>partner_vehicles_form_AMD!B25</f>
        <v>STVT1</v>
      </c>
      <c r="D33" s="62" t="str">
        <f>partner_vehicles_form_AMD!C25</f>
        <v>MANISHA PRAVIN PATIL</v>
      </c>
      <c r="E33" s="62" t="s">
        <v>8</v>
      </c>
      <c r="F33" s="62" t="s">
        <v>9</v>
      </c>
      <c r="G33" s="69" t="s">
        <v>10</v>
      </c>
      <c r="H33" s="62" t="str">
        <f>VLOOKUP(E33,vehicle_mapping!$A$1:$B$11,2,FALSE)</f>
        <v>Eicher 14</v>
      </c>
      <c r="I33" s="63">
        <f>INDEX(AMD_OU_Data!$D$25:$M$38,MATCH(cost_base!$C33,AMD_OU_Data!$C$6:$C$19,0),MATCH(cost_base!$E33,AMD_OU_Data!$D$5:$M$5,0))</f>
        <v>13.044642984582476</v>
      </c>
      <c r="J33" s="64">
        <f>INDEX(AMD_OU_Data!$D$6:$M$19,MATCH(cost_base!C33,AMD_OU_Data!$C$6:$C$19,0), MATCH(cost_base!E33,AMD_OU_Data!$D$5:$M$5,0))</f>
        <v>2.042136553081618</v>
      </c>
      <c r="K33" s="62">
        <f>INDEX(AMD_OU_Data!$D$43:$D$56,MATCH(cost_base!C33,AMD_OU_Data!$C$43:$C$56,0))</f>
        <v>2900</v>
      </c>
      <c r="L33" s="65">
        <f>(K33/I33)*INDEX(AMD_OU_Data!$E$43:$E$56,MATCH(cost_base!C33,AMD_OU_Data!$C$43:$C$56,0))</f>
        <v>22100.936769178697</v>
      </c>
      <c r="M33" s="65">
        <f>VLOOKUP(H33,AMD_EMI_Data!$A$7:$E$26,5,FALSE)</f>
        <v>11420.447400423482</v>
      </c>
      <c r="N33" s="65">
        <f>INDEX(AMD_OU_Data!$D$61:$M$74,MATCH(cost_base!C33,AMD_OU_Data!$C$61:$C$74,0),MATCH(cost_base!E33,AMD_OU_Data!$D$60:$M$60,0))</f>
        <v>18700</v>
      </c>
      <c r="O33" s="66">
        <f>cost_base!$L33+cost_base!$M33+cost_base!$N33</f>
        <v>52221.384169602177</v>
      </c>
      <c r="P33" s="65">
        <f t="shared" si="1"/>
        <v>36000</v>
      </c>
      <c r="Q33" s="67">
        <f>cost_base!$O33+cost_base!$P33</f>
        <v>88221.384169602185</v>
      </c>
    </row>
    <row r="34" spans="1:17" x14ac:dyDescent="0.2">
      <c r="A34" s="100">
        <v>33</v>
      </c>
      <c r="B34" s="56" t="str">
        <f>partner_vehicles_form_AMD!A25</f>
        <v>Surat</v>
      </c>
      <c r="C34" s="56" t="str">
        <f>partner_vehicles_form_AMD!B25</f>
        <v>STVT1</v>
      </c>
      <c r="D34" s="56" t="str">
        <f>partner_vehicles_form_AMD!C25</f>
        <v>MANISHA PRAVIN PATIL</v>
      </c>
      <c r="E34" s="56" t="s">
        <v>18</v>
      </c>
      <c r="F34" s="56" t="s">
        <v>19</v>
      </c>
      <c r="G34" s="56">
        <v>2013</v>
      </c>
      <c r="H34" s="56" t="str">
        <f>VLOOKUP(E34,vehicle_mapping!$A$1:$B$11,2,FALSE)</f>
        <v>Tata Ace</v>
      </c>
      <c r="I34" s="57">
        <f>INDEX(AMD_OU_Data!$D$25:$M$38,MATCH(cost_base!$C34,AMD_OU_Data!$C$6:$C$19,0),MATCH(cost_base!$E34,AMD_OU_Data!$D$5:$M$5,0))</f>
        <v>17.294647938760768</v>
      </c>
      <c r="J34" s="58">
        <f>INDEX(AMD_OU_Data!$D$6:$M$19,MATCH(cost_base!C34,AMD_OU_Data!$C$6:$C$19,0), MATCH(cost_base!E34,AMD_OU_Data!$D$5:$M$5,0))</f>
        <v>1.0764283836997799</v>
      </c>
      <c r="K34" s="56">
        <f>INDEX(AMD_OU_Data!$D$43:$D$56,MATCH(cost_base!C34,AMD_OU_Data!$C$43:$C$56,0))</f>
        <v>2900</v>
      </c>
      <c r="L34" s="59">
        <f>(K34/I34)*INDEX(AMD_OU_Data!$E$43:$E$56,MATCH(cost_base!C34,AMD_OU_Data!$C$43:$C$56,0))</f>
        <v>16669.829348340325</v>
      </c>
      <c r="M34" s="59">
        <f>VLOOKUP(H34,AMD_EMI_Data!$A$7:$E$26,5,FALSE)</f>
        <v>6090.9052802258566</v>
      </c>
      <c r="N34" s="59">
        <f>INDEX(AMD_OU_Data!$D$61:$M$74,MATCH(cost_base!C34,AMD_OU_Data!$C$61:$C$74,0),MATCH(cost_base!E34,AMD_OU_Data!$D$60:$M$60,0))</f>
        <v>11500</v>
      </c>
      <c r="O34" s="60">
        <f>cost_base!$L34+cost_base!$M34+cost_base!$N34</f>
        <v>34260.734628566177</v>
      </c>
      <c r="P34" s="59">
        <f t="shared" si="1"/>
        <v>36000</v>
      </c>
      <c r="Q34" s="61">
        <f>cost_base!$O34+cost_base!$P34</f>
        <v>70260.734628566177</v>
      </c>
    </row>
    <row r="35" spans="1:17" x14ac:dyDescent="0.2">
      <c r="A35" s="101">
        <v>34</v>
      </c>
      <c r="B35" s="62" t="str">
        <f>partner_vehicles_form_AMD!A26</f>
        <v>Vadodara</v>
      </c>
      <c r="C35" s="62" t="str">
        <f>partner_vehicles_form_AMD!B26</f>
        <v>BDQT1</v>
      </c>
      <c r="D35" s="62" t="str">
        <f>partner_vehicles_form_AMD!C26</f>
        <v>Meenakshi Gupta</v>
      </c>
      <c r="E35" s="62" t="s">
        <v>16</v>
      </c>
      <c r="F35" s="62" t="s">
        <v>19</v>
      </c>
      <c r="G35" s="62">
        <v>2015</v>
      </c>
      <c r="H35" s="62" t="str">
        <f>VLOOKUP(E35,vehicle_mapping!$A$1:$B$11,2,FALSE)</f>
        <v>AL Dost</v>
      </c>
      <c r="I35" s="63">
        <f>INDEX(AMD_OU_Data!$D$25:$M$38,MATCH(cost_base!$C35,AMD_OU_Data!$C$6:$C$19,0),MATCH(cost_base!$E35,AMD_OU_Data!$D$5:$M$5,0))</f>
        <v>16.206961290646341</v>
      </c>
      <c r="J35" s="64">
        <f>INDEX(AMD_OU_Data!$D$6:$M$19,MATCH(cost_base!C35,AMD_OU_Data!$C$6:$C$19,0), MATCH(cost_base!E35,AMD_OU_Data!$D$5:$M$5,0))</f>
        <v>0.97146367060579686</v>
      </c>
      <c r="K35" s="62">
        <f>INDEX(AMD_OU_Data!$D$43:$D$56,MATCH(cost_base!C35,AMD_OU_Data!$C$43:$C$56,0))</f>
        <v>3000</v>
      </c>
      <c r="L35" s="65">
        <f>(K35/I35)*INDEX(AMD_OU_Data!$E$43:$E$56,MATCH(cost_base!C35,AMD_OU_Data!$C$43:$C$56,0))</f>
        <v>14542.423275093808</v>
      </c>
      <c r="M35" s="65">
        <f>VLOOKUP(H35,AMD_EMI_Data!$A$7:$E$26,5,FALSE)</f>
        <v>7613.6316002823205</v>
      </c>
      <c r="N35" s="65">
        <f>INDEX(AMD_OU_Data!$D$61:$M$74,MATCH(cost_base!C35,AMD_OU_Data!$C$61:$C$74,0),MATCH(cost_base!E35,AMD_OU_Data!$D$60:$M$60,0))</f>
        <v>10200</v>
      </c>
      <c r="O35" s="66">
        <f>cost_base!$L35+cost_base!$M35+cost_base!$N35</f>
        <v>32356.054875376129</v>
      </c>
      <c r="P35" s="65">
        <f t="shared" si="1"/>
        <v>36000</v>
      </c>
      <c r="Q35" s="67">
        <f>cost_base!$O35+cost_base!$P35</f>
        <v>68356.054875376125</v>
      </c>
    </row>
    <row r="36" spans="1:17" x14ac:dyDescent="0.2">
      <c r="A36" s="100">
        <v>35</v>
      </c>
      <c r="B36" s="56" t="str">
        <f>partner_vehicles_form_AMD!A27</f>
        <v>Surat</v>
      </c>
      <c r="C36" s="56" t="str">
        <f>partner_vehicles_form_AMD!B27</f>
        <v>STVT1</v>
      </c>
      <c r="D36" s="56" t="str">
        <f>partner_vehicles_form_AMD!C27</f>
        <v>mo. Farukh</v>
      </c>
      <c r="E36" s="56" t="s">
        <v>16</v>
      </c>
      <c r="F36" s="56" t="s">
        <v>19</v>
      </c>
      <c r="G36" s="56">
        <v>2014</v>
      </c>
      <c r="H36" s="56" t="str">
        <f>VLOOKUP(E36,vehicle_mapping!$A$1:$B$11,2,FALSE)</f>
        <v>AL Dost</v>
      </c>
      <c r="I36" s="57">
        <f>INDEX(AMD_OU_Data!$D$25:$M$38,MATCH(cost_base!$C36,AMD_OU_Data!$C$6:$C$19,0),MATCH(cost_base!$E36,AMD_OU_Data!$D$5:$M$5,0))</f>
        <v>6.5028597954101208</v>
      </c>
      <c r="J36" s="58">
        <f>INDEX(AMD_OU_Data!$D$6:$M$19,MATCH(cost_base!C36,AMD_OU_Data!$C$6:$C$19,0), MATCH(cost_base!E36,AMD_OU_Data!$D$5:$M$5,0))</f>
        <v>1.2307641755925045</v>
      </c>
      <c r="K36" s="56">
        <f>INDEX(AMD_OU_Data!$D$43:$D$56,MATCH(cost_base!C36,AMD_OU_Data!$C$43:$C$56,0))</f>
        <v>2900</v>
      </c>
      <c r="L36" s="59">
        <f>(K36/I36)*INDEX(AMD_OU_Data!$E$43:$E$56,MATCH(cost_base!C36,AMD_OU_Data!$C$43:$C$56,0))</f>
        <v>44334.160484631124</v>
      </c>
      <c r="M36" s="59">
        <f>VLOOKUP(H36,AMD_EMI_Data!$A$7:$E$26,5,FALSE)</f>
        <v>7613.6316002823205</v>
      </c>
      <c r="N36" s="59">
        <f>INDEX(AMD_OU_Data!$D$61:$M$74,MATCH(cost_base!C36,AMD_OU_Data!$C$61:$C$74,0),MATCH(cost_base!E36,AMD_OU_Data!$D$60:$M$60,0))</f>
        <v>11200</v>
      </c>
      <c r="O36" s="60">
        <f>cost_base!$L36+cost_base!$M36+cost_base!$N36</f>
        <v>63147.792084913446</v>
      </c>
      <c r="P36" s="59">
        <f t="shared" si="1"/>
        <v>36000</v>
      </c>
      <c r="Q36" s="61">
        <f>cost_base!$O36+cost_base!$P36</f>
        <v>99147.792084913439</v>
      </c>
    </row>
    <row r="37" spans="1:17" x14ac:dyDescent="0.2">
      <c r="A37" s="101">
        <v>36</v>
      </c>
      <c r="B37" s="62" t="str">
        <f>partner_vehicles_form_AMD!A28</f>
        <v>Gandhi Nager</v>
      </c>
      <c r="C37" s="62" t="str">
        <f>partner_vehicles_form_AMD!B28</f>
        <v>GNCB1</v>
      </c>
      <c r="D37" s="62" t="str">
        <f>partner_vehicles_form_AMD!C28</f>
        <v>MOINUDDIN R SHAIKH</v>
      </c>
      <c r="E37" s="62" t="s">
        <v>18</v>
      </c>
      <c r="F37" s="62" t="s">
        <v>13</v>
      </c>
      <c r="G37" s="62">
        <v>2012</v>
      </c>
      <c r="H37" s="62" t="str">
        <f>VLOOKUP(E37,vehicle_mapping!$A$1:$B$11,2,FALSE)</f>
        <v>Tata Ace</v>
      </c>
      <c r="I37" s="63">
        <f>INDEX(AMD_OU_Data!$D$25:$M$38,MATCH(cost_base!$C37,AMD_OU_Data!$C$6:$C$19,0),MATCH(cost_base!$E37,AMD_OU_Data!$D$5:$M$5,0))</f>
        <v>9.3641429387747763</v>
      </c>
      <c r="J37" s="64">
        <f>INDEX(AMD_OU_Data!$D$6:$M$19,MATCH(cost_base!C37,AMD_OU_Data!$C$6:$C$19,0), MATCH(cost_base!E37,AMD_OU_Data!$D$5:$M$5,0))</f>
        <v>0.9429848152367003</v>
      </c>
      <c r="K37" s="62">
        <f>INDEX(AMD_OU_Data!$D$43:$D$56,MATCH(cost_base!C37,AMD_OU_Data!$C$43:$C$56,0))</f>
        <v>2700</v>
      </c>
      <c r="L37" s="65">
        <f>(K37/I37)*INDEX(AMD_OU_Data!$E$43:$E$56,MATCH(cost_base!C37,AMD_OU_Data!$C$43:$C$56,0))</f>
        <v>32700.275181934616</v>
      </c>
      <c r="M37" s="65">
        <f>VLOOKUP(H37,AMD_EMI_Data!$A$7:$E$26,5,FALSE)</f>
        <v>6090.9052802258566</v>
      </c>
      <c r="N37" s="65">
        <f>INDEX(AMD_OU_Data!$D$61:$M$74,MATCH(cost_base!C37,AMD_OU_Data!$C$61:$C$74,0),MATCH(cost_base!E37,AMD_OU_Data!$D$60:$M$60,0))</f>
        <v>7800</v>
      </c>
      <c r="O37" s="66">
        <f>cost_base!$L37+cost_base!$M37+cost_base!$N37</f>
        <v>46591.180462160475</v>
      </c>
      <c r="P37" s="65">
        <f t="shared" si="1"/>
        <v>36000</v>
      </c>
      <c r="Q37" s="67">
        <f>cost_base!$O37+cost_base!$P37</f>
        <v>82591.180462160468</v>
      </c>
    </row>
    <row r="38" spans="1:17" x14ac:dyDescent="0.2">
      <c r="A38" s="100">
        <v>37</v>
      </c>
      <c r="B38" s="56" t="str">
        <f>partner_vehicles_form_AMD!A29</f>
        <v>Rampura Branch</v>
      </c>
      <c r="C38" s="56" t="str">
        <f>partner_vehicles_form_AMD!B29</f>
        <v>AMDBP</v>
      </c>
      <c r="D38" s="56" t="str">
        <f>partner_vehicles_form_AMD!C29</f>
        <v>MUKESHBHAI RAJABHAI BHARWAD</v>
      </c>
      <c r="E38" s="56" t="s">
        <v>14</v>
      </c>
      <c r="F38" s="56" t="s">
        <v>13</v>
      </c>
      <c r="G38" s="56">
        <v>2015</v>
      </c>
      <c r="H38" s="56" t="str">
        <f>VLOOKUP(E38,vehicle_mapping!$A$1:$B$11,2,FALSE)</f>
        <v>Mahindra</v>
      </c>
      <c r="I38" s="57">
        <f>INDEX(AMD_OU_Data!$D$25:$M$38,MATCH(cost_base!$C38,AMD_OU_Data!$C$6:$C$19,0),MATCH(cost_base!$E38,AMD_OU_Data!$D$5:$M$5,0))</f>
        <v>11.216814907083885</v>
      </c>
      <c r="J38" s="58">
        <f>INDEX(AMD_OU_Data!$D$6:$M$19,MATCH(cost_base!C38,AMD_OU_Data!$C$6:$C$19,0), MATCH(cost_base!E38,AMD_OU_Data!$D$5:$M$5,0))</f>
        <v>1.4849540362195355</v>
      </c>
      <c r="K38" s="56">
        <f>INDEX(AMD_OU_Data!$D$43:$D$56,MATCH(cost_base!C38,AMD_OU_Data!$C$43:$C$56,0))</f>
        <v>2600</v>
      </c>
      <c r="L38" s="59">
        <f>(K38/I38)*INDEX(AMD_OU_Data!$E$43:$E$56,MATCH(cost_base!C38,AMD_OU_Data!$C$43:$C$56,0))</f>
        <v>18738.720654163106</v>
      </c>
      <c r="M38" s="59">
        <f>VLOOKUP(H38,AMD_EMI_Data!$A$7:$E$26,5,FALSE)</f>
        <v>11420.447400423482</v>
      </c>
      <c r="N38" s="59">
        <f>INDEX(AMD_OU_Data!$D$61:$M$74,MATCH(cost_base!C38,AMD_OU_Data!$C$61:$C$74,0),MATCH(cost_base!E38,AMD_OU_Data!$D$60:$M$60,0))</f>
        <v>11200</v>
      </c>
      <c r="O38" s="60">
        <f>cost_base!$L38+cost_base!$M38+cost_base!$N38</f>
        <v>41359.168054586589</v>
      </c>
      <c r="P38" s="59">
        <f t="shared" si="1"/>
        <v>36000</v>
      </c>
      <c r="Q38" s="61">
        <f>cost_base!$O38+cost_base!$P38</f>
        <v>77359.168054586597</v>
      </c>
    </row>
    <row r="39" spans="1:17" x14ac:dyDescent="0.2">
      <c r="A39" s="101">
        <v>38</v>
      </c>
      <c r="B39" s="62" t="str">
        <f>partner_vehicles_form_AMD!A30</f>
        <v>Ahmedabad Branch</v>
      </c>
      <c r="C39" s="62" t="str">
        <f>partner_vehicles_form_AMD!B30</f>
        <v>AMDT1</v>
      </c>
      <c r="D39" s="62" t="str">
        <f>partner_vehicles_form_AMD!C30</f>
        <v>MULIYA TOFIKHUSEN HABIBBHAI</v>
      </c>
      <c r="E39" s="62" t="s">
        <v>12</v>
      </c>
      <c r="F39" s="62" t="s">
        <v>9</v>
      </c>
      <c r="G39" s="69" t="s">
        <v>10</v>
      </c>
      <c r="H39" s="62" t="str">
        <f>VLOOKUP(E39,vehicle_mapping!$A$1:$B$11,2,FALSE)</f>
        <v>Eicher 17</v>
      </c>
      <c r="I39" s="63">
        <f>INDEX(AMD_OU_Data!$D$25:$M$38,MATCH(cost_base!$C39,AMD_OU_Data!$C$6:$C$19,0),MATCH(cost_base!$E39,AMD_OU_Data!$D$5:$M$5,0))</f>
        <v>6.5525461364709248</v>
      </c>
      <c r="J39" s="64">
        <f>INDEX(AMD_OU_Data!$D$6:$M$19,MATCH(cost_base!C39,AMD_OU_Data!$C$6:$C$19,0), MATCH(cost_base!E39,AMD_OU_Data!$D$5:$M$5,0))</f>
        <v>6.5900268382448797</v>
      </c>
      <c r="K39" s="62">
        <f>INDEX(AMD_OU_Data!$D$43:$D$56,MATCH(cost_base!C39,AMD_OU_Data!$C$43:$C$56,0))</f>
        <v>2900</v>
      </c>
      <c r="L39" s="65">
        <f>(K39/I39)*INDEX(AMD_OU_Data!$E$43:$E$56,MATCH(cost_base!C39,AMD_OU_Data!$C$43:$C$56,0))</f>
        <v>44474.742564298867</v>
      </c>
      <c r="M39" s="65">
        <f>VLOOKUP(H39,AMD_EMI_Data!$A$7:$E$26,5,FALSE)</f>
        <v>17511.352680649339</v>
      </c>
      <c r="N39" s="65">
        <f>INDEX(AMD_OU_Data!$D$61:$M$74,MATCH(cost_base!C39,AMD_OU_Data!$C$61:$C$74,0),MATCH(cost_base!E39,AMD_OU_Data!$D$60:$M$60,0))</f>
        <v>12500</v>
      </c>
      <c r="O39" s="66">
        <f>cost_base!$L39+cost_base!$M39+cost_base!$N39</f>
        <v>74486.095244948199</v>
      </c>
      <c r="P39" s="65">
        <f t="shared" si="1"/>
        <v>36000</v>
      </c>
      <c r="Q39" s="67">
        <f>cost_base!$O39+cost_base!$P39</f>
        <v>110486.0952449482</v>
      </c>
    </row>
    <row r="40" spans="1:17" x14ac:dyDescent="0.2">
      <c r="A40" s="100">
        <v>39</v>
      </c>
      <c r="B40" s="56" t="str">
        <f>partner_vehicles_form_AMD!A31</f>
        <v>Vadodara</v>
      </c>
      <c r="C40" s="56" t="str">
        <f>partner_vehicles_form_AMD!B31</f>
        <v>BDQT1</v>
      </c>
      <c r="D40" s="56" t="str">
        <f>partner_vehicles_form_AMD!C31</f>
        <v>OD Maheshbhai Bhikhabhai</v>
      </c>
      <c r="E40" s="56" t="s">
        <v>16</v>
      </c>
      <c r="F40" s="56" t="s">
        <v>19</v>
      </c>
      <c r="G40" s="56">
        <v>2014</v>
      </c>
      <c r="H40" s="56" t="str">
        <f>VLOOKUP(E40,vehicle_mapping!$A$1:$B$11,2,FALSE)</f>
        <v>AL Dost</v>
      </c>
      <c r="I40" s="57">
        <f>INDEX(AMD_OU_Data!$D$25:$M$38,MATCH(cost_base!$C40,AMD_OU_Data!$C$6:$C$19,0),MATCH(cost_base!$E40,AMD_OU_Data!$D$5:$M$5,0))</f>
        <v>16.206961290646341</v>
      </c>
      <c r="J40" s="58">
        <f>INDEX(AMD_OU_Data!$D$6:$M$19,MATCH(cost_base!C40,AMD_OU_Data!$C$6:$C$19,0), MATCH(cost_base!E40,AMD_OU_Data!$D$5:$M$5,0))</f>
        <v>0.97146367060579686</v>
      </c>
      <c r="K40" s="56">
        <f>INDEX(AMD_OU_Data!$D$43:$D$56,MATCH(cost_base!C40,AMD_OU_Data!$C$43:$C$56,0))</f>
        <v>3000</v>
      </c>
      <c r="L40" s="59">
        <f>(K40/I40)*INDEX(AMD_OU_Data!$E$43:$E$56,MATCH(cost_base!C40,AMD_OU_Data!$C$43:$C$56,0))</f>
        <v>14542.423275093808</v>
      </c>
      <c r="M40" s="59">
        <f>VLOOKUP(H40,AMD_EMI_Data!$A$7:$E$26,5,FALSE)</f>
        <v>7613.6316002823205</v>
      </c>
      <c r="N40" s="59">
        <f>INDEX(AMD_OU_Data!$D$61:$M$74,MATCH(cost_base!C40,AMD_OU_Data!$C$61:$C$74,0),MATCH(cost_base!E40,AMD_OU_Data!$D$60:$M$60,0))</f>
        <v>10200</v>
      </c>
      <c r="O40" s="60">
        <f>cost_base!$L40+cost_base!$M40+cost_base!$N40</f>
        <v>32356.054875376129</v>
      </c>
      <c r="P40" s="59">
        <f t="shared" si="1"/>
        <v>36000</v>
      </c>
      <c r="Q40" s="61">
        <f>cost_base!$O40+cost_base!$P40</f>
        <v>68356.054875376125</v>
      </c>
    </row>
    <row r="41" spans="1:17" x14ac:dyDescent="0.2">
      <c r="A41" s="101">
        <v>40</v>
      </c>
      <c r="B41" s="62" t="str">
        <f>partner_vehicles_form_AMD!A32</f>
        <v>Rajkot</v>
      </c>
      <c r="C41" s="62" t="str">
        <f>partner_vehicles_form_AMD!B32</f>
        <v>RAJB1</v>
      </c>
      <c r="D41" s="62" t="str">
        <f>partner_vehicles_form_AMD!C32</f>
        <v>Patani Salim Gafarbhai</v>
      </c>
      <c r="E41" s="62" t="s">
        <v>110</v>
      </c>
      <c r="F41" s="62" t="s">
        <v>19</v>
      </c>
      <c r="G41" s="62">
        <v>2014</v>
      </c>
      <c r="H41" s="62" t="str">
        <f>VLOOKUP(E41,vehicle_mapping!$A$1:$B$11,2,FALSE)</f>
        <v>Pickup</v>
      </c>
      <c r="I41" s="63">
        <f>INDEX(AMD_OU_Data!$D$25:$M$38,MATCH(cost_base!$C41,AMD_OU_Data!$C$6:$C$19,0),MATCH(cost_base!$E41,AMD_OU_Data!$D$5:$M$5,0))</f>
        <v>13.840671454814565</v>
      </c>
      <c r="J41" s="64">
        <f>INDEX(AMD_OU_Data!$D$6:$M$19,MATCH(cost_base!C41,AMD_OU_Data!$C$6:$C$19,0), MATCH(cost_base!E41,AMD_OU_Data!$D$5:$M$5,0))</f>
        <v>1.6537934308679081</v>
      </c>
      <c r="K41" s="62">
        <f>INDEX(AMD_OU_Data!$D$43:$D$56,MATCH(cost_base!C41,AMD_OU_Data!$C$43:$C$56,0))</f>
        <v>1800</v>
      </c>
      <c r="L41" s="65">
        <f>(K41/I41)*INDEX(AMD_OU_Data!$E$43:$E$56,MATCH(cost_base!C41,AMD_OU_Data!$C$43:$C$56,0))</f>
        <v>11794.903254198736</v>
      </c>
      <c r="M41" s="65">
        <f>VLOOKUP(H41,AMD_EMI_Data!$A$7:$E$26,5,FALSE)</f>
        <v>9897.7210803670168</v>
      </c>
      <c r="N41" s="65">
        <f>INDEX(AMD_OU_Data!$D$61:$M$74,MATCH(cost_base!C41,AMD_OU_Data!$C$61:$C$74,0),MATCH(cost_base!E41,AMD_OU_Data!$D$60:$M$60,0))</f>
        <v>9300</v>
      </c>
      <c r="O41" s="66">
        <f>cost_base!$L41+cost_base!$M41+cost_base!$N41</f>
        <v>30992.624334565753</v>
      </c>
      <c r="P41" s="65">
        <f t="shared" si="1"/>
        <v>36000</v>
      </c>
      <c r="Q41" s="67">
        <f>cost_base!$O41+cost_base!$P41</f>
        <v>66992.624334565757</v>
      </c>
    </row>
    <row r="42" spans="1:17" x14ac:dyDescent="0.2">
      <c r="A42" s="100">
        <v>41</v>
      </c>
      <c r="B42" s="56" t="str">
        <f>partner_vehicles_form_AMD!A32</f>
        <v>Rajkot</v>
      </c>
      <c r="C42" s="56" t="str">
        <f>partner_vehicles_form_AMD!B32</f>
        <v>RAJB1</v>
      </c>
      <c r="D42" s="56" t="str">
        <f>partner_vehicles_form_AMD!C32</f>
        <v>Patani Salim Gafarbhai</v>
      </c>
      <c r="E42" s="56" t="s">
        <v>18</v>
      </c>
      <c r="F42" s="56" t="s">
        <v>19</v>
      </c>
      <c r="G42" s="56">
        <v>2020</v>
      </c>
      <c r="H42" s="56" t="str">
        <f>VLOOKUP(E42,vehicle_mapping!$A$1:$B$11,2,FALSE)</f>
        <v>Tata Ace</v>
      </c>
      <c r="I42" s="57">
        <f>INDEX(AMD_OU_Data!$D$25:$M$38,MATCH(cost_base!$C42,AMD_OU_Data!$C$6:$C$19,0),MATCH(cost_base!$E42,AMD_OU_Data!$D$5:$M$5,0))</f>
        <v>15.252132362435546</v>
      </c>
      <c r="J42" s="58">
        <f>INDEX(AMD_OU_Data!$D$6:$M$19,MATCH(cost_base!C42,AMD_OU_Data!$C$6:$C$19,0), MATCH(cost_base!E42,AMD_OU_Data!$D$5:$M$5,0))</f>
        <v>0.44282249549748876</v>
      </c>
      <c r="K42" s="56">
        <f>INDEX(AMD_OU_Data!$D$43:$D$56,MATCH(cost_base!C42,AMD_OU_Data!$C$43:$C$56,0))</f>
        <v>1800</v>
      </c>
      <c r="L42" s="59">
        <f>(K42/I42)*INDEX(AMD_OU_Data!$E$43:$E$56,MATCH(cost_base!C42,AMD_OU_Data!$C$43:$C$56,0))</f>
        <v>10703.38080626382</v>
      </c>
      <c r="M42" s="59">
        <f>VLOOKUP(H42,AMD_EMI_Data!$A$7:$E$26,5,FALSE)</f>
        <v>6090.9052802258566</v>
      </c>
      <c r="N42" s="59">
        <f>INDEX(AMD_OU_Data!$D$61:$M$74,MATCH(cost_base!C42,AMD_OU_Data!$C$61:$C$74,0),MATCH(cost_base!E42,AMD_OU_Data!$D$60:$M$60,0))</f>
        <v>6200</v>
      </c>
      <c r="O42" s="60">
        <f>cost_base!$L42+cost_base!$M42+cost_base!$N42</f>
        <v>22994.286086489676</v>
      </c>
      <c r="P42" s="59">
        <f t="shared" si="1"/>
        <v>36000</v>
      </c>
      <c r="Q42" s="61">
        <f>cost_base!$O42+cost_base!$P42</f>
        <v>58994.286086489679</v>
      </c>
    </row>
    <row r="43" spans="1:17" x14ac:dyDescent="0.2">
      <c r="A43" s="101">
        <v>42</v>
      </c>
      <c r="B43" s="62" t="str">
        <f>partner_vehicles_form_AMD!A33</f>
        <v>Rampura Branch</v>
      </c>
      <c r="C43" s="62" t="str">
        <f>partner_vehicles_form_AMD!B33</f>
        <v>AMDBC</v>
      </c>
      <c r="D43" s="62" t="str">
        <f>partner_vehicles_form_AMD!C33</f>
        <v>PATHAN PARVEZBHAI</v>
      </c>
      <c r="E43" s="62" t="s">
        <v>18</v>
      </c>
      <c r="F43" s="62" t="s">
        <v>13</v>
      </c>
      <c r="G43" s="62">
        <v>2012</v>
      </c>
      <c r="H43" s="62" t="str">
        <f>VLOOKUP(E43,vehicle_mapping!$A$1:$B$11,2,FALSE)</f>
        <v>Tata Ace</v>
      </c>
      <c r="I43" s="63">
        <f>INDEX(AMD_OU_Data!$D$25:$M$38,MATCH(cost_base!$C43,AMD_OU_Data!$C$6:$C$19,0),MATCH(cost_base!$E43,AMD_OU_Data!$D$5:$M$5,0))</f>
        <v>17.157710528177709</v>
      </c>
      <c r="J43" s="64">
        <f>INDEX(AMD_OU_Data!$D$6:$M$19,MATCH(cost_base!C43,AMD_OU_Data!$C$6:$C$19,0), MATCH(cost_base!E43,AMD_OU_Data!$D$5:$M$5,0))</f>
        <v>1.0426350561035722</v>
      </c>
      <c r="K43" s="62">
        <f>INDEX(AMD_OU_Data!$D$43:$D$56,MATCH(cost_base!C43,AMD_OU_Data!$C$43:$C$56,0))</f>
        <v>3100</v>
      </c>
      <c r="L43" s="65">
        <f>(K43/I43)*INDEX(AMD_OU_Data!$E$43:$E$56,MATCH(cost_base!C43,AMD_OU_Data!$C$43:$C$56,0))</f>
        <v>16815.46394439719</v>
      </c>
      <c r="M43" s="65">
        <f>VLOOKUP(H43,AMD_EMI_Data!$A$7:$E$26,5,FALSE)</f>
        <v>6090.9052802258566</v>
      </c>
      <c r="N43" s="65">
        <f>INDEX(AMD_OU_Data!$D$61:$M$74,MATCH(cost_base!C43,AMD_OU_Data!$C$61:$C$74,0),MATCH(cost_base!E43,AMD_OU_Data!$D$60:$M$60,0))</f>
        <v>11800</v>
      </c>
      <c r="O43" s="66">
        <f>cost_base!$L43+cost_base!$M43+cost_base!$N43</f>
        <v>34706.369224623049</v>
      </c>
      <c r="P43" s="65">
        <f t="shared" si="1"/>
        <v>36000</v>
      </c>
      <c r="Q43" s="67">
        <f>cost_base!$O43+cost_base!$P43</f>
        <v>70706.369224623049</v>
      </c>
    </row>
    <row r="44" spans="1:17" x14ac:dyDescent="0.2">
      <c r="A44" s="100">
        <v>43</v>
      </c>
      <c r="B44" s="56" t="str">
        <f>partner_vehicles_form_AMD!A34</f>
        <v>Surat</v>
      </c>
      <c r="C44" s="56" t="str">
        <f>partner_vehicles_form_AMD!B34</f>
        <v>STVT1</v>
      </c>
      <c r="D44" s="56" t="str">
        <f>partner_vehicles_form_AMD!C34</f>
        <v>Pravin Patil</v>
      </c>
      <c r="E44" s="56" t="s">
        <v>18</v>
      </c>
      <c r="F44" s="56" t="s">
        <v>19</v>
      </c>
      <c r="G44" s="56">
        <v>2019</v>
      </c>
      <c r="H44" s="56" t="str">
        <f>VLOOKUP(E44,vehicle_mapping!$A$1:$B$11,2,FALSE)</f>
        <v>Tata Ace</v>
      </c>
      <c r="I44" s="57">
        <f>INDEX(AMD_OU_Data!$D$25:$M$38,MATCH(cost_base!$C44,AMD_OU_Data!$C$6:$C$19,0),MATCH(cost_base!$E44,AMD_OU_Data!$D$5:$M$5,0))</f>
        <v>17.294647938760768</v>
      </c>
      <c r="J44" s="58">
        <f>INDEX(AMD_OU_Data!$D$6:$M$19,MATCH(cost_base!C44,AMD_OU_Data!$C$6:$C$19,0), MATCH(cost_base!E44,AMD_OU_Data!$D$5:$M$5,0))</f>
        <v>1.0764283836997799</v>
      </c>
      <c r="K44" s="56">
        <f>INDEX(AMD_OU_Data!$D$43:$D$56,MATCH(cost_base!C44,AMD_OU_Data!$C$43:$C$56,0))</f>
        <v>2900</v>
      </c>
      <c r="L44" s="59">
        <f>(K44/I44)*INDEX(AMD_OU_Data!$E$43:$E$56,MATCH(cost_base!C44,AMD_OU_Data!$C$43:$C$56,0))</f>
        <v>16669.829348340325</v>
      </c>
      <c r="M44" s="59">
        <f>VLOOKUP(H44,AMD_EMI_Data!$A$7:$E$26,5,FALSE)</f>
        <v>6090.9052802258566</v>
      </c>
      <c r="N44" s="59">
        <f>INDEX(AMD_OU_Data!$D$61:$M$74,MATCH(cost_base!C44,AMD_OU_Data!$C$61:$C$74,0),MATCH(cost_base!E44,AMD_OU_Data!$D$60:$M$60,0))</f>
        <v>11500</v>
      </c>
      <c r="O44" s="60">
        <f>cost_base!$L44+cost_base!$M44+cost_base!$N44</f>
        <v>34260.734628566177</v>
      </c>
      <c r="P44" s="59">
        <f t="shared" si="1"/>
        <v>36000</v>
      </c>
      <c r="Q44" s="61">
        <f>cost_base!$O44+cost_base!$P44</f>
        <v>70260.734628566177</v>
      </c>
    </row>
    <row r="45" spans="1:17" x14ac:dyDescent="0.2">
      <c r="A45" s="101">
        <v>44</v>
      </c>
      <c r="B45" s="62" t="str">
        <f>partner_vehicles_form_AMD!A35</f>
        <v>Ahmedabad Branch</v>
      </c>
      <c r="C45" s="62" t="str">
        <f>partner_vehicles_form_AMD!B35</f>
        <v>AMDT1</v>
      </c>
      <c r="D45" s="62" t="str">
        <f>partner_vehicles_form_AMD!C35</f>
        <v>Pravin Thakor</v>
      </c>
      <c r="E45" s="62" t="s">
        <v>12</v>
      </c>
      <c r="F45" s="62" t="s">
        <v>9</v>
      </c>
      <c r="G45" s="69" t="s">
        <v>10</v>
      </c>
      <c r="H45" s="62" t="str">
        <f>VLOOKUP(E45,vehicle_mapping!$A$1:$B$11,2,FALSE)</f>
        <v>Eicher 17</v>
      </c>
      <c r="I45" s="63">
        <f>INDEX(AMD_OU_Data!$D$25:$M$38,MATCH(cost_base!$C45,AMD_OU_Data!$C$6:$C$19,0),MATCH(cost_base!$E45,AMD_OU_Data!$D$5:$M$5,0))</f>
        <v>6.5525461364709248</v>
      </c>
      <c r="J45" s="64">
        <f>INDEX(AMD_OU_Data!$D$6:$M$19,MATCH(cost_base!C45,AMD_OU_Data!$C$6:$C$19,0), MATCH(cost_base!E45,AMD_OU_Data!$D$5:$M$5,0))</f>
        <v>6.5900268382448797</v>
      </c>
      <c r="K45" s="62">
        <f>INDEX(AMD_OU_Data!$D$43:$D$56,MATCH(cost_base!C45,AMD_OU_Data!$C$43:$C$56,0))</f>
        <v>2900</v>
      </c>
      <c r="L45" s="65">
        <f>(K45/I45)*INDEX(AMD_OU_Data!$E$43:$E$56,MATCH(cost_base!C45,AMD_OU_Data!$C$43:$C$56,0))</f>
        <v>44474.742564298867</v>
      </c>
      <c r="M45" s="65">
        <f>VLOOKUP(H45,AMD_EMI_Data!$A$7:$E$26,5,FALSE)</f>
        <v>17511.352680649339</v>
      </c>
      <c r="N45" s="65">
        <f>INDEX(AMD_OU_Data!$D$61:$M$74,MATCH(cost_base!C45,AMD_OU_Data!$C$61:$C$74,0),MATCH(cost_base!E45,AMD_OU_Data!$D$60:$M$60,0))</f>
        <v>12500</v>
      </c>
      <c r="O45" s="66">
        <f>cost_base!$L45+cost_base!$M45+cost_base!$N45</f>
        <v>74486.095244948199</v>
      </c>
      <c r="P45" s="65">
        <f t="shared" si="1"/>
        <v>36000</v>
      </c>
      <c r="Q45" s="67">
        <f>cost_base!$O45+cost_base!$P45</f>
        <v>110486.0952449482</v>
      </c>
    </row>
    <row r="46" spans="1:17" x14ac:dyDescent="0.2">
      <c r="A46" s="100">
        <v>45</v>
      </c>
      <c r="B46" s="56" t="str">
        <f>partner_vehicles_form_AMD!A36</f>
        <v>Gandhi Nager</v>
      </c>
      <c r="C46" s="56" t="str">
        <f>partner_vehicles_form_AMD!B36</f>
        <v>GNCB1</v>
      </c>
      <c r="D46" s="56" t="str">
        <f>partner_vehicles_form_AMD!C36</f>
        <v>RAJENDRASINH L CHAVDA</v>
      </c>
      <c r="E46" s="56" t="s">
        <v>18</v>
      </c>
      <c r="F46" s="56" t="s">
        <v>19</v>
      </c>
      <c r="G46" s="56">
        <v>2020</v>
      </c>
      <c r="H46" s="56" t="str">
        <f>VLOOKUP(E46,vehicle_mapping!$A$1:$B$11,2,FALSE)</f>
        <v>Tata Ace</v>
      </c>
      <c r="I46" s="57">
        <f>INDEX(AMD_OU_Data!$D$25:$M$38,MATCH(cost_base!$C46,AMD_OU_Data!$C$6:$C$19,0),MATCH(cost_base!$E46,AMD_OU_Data!$D$5:$M$5,0))</f>
        <v>9.3641429387747763</v>
      </c>
      <c r="J46" s="58">
        <f>INDEX(AMD_OU_Data!$D$6:$M$19,MATCH(cost_base!C46,AMD_OU_Data!$C$6:$C$19,0), MATCH(cost_base!E46,AMD_OU_Data!$D$5:$M$5,0))</f>
        <v>0.9429848152367003</v>
      </c>
      <c r="K46" s="56">
        <f>INDEX(AMD_OU_Data!$D$43:$D$56,MATCH(cost_base!C46,AMD_OU_Data!$C$43:$C$56,0))</f>
        <v>2700</v>
      </c>
      <c r="L46" s="59">
        <f>(K46/I46)*INDEX(AMD_OU_Data!$E$43:$E$56,MATCH(cost_base!C46,AMD_OU_Data!$C$43:$C$56,0))</f>
        <v>32700.275181934616</v>
      </c>
      <c r="M46" s="59">
        <f>VLOOKUP(H46,AMD_EMI_Data!$A$7:$E$26,5,FALSE)</f>
        <v>6090.9052802258566</v>
      </c>
      <c r="N46" s="59">
        <f>INDEX(AMD_OU_Data!$D$61:$M$74,MATCH(cost_base!C46,AMD_OU_Data!$C$61:$C$74,0),MATCH(cost_base!E46,AMD_OU_Data!$D$60:$M$60,0))</f>
        <v>7800</v>
      </c>
      <c r="O46" s="60">
        <f>cost_base!$L46+cost_base!$M46+cost_base!$N46</f>
        <v>46591.180462160475</v>
      </c>
      <c r="P46" s="59">
        <f t="shared" si="1"/>
        <v>36000</v>
      </c>
      <c r="Q46" s="61">
        <f>cost_base!$O46+cost_base!$P46</f>
        <v>82591.180462160468</v>
      </c>
    </row>
    <row r="47" spans="1:17" x14ac:dyDescent="0.2">
      <c r="A47" s="101">
        <v>46</v>
      </c>
      <c r="B47" s="62" t="str">
        <f>partner_vehicles_form_AMD!A37</f>
        <v>Vadodara</v>
      </c>
      <c r="C47" s="62" t="str">
        <f>partner_vehicles_form_AMD!B37</f>
        <v>BDQT1</v>
      </c>
      <c r="D47" s="62" t="str">
        <f>partner_vehicles_form_AMD!C37</f>
        <v>Rajesh Kumar Misra_Delivery</v>
      </c>
      <c r="E47" s="62" t="s">
        <v>29</v>
      </c>
      <c r="F47" s="62" t="s">
        <v>19</v>
      </c>
      <c r="G47" s="62">
        <v>2014</v>
      </c>
      <c r="H47" s="62" t="str">
        <f>VLOOKUP(E47,vehicle_mapping!$A$1:$B$11,2,FALSE)</f>
        <v>Super ace</v>
      </c>
      <c r="I47" s="63">
        <f>INDEX(AMD_OU_Data!$D$25:$M$38,MATCH(cost_base!$C47,AMD_OU_Data!$C$6:$C$19,0),MATCH(cost_base!$E47,AMD_OU_Data!$D$5:$M$5,0))</f>
        <v>9.9226528824228826</v>
      </c>
      <c r="J47" s="64">
        <f>INDEX(AMD_OU_Data!$D$6:$M$19,MATCH(cost_base!C47,AMD_OU_Data!$C$6:$C$19,0), MATCH(cost_base!E47,AMD_OU_Data!$D$5:$M$5,0))</f>
        <v>1.6651510049498304</v>
      </c>
      <c r="K47" s="62">
        <f>INDEX(AMD_OU_Data!$D$43:$D$56,MATCH(cost_base!C47,AMD_OU_Data!$C$43:$C$56,0))</f>
        <v>3000</v>
      </c>
      <c r="L47" s="65">
        <f>(K47/I47)*INDEX(AMD_OU_Data!$E$43:$E$56,MATCH(cost_base!C47,AMD_OU_Data!$C$43:$C$56,0))</f>
        <v>23752.568379081509</v>
      </c>
      <c r="M47" s="65">
        <f>VLOOKUP(H47,AMD_EMI_Data!$A$7:$E$26,5,FALSE)</f>
        <v>8374.9947603105538</v>
      </c>
      <c r="N47" s="65">
        <f>INDEX(AMD_OU_Data!$D$61:$M$74,MATCH(cost_base!C47,AMD_OU_Data!$C$61:$C$74,0),MATCH(cost_base!E47,AMD_OU_Data!$D$60:$M$60,0))</f>
        <v>10500</v>
      </c>
      <c r="O47" s="66">
        <f>cost_base!$L47+cost_base!$M47+cost_base!$N47</f>
        <v>42627.563139392063</v>
      </c>
      <c r="P47" s="65">
        <f t="shared" si="1"/>
        <v>36000</v>
      </c>
      <c r="Q47" s="67">
        <f>cost_base!$O47+cost_base!$P47</f>
        <v>78627.563139392063</v>
      </c>
    </row>
    <row r="48" spans="1:17" x14ac:dyDescent="0.2">
      <c r="A48" s="100">
        <v>47</v>
      </c>
      <c r="B48" s="56" t="str">
        <f>partner_vehicles_form_AMD!A37</f>
        <v>Vadodara</v>
      </c>
      <c r="C48" s="56" t="str">
        <f>partner_vehicles_form_AMD!B37</f>
        <v>BDQT1</v>
      </c>
      <c r="D48" s="56" t="str">
        <f>partner_vehicles_form_AMD!C37</f>
        <v>Rajesh Kumar Misra_Delivery</v>
      </c>
      <c r="E48" s="56" t="s">
        <v>16</v>
      </c>
      <c r="F48" s="56" t="s">
        <v>19</v>
      </c>
      <c r="G48" s="56">
        <v>2018</v>
      </c>
      <c r="H48" s="56" t="str">
        <f>VLOOKUP(E48,vehicle_mapping!$A$1:$B$11,2,FALSE)</f>
        <v>AL Dost</v>
      </c>
      <c r="I48" s="57">
        <f>INDEX(AMD_OU_Data!$D$25:$M$38,MATCH(cost_base!$C48,AMD_OU_Data!$C$6:$C$19,0),MATCH(cost_base!$E48,AMD_OU_Data!$D$5:$M$5,0))</f>
        <v>16.206961290646341</v>
      </c>
      <c r="J48" s="58">
        <f>INDEX(AMD_OU_Data!$D$6:$M$19,MATCH(cost_base!C48,AMD_OU_Data!$C$6:$C$19,0), MATCH(cost_base!E48,AMD_OU_Data!$D$5:$M$5,0))</f>
        <v>0.97146367060579686</v>
      </c>
      <c r="K48" s="56">
        <f>INDEX(AMD_OU_Data!$D$43:$D$56,MATCH(cost_base!C48,AMD_OU_Data!$C$43:$C$56,0))</f>
        <v>3000</v>
      </c>
      <c r="L48" s="59">
        <f>(K48/I48)*INDEX(AMD_OU_Data!$E$43:$E$56,MATCH(cost_base!C48,AMD_OU_Data!$C$43:$C$56,0))</f>
        <v>14542.423275093808</v>
      </c>
      <c r="M48" s="59">
        <f>VLOOKUP(H48,AMD_EMI_Data!$A$7:$E$26,5,FALSE)</f>
        <v>7613.6316002823205</v>
      </c>
      <c r="N48" s="59">
        <f>INDEX(AMD_OU_Data!$D$61:$M$74,MATCH(cost_base!C48,AMD_OU_Data!$C$61:$C$74,0),MATCH(cost_base!E48,AMD_OU_Data!$D$60:$M$60,0))</f>
        <v>10200</v>
      </c>
      <c r="O48" s="60">
        <f>cost_base!$L48+cost_base!$M48+cost_base!$N48</f>
        <v>32356.054875376129</v>
      </c>
      <c r="P48" s="59">
        <f t="shared" si="1"/>
        <v>36000</v>
      </c>
      <c r="Q48" s="61">
        <f>cost_base!$O48+cost_base!$P48</f>
        <v>68356.054875376125</v>
      </c>
    </row>
    <row r="49" spans="1:17" x14ac:dyDescent="0.2">
      <c r="A49" s="101">
        <v>48</v>
      </c>
      <c r="B49" s="62" t="str">
        <f>partner_vehicles_form_AMD!A38</f>
        <v>Junagarh</v>
      </c>
      <c r="C49" s="62" t="str">
        <f>partner_vehicles_form_AMD!B38</f>
        <v>JNDB1</v>
      </c>
      <c r="D49" s="62" t="str">
        <f>partner_vehicles_form_AMD!C38</f>
        <v>RAKIB GULAMKADAR BLOCH</v>
      </c>
      <c r="E49" s="62" t="s">
        <v>18</v>
      </c>
      <c r="F49" s="62" t="s">
        <v>19</v>
      </c>
      <c r="G49" s="62">
        <v>2015</v>
      </c>
      <c r="H49" s="62" t="str">
        <f>VLOOKUP(E49,vehicle_mapping!$A$1:$B$11,2,FALSE)</f>
        <v>Tata Ace</v>
      </c>
      <c r="I49" s="63">
        <f>INDEX(AMD_OU_Data!$D$25:$M$38,MATCH(cost_base!$C49,AMD_OU_Data!$C$6:$C$19,0),MATCH(cost_base!$E49,AMD_OU_Data!$D$5:$M$5,0))</f>
        <v>10.173410042173559</v>
      </c>
      <c r="J49" s="64">
        <f>INDEX(AMD_OU_Data!$D$6:$M$19,MATCH(cost_base!C49,AMD_OU_Data!$C$6:$C$19,0), MATCH(cost_base!E49,AMD_OU_Data!$D$5:$M$5,0))</f>
        <v>1.020976097530419</v>
      </c>
      <c r="K49" s="62">
        <f>INDEX(AMD_OU_Data!$D$43:$D$56,MATCH(cost_base!C49,AMD_OU_Data!$C$43:$C$56,0))</f>
        <v>1800</v>
      </c>
      <c r="L49" s="65">
        <f>(K49/I49)*INDEX(AMD_OU_Data!$E$43:$E$56,MATCH(cost_base!C49,AMD_OU_Data!$C$43:$C$56,0))</f>
        <v>14495.51069292958</v>
      </c>
      <c r="M49" s="65">
        <f>VLOOKUP(H49,AMD_EMI_Data!$A$7:$E$26,5,FALSE)</f>
        <v>6090.9052802258566</v>
      </c>
      <c r="N49" s="65">
        <f>INDEX(AMD_OU_Data!$D$61:$M$74,MATCH(cost_base!C49,AMD_OU_Data!$C$61:$C$74,0),MATCH(cost_base!E49,AMD_OU_Data!$D$60:$M$60,0))</f>
        <v>9700</v>
      </c>
      <c r="O49" s="66">
        <f>cost_base!$L49+cost_base!$M49+cost_base!$N49</f>
        <v>30286.415973155435</v>
      </c>
      <c r="P49" s="65">
        <f t="shared" si="1"/>
        <v>36000</v>
      </c>
      <c r="Q49" s="67">
        <f>cost_base!$O49+cost_base!$P49</f>
        <v>66286.415973155439</v>
      </c>
    </row>
    <row r="50" spans="1:17" x14ac:dyDescent="0.2">
      <c r="A50" s="100">
        <v>49</v>
      </c>
      <c r="B50" s="56" t="str">
        <f>partner_vehicles_form_AMD!A39</f>
        <v>Mehsana</v>
      </c>
      <c r="C50" s="56" t="str">
        <f>partner_vehicles_form_AMD!B39</f>
        <v>MSHB1</v>
      </c>
      <c r="D50" s="56" t="str">
        <f>partner_vehicles_form_AMD!C39</f>
        <v>SADHU RAM KARGWAL</v>
      </c>
      <c r="E50" s="56" t="s">
        <v>14</v>
      </c>
      <c r="F50" s="56" t="s">
        <v>13</v>
      </c>
      <c r="G50" s="56">
        <v>2019</v>
      </c>
      <c r="H50" s="56" t="str">
        <f>VLOOKUP(E50,vehicle_mapping!$A$1:$B$11,2,FALSE)</f>
        <v>Mahindra</v>
      </c>
      <c r="I50" s="57">
        <f>INDEX(AMD_OU_Data!$D$25:$M$38,MATCH(cost_base!$C50,AMD_OU_Data!$C$6:$C$19,0),MATCH(cost_base!$E50,AMD_OU_Data!$D$5:$M$5,0))</f>
        <v>8.6217992604575731</v>
      </c>
      <c r="J50" s="58">
        <f>INDEX(AMD_OU_Data!$D$6:$M$19,MATCH(cost_base!C50,AMD_OU_Data!$C$6:$C$19,0), MATCH(cost_base!E50,AMD_OU_Data!$D$5:$M$5,0))</f>
        <v>1.7903212444492185</v>
      </c>
      <c r="K50" s="56">
        <f>INDEX(AMD_OU_Data!$D$43:$D$56,MATCH(cost_base!C50,AMD_OU_Data!$C$43:$C$56,0))</f>
        <v>2000</v>
      </c>
      <c r="L50" s="59">
        <f>(K50/I50)*INDEX(AMD_OU_Data!$E$43:$E$56,MATCH(cost_base!C50,AMD_OU_Data!$C$43:$C$56,0))</f>
        <v>23052.631423483541</v>
      </c>
      <c r="M50" s="59">
        <f>VLOOKUP(H50,AMD_EMI_Data!$A$7:$E$26,5,FALSE)</f>
        <v>11420.447400423482</v>
      </c>
      <c r="N50" s="59">
        <f>INDEX(AMD_OU_Data!$D$61:$M$74,MATCH(cost_base!C50,AMD_OU_Data!$C$61:$C$74,0),MATCH(cost_base!E50,AMD_OU_Data!$D$60:$M$60,0))</f>
        <v>10200</v>
      </c>
      <c r="O50" s="60">
        <f>cost_base!$L50+cost_base!$M50+cost_base!$N50</f>
        <v>44673.078823907024</v>
      </c>
      <c r="P50" s="59">
        <f t="shared" si="1"/>
        <v>36000</v>
      </c>
      <c r="Q50" s="61">
        <f>cost_base!$O50+cost_base!$P50</f>
        <v>80673.078823907024</v>
      </c>
    </row>
    <row r="51" spans="1:17" x14ac:dyDescent="0.2">
      <c r="A51" s="101">
        <v>50</v>
      </c>
      <c r="B51" s="62" t="str">
        <f>partner_vehicles_form_AMD!A39</f>
        <v>Mehsana</v>
      </c>
      <c r="C51" s="62" t="str">
        <f>partner_vehicles_form_AMD!B39</f>
        <v>MSHB1</v>
      </c>
      <c r="D51" s="62" t="str">
        <f>partner_vehicles_form_AMD!C39</f>
        <v>SADHU RAM KARGWAL</v>
      </c>
      <c r="E51" s="62" t="s">
        <v>14</v>
      </c>
      <c r="F51" s="62" t="s">
        <v>19</v>
      </c>
      <c r="G51" s="62">
        <v>2018</v>
      </c>
      <c r="H51" s="62" t="str">
        <f>VLOOKUP(E51,vehicle_mapping!$A$1:$B$11,2,FALSE)</f>
        <v>Mahindra</v>
      </c>
      <c r="I51" s="63">
        <f>INDEX(AMD_OU_Data!$D$25:$M$38,MATCH(cost_base!$C51,AMD_OU_Data!$C$6:$C$19,0),MATCH(cost_base!$E51,AMD_OU_Data!$D$5:$M$5,0))</f>
        <v>8.6217992604575731</v>
      </c>
      <c r="J51" s="64">
        <f>INDEX(AMD_OU_Data!$D$6:$M$19,MATCH(cost_base!C51,AMD_OU_Data!$C$6:$C$19,0), MATCH(cost_base!E51,AMD_OU_Data!$D$5:$M$5,0))</f>
        <v>1.7903212444492185</v>
      </c>
      <c r="K51" s="62">
        <f>INDEX(AMD_OU_Data!$D$43:$D$56,MATCH(cost_base!C51,AMD_OU_Data!$C$43:$C$56,0))</f>
        <v>2000</v>
      </c>
      <c r="L51" s="65">
        <f>(K51/I51)*INDEX(AMD_OU_Data!$E$43:$E$56,MATCH(cost_base!C51,AMD_OU_Data!$C$43:$C$56,0))</f>
        <v>23052.631423483541</v>
      </c>
      <c r="M51" s="65">
        <f>VLOOKUP(H51,AMD_EMI_Data!$A$7:$E$26,5,FALSE)</f>
        <v>11420.447400423482</v>
      </c>
      <c r="N51" s="65">
        <f>INDEX(AMD_OU_Data!$D$61:$M$74,MATCH(cost_base!C51,AMD_OU_Data!$C$61:$C$74,0),MATCH(cost_base!E51,AMD_OU_Data!$D$60:$M$60,0))</f>
        <v>10200</v>
      </c>
      <c r="O51" s="66">
        <f>cost_base!$L51+cost_base!$M51+cost_base!$N51</f>
        <v>44673.078823907024</v>
      </c>
      <c r="P51" s="65">
        <f t="shared" si="1"/>
        <v>36000</v>
      </c>
      <c r="Q51" s="67">
        <f>cost_base!$O51+cost_base!$P51</f>
        <v>80673.078823907024</v>
      </c>
    </row>
    <row r="52" spans="1:17" x14ac:dyDescent="0.2">
      <c r="A52" s="100">
        <v>51</v>
      </c>
      <c r="B52" s="56" t="str">
        <f>partner_vehicles_form_AMD!A40</f>
        <v>Ahmedabad Branch</v>
      </c>
      <c r="C52" s="56" t="str">
        <f>partner_vehicles_form_AMD!B40</f>
        <v>AMDT1</v>
      </c>
      <c r="D52" s="56" t="str">
        <f>partner_vehicles_form_AMD!C40</f>
        <v>SANDEEP KUMAR</v>
      </c>
      <c r="E52" s="56" t="s">
        <v>12</v>
      </c>
      <c r="F52" s="56" t="s">
        <v>9</v>
      </c>
      <c r="G52" s="68" t="s">
        <v>10</v>
      </c>
      <c r="H52" s="56" t="str">
        <f>VLOOKUP(E52,vehicle_mapping!$A$1:$B$11,2,FALSE)</f>
        <v>Eicher 17</v>
      </c>
      <c r="I52" s="57">
        <f>INDEX(AMD_OU_Data!$D$25:$M$38,MATCH(cost_base!$C52,AMD_OU_Data!$C$6:$C$19,0),MATCH(cost_base!$E52,AMD_OU_Data!$D$5:$M$5,0))</f>
        <v>6.5525461364709248</v>
      </c>
      <c r="J52" s="58">
        <f>INDEX(AMD_OU_Data!$D$6:$M$19,MATCH(cost_base!C52,AMD_OU_Data!$C$6:$C$19,0), MATCH(cost_base!E52,AMD_OU_Data!$D$5:$M$5,0))</f>
        <v>6.5900268382448797</v>
      </c>
      <c r="K52" s="56">
        <f>INDEX(AMD_OU_Data!$D$43:$D$56,MATCH(cost_base!C52,AMD_OU_Data!$C$43:$C$56,0))</f>
        <v>2900</v>
      </c>
      <c r="L52" s="59">
        <f>(K52/I52)*INDEX(AMD_OU_Data!$E$43:$E$56,MATCH(cost_base!C52,AMD_OU_Data!$C$43:$C$56,0))</f>
        <v>44474.742564298867</v>
      </c>
      <c r="M52" s="59">
        <f>VLOOKUP(H52,AMD_EMI_Data!$A$7:$E$26,5,FALSE)</f>
        <v>17511.352680649339</v>
      </c>
      <c r="N52" s="59">
        <f>INDEX(AMD_OU_Data!$D$61:$M$74,MATCH(cost_base!C52,AMD_OU_Data!$C$61:$C$74,0),MATCH(cost_base!E52,AMD_OU_Data!$D$60:$M$60,0))</f>
        <v>12500</v>
      </c>
      <c r="O52" s="60">
        <f>cost_base!$L52+cost_base!$M52+cost_base!$N52</f>
        <v>74486.095244948199</v>
      </c>
      <c r="P52" s="59">
        <f t="shared" si="1"/>
        <v>36000</v>
      </c>
      <c r="Q52" s="61">
        <f>cost_base!$O52+cost_base!$P52</f>
        <v>110486.0952449482</v>
      </c>
    </row>
    <row r="53" spans="1:17" x14ac:dyDescent="0.2">
      <c r="A53" s="101">
        <v>52</v>
      </c>
      <c r="B53" s="62" t="str">
        <f>partner_vehicles_form_AMD!A41</f>
        <v>Rampura Branch</v>
      </c>
      <c r="C53" s="62" t="str">
        <f>partner_vehicles_form_AMD!B41</f>
        <v>AMDBP</v>
      </c>
      <c r="D53" s="62" t="str">
        <f>partner_vehicles_form_AMD!C41</f>
        <v>SHEKH JENULABEDEEN BADRUDIN</v>
      </c>
      <c r="E53" s="62" t="s">
        <v>14</v>
      </c>
      <c r="F53" s="62" t="s">
        <v>13</v>
      </c>
      <c r="G53" s="62">
        <v>2011</v>
      </c>
      <c r="H53" s="62" t="str">
        <f>VLOOKUP(E53,vehicle_mapping!$A$1:$B$11,2,FALSE)</f>
        <v>Mahindra</v>
      </c>
      <c r="I53" s="63">
        <f>INDEX(AMD_OU_Data!$D$25:$M$38,MATCH(cost_base!$C53,AMD_OU_Data!$C$6:$C$19,0),MATCH(cost_base!$E53,AMD_OU_Data!$D$5:$M$5,0))</f>
        <v>11.216814907083885</v>
      </c>
      <c r="J53" s="64">
        <f>INDEX(AMD_OU_Data!$D$6:$M$19,MATCH(cost_base!C53,AMD_OU_Data!$C$6:$C$19,0), MATCH(cost_base!E53,AMD_OU_Data!$D$5:$M$5,0))</f>
        <v>1.4849540362195355</v>
      </c>
      <c r="K53" s="62">
        <f>INDEX(AMD_OU_Data!$D$43:$D$56,MATCH(cost_base!C53,AMD_OU_Data!$C$43:$C$56,0))</f>
        <v>2600</v>
      </c>
      <c r="L53" s="65">
        <f>(K53/I53)*INDEX(AMD_OU_Data!$E$43:$E$56,MATCH(cost_base!C53,AMD_OU_Data!$C$43:$C$56,0))</f>
        <v>18738.720654163106</v>
      </c>
      <c r="M53" s="65">
        <f>VLOOKUP(H53,AMD_EMI_Data!$A$7:$E$26,5,FALSE)</f>
        <v>11420.447400423482</v>
      </c>
      <c r="N53" s="65">
        <f>INDEX(AMD_OU_Data!$D$61:$M$74,MATCH(cost_base!C53,AMD_OU_Data!$C$61:$C$74,0),MATCH(cost_base!E53,AMD_OU_Data!$D$60:$M$60,0))</f>
        <v>11200</v>
      </c>
      <c r="O53" s="66">
        <f>cost_base!$L53+cost_base!$M53+cost_base!$N53</f>
        <v>41359.168054586589</v>
      </c>
      <c r="P53" s="65">
        <f t="shared" si="1"/>
        <v>36000</v>
      </c>
      <c r="Q53" s="67">
        <f>cost_base!$O53+cost_base!$P53</f>
        <v>77359.168054586597</v>
      </c>
    </row>
    <row r="54" spans="1:17" x14ac:dyDescent="0.2">
      <c r="A54" s="100">
        <v>53</v>
      </c>
      <c r="B54" s="56" t="str">
        <f>partner_vehicles_form_AMD!A42</f>
        <v>Vadodara</v>
      </c>
      <c r="C54" s="56" t="str">
        <f>partner_vehicles_form_AMD!B42</f>
        <v>BDQT1</v>
      </c>
      <c r="D54" s="56" t="str">
        <f>partner_vehicles_form_AMD!C42</f>
        <v>Shekh Seemabanu Mohammad</v>
      </c>
      <c r="E54" s="56" t="s">
        <v>16</v>
      </c>
      <c r="F54" s="56" t="s">
        <v>19</v>
      </c>
      <c r="G54" s="56">
        <v>2015</v>
      </c>
      <c r="H54" s="56" t="str">
        <f>VLOOKUP(E54,vehicle_mapping!$A$1:$B$11,2,FALSE)</f>
        <v>AL Dost</v>
      </c>
      <c r="I54" s="57">
        <f>INDEX(AMD_OU_Data!$D$25:$M$38,MATCH(cost_base!$C54,AMD_OU_Data!$C$6:$C$19,0),MATCH(cost_base!$E54,AMD_OU_Data!$D$5:$M$5,0))</f>
        <v>16.206961290646341</v>
      </c>
      <c r="J54" s="58">
        <f>INDEX(AMD_OU_Data!$D$6:$M$19,MATCH(cost_base!C54,AMD_OU_Data!$C$6:$C$19,0), MATCH(cost_base!E54,AMD_OU_Data!$D$5:$M$5,0))</f>
        <v>0.97146367060579686</v>
      </c>
      <c r="K54" s="56">
        <f>INDEX(AMD_OU_Data!$D$43:$D$56,MATCH(cost_base!C54,AMD_OU_Data!$C$43:$C$56,0))</f>
        <v>3000</v>
      </c>
      <c r="L54" s="59">
        <f>(K54/I54)*INDEX(AMD_OU_Data!$E$43:$E$56,MATCH(cost_base!C54,AMD_OU_Data!$C$43:$C$56,0))</f>
        <v>14542.423275093808</v>
      </c>
      <c r="M54" s="59">
        <f>VLOOKUP(H54,AMD_EMI_Data!$A$7:$E$26,5,FALSE)</f>
        <v>7613.6316002823205</v>
      </c>
      <c r="N54" s="59">
        <f>INDEX(AMD_OU_Data!$D$61:$M$74,MATCH(cost_base!C54,AMD_OU_Data!$C$61:$C$74,0),MATCH(cost_base!E54,AMD_OU_Data!$D$60:$M$60,0))</f>
        <v>10200</v>
      </c>
      <c r="O54" s="60">
        <f>cost_base!$L54+cost_base!$M54+cost_base!$N54</f>
        <v>32356.054875376129</v>
      </c>
      <c r="P54" s="59">
        <f t="shared" si="1"/>
        <v>36000</v>
      </c>
      <c r="Q54" s="61">
        <f>cost_base!$O54+cost_base!$P54</f>
        <v>68356.054875376125</v>
      </c>
    </row>
    <row r="55" spans="1:17" x14ac:dyDescent="0.2">
      <c r="A55" s="101">
        <v>54</v>
      </c>
      <c r="B55" s="62" t="str">
        <f>partner_vehicles_form_AMD!A43</f>
        <v>Surat</v>
      </c>
      <c r="C55" s="62" t="str">
        <f>partner_vehicles_form_AMD!B43</f>
        <v>STVT1</v>
      </c>
      <c r="D55" s="62" t="str">
        <f>partner_vehicles_form_AMD!C43</f>
        <v>Siddhant Subhash Borse</v>
      </c>
      <c r="E55" s="62" t="s">
        <v>18</v>
      </c>
      <c r="F55" s="62" t="s">
        <v>19</v>
      </c>
      <c r="G55" s="62">
        <v>2019</v>
      </c>
      <c r="H55" s="62" t="str">
        <f>VLOOKUP(E55,vehicle_mapping!$A$1:$B$11,2,FALSE)</f>
        <v>Tata Ace</v>
      </c>
      <c r="I55" s="63">
        <f>INDEX(AMD_OU_Data!$D$25:$M$38,MATCH(cost_base!$C55,AMD_OU_Data!$C$6:$C$19,0),MATCH(cost_base!$E55,AMD_OU_Data!$D$5:$M$5,0))</f>
        <v>17.294647938760768</v>
      </c>
      <c r="J55" s="64">
        <f>INDEX(AMD_OU_Data!$D$6:$M$19,MATCH(cost_base!C55,AMD_OU_Data!$C$6:$C$19,0), MATCH(cost_base!E55,AMD_OU_Data!$D$5:$M$5,0))</f>
        <v>1.0764283836997799</v>
      </c>
      <c r="K55" s="62">
        <f>INDEX(AMD_OU_Data!$D$43:$D$56,MATCH(cost_base!C55,AMD_OU_Data!$C$43:$C$56,0))</f>
        <v>2900</v>
      </c>
      <c r="L55" s="65">
        <f>(K55/I55)*INDEX(AMD_OU_Data!$E$43:$E$56,MATCH(cost_base!C55,AMD_OU_Data!$C$43:$C$56,0))</f>
        <v>16669.829348340325</v>
      </c>
      <c r="M55" s="65">
        <f>VLOOKUP(H55,AMD_EMI_Data!$A$7:$E$26,5,FALSE)</f>
        <v>6090.9052802258566</v>
      </c>
      <c r="N55" s="65">
        <f>INDEX(AMD_OU_Data!$D$61:$M$74,MATCH(cost_base!C55,AMD_OU_Data!$C$61:$C$74,0),MATCH(cost_base!E55,AMD_OU_Data!$D$60:$M$60,0))</f>
        <v>11500</v>
      </c>
      <c r="O55" s="66">
        <f>cost_base!$L55+cost_base!$M55+cost_base!$N55</f>
        <v>34260.734628566177</v>
      </c>
      <c r="P55" s="65">
        <f t="shared" si="1"/>
        <v>36000</v>
      </c>
      <c r="Q55" s="67">
        <f>cost_base!$O55+cost_base!$P55</f>
        <v>70260.734628566177</v>
      </c>
    </row>
    <row r="56" spans="1:17" x14ac:dyDescent="0.2">
      <c r="A56" s="100">
        <v>55</v>
      </c>
      <c r="B56" s="56" t="str">
        <f>partner_vehicles_form_AMD!A44</f>
        <v>Rampura Branch</v>
      </c>
      <c r="C56" s="56" t="str">
        <f>partner_vehicles_form_AMD!B44</f>
        <v>AMDBP</v>
      </c>
      <c r="D56" s="56" t="str">
        <f>partner_vehicles_form_AMD!C44</f>
        <v>SURESHBHAI RAJABHAI BHARWAD</v>
      </c>
      <c r="E56" s="56" t="s">
        <v>12</v>
      </c>
      <c r="F56" s="56" t="s">
        <v>9</v>
      </c>
      <c r="G56" s="68" t="s">
        <v>10</v>
      </c>
      <c r="H56" s="56" t="str">
        <f>VLOOKUP(E56,vehicle_mapping!$A$1:$B$11,2,FALSE)</f>
        <v>Eicher 17</v>
      </c>
      <c r="I56" s="57">
        <f>INDEX(AMD_OU_Data!$D$25:$M$38,MATCH(cost_base!$C56,AMD_OU_Data!$C$6:$C$19,0),MATCH(cost_base!$E56,AMD_OU_Data!$D$5:$M$5,0))</f>
        <v>4.6995094079618678</v>
      </c>
      <c r="J56" s="58">
        <f>INDEX(AMD_OU_Data!$D$6:$M$19,MATCH(cost_base!C56,AMD_OU_Data!$C$6:$C$19,0), MATCH(cost_base!E56,AMD_OU_Data!$D$5:$M$5,0))</f>
        <v>2.6680743558814162</v>
      </c>
      <c r="K56" s="56">
        <f>INDEX(AMD_OU_Data!$D$43:$D$56,MATCH(cost_base!C56,AMD_OU_Data!$C$43:$C$56,0))</f>
        <v>2600</v>
      </c>
      <c r="L56" s="59">
        <f>(K56/I56)*INDEX(AMD_OU_Data!$E$43:$E$56,MATCH(cost_base!C56,AMD_OU_Data!$C$43:$C$56,0))</f>
        <v>44725.681539693796</v>
      </c>
      <c r="M56" s="59">
        <f>VLOOKUP(H56,AMD_EMI_Data!$A$7:$E$26,5,FALSE)</f>
        <v>17511.352680649339</v>
      </c>
      <c r="N56" s="59">
        <f>INDEX(AMD_OU_Data!$D$61:$M$74,MATCH(cost_base!C56,AMD_OU_Data!$C$61:$C$74,0),MATCH(cost_base!E56,AMD_OU_Data!$D$60:$M$60,0))</f>
        <v>11200</v>
      </c>
      <c r="O56" s="60">
        <f>cost_base!$L56+cost_base!$M56+cost_base!$N56</f>
        <v>73437.034220343136</v>
      </c>
      <c r="P56" s="59">
        <f t="shared" si="1"/>
        <v>36000</v>
      </c>
      <c r="Q56" s="61">
        <f>cost_base!$O56+cost_base!$P56</f>
        <v>109437.03422034314</v>
      </c>
    </row>
    <row r="57" spans="1:17" x14ac:dyDescent="0.2">
      <c r="A57" s="101">
        <v>56</v>
      </c>
      <c r="B57" s="62" t="str">
        <f>partner_vehicles_form_AMD!A44</f>
        <v>Rampura Branch</v>
      </c>
      <c r="C57" s="62" t="str">
        <f>partner_vehicles_form_AMD!B44</f>
        <v>AMDBP</v>
      </c>
      <c r="D57" s="62" t="str">
        <f>partner_vehicles_form_AMD!C44</f>
        <v>SURESHBHAI RAJABHAI BHARWAD</v>
      </c>
      <c r="E57" s="62" t="s">
        <v>14</v>
      </c>
      <c r="F57" s="62" t="s">
        <v>13</v>
      </c>
      <c r="G57" s="62">
        <v>2018</v>
      </c>
      <c r="H57" s="62" t="str">
        <f>VLOOKUP(E57,vehicle_mapping!$A$1:$B$11,2,FALSE)</f>
        <v>Mahindra</v>
      </c>
      <c r="I57" s="63">
        <f>INDEX(AMD_OU_Data!$D$25:$M$38,MATCH(cost_base!$C57,AMD_OU_Data!$C$6:$C$19,0),MATCH(cost_base!$E57,AMD_OU_Data!$D$5:$M$5,0))</f>
        <v>11.216814907083885</v>
      </c>
      <c r="J57" s="64">
        <f>INDEX(AMD_OU_Data!$D$6:$M$19,MATCH(cost_base!C57,AMD_OU_Data!$C$6:$C$19,0), MATCH(cost_base!E57,AMD_OU_Data!$D$5:$M$5,0))</f>
        <v>1.4849540362195355</v>
      </c>
      <c r="K57" s="62">
        <f>INDEX(AMD_OU_Data!$D$43:$D$56,MATCH(cost_base!C57,AMD_OU_Data!$C$43:$C$56,0))</f>
        <v>2600</v>
      </c>
      <c r="L57" s="65">
        <f>(K57/I57)*INDEX(AMD_OU_Data!$E$43:$E$56,MATCH(cost_base!C57,AMD_OU_Data!$C$43:$C$56,0))</f>
        <v>18738.720654163106</v>
      </c>
      <c r="M57" s="65">
        <f>VLOOKUP(H57,AMD_EMI_Data!$A$7:$E$26,5,FALSE)</f>
        <v>11420.447400423482</v>
      </c>
      <c r="N57" s="65">
        <f>INDEX(AMD_OU_Data!$D$61:$M$74,MATCH(cost_base!C57,AMD_OU_Data!$C$61:$C$74,0),MATCH(cost_base!E57,AMD_OU_Data!$D$60:$M$60,0))</f>
        <v>11200</v>
      </c>
      <c r="O57" s="66">
        <f>cost_base!$L57+cost_base!$M57+cost_base!$N57</f>
        <v>41359.168054586589</v>
      </c>
      <c r="P57" s="65">
        <f t="shared" si="1"/>
        <v>36000</v>
      </c>
      <c r="Q57" s="67">
        <f>cost_base!$O57+cost_base!$P57</f>
        <v>77359.168054586597</v>
      </c>
    </row>
    <row r="58" spans="1:17" x14ac:dyDescent="0.2">
      <c r="A58" s="100">
        <v>57</v>
      </c>
      <c r="B58" s="56" t="str">
        <f>partner_vehicles_form_AMD!A44</f>
        <v>Rampura Branch</v>
      </c>
      <c r="C58" s="56" t="str">
        <f>partner_vehicles_form_AMD!B44</f>
        <v>AMDBP</v>
      </c>
      <c r="D58" s="56" t="str">
        <f>partner_vehicles_form_AMD!C44</f>
        <v>SURESHBHAI RAJABHAI BHARWAD</v>
      </c>
      <c r="E58" s="56" t="s">
        <v>110</v>
      </c>
      <c r="F58" s="56" t="s">
        <v>13</v>
      </c>
      <c r="G58" s="56">
        <v>2018</v>
      </c>
      <c r="H58" s="56" t="str">
        <f>VLOOKUP(E58,vehicle_mapping!$A$1:$B$11,2,FALSE)</f>
        <v>Pickup</v>
      </c>
      <c r="I58" s="57">
        <f>INDEX(AMD_OU_Data!$D$25:$M$38,MATCH(cost_base!$C58,AMD_OU_Data!$C$6:$C$19,0),MATCH(cost_base!$E58,AMD_OU_Data!$D$5:$M$5,0))</f>
        <v>8.0856008470429561</v>
      </c>
      <c r="J58" s="58">
        <f>INDEX(AMD_OU_Data!$D$6:$M$19,MATCH(cost_base!C58,AMD_OU_Data!$C$6:$C$19,0), MATCH(cost_base!E58,AMD_OU_Data!$D$5:$M$5,0))</f>
        <v>1.2007936330416782</v>
      </c>
      <c r="K58" s="56">
        <f>INDEX(AMD_OU_Data!$D$43:$D$56,MATCH(cost_base!C58,AMD_OU_Data!$C$43:$C$56,0))</f>
        <v>2600</v>
      </c>
      <c r="L58" s="59">
        <f>(K58/I58)*INDEX(AMD_OU_Data!$E$43:$E$56,MATCH(cost_base!C58,AMD_OU_Data!$C$43:$C$56,0))</f>
        <v>25995.441173696705</v>
      </c>
      <c r="M58" s="59">
        <f>VLOOKUP(H58,AMD_EMI_Data!$A$7:$E$26,5,FALSE)</f>
        <v>9897.7210803670168</v>
      </c>
      <c r="N58" s="59">
        <f>INDEX(AMD_OU_Data!$D$61:$M$74,MATCH(cost_base!C58,AMD_OU_Data!$C$61:$C$74,0),MATCH(cost_base!E58,AMD_OU_Data!$D$60:$M$60,0))</f>
        <v>9800</v>
      </c>
      <c r="O58" s="60">
        <f>cost_base!$L58+cost_base!$M58+cost_base!$N58</f>
        <v>45693.162254063718</v>
      </c>
      <c r="P58" s="59">
        <f t="shared" si="1"/>
        <v>36000</v>
      </c>
      <c r="Q58" s="61">
        <f>cost_base!$O58+cost_base!$P58</f>
        <v>81693.162254063718</v>
      </c>
    </row>
    <row r="59" spans="1:17" x14ac:dyDescent="0.2">
      <c r="A59" s="101">
        <v>58</v>
      </c>
      <c r="B59" s="62" t="str">
        <f>partner_vehicles_form_AMD!A44</f>
        <v>Rampura Branch</v>
      </c>
      <c r="C59" s="62" t="str">
        <f>partner_vehicles_form_AMD!B44</f>
        <v>AMDBP</v>
      </c>
      <c r="D59" s="62" t="str">
        <f>partner_vehicles_form_AMD!C44</f>
        <v>SURESHBHAI RAJABHAI BHARWAD</v>
      </c>
      <c r="E59" s="62" t="s">
        <v>18</v>
      </c>
      <c r="F59" s="62" t="s">
        <v>13</v>
      </c>
      <c r="G59" s="62">
        <v>2014</v>
      </c>
      <c r="H59" s="62" t="str">
        <f>VLOOKUP(E59,vehicle_mapping!$A$1:$B$11,2,FALSE)</f>
        <v>Tata Ace</v>
      </c>
      <c r="I59" s="63">
        <f>INDEX(AMD_OU_Data!$D$25:$M$38,MATCH(cost_base!$C59,AMD_OU_Data!$C$6:$C$19,0),MATCH(cost_base!$E59,AMD_OU_Data!$D$5:$M$5,0))</f>
        <v>7.7853868200690899</v>
      </c>
      <c r="J59" s="64">
        <f>INDEX(AMD_OU_Data!$D$6:$M$19,MATCH(cost_base!C59,AMD_OU_Data!$C$6:$C$19,0), MATCH(cost_base!E59,AMD_OU_Data!$D$5:$M$5,0))</f>
        <v>0.75264980525332092</v>
      </c>
      <c r="K59" s="62">
        <f>INDEX(AMD_OU_Data!$D$43:$D$56,MATCH(cost_base!C59,AMD_OU_Data!$C$43:$C$56,0))</f>
        <v>2600</v>
      </c>
      <c r="L59" s="65">
        <f>(K59/I59)*INDEX(AMD_OU_Data!$E$43:$E$56,MATCH(cost_base!C59,AMD_OU_Data!$C$43:$C$56,0))</f>
        <v>26997.857143266792</v>
      </c>
      <c r="M59" s="65">
        <f>VLOOKUP(H59,AMD_EMI_Data!$A$7:$E$26,5,FALSE)</f>
        <v>6090.9052802258566</v>
      </c>
      <c r="N59" s="65">
        <f>INDEX(AMD_OU_Data!$D$61:$M$74,MATCH(cost_base!C59,AMD_OU_Data!$C$61:$C$74,0),MATCH(cost_base!E59,AMD_OU_Data!$D$60:$M$60,0))</f>
        <v>6900</v>
      </c>
      <c r="O59" s="66">
        <f>cost_base!$L59+cost_base!$M59+cost_base!$N59</f>
        <v>39988.762423492648</v>
      </c>
      <c r="P59" s="65">
        <f t="shared" si="1"/>
        <v>36000</v>
      </c>
      <c r="Q59" s="67">
        <f>cost_base!$O59+cost_base!$P59</f>
        <v>75988.762423492648</v>
      </c>
    </row>
    <row r="60" spans="1:17" x14ac:dyDescent="0.2">
      <c r="A60" s="100">
        <v>59</v>
      </c>
      <c r="B60" s="56" t="str">
        <f>partner_vehicles_form_AMD!A45</f>
        <v>Ahmmedabad City</v>
      </c>
      <c r="C60" s="56" t="str">
        <f>partner_vehicles_form_AMD!B45</f>
        <v>AMDBL</v>
      </c>
      <c r="D60" s="56" t="str">
        <f>partner_vehicles_form_AMD!C45</f>
        <v>SWAPNIL PANDEY_BP</v>
      </c>
      <c r="E60" s="56" t="s">
        <v>14</v>
      </c>
      <c r="F60" s="56" t="s">
        <v>13</v>
      </c>
      <c r="G60" s="56">
        <v>2019</v>
      </c>
      <c r="H60" s="56" t="str">
        <f>VLOOKUP(E60,vehicle_mapping!$A$1:$B$11,2,FALSE)</f>
        <v>Mahindra</v>
      </c>
      <c r="I60" s="57">
        <f>INDEX(AMD_OU_Data!$D$25:$M$38,MATCH(cost_base!$C60,AMD_OU_Data!$C$6:$C$19,0),MATCH(cost_base!$E60,AMD_OU_Data!$D$5:$M$5,0))</f>
        <v>12.660297306770655</v>
      </c>
      <c r="J60" s="58">
        <f>INDEX(AMD_OU_Data!$D$6:$M$19,MATCH(cost_base!C60,AMD_OU_Data!$C$6:$C$19,0), MATCH(cost_base!E60,AMD_OU_Data!$D$5:$M$5,0))</f>
        <v>0.76558845019723076</v>
      </c>
      <c r="K60" s="56">
        <f>INDEX(AMD_OU_Data!$D$43:$D$56,MATCH(cost_base!C60,AMD_OU_Data!$C$43:$C$56,0))</f>
        <v>1800</v>
      </c>
      <c r="L60" s="59">
        <f>(K60/I60)*INDEX(AMD_OU_Data!$E$43:$E$56,MATCH(cost_base!C60,AMD_OU_Data!$C$43:$C$56,0))</f>
        <v>13447.273572351289</v>
      </c>
      <c r="M60" s="59">
        <f>VLOOKUP(H60,AMD_EMI_Data!$A$7:$E$26,5,FALSE)</f>
        <v>11420.447400423482</v>
      </c>
      <c r="N60" s="59">
        <f>INDEX(AMD_OU_Data!$D$61:$M$74,MATCH(cost_base!C60,AMD_OU_Data!$C$61:$C$74,0),MATCH(cost_base!E60,AMD_OU_Data!$D$60:$M$60,0))</f>
        <v>11800</v>
      </c>
      <c r="O60" s="60">
        <f>cost_base!$L60+cost_base!$M60+cost_base!$N60</f>
        <v>36667.720972774769</v>
      </c>
      <c r="P60" s="59">
        <f t="shared" si="1"/>
        <v>36000</v>
      </c>
      <c r="Q60" s="61">
        <f>cost_base!$O60+cost_base!$P60</f>
        <v>72667.720972774769</v>
      </c>
    </row>
    <row r="61" spans="1:17" x14ac:dyDescent="0.2">
      <c r="A61" s="101">
        <v>60</v>
      </c>
      <c r="B61" s="62" t="str">
        <f>partner_vehicles_form_AMD!A46</f>
        <v>Vapi</v>
      </c>
      <c r="C61" s="62" t="str">
        <f>partner_vehicles_form_AMD!B46</f>
        <v>VAPT1</v>
      </c>
      <c r="D61" s="62" t="str">
        <f>partner_vehicles_form_AMD!C46</f>
        <v>VIKAS AGARWAL</v>
      </c>
      <c r="E61" s="62" t="s">
        <v>76</v>
      </c>
      <c r="F61" s="62" t="s">
        <v>9</v>
      </c>
      <c r="G61" s="69" t="s">
        <v>10</v>
      </c>
      <c r="H61" s="62" t="str">
        <f>VLOOKUP(E61,vehicle_mapping!$A$1:$B$11,2,FALSE)</f>
        <v>Eicher 20</v>
      </c>
      <c r="I61" s="63">
        <f>INDEX(AMD_OU_Data!$D$25:$M$38,MATCH(cost_base!$C61,AMD_OU_Data!$C$6:$C$19,0),MATCH(cost_base!$E61,AMD_OU_Data!$D$5:$M$5,0))</f>
        <v>7</v>
      </c>
      <c r="J61" s="64">
        <f>INDEX(AMD_OU_Data!$D$6:$M$19,MATCH(cost_base!C61,AMD_OU_Data!$C$6:$C$19,0), MATCH(cost_base!E61,AMD_OU_Data!$D$5:$M$5,0))</f>
        <v>6.5</v>
      </c>
      <c r="K61" s="62">
        <f>INDEX(AMD_OU_Data!$D$43:$D$56,MATCH(cost_base!C61,AMD_OU_Data!$C$43:$C$56,0))</f>
        <v>1600</v>
      </c>
      <c r="L61" s="65">
        <f>(K61/I61)*INDEX(AMD_OU_Data!$E$43:$E$56,MATCH(cost_base!C61,AMD_OU_Data!$C$43:$C$56,0))</f>
        <v>21097.142857142859</v>
      </c>
      <c r="M61" s="65">
        <f>VLOOKUP(H61,AMD_EMI_Data!$A$7:$E$26,5,FALSE)</f>
        <v>19034.079000705802</v>
      </c>
      <c r="N61" s="65">
        <f>INDEX(AMD_OU_Data!$D$61:$M$74,MATCH(cost_base!C61,AMD_OU_Data!$C$61:$C$74,0),MATCH(cost_base!E61,AMD_OU_Data!$D$60:$M$60,0))</f>
        <v>11080</v>
      </c>
      <c r="O61" s="66">
        <f>cost_base!$L61+cost_base!$M61+cost_base!$N61</f>
        <v>51211.221857848665</v>
      </c>
      <c r="P61" s="65">
        <f t="shared" si="1"/>
        <v>36000</v>
      </c>
      <c r="Q61" s="67">
        <f>cost_base!$O61+cost_base!$P61</f>
        <v>87211.221857848665</v>
      </c>
    </row>
    <row r="62" spans="1:17" x14ac:dyDescent="0.2">
      <c r="A62" s="100">
        <v>61</v>
      </c>
      <c r="B62" s="56" t="str">
        <f>partner_vehicles_form_AMD!A47</f>
        <v>Sanand</v>
      </c>
      <c r="C62" s="56" t="str">
        <f>partner_vehicles_form_AMD!B47</f>
        <v>AMDT1</v>
      </c>
      <c r="D62" s="56" t="str">
        <f>partner_vehicles_form_AMD!C47</f>
        <v>VIRENDRA SOLANKI</v>
      </c>
      <c r="E62" s="56" t="s">
        <v>16</v>
      </c>
      <c r="F62" s="56" t="s">
        <v>13</v>
      </c>
      <c r="G62" s="56">
        <v>2010</v>
      </c>
      <c r="H62" s="56" t="str">
        <f>VLOOKUP(E62,vehicle_mapping!$A$1:$B$11,2,FALSE)</f>
        <v>AL Dost</v>
      </c>
      <c r="I62" s="57">
        <f>INDEX(AMD_OU_Data!$D$25:$M$38,MATCH(cost_base!$C62,AMD_OU_Data!$C$6:$C$19,0),MATCH(cost_base!$E62,AMD_OU_Data!$D$5:$M$5,0))</f>
        <v>13.451738176402987</v>
      </c>
      <c r="J62" s="58">
        <f>INDEX(AMD_OU_Data!$D$6:$M$19,MATCH(cost_base!C62,AMD_OU_Data!$C$6:$C$19,0), MATCH(cost_base!E62,AMD_OU_Data!$D$5:$M$5,0))</f>
        <v>1.4794834103460122</v>
      </c>
      <c r="K62" s="56">
        <f>INDEX(AMD_OU_Data!$D$43:$D$56,MATCH(cost_base!C62,AMD_OU_Data!$C$43:$C$56,0))</f>
        <v>2900</v>
      </c>
      <c r="L62" s="59">
        <f>(K62/I62)*INDEX(AMD_OU_Data!$E$43:$E$56,MATCH(cost_base!C62,AMD_OU_Data!$C$43:$C$56,0))</f>
        <v>21664.323133455633</v>
      </c>
      <c r="M62" s="59">
        <f>VLOOKUP(H62,AMD_EMI_Data!$A$7:$E$26,5,FALSE)</f>
        <v>7613.6316002823205</v>
      </c>
      <c r="N62" s="59">
        <f>INDEX(AMD_OU_Data!$D$61:$M$74,MATCH(cost_base!C62,AMD_OU_Data!$C$61:$C$74,0),MATCH(cost_base!E62,AMD_OU_Data!$D$60:$M$60,0))</f>
        <v>7600</v>
      </c>
      <c r="O62" s="60">
        <f>cost_base!$L62+cost_base!$M62+cost_base!$N62</f>
        <v>36877.954733737955</v>
      </c>
      <c r="P62" s="59">
        <f t="shared" si="1"/>
        <v>36000</v>
      </c>
      <c r="Q62" s="61">
        <f>cost_base!$O62+cost_base!$P62</f>
        <v>72877.954733737948</v>
      </c>
    </row>
    <row r="63" spans="1:17" x14ac:dyDescent="0.2">
      <c r="A63" s="101">
        <v>62</v>
      </c>
      <c r="B63" s="62" t="str">
        <f>partner_vehicles_form_AMD!A48</f>
        <v>Sanand</v>
      </c>
      <c r="C63" s="62" t="str">
        <f>partner_vehicles_form_AMD!B48</f>
        <v>AMDBC</v>
      </c>
      <c r="D63" s="62" t="str">
        <f>partner_vehicles_form_AMD!C48</f>
        <v>Visharad Chauhan</v>
      </c>
      <c r="E63" s="62" t="s">
        <v>16</v>
      </c>
      <c r="F63" s="62" t="s">
        <v>13</v>
      </c>
      <c r="G63" s="62">
        <v>2015</v>
      </c>
      <c r="H63" s="62" t="str">
        <f>VLOOKUP(E63,vehicle_mapping!$A$1:$B$11,2,FALSE)</f>
        <v>AL Dost</v>
      </c>
      <c r="I63" s="63">
        <f>INDEX(AMD_OU_Data!$D$25:$M$38,MATCH(cost_base!$C63,AMD_OU_Data!$C$6:$C$19,0),MATCH(cost_base!$E63,AMD_OU_Data!$D$5:$M$5,0))</f>
        <v>17.133678707427691</v>
      </c>
      <c r="J63" s="64">
        <f>INDEX(AMD_OU_Data!$D$6:$M$19,MATCH(cost_base!C63,AMD_OU_Data!$C$6:$C$19,0), MATCH(cost_base!E63,AMD_OU_Data!$D$5:$M$5,0))</f>
        <v>1.8308787786446832</v>
      </c>
      <c r="K63" s="62">
        <f>INDEX(AMD_OU_Data!$D$43:$D$56,MATCH(cost_base!C63,AMD_OU_Data!$C$43:$C$56,0))</f>
        <v>3100</v>
      </c>
      <c r="L63" s="65">
        <f>(K63/I63)*INDEX(AMD_OU_Data!$E$43:$E$56,MATCH(cost_base!C63,AMD_OU_Data!$C$43:$C$56,0))</f>
        <v>16839.049434836263</v>
      </c>
      <c r="M63" s="65">
        <f>VLOOKUP(H63,AMD_EMI_Data!$A$7:$E$26,5,FALSE)</f>
        <v>7613.6316002823205</v>
      </c>
      <c r="N63" s="65">
        <f>INDEX(AMD_OU_Data!$D$61:$M$74,MATCH(cost_base!C63,AMD_OU_Data!$C$61:$C$74,0),MATCH(cost_base!E63,AMD_OU_Data!$D$60:$M$60,0))</f>
        <v>11700</v>
      </c>
      <c r="O63" s="66">
        <f>cost_base!$L63+cost_base!$M63+cost_base!$N63</f>
        <v>36152.681035118585</v>
      </c>
      <c r="P63" s="65">
        <f t="shared" si="1"/>
        <v>36000</v>
      </c>
      <c r="Q63" s="67">
        <f>cost_base!$O63+cost_base!$P63</f>
        <v>72152.681035118585</v>
      </c>
    </row>
    <row r="64" spans="1:17" x14ac:dyDescent="0.2">
      <c r="A64" s="100">
        <v>63</v>
      </c>
      <c r="B64" s="70" t="str">
        <f>partner_vehicles_form_AMD!A49</f>
        <v>Vadodara</v>
      </c>
      <c r="C64" s="70" t="str">
        <f>partner_vehicles_form_AMD!B49</f>
        <v>BDQT1</v>
      </c>
      <c r="D64" s="70" t="str">
        <f>partner_vehicles_form_AMD!C49</f>
        <v>ZAINULSHA.M.DIWAN</v>
      </c>
      <c r="E64" s="70" t="s">
        <v>8</v>
      </c>
      <c r="F64" s="70" t="s">
        <v>13</v>
      </c>
      <c r="G64" s="70">
        <v>2015</v>
      </c>
      <c r="H64" s="70" t="str">
        <f>VLOOKUP(E64,vehicle_mapping!$A$1:$B$11,2,FALSE)</f>
        <v>Eicher 14</v>
      </c>
      <c r="I64" s="71">
        <f>INDEX(AMD_OU_Data!$D$25:$M$38,MATCH(cost_base!$C64,AMD_OU_Data!$C$6:$C$19,0),MATCH(cost_base!$E64,AMD_OU_Data!$D$5:$M$5,0))</f>
        <v>12.597885435760045</v>
      </c>
      <c r="J64" s="72">
        <f>INDEX(AMD_OU_Data!$D$6:$M$19,MATCH(cost_base!C64,AMD_OU_Data!$C$6:$C$19,0), MATCH(cost_base!E64,AMD_OU_Data!$D$5:$M$5,0))</f>
        <v>2.7317924077831095</v>
      </c>
      <c r="K64" s="70">
        <f>INDEX(AMD_OU_Data!$D$43:$D$56,MATCH(cost_base!C64,AMD_OU_Data!$C$43:$C$56,0))</f>
        <v>3000</v>
      </c>
      <c r="L64" s="73">
        <f>(K64/I64)*INDEX(AMD_OU_Data!$E$43:$E$56,MATCH(cost_base!C64,AMD_OU_Data!$C$43:$C$56,0))</f>
        <v>18708.575521938008</v>
      </c>
      <c r="M64" s="73">
        <f>VLOOKUP(H64,AMD_EMI_Data!$A$7:$E$26,5,FALSE)</f>
        <v>11420.447400423482</v>
      </c>
      <c r="N64" s="73">
        <f>INDEX(AMD_OU_Data!$D$61:$M$74,MATCH(cost_base!C64,AMD_OU_Data!$C$61:$C$74,0),MATCH(cost_base!E64,AMD_OU_Data!$D$60:$M$60,0))</f>
        <v>15100</v>
      </c>
      <c r="O64" s="74">
        <f>cost_base!$L64+cost_base!$M64+cost_base!$N64</f>
        <v>45229.022922361488</v>
      </c>
      <c r="P64" s="73">
        <f t="shared" si="1"/>
        <v>36000</v>
      </c>
      <c r="Q64" s="55">
        <f>cost_base!$O64+cost_base!$P64</f>
        <v>81229.022922361488</v>
      </c>
    </row>
  </sheetData>
  <dataValidations count="3">
    <dataValidation type="list" allowBlank="1" showInputMessage="1" showErrorMessage="1" sqref="F1:F1048576">
      <formula1>"Market, EMI, Owned"</formula1>
    </dataValidation>
    <dataValidation type="list" allowBlank="1" showInputMessage="1" showErrorMessage="1" sqref="G1:G1048576">
      <formula1>"2010,2011,2012,2013,2014,2015,2016,2017,2018,2019,2020,NA"</formula1>
    </dataValidation>
    <dataValidation type="list" allowBlank="1" showInputMessage="1" showErrorMessage="1" sqref="E1:E1048576">
      <formula1>"14 ft,Tata Ace,17 ft,Mahindra,AL Dost,22 ft,19 ft,Super ace,Pickup,20 ft"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74"/>
  <sheetViews>
    <sheetView topLeftCell="A22" workbookViewId="0">
      <selection activeCell="C38" sqref="C38"/>
    </sheetView>
  </sheetViews>
  <sheetFormatPr defaultRowHeight="15" x14ac:dyDescent="0.25"/>
  <cols>
    <col min="1" max="1" width="9.140625" style="6"/>
    <col min="2" max="2" width="20.140625" style="6" customWidth="1"/>
    <col min="3" max="3" width="9.140625" style="6"/>
    <col min="4" max="4" width="14.42578125" style="6" customWidth="1"/>
    <col min="5" max="5" width="15.85546875" style="6" customWidth="1"/>
    <col min="6" max="13" width="14" style="6" customWidth="1"/>
    <col min="14" max="16384" width="9.140625" style="6"/>
  </cols>
  <sheetData>
    <row r="5" spans="2:13" x14ac:dyDescent="0.25">
      <c r="D5" s="18" t="s">
        <v>8</v>
      </c>
      <c r="E5" s="19" t="s">
        <v>18</v>
      </c>
      <c r="F5" s="19" t="s">
        <v>12</v>
      </c>
      <c r="G5" s="19" t="s">
        <v>14</v>
      </c>
      <c r="H5" s="19" t="s">
        <v>16</v>
      </c>
      <c r="I5" s="19" t="s">
        <v>125</v>
      </c>
      <c r="J5" s="19" t="s">
        <v>34</v>
      </c>
      <c r="K5" s="19" t="s">
        <v>29</v>
      </c>
      <c r="L5" s="19" t="s">
        <v>110</v>
      </c>
      <c r="M5" s="20" t="s">
        <v>76</v>
      </c>
    </row>
    <row r="6" spans="2:13" x14ac:dyDescent="0.25">
      <c r="B6" s="94" t="s">
        <v>131</v>
      </c>
      <c r="C6" s="6" t="s">
        <v>80</v>
      </c>
      <c r="D6" s="21">
        <v>2.5</v>
      </c>
      <c r="E6" s="21">
        <v>0.75</v>
      </c>
      <c r="F6" s="21">
        <v>4.5</v>
      </c>
      <c r="G6" s="21">
        <v>1.5</v>
      </c>
      <c r="H6" s="21">
        <v>1.25</v>
      </c>
      <c r="I6" s="21">
        <v>6.8</v>
      </c>
      <c r="J6" s="21">
        <v>6.5</v>
      </c>
      <c r="K6" s="21">
        <v>1.2</v>
      </c>
      <c r="L6" s="21">
        <v>1.5</v>
      </c>
      <c r="M6" s="22">
        <v>6.5</v>
      </c>
    </row>
    <row r="7" spans="2:13" x14ac:dyDescent="0.25">
      <c r="B7" s="94"/>
      <c r="C7" s="6" t="s">
        <v>81</v>
      </c>
      <c r="D7" s="23">
        <v>1.3716279178867452</v>
      </c>
      <c r="E7" s="23">
        <v>0.87164452163370731</v>
      </c>
      <c r="F7" s="23">
        <v>6.5900268382448797</v>
      </c>
      <c r="G7" s="23">
        <v>1.7560710813108671</v>
      </c>
      <c r="H7" s="23">
        <v>1.4794834103460122</v>
      </c>
      <c r="I7" s="23">
        <v>6.1632258630205721</v>
      </c>
      <c r="J7" s="23">
        <v>6.3444422201305457</v>
      </c>
      <c r="K7" s="23">
        <v>1.2553873551357686</v>
      </c>
      <c r="L7" s="23">
        <v>2.0151745545610398</v>
      </c>
      <c r="M7" s="24">
        <v>8.3168758162833143</v>
      </c>
    </row>
    <row r="8" spans="2:13" x14ac:dyDescent="0.25">
      <c r="B8" s="94"/>
      <c r="C8" s="6" t="s">
        <v>82</v>
      </c>
      <c r="D8" s="21">
        <v>2.0894319729541331</v>
      </c>
      <c r="E8" s="21">
        <v>0.9429848152367003</v>
      </c>
      <c r="F8" s="21">
        <v>4.9355733512841624</v>
      </c>
      <c r="G8" s="21">
        <v>1.3894248629666022</v>
      </c>
      <c r="H8" s="21">
        <v>0.98274794067505944</v>
      </c>
      <c r="I8" s="21">
        <v>9.069599658896939</v>
      </c>
      <c r="J8" s="21">
        <v>9.061548312391233</v>
      </c>
      <c r="K8" s="21">
        <v>1.6608369539392234</v>
      </c>
      <c r="L8" s="21">
        <v>0.92312014901072148</v>
      </c>
      <c r="M8" s="22">
        <v>3.6366487426933163</v>
      </c>
    </row>
    <row r="9" spans="2:13" x14ac:dyDescent="0.25">
      <c r="B9" s="94"/>
      <c r="C9" s="6" t="s">
        <v>83</v>
      </c>
      <c r="D9" s="23">
        <v>3.2059714540845863</v>
      </c>
      <c r="E9" s="23">
        <v>0.75264980525332092</v>
      </c>
      <c r="F9" s="23">
        <v>2.6680743558814162</v>
      </c>
      <c r="G9" s="23">
        <v>1.4849540362195355</v>
      </c>
      <c r="H9" s="23">
        <v>1.5806763812306639</v>
      </c>
      <c r="I9" s="23">
        <v>7.0261544636506956</v>
      </c>
      <c r="J9" s="23">
        <v>8.020308897431061</v>
      </c>
      <c r="K9" s="23">
        <v>1.547136301399902</v>
      </c>
      <c r="L9" s="23">
        <v>1.2007936330416782</v>
      </c>
      <c r="M9" s="24">
        <v>9.1768169395911947</v>
      </c>
    </row>
    <row r="10" spans="2:13" x14ac:dyDescent="0.25">
      <c r="B10" s="94"/>
      <c r="C10" s="6" t="s">
        <v>84</v>
      </c>
      <c r="D10" s="21">
        <v>2.7317924077831095</v>
      </c>
      <c r="E10" s="21">
        <v>0.79022382032227789</v>
      </c>
      <c r="F10" s="21">
        <v>2.8878294364616104</v>
      </c>
      <c r="G10" s="21">
        <v>1.9500664008531057</v>
      </c>
      <c r="H10" s="21">
        <v>0.97146367060579686</v>
      </c>
      <c r="I10" s="21">
        <v>4.7806684737339911</v>
      </c>
      <c r="J10" s="21">
        <v>7.0555893958151774</v>
      </c>
      <c r="K10" s="21">
        <v>1.6651510049498304</v>
      </c>
      <c r="L10" s="21">
        <v>0.83978761210922248</v>
      </c>
      <c r="M10" s="22">
        <v>6.3812061973109184</v>
      </c>
    </row>
    <row r="11" spans="2:13" x14ac:dyDescent="0.25">
      <c r="B11" s="94"/>
      <c r="C11" s="6" t="s">
        <v>85</v>
      </c>
      <c r="D11" s="23">
        <v>3.0291773948414247</v>
      </c>
      <c r="E11" s="23">
        <v>0.78423707313208679</v>
      </c>
      <c r="F11" s="23">
        <v>6.6757292172846023</v>
      </c>
      <c r="G11" s="23">
        <v>1.4540544655013614</v>
      </c>
      <c r="H11" s="23">
        <v>1.255498666050832</v>
      </c>
      <c r="I11" s="23">
        <v>6.4148815692349324</v>
      </c>
      <c r="J11" s="23">
        <v>4.0107442824939792</v>
      </c>
      <c r="K11" s="23">
        <v>1.1330291042239415</v>
      </c>
      <c r="L11" s="23">
        <v>2.1684213935763577</v>
      </c>
      <c r="M11" s="24">
        <v>4.2079741306292213</v>
      </c>
    </row>
    <row r="12" spans="2:13" x14ac:dyDescent="0.25">
      <c r="B12" s="94"/>
      <c r="C12" s="6" t="s">
        <v>86</v>
      </c>
      <c r="D12" s="21">
        <v>2.042136553081618</v>
      </c>
      <c r="E12" s="21">
        <v>1.0764283836997799</v>
      </c>
      <c r="F12" s="21">
        <v>5.1635046388777424</v>
      </c>
      <c r="G12" s="21">
        <v>1.2956987206952588</v>
      </c>
      <c r="H12" s="21">
        <v>1.2307641755925045</v>
      </c>
      <c r="I12" s="21">
        <v>8.2407106661901022</v>
      </c>
      <c r="J12" s="21">
        <v>6.5338534098204377</v>
      </c>
      <c r="K12" s="21">
        <v>0.92367017907162885</v>
      </c>
      <c r="L12" s="21">
        <v>0.85302327747358231</v>
      </c>
      <c r="M12" s="22">
        <v>9.4574050799191856</v>
      </c>
    </row>
    <row r="13" spans="2:13" x14ac:dyDescent="0.25">
      <c r="B13" s="94"/>
      <c r="C13" s="6" t="s">
        <v>87</v>
      </c>
      <c r="D13" s="23">
        <v>2.4855141620694923</v>
      </c>
      <c r="E13" s="23">
        <v>0.82950150505402065</v>
      </c>
      <c r="F13" s="23">
        <v>4.1716886166186011</v>
      </c>
      <c r="G13" s="23">
        <v>0.76558845019723076</v>
      </c>
      <c r="H13" s="23">
        <v>1.7575650132846743</v>
      </c>
      <c r="I13" s="23">
        <v>6.1360596965497951</v>
      </c>
      <c r="J13" s="23">
        <v>8.6536756158497194</v>
      </c>
      <c r="K13" s="23">
        <v>1.1205580597561495</v>
      </c>
      <c r="L13" s="23">
        <v>1.7346249156634048</v>
      </c>
      <c r="M13" s="24">
        <v>5.4411169503480732</v>
      </c>
    </row>
    <row r="14" spans="2:13" x14ac:dyDescent="0.25">
      <c r="B14" s="94"/>
      <c r="C14" s="6" t="s">
        <v>88</v>
      </c>
      <c r="D14" s="21">
        <v>2.0129103980635716</v>
      </c>
      <c r="E14" s="21">
        <v>1.0426350561035722</v>
      </c>
      <c r="F14" s="21">
        <v>5.3300030951287276</v>
      </c>
      <c r="G14" s="21">
        <v>1.6899264933411371</v>
      </c>
      <c r="H14" s="21">
        <v>1.8308787786446832</v>
      </c>
      <c r="I14" s="21">
        <v>8.8007216306478302</v>
      </c>
      <c r="J14" s="21">
        <v>4.4660826723883362</v>
      </c>
      <c r="K14" s="21">
        <v>0.68840450123681141</v>
      </c>
      <c r="L14" s="21">
        <v>1.225391233329689</v>
      </c>
      <c r="M14" s="22">
        <v>9.1517289846133512</v>
      </c>
    </row>
    <row r="15" spans="2:13" x14ac:dyDescent="0.25">
      <c r="B15" s="94"/>
      <c r="C15" s="6" t="s">
        <v>89</v>
      </c>
      <c r="D15" s="23">
        <v>2.6626445587303422</v>
      </c>
      <c r="E15" s="23">
        <v>0.44282249549748876</v>
      </c>
      <c r="F15" s="23">
        <v>5.8262320774465675</v>
      </c>
      <c r="G15" s="23">
        <v>1.3434882381767432</v>
      </c>
      <c r="H15" s="23">
        <v>1.5525544279710768</v>
      </c>
      <c r="I15" s="23">
        <v>5.2185025659118063</v>
      </c>
      <c r="J15" s="23">
        <v>9.4243364400375302</v>
      </c>
      <c r="K15" s="23">
        <v>1.1466290648202664</v>
      </c>
      <c r="L15" s="23">
        <v>1.6537934308679081</v>
      </c>
      <c r="M15" s="24">
        <v>7.8069757401788316</v>
      </c>
    </row>
    <row r="16" spans="2:13" x14ac:dyDescent="0.25">
      <c r="B16" s="94"/>
      <c r="C16" s="6" t="s">
        <v>90</v>
      </c>
      <c r="D16" s="21">
        <v>2.613130034073432</v>
      </c>
      <c r="E16" s="21">
        <v>0.45292759460279902</v>
      </c>
      <c r="F16" s="21">
        <v>4.6254337117602384</v>
      </c>
      <c r="G16" s="21">
        <v>2.1170956821339351</v>
      </c>
      <c r="H16" s="21">
        <v>0.78073997010027973</v>
      </c>
      <c r="I16" s="21">
        <v>10.187370059062724</v>
      </c>
      <c r="J16" s="21">
        <v>5.8687448366557167</v>
      </c>
      <c r="K16" s="21">
        <v>1.4699018296884461</v>
      </c>
      <c r="L16" s="21">
        <v>0.88725614182146595</v>
      </c>
      <c r="M16" s="22">
        <v>8.9037175849455874</v>
      </c>
    </row>
    <row r="17" spans="2:13" x14ac:dyDescent="0.25">
      <c r="B17" s="94"/>
      <c r="C17" s="6" t="s">
        <v>91</v>
      </c>
      <c r="D17" s="23">
        <v>3.3408901233443706</v>
      </c>
      <c r="E17" s="23">
        <v>0.77022019432012823</v>
      </c>
      <c r="F17" s="23">
        <v>3.0816786589016365</v>
      </c>
      <c r="G17" s="23">
        <v>1.2440500295028665</v>
      </c>
      <c r="H17" s="23">
        <v>1.4205369964896497</v>
      </c>
      <c r="I17" s="23">
        <v>3.7420134153041862</v>
      </c>
      <c r="J17" s="23">
        <v>5.6191996273943161</v>
      </c>
      <c r="K17" s="23">
        <v>1.4187282288468177</v>
      </c>
      <c r="L17" s="23">
        <v>1.8257713460890383</v>
      </c>
      <c r="M17" s="24">
        <v>3.8054634216814738</v>
      </c>
    </row>
    <row r="18" spans="2:13" x14ac:dyDescent="0.25">
      <c r="B18" s="94"/>
      <c r="C18" s="6" t="s">
        <v>92</v>
      </c>
      <c r="D18" s="21">
        <v>3.2441979846420277</v>
      </c>
      <c r="E18" s="21">
        <v>1.020976097530419</v>
      </c>
      <c r="F18" s="21">
        <v>5.6018862439359944</v>
      </c>
      <c r="G18" s="21">
        <v>1.9605528224914877</v>
      </c>
      <c r="H18" s="21">
        <v>0.76225294046677505</v>
      </c>
      <c r="I18" s="21">
        <v>9.2078807414803201</v>
      </c>
      <c r="J18" s="21">
        <v>6.7713742213883412</v>
      </c>
      <c r="K18" s="21">
        <v>1.7484065208862694</v>
      </c>
      <c r="L18" s="21">
        <v>1.492156181046097</v>
      </c>
      <c r="M18" s="22">
        <v>6.6002157408820405</v>
      </c>
    </row>
    <row r="19" spans="2:13" x14ac:dyDescent="0.25">
      <c r="B19" s="94"/>
      <c r="C19" s="6" t="s">
        <v>93</v>
      </c>
      <c r="D19" s="25">
        <v>1.5222857777104877</v>
      </c>
      <c r="E19" s="25">
        <v>0.9287683414142236</v>
      </c>
      <c r="F19" s="25">
        <v>4.7828871387245444</v>
      </c>
      <c r="G19" s="25">
        <v>1.7903212444492185</v>
      </c>
      <c r="H19" s="25">
        <v>1.3162115733941109</v>
      </c>
      <c r="I19" s="25">
        <v>8.959702404147734</v>
      </c>
      <c r="J19" s="25">
        <v>7.5902606369029275</v>
      </c>
      <c r="K19" s="25">
        <v>1.0495342717236757</v>
      </c>
      <c r="L19" s="25">
        <v>2.1305400062346123</v>
      </c>
      <c r="M19" s="13">
        <v>7.7651840474784732</v>
      </c>
    </row>
    <row r="24" spans="2:13" x14ac:dyDescent="0.25">
      <c r="D24" s="18" t="s">
        <v>8</v>
      </c>
      <c r="E24" s="19" t="s">
        <v>18</v>
      </c>
      <c r="F24" s="19" t="s">
        <v>12</v>
      </c>
      <c r="G24" s="19" t="s">
        <v>14</v>
      </c>
      <c r="H24" s="19" t="s">
        <v>16</v>
      </c>
      <c r="I24" s="19" t="s">
        <v>125</v>
      </c>
      <c r="J24" s="19" t="s">
        <v>34</v>
      </c>
      <c r="K24" s="19" t="s">
        <v>29</v>
      </c>
      <c r="L24" s="19" t="s">
        <v>110</v>
      </c>
      <c r="M24" s="20" t="s">
        <v>76</v>
      </c>
    </row>
    <row r="25" spans="2:13" x14ac:dyDescent="0.25">
      <c r="B25" s="94" t="s">
        <v>94</v>
      </c>
      <c r="C25" s="6" t="s">
        <v>80</v>
      </c>
      <c r="D25" s="21">
        <v>9</v>
      </c>
      <c r="E25" s="21">
        <v>14</v>
      </c>
      <c r="F25" s="21">
        <v>7</v>
      </c>
      <c r="G25" s="21">
        <v>12</v>
      </c>
      <c r="H25" s="21">
        <v>12</v>
      </c>
      <c r="I25" s="21">
        <v>5</v>
      </c>
      <c r="J25" s="21">
        <v>7</v>
      </c>
      <c r="K25" s="21">
        <v>15</v>
      </c>
      <c r="L25" s="21">
        <v>11</v>
      </c>
      <c r="M25" s="22">
        <v>7</v>
      </c>
    </row>
    <row r="26" spans="2:13" x14ac:dyDescent="0.25">
      <c r="B26" s="94"/>
      <c r="C26" s="6" t="s">
        <v>81</v>
      </c>
      <c r="D26" s="23">
        <v>10.654492757487054</v>
      </c>
      <c r="E26" s="23">
        <v>16.258602321977552</v>
      </c>
      <c r="F26" s="23">
        <v>6.5525461364709248</v>
      </c>
      <c r="G26" s="23">
        <v>17.993106857630693</v>
      </c>
      <c r="H26" s="23">
        <v>13.451738176402987</v>
      </c>
      <c r="I26" s="23">
        <v>5.6254865708170776</v>
      </c>
      <c r="J26" s="23">
        <v>6.9433969910850388</v>
      </c>
      <c r="K26" s="23">
        <v>19.727271829608707</v>
      </c>
      <c r="L26" s="23">
        <v>13.190684957906097</v>
      </c>
      <c r="M26" s="24">
        <v>6.4723728273148859</v>
      </c>
    </row>
    <row r="27" spans="2:13" x14ac:dyDescent="0.25">
      <c r="B27" s="94"/>
      <c r="C27" s="6" t="s">
        <v>82</v>
      </c>
      <c r="D27" s="21">
        <v>5.2860571752912939</v>
      </c>
      <c r="E27" s="21">
        <v>9.3641429387747763</v>
      </c>
      <c r="F27" s="21">
        <v>4.0027222860453167</v>
      </c>
      <c r="G27" s="21">
        <v>16.829787347508621</v>
      </c>
      <c r="H27" s="21">
        <v>10.825923490413658</v>
      </c>
      <c r="I27" s="21">
        <v>6.5482696853456179</v>
      </c>
      <c r="J27" s="21">
        <v>9.0542198135611471</v>
      </c>
      <c r="K27" s="21">
        <v>8.8911677945264511</v>
      </c>
      <c r="L27" s="21">
        <v>13.103715688180497</v>
      </c>
      <c r="M27" s="22">
        <v>5.0293330326925316</v>
      </c>
    </row>
    <row r="28" spans="2:13" x14ac:dyDescent="0.25">
      <c r="B28" s="94"/>
      <c r="C28" s="6" t="s">
        <v>83</v>
      </c>
      <c r="D28" s="23">
        <v>6.5643039231879792</v>
      </c>
      <c r="E28" s="23">
        <v>7.7853868200690899</v>
      </c>
      <c r="F28" s="23">
        <v>4.6995094079618678</v>
      </c>
      <c r="G28" s="23">
        <v>11.216814907083885</v>
      </c>
      <c r="H28" s="23">
        <v>15.340744990271009</v>
      </c>
      <c r="I28" s="23">
        <v>6.8437968681211503</v>
      </c>
      <c r="J28" s="23">
        <v>9.6136236006675535</v>
      </c>
      <c r="K28" s="23">
        <v>8.2634915425886728</v>
      </c>
      <c r="L28" s="23">
        <v>8.0856008470429561</v>
      </c>
      <c r="M28" s="24">
        <v>7.3902863487235058</v>
      </c>
    </row>
    <row r="29" spans="2:13" x14ac:dyDescent="0.25">
      <c r="B29" s="94"/>
      <c r="C29" s="6" t="s">
        <v>84</v>
      </c>
      <c r="D29" s="21">
        <v>12.597885435760045</v>
      </c>
      <c r="E29" s="21">
        <v>18.889971546597494</v>
      </c>
      <c r="F29" s="21">
        <v>6.3406780217955294</v>
      </c>
      <c r="G29" s="21">
        <v>7.8844367035453136</v>
      </c>
      <c r="H29" s="21">
        <v>16.206961290646341</v>
      </c>
      <c r="I29" s="21">
        <v>2.8057560647840889</v>
      </c>
      <c r="J29" s="21">
        <v>6.9913101718991655</v>
      </c>
      <c r="K29" s="21">
        <v>9.9226528824228826</v>
      </c>
      <c r="L29" s="21">
        <v>15.384025214500658</v>
      </c>
      <c r="M29" s="22">
        <v>9.0730417887051704</v>
      </c>
    </row>
    <row r="30" spans="2:13" x14ac:dyDescent="0.25">
      <c r="B30" s="94"/>
      <c r="C30" s="6" t="s">
        <v>85</v>
      </c>
      <c r="D30" s="23">
        <v>8.5572888357740542</v>
      </c>
      <c r="E30" s="23">
        <v>17.527489465012966</v>
      </c>
      <c r="F30" s="23">
        <v>8.8486362537342718</v>
      </c>
      <c r="G30" s="23">
        <v>11.470515915679254</v>
      </c>
      <c r="H30" s="23">
        <v>8.5913304450859602</v>
      </c>
      <c r="I30" s="23">
        <v>4.0225901389000622</v>
      </c>
      <c r="J30" s="23">
        <v>6.994169495781124</v>
      </c>
      <c r="K30" s="23">
        <v>14.607759197359787</v>
      </c>
      <c r="L30" s="23">
        <v>9.1992908703905929</v>
      </c>
      <c r="M30" s="24">
        <v>6.2066335027689687</v>
      </c>
    </row>
    <row r="31" spans="2:13" x14ac:dyDescent="0.25">
      <c r="B31" s="94"/>
      <c r="C31" s="6" t="s">
        <v>86</v>
      </c>
      <c r="D31" s="21">
        <v>13.044642984582476</v>
      </c>
      <c r="E31" s="21">
        <v>17.294647938760768</v>
      </c>
      <c r="F31" s="21">
        <v>7.7766332599738792</v>
      </c>
      <c r="G31" s="21">
        <v>10.993520457852068</v>
      </c>
      <c r="H31" s="21">
        <v>6.5028597954101208</v>
      </c>
      <c r="I31" s="21">
        <v>6.653749290515103</v>
      </c>
      <c r="J31" s="21">
        <v>5.9120870818290419</v>
      </c>
      <c r="K31" s="21">
        <v>9.9883862678539934</v>
      </c>
      <c r="L31" s="21">
        <v>15.950618522132626</v>
      </c>
      <c r="M31" s="22">
        <v>9.0992399082661102</v>
      </c>
    </row>
    <row r="32" spans="2:13" x14ac:dyDescent="0.25">
      <c r="B32" s="94"/>
      <c r="C32" s="6" t="s">
        <v>87</v>
      </c>
      <c r="D32" s="23">
        <v>9.095012736983012</v>
      </c>
      <c r="E32" s="23">
        <v>11.877483960310325</v>
      </c>
      <c r="F32" s="23">
        <v>4.7678225888124217</v>
      </c>
      <c r="G32" s="23">
        <v>12.660297306770655</v>
      </c>
      <c r="H32" s="23">
        <v>13.450349126762511</v>
      </c>
      <c r="I32" s="23">
        <v>6.9975104484458805</v>
      </c>
      <c r="J32" s="23">
        <v>3.5462174548919334</v>
      </c>
      <c r="K32" s="23">
        <v>14.772994987503026</v>
      </c>
      <c r="L32" s="23">
        <v>12.695068641582363</v>
      </c>
      <c r="M32" s="24">
        <v>4.2327868051101323</v>
      </c>
    </row>
    <row r="33" spans="2:13" x14ac:dyDescent="0.25">
      <c r="B33" s="94"/>
      <c r="C33" s="6" t="s">
        <v>88</v>
      </c>
      <c r="D33" s="21">
        <v>8.2263731614000832</v>
      </c>
      <c r="E33" s="21">
        <v>17.157710528177709</v>
      </c>
      <c r="F33" s="21">
        <v>8.8032810791224669</v>
      </c>
      <c r="G33" s="21">
        <v>16.94684534491298</v>
      </c>
      <c r="H33" s="21">
        <v>17.133678707427691</v>
      </c>
      <c r="I33" s="21">
        <v>5.7911383939256282</v>
      </c>
      <c r="J33" s="21">
        <v>6.2456335873807207</v>
      </c>
      <c r="K33" s="21">
        <v>19.007492702321208</v>
      </c>
      <c r="L33" s="21">
        <v>5.6009805031080173</v>
      </c>
      <c r="M33" s="22">
        <v>10.034716982431769</v>
      </c>
    </row>
    <row r="34" spans="2:13" x14ac:dyDescent="0.25">
      <c r="B34" s="94"/>
      <c r="C34" s="6" t="s">
        <v>89</v>
      </c>
      <c r="D34" s="23">
        <v>6.5026760227365354</v>
      </c>
      <c r="E34" s="23">
        <v>15.252132362435546</v>
      </c>
      <c r="F34" s="23">
        <v>8.1037665544709014</v>
      </c>
      <c r="G34" s="23">
        <v>9.8850325042295175</v>
      </c>
      <c r="H34" s="23">
        <v>15.809273684182674</v>
      </c>
      <c r="I34" s="23">
        <v>7.2151534677710956</v>
      </c>
      <c r="J34" s="23">
        <v>5.6071584887690609</v>
      </c>
      <c r="K34" s="23">
        <v>17.582051377297987</v>
      </c>
      <c r="L34" s="23">
        <v>13.840671454814565</v>
      </c>
      <c r="M34" s="24">
        <v>8.8687809718665012</v>
      </c>
    </row>
    <row r="35" spans="2:13" x14ac:dyDescent="0.25">
      <c r="B35" s="94"/>
      <c r="C35" s="6" t="s">
        <v>90</v>
      </c>
      <c r="D35" s="21">
        <v>6.5961908280535031</v>
      </c>
      <c r="E35" s="21">
        <v>16.063164089373629</v>
      </c>
      <c r="F35" s="21">
        <v>9.4413110792155983</v>
      </c>
      <c r="G35" s="21">
        <v>9.8332980589745791</v>
      </c>
      <c r="H35" s="21">
        <v>12.445383828353986</v>
      </c>
      <c r="I35" s="21">
        <v>7.4260551665578394</v>
      </c>
      <c r="J35" s="21">
        <v>8.0659641603692069</v>
      </c>
      <c r="K35" s="21">
        <v>22.078620079578279</v>
      </c>
      <c r="L35" s="21">
        <v>8.6712780635579705</v>
      </c>
      <c r="M35" s="22">
        <v>6.2331476963493078</v>
      </c>
    </row>
    <row r="36" spans="2:13" x14ac:dyDescent="0.25">
      <c r="B36" s="94"/>
      <c r="C36" s="6" t="s">
        <v>91</v>
      </c>
      <c r="D36" s="23">
        <v>11.882619935789156</v>
      </c>
      <c r="E36" s="23">
        <v>7.7547010800667442</v>
      </c>
      <c r="F36" s="23">
        <v>7.3075336265779267</v>
      </c>
      <c r="G36" s="23">
        <v>10.682038910356107</v>
      </c>
      <c r="H36" s="23">
        <v>12.342261159350826</v>
      </c>
      <c r="I36" s="23">
        <v>6.201983476391729</v>
      </c>
      <c r="J36" s="23">
        <v>9.0635584124837791</v>
      </c>
      <c r="K36" s="23">
        <v>7.9600123928705093</v>
      </c>
      <c r="L36" s="23">
        <v>9.0929087151551791</v>
      </c>
      <c r="M36" s="24">
        <v>10.421273741355064</v>
      </c>
    </row>
    <row r="37" spans="2:13" x14ac:dyDescent="0.25">
      <c r="B37" s="94"/>
      <c r="C37" s="6" t="s">
        <v>92</v>
      </c>
      <c r="D37" s="21">
        <v>9.7355167126903943</v>
      </c>
      <c r="E37" s="21">
        <v>10.173410042173559</v>
      </c>
      <c r="F37" s="21">
        <v>9.6221836408867674</v>
      </c>
      <c r="G37" s="21">
        <v>12.515256849225601</v>
      </c>
      <c r="H37" s="21">
        <v>10.600117423782359</v>
      </c>
      <c r="I37" s="21">
        <v>6.8346750563166569</v>
      </c>
      <c r="J37" s="21">
        <v>8.8926129273594867</v>
      </c>
      <c r="K37" s="21">
        <v>20.557655903160384</v>
      </c>
      <c r="L37" s="21">
        <v>13.686632682309099</v>
      </c>
      <c r="M37" s="22">
        <v>5.9341751044979203</v>
      </c>
    </row>
    <row r="38" spans="2:13" x14ac:dyDescent="0.25">
      <c r="B38" s="94"/>
      <c r="C38" s="6" t="s">
        <v>93</v>
      </c>
      <c r="D38" s="25">
        <v>9.5396895510436295</v>
      </c>
      <c r="E38" s="25">
        <v>15.121239176229034</v>
      </c>
      <c r="F38" s="25">
        <v>7.6975781451138134</v>
      </c>
      <c r="G38" s="25">
        <v>8.6217992604575731</v>
      </c>
      <c r="H38" s="25">
        <v>16.13123977077149</v>
      </c>
      <c r="I38" s="25">
        <v>7.4640669757528144</v>
      </c>
      <c r="J38" s="25">
        <v>8.0027294517711969</v>
      </c>
      <c r="K38" s="25">
        <v>21.282522450645846</v>
      </c>
      <c r="L38" s="25">
        <v>14.975739041824566</v>
      </c>
      <c r="M38" s="13">
        <v>7.5150284266945455</v>
      </c>
    </row>
    <row r="42" spans="2:13" x14ac:dyDescent="0.25">
      <c r="D42" s="18" t="s">
        <v>126</v>
      </c>
      <c r="E42" s="20" t="s">
        <v>127</v>
      </c>
    </row>
    <row r="43" spans="2:13" x14ac:dyDescent="0.25">
      <c r="B43" s="95" t="s">
        <v>132</v>
      </c>
      <c r="C43" s="6" t="s">
        <v>80</v>
      </c>
      <c r="D43" s="31">
        <v>1600</v>
      </c>
      <c r="E43" s="32">
        <v>92.3</v>
      </c>
    </row>
    <row r="44" spans="2:13" x14ac:dyDescent="0.25">
      <c r="B44" s="95"/>
      <c r="C44" s="6" t="s">
        <v>81</v>
      </c>
      <c r="D44" s="33">
        <v>2900</v>
      </c>
      <c r="E44" s="34">
        <v>100.490621572495</v>
      </c>
      <c r="F44" s="7"/>
    </row>
    <row r="45" spans="2:13" x14ac:dyDescent="0.25">
      <c r="B45" s="95"/>
      <c r="C45" s="6" t="s">
        <v>82</v>
      </c>
      <c r="D45" s="35">
        <v>2700</v>
      </c>
      <c r="E45" s="36">
        <v>113.411129978113</v>
      </c>
      <c r="F45" s="7"/>
    </row>
    <row r="46" spans="2:13" x14ac:dyDescent="0.25">
      <c r="B46" s="95"/>
      <c r="C46" s="6" t="s">
        <v>83</v>
      </c>
      <c r="D46" s="33">
        <v>2600</v>
      </c>
      <c r="E46" s="34">
        <v>80.841831220499003</v>
      </c>
      <c r="F46" s="7"/>
    </row>
    <row r="47" spans="2:13" x14ac:dyDescent="0.25">
      <c r="B47" s="95"/>
      <c r="C47" s="6" t="s">
        <v>84</v>
      </c>
      <c r="D47" s="35">
        <v>3000</v>
      </c>
      <c r="E47" s="36">
        <v>78.562830363879911</v>
      </c>
      <c r="F47" s="7"/>
    </row>
    <row r="48" spans="2:13" x14ac:dyDescent="0.25">
      <c r="B48" s="95"/>
      <c r="C48" s="6" t="s">
        <v>85</v>
      </c>
      <c r="D48" s="33">
        <v>1900</v>
      </c>
      <c r="E48" s="34">
        <v>100.23638952450855</v>
      </c>
      <c r="F48" s="7"/>
    </row>
    <row r="49" spans="2:13" x14ac:dyDescent="0.25">
      <c r="B49" s="95"/>
      <c r="C49" s="6" t="s">
        <v>86</v>
      </c>
      <c r="D49" s="35">
        <v>2900</v>
      </c>
      <c r="E49" s="36">
        <v>99.413389578885443</v>
      </c>
      <c r="F49" s="7"/>
    </row>
    <row r="50" spans="2:13" x14ac:dyDescent="0.25">
      <c r="B50" s="95"/>
      <c r="C50" s="6" t="s">
        <v>87</v>
      </c>
      <c r="D50" s="33">
        <v>1800</v>
      </c>
      <c r="E50" s="34">
        <v>94.581378550804004</v>
      </c>
      <c r="F50" s="7"/>
    </row>
    <row r="51" spans="2:13" x14ac:dyDescent="0.25">
      <c r="B51" s="95"/>
      <c r="C51" s="6" t="s">
        <v>88</v>
      </c>
      <c r="D51" s="35">
        <v>3100</v>
      </c>
      <c r="E51" s="36">
        <v>93.069310566121402</v>
      </c>
      <c r="F51" s="7"/>
    </row>
    <row r="52" spans="2:13" x14ac:dyDescent="0.25">
      <c r="B52" s="95"/>
      <c r="C52" s="6" t="s">
        <v>89</v>
      </c>
      <c r="D52" s="33">
        <v>1800</v>
      </c>
      <c r="E52" s="34">
        <v>90.694100434826595</v>
      </c>
      <c r="F52" s="7"/>
    </row>
    <row r="53" spans="2:13" x14ac:dyDescent="0.25">
      <c r="B53" s="95"/>
      <c r="C53" s="6" t="s">
        <v>90</v>
      </c>
      <c r="D53" s="35">
        <v>2500</v>
      </c>
      <c r="E53" s="36">
        <v>96.102793427526507</v>
      </c>
      <c r="F53" s="7"/>
    </row>
    <row r="54" spans="2:13" x14ac:dyDescent="0.25">
      <c r="B54" s="95"/>
      <c r="C54" s="6" t="s">
        <v>91</v>
      </c>
      <c r="D54" s="33">
        <v>2400</v>
      </c>
      <c r="E54" s="34">
        <v>98.228263631632004</v>
      </c>
      <c r="F54" s="7"/>
    </row>
    <row r="55" spans="2:13" x14ac:dyDescent="0.25">
      <c r="B55" s="95"/>
      <c r="C55" s="6" t="s">
        <v>92</v>
      </c>
      <c r="D55" s="35">
        <v>1800</v>
      </c>
      <c r="E55" s="36">
        <v>81.927096694379998</v>
      </c>
      <c r="F55" s="7"/>
    </row>
    <row r="56" spans="2:13" x14ac:dyDescent="0.25">
      <c r="B56" s="95"/>
      <c r="C56" s="6" t="s">
        <v>93</v>
      </c>
      <c r="D56" s="15">
        <v>2000</v>
      </c>
      <c r="E56" s="16">
        <v>99.377580279295699</v>
      </c>
      <c r="F56" s="7"/>
    </row>
    <row r="60" spans="2:13" x14ac:dyDescent="0.25">
      <c r="D60" s="18" t="s">
        <v>8</v>
      </c>
      <c r="E60" s="19" t="s">
        <v>18</v>
      </c>
      <c r="F60" s="19" t="s">
        <v>12</v>
      </c>
      <c r="G60" s="19" t="s">
        <v>14</v>
      </c>
      <c r="H60" s="19" t="s">
        <v>16</v>
      </c>
      <c r="I60" s="19" t="s">
        <v>125</v>
      </c>
      <c r="J60" s="19" t="s">
        <v>34</v>
      </c>
      <c r="K60" s="19" t="s">
        <v>29</v>
      </c>
      <c r="L60" s="19" t="s">
        <v>110</v>
      </c>
      <c r="M60" s="20" t="s">
        <v>76</v>
      </c>
    </row>
    <row r="61" spans="2:13" x14ac:dyDescent="0.25">
      <c r="B61" s="95" t="s">
        <v>133</v>
      </c>
      <c r="C61" s="6" t="s">
        <v>80</v>
      </c>
      <c r="D61" s="26">
        <v>9580</v>
      </c>
      <c r="E61" s="26">
        <v>5880</v>
      </c>
      <c r="F61" s="26">
        <v>10080</v>
      </c>
      <c r="G61" s="26">
        <v>6080</v>
      </c>
      <c r="H61" s="26">
        <v>5880</v>
      </c>
      <c r="I61" s="26">
        <v>11080</v>
      </c>
      <c r="J61" s="26">
        <v>11080</v>
      </c>
      <c r="K61" s="26">
        <v>6580</v>
      </c>
      <c r="L61" s="26">
        <v>6180</v>
      </c>
      <c r="M61" s="27">
        <v>11080</v>
      </c>
    </row>
    <row r="62" spans="2:13" x14ac:dyDescent="0.25">
      <c r="B62" s="95"/>
      <c r="C62" s="6" t="s">
        <v>81</v>
      </c>
      <c r="D62" s="28">
        <v>14000</v>
      </c>
      <c r="E62" s="28">
        <v>10400</v>
      </c>
      <c r="F62" s="28">
        <v>12500</v>
      </c>
      <c r="G62" s="28">
        <v>6500</v>
      </c>
      <c r="H62" s="28">
        <v>7600</v>
      </c>
      <c r="I62" s="28">
        <v>21400</v>
      </c>
      <c r="J62" s="28">
        <v>11400</v>
      </c>
      <c r="K62" s="28">
        <v>8400</v>
      </c>
      <c r="L62" s="28">
        <v>10400</v>
      </c>
      <c r="M62" s="29">
        <v>20100</v>
      </c>
    </row>
    <row r="63" spans="2:13" x14ac:dyDescent="0.25">
      <c r="B63" s="95"/>
      <c r="C63" s="6" t="s">
        <v>82</v>
      </c>
      <c r="D63" s="26">
        <v>18700</v>
      </c>
      <c r="E63" s="26">
        <v>7800</v>
      </c>
      <c r="F63" s="26">
        <v>19000</v>
      </c>
      <c r="G63" s="26">
        <v>8200</v>
      </c>
      <c r="H63" s="26">
        <v>8300</v>
      </c>
      <c r="I63" s="26">
        <v>13000</v>
      </c>
      <c r="J63" s="26">
        <v>12700</v>
      </c>
      <c r="K63" s="26">
        <v>7300</v>
      </c>
      <c r="L63" s="26">
        <v>7700</v>
      </c>
      <c r="M63" s="27">
        <v>17800</v>
      </c>
    </row>
    <row r="64" spans="2:13" x14ac:dyDescent="0.25">
      <c r="B64" s="95"/>
      <c r="C64" s="6" t="s">
        <v>83</v>
      </c>
      <c r="D64" s="28">
        <v>18500</v>
      </c>
      <c r="E64" s="28">
        <v>6900</v>
      </c>
      <c r="F64" s="28">
        <v>11200</v>
      </c>
      <c r="G64" s="28">
        <v>11200</v>
      </c>
      <c r="H64" s="28">
        <v>11400</v>
      </c>
      <c r="I64" s="28">
        <v>14500</v>
      </c>
      <c r="J64" s="28">
        <v>20300</v>
      </c>
      <c r="K64" s="28">
        <v>12200</v>
      </c>
      <c r="L64" s="28">
        <v>9800</v>
      </c>
      <c r="M64" s="29">
        <v>20700</v>
      </c>
    </row>
    <row r="65" spans="2:13" x14ac:dyDescent="0.25">
      <c r="B65" s="95"/>
      <c r="C65" s="6" t="s">
        <v>84</v>
      </c>
      <c r="D65" s="26">
        <v>15100</v>
      </c>
      <c r="E65" s="26">
        <v>10700</v>
      </c>
      <c r="F65" s="26">
        <v>10900</v>
      </c>
      <c r="G65" s="26">
        <v>9000</v>
      </c>
      <c r="H65" s="26">
        <v>10200</v>
      </c>
      <c r="I65" s="26">
        <v>17200</v>
      </c>
      <c r="J65" s="26">
        <v>21800</v>
      </c>
      <c r="K65" s="26">
        <v>10500</v>
      </c>
      <c r="L65" s="26">
        <v>10500</v>
      </c>
      <c r="M65" s="27">
        <v>17000</v>
      </c>
    </row>
    <row r="66" spans="2:13" x14ac:dyDescent="0.25">
      <c r="B66" s="95"/>
      <c r="C66" s="6" t="s">
        <v>85</v>
      </c>
      <c r="D66" s="28">
        <v>11900</v>
      </c>
      <c r="E66" s="28">
        <v>10700</v>
      </c>
      <c r="F66" s="28">
        <v>19600</v>
      </c>
      <c r="G66" s="28">
        <v>8000</v>
      </c>
      <c r="H66" s="28">
        <v>7900</v>
      </c>
      <c r="I66" s="28">
        <v>13600</v>
      </c>
      <c r="J66" s="28">
        <v>15300</v>
      </c>
      <c r="K66" s="28">
        <v>7900</v>
      </c>
      <c r="L66" s="28">
        <v>10800</v>
      </c>
      <c r="M66" s="29">
        <v>12000</v>
      </c>
    </row>
    <row r="67" spans="2:13" x14ac:dyDescent="0.25">
      <c r="B67" s="95"/>
      <c r="C67" s="6" t="s">
        <v>86</v>
      </c>
      <c r="D67" s="26">
        <v>18700</v>
      </c>
      <c r="E67" s="26">
        <v>11500</v>
      </c>
      <c r="F67" s="26">
        <v>15600</v>
      </c>
      <c r="G67" s="26">
        <v>10500</v>
      </c>
      <c r="H67" s="26">
        <v>11200</v>
      </c>
      <c r="I67" s="26">
        <v>22100</v>
      </c>
      <c r="J67" s="26">
        <v>19700</v>
      </c>
      <c r="K67" s="26">
        <v>9100</v>
      </c>
      <c r="L67" s="26">
        <v>10700</v>
      </c>
      <c r="M67" s="27">
        <v>16000</v>
      </c>
    </row>
    <row r="68" spans="2:13" x14ac:dyDescent="0.25">
      <c r="B68" s="95"/>
      <c r="C68" s="6" t="s">
        <v>87</v>
      </c>
      <c r="D68" s="28">
        <v>12000</v>
      </c>
      <c r="E68" s="28">
        <v>8800</v>
      </c>
      <c r="F68" s="28">
        <v>13500</v>
      </c>
      <c r="G68" s="28">
        <v>11800</v>
      </c>
      <c r="H68" s="28">
        <v>7700</v>
      </c>
      <c r="I68" s="28">
        <v>13300</v>
      </c>
      <c r="J68" s="28">
        <v>19000</v>
      </c>
      <c r="K68" s="28">
        <v>7900</v>
      </c>
      <c r="L68" s="28">
        <v>7800</v>
      </c>
      <c r="M68" s="29">
        <v>13400</v>
      </c>
    </row>
    <row r="69" spans="2:13" x14ac:dyDescent="0.25">
      <c r="B69" s="95"/>
      <c r="C69" s="6" t="s">
        <v>88</v>
      </c>
      <c r="D69" s="26">
        <v>10100</v>
      </c>
      <c r="E69" s="26">
        <v>11800</v>
      </c>
      <c r="F69" s="26">
        <v>12800</v>
      </c>
      <c r="G69" s="26">
        <v>7600</v>
      </c>
      <c r="H69" s="26">
        <v>11700</v>
      </c>
      <c r="I69" s="26">
        <v>12400</v>
      </c>
      <c r="J69" s="26">
        <v>16400</v>
      </c>
      <c r="K69" s="26">
        <v>7200</v>
      </c>
      <c r="L69" s="26">
        <v>6800</v>
      </c>
      <c r="M69" s="27">
        <v>20400</v>
      </c>
    </row>
    <row r="70" spans="2:13" x14ac:dyDescent="0.25">
      <c r="B70" s="95"/>
      <c r="C70" s="6" t="s">
        <v>89</v>
      </c>
      <c r="D70" s="28">
        <v>13400</v>
      </c>
      <c r="E70" s="28">
        <v>6200</v>
      </c>
      <c r="F70" s="28">
        <v>13700</v>
      </c>
      <c r="G70" s="28">
        <v>8600</v>
      </c>
      <c r="H70" s="28">
        <v>7600</v>
      </c>
      <c r="I70" s="28">
        <v>15300</v>
      </c>
      <c r="J70" s="28">
        <v>14000</v>
      </c>
      <c r="K70" s="28">
        <v>9900</v>
      </c>
      <c r="L70" s="28">
        <v>9300</v>
      </c>
      <c r="M70" s="29">
        <v>20300</v>
      </c>
    </row>
    <row r="71" spans="2:13" x14ac:dyDescent="0.25">
      <c r="B71" s="95"/>
      <c r="C71" s="6" t="s">
        <v>90</v>
      </c>
      <c r="D71" s="26">
        <v>17200</v>
      </c>
      <c r="E71" s="26">
        <v>9700</v>
      </c>
      <c r="F71" s="26">
        <v>19500</v>
      </c>
      <c r="G71" s="26">
        <v>10200</v>
      </c>
      <c r="H71" s="26">
        <v>9300</v>
      </c>
      <c r="I71" s="26">
        <v>16700</v>
      </c>
      <c r="J71" s="26">
        <v>21400</v>
      </c>
      <c r="K71" s="26">
        <v>6800</v>
      </c>
      <c r="L71" s="26">
        <v>6400</v>
      </c>
      <c r="M71" s="27">
        <v>19900</v>
      </c>
    </row>
    <row r="72" spans="2:13" x14ac:dyDescent="0.25">
      <c r="B72" s="95"/>
      <c r="C72" s="6" t="s">
        <v>91</v>
      </c>
      <c r="D72" s="28">
        <v>13500</v>
      </c>
      <c r="E72" s="28">
        <v>11000</v>
      </c>
      <c r="F72" s="28">
        <v>10500</v>
      </c>
      <c r="G72" s="28">
        <v>8200</v>
      </c>
      <c r="H72" s="28">
        <v>6500</v>
      </c>
      <c r="I72" s="28">
        <v>17500</v>
      </c>
      <c r="J72" s="28">
        <v>16200</v>
      </c>
      <c r="K72" s="28">
        <v>7300</v>
      </c>
      <c r="L72" s="28">
        <v>11500</v>
      </c>
      <c r="M72" s="29">
        <v>19400</v>
      </c>
    </row>
    <row r="73" spans="2:13" x14ac:dyDescent="0.25">
      <c r="B73" s="95"/>
      <c r="C73" s="6" t="s">
        <v>92</v>
      </c>
      <c r="D73" s="26">
        <v>13900</v>
      </c>
      <c r="E73" s="26">
        <v>9700</v>
      </c>
      <c r="F73" s="26">
        <v>12000</v>
      </c>
      <c r="G73" s="26">
        <v>6300</v>
      </c>
      <c r="H73" s="26">
        <v>10900</v>
      </c>
      <c r="I73" s="26">
        <v>16100</v>
      </c>
      <c r="J73" s="26">
        <v>13000</v>
      </c>
      <c r="K73" s="26">
        <v>11300</v>
      </c>
      <c r="L73" s="26">
        <v>7500</v>
      </c>
      <c r="M73" s="27">
        <v>18400</v>
      </c>
    </row>
    <row r="74" spans="2:13" x14ac:dyDescent="0.25">
      <c r="B74" s="95"/>
      <c r="C74" s="6" t="s">
        <v>93</v>
      </c>
      <c r="D74" s="30">
        <v>14800</v>
      </c>
      <c r="E74" s="30">
        <v>6400</v>
      </c>
      <c r="F74" s="30">
        <v>13900</v>
      </c>
      <c r="G74" s="30">
        <v>10200</v>
      </c>
      <c r="H74" s="30">
        <v>11500</v>
      </c>
      <c r="I74" s="30">
        <v>21300</v>
      </c>
      <c r="J74" s="30">
        <v>18900</v>
      </c>
      <c r="K74" s="30">
        <v>9800</v>
      </c>
      <c r="L74" s="30">
        <v>11900</v>
      </c>
      <c r="M74" s="17">
        <v>13700</v>
      </c>
    </row>
  </sheetData>
  <mergeCells count="4">
    <mergeCell ref="B6:B19"/>
    <mergeCell ref="B25:B38"/>
    <mergeCell ref="B43:B56"/>
    <mergeCell ref="B61:B7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topLeftCell="A6" workbookViewId="0">
      <selection activeCell="C30" sqref="C30"/>
    </sheetView>
  </sheetViews>
  <sheetFormatPr defaultColWidth="12.7109375" defaultRowHeight="15" customHeight="1" x14ac:dyDescent="0.25"/>
  <cols>
    <col min="1" max="1" width="17.28515625" style="6" customWidth="1"/>
    <col min="2" max="2" width="21" style="6" customWidth="1"/>
    <col min="3" max="3" width="23.7109375" style="6" bestFit="1" customWidth="1"/>
    <col min="4" max="4" width="23.7109375" style="6" customWidth="1"/>
    <col min="5" max="5" width="18.7109375" style="6" customWidth="1"/>
    <col min="6" max="6" width="8.28515625" style="6" customWidth="1"/>
    <col min="7" max="8" width="10.140625" style="6" bestFit="1" customWidth="1"/>
    <col min="9" max="18" width="8.28515625" style="6" customWidth="1"/>
    <col min="19" max="16384" width="12.7109375" style="6"/>
  </cols>
  <sheetData>
    <row r="1" spans="1:18" ht="15" customHeight="1" x14ac:dyDescent="0.25">
      <c r="A1" s="6" t="s">
        <v>148</v>
      </c>
      <c r="B1" s="8">
        <v>0.2</v>
      </c>
    </row>
    <row r="2" spans="1:18" ht="15" customHeight="1" x14ac:dyDescent="0.25">
      <c r="A2" s="6" t="s">
        <v>149</v>
      </c>
      <c r="B2" s="6">
        <v>6</v>
      </c>
    </row>
    <row r="3" spans="1:18" ht="15" customHeight="1" x14ac:dyDescent="0.25">
      <c r="A3" s="6" t="s">
        <v>150</v>
      </c>
      <c r="B3" s="6">
        <f>B2*12</f>
        <v>72</v>
      </c>
    </row>
    <row r="4" spans="1:18" ht="15" customHeight="1" x14ac:dyDescent="0.25">
      <c r="A4" s="6" t="s">
        <v>151</v>
      </c>
      <c r="B4" s="8">
        <v>0.11</v>
      </c>
    </row>
    <row r="6" spans="1:18" ht="15.75" customHeight="1" x14ac:dyDescent="0.25">
      <c r="A6" s="37" t="s">
        <v>128</v>
      </c>
      <c r="B6" s="37" t="s">
        <v>130</v>
      </c>
      <c r="C6" s="37" t="s">
        <v>129</v>
      </c>
      <c r="D6" s="37" t="s">
        <v>147</v>
      </c>
      <c r="E6" s="38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customHeight="1" x14ac:dyDescent="0.25">
      <c r="A7" s="39" t="s">
        <v>18</v>
      </c>
      <c r="B7" s="40">
        <v>400000</v>
      </c>
      <c r="C7" s="40">
        <f>B7*20%</f>
        <v>80000</v>
      </c>
      <c r="D7" s="40">
        <f>B7-C7</f>
        <v>320000</v>
      </c>
      <c r="E7" s="47">
        <f>PMT(($B$4/12),$B$3,-($D7))</f>
        <v>6090.9052802258566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x14ac:dyDescent="0.25">
      <c r="A8" s="41" t="s">
        <v>110</v>
      </c>
      <c r="B8" s="42">
        <v>650000</v>
      </c>
      <c r="C8" s="40">
        <f>B8*20%</f>
        <v>130000</v>
      </c>
      <c r="D8" s="40">
        <f>B8-C8</f>
        <v>520000</v>
      </c>
      <c r="E8" s="47">
        <f t="shared" ref="E8:E26" si="0">PMT(($B$4/12),$B$3,-($D8))</f>
        <v>9897.7210803670168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25">
      <c r="A9" s="39" t="s">
        <v>111</v>
      </c>
      <c r="B9" s="40">
        <v>600000</v>
      </c>
      <c r="C9" s="40">
        <f t="shared" ref="C9:C26" si="1">B9*20%</f>
        <v>120000</v>
      </c>
      <c r="D9" s="40">
        <f t="shared" ref="D9:D26" si="2">B9-C9</f>
        <v>480000</v>
      </c>
      <c r="E9" s="47">
        <f t="shared" si="0"/>
        <v>9136.3579203387853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25">
      <c r="A10" s="41" t="s">
        <v>112</v>
      </c>
      <c r="B10" s="42">
        <v>750000</v>
      </c>
      <c r="C10" s="40">
        <f t="shared" si="1"/>
        <v>150000</v>
      </c>
      <c r="D10" s="40">
        <f t="shared" si="2"/>
        <v>600000</v>
      </c>
      <c r="E10" s="47">
        <f t="shared" si="0"/>
        <v>11420.447400423482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25">
      <c r="A11" s="39" t="s">
        <v>113</v>
      </c>
      <c r="B11" s="40">
        <v>1150000</v>
      </c>
      <c r="C11" s="40">
        <f t="shared" si="1"/>
        <v>230000</v>
      </c>
      <c r="D11" s="40">
        <f t="shared" si="2"/>
        <v>920000</v>
      </c>
      <c r="E11" s="47">
        <f t="shared" si="0"/>
        <v>17511.352680649339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25">
      <c r="A12" s="41" t="s">
        <v>114</v>
      </c>
      <c r="B12" s="42">
        <v>1150000</v>
      </c>
      <c r="C12" s="40">
        <f t="shared" si="1"/>
        <v>230000</v>
      </c>
      <c r="D12" s="40">
        <f t="shared" si="2"/>
        <v>920000</v>
      </c>
      <c r="E12" s="47">
        <f t="shared" si="0"/>
        <v>17511.352680649339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25">
      <c r="A13" s="39" t="s">
        <v>125</v>
      </c>
      <c r="B13" s="40">
        <v>1400000</v>
      </c>
      <c r="C13" s="40">
        <f t="shared" si="1"/>
        <v>280000</v>
      </c>
      <c r="D13" s="40">
        <f t="shared" si="2"/>
        <v>1120000</v>
      </c>
      <c r="E13" s="47">
        <f t="shared" si="0"/>
        <v>21318.1684807905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25">
      <c r="A14" s="41" t="s">
        <v>115</v>
      </c>
      <c r="B14" s="42">
        <v>1250000</v>
      </c>
      <c r="C14" s="40">
        <f t="shared" si="1"/>
        <v>250000</v>
      </c>
      <c r="D14" s="40">
        <f t="shared" si="2"/>
        <v>1000000</v>
      </c>
      <c r="E14" s="47">
        <f t="shared" si="0"/>
        <v>19034.079000705802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25">
      <c r="A15" s="39" t="s">
        <v>116</v>
      </c>
      <c r="B15" s="40">
        <v>1450000</v>
      </c>
      <c r="C15" s="40">
        <f t="shared" si="1"/>
        <v>290000</v>
      </c>
      <c r="D15" s="40">
        <f t="shared" si="2"/>
        <v>1160000</v>
      </c>
      <c r="E15" s="47">
        <f t="shared" si="0"/>
        <v>22079.531640818732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25">
      <c r="A16" s="41" t="s">
        <v>117</v>
      </c>
      <c r="B16" s="42">
        <v>250000</v>
      </c>
      <c r="C16" s="40">
        <f t="shared" si="1"/>
        <v>50000</v>
      </c>
      <c r="D16" s="40">
        <f t="shared" si="2"/>
        <v>200000</v>
      </c>
      <c r="E16" s="47">
        <f t="shared" si="0"/>
        <v>3806.8158001411603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25">
      <c r="A17" s="39" t="s">
        <v>118</v>
      </c>
      <c r="B17" s="40">
        <v>1200000</v>
      </c>
      <c r="C17" s="40">
        <f t="shared" si="1"/>
        <v>240000</v>
      </c>
      <c r="D17" s="40">
        <f t="shared" si="2"/>
        <v>960000</v>
      </c>
      <c r="E17" s="47">
        <f t="shared" si="0"/>
        <v>18272.715840677571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5">
      <c r="A18" s="41" t="s">
        <v>119</v>
      </c>
      <c r="B18" s="42">
        <v>1400000</v>
      </c>
      <c r="C18" s="40">
        <f t="shared" si="1"/>
        <v>280000</v>
      </c>
      <c r="D18" s="40">
        <f t="shared" si="2"/>
        <v>1120000</v>
      </c>
      <c r="E18" s="47">
        <f t="shared" si="0"/>
        <v>21318.1684807905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5">
      <c r="A19" s="39" t="s">
        <v>14</v>
      </c>
      <c r="B19" s="40">
        <v>750000</v>
      </c>
      <c r="C19" s="40">
        <f t="shared" si="1"/>
        <v>150000</v>
      </c>
      <c r="D19" s="40">
        <f t="shared" si="2"/>
        <v>600000</v>
      </c>
      <c r="E19" s="47">
        <f t="shared" si="0"/>
        <v>11420.447400423482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5">
      <c r="A20" s="41" t="s">
        <v>120</v>
      </c>
      <c r="B20" s="42">
        <v>300000</v>
      </c>
      <c r="C20" s="40">
        <f t="shared" si="1"/>
        <v>60000</v>
      </c>
      <c r="D20" s="40">
        <f t="shared" si="2"/>
        <v>240000</v>
      </c>
      <c r="E20" s="47">
        <f t="shared" si="0"/>
        <v>4568.1789601693927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A21" s="39" t="s">
        <v>121</v>
      </c>
      <c r="B21" s="40">
        <v>450000</v>
      </c>
      <c r="C21" s="40">
        <f t="shared" si="1"/>
        <v>90000</v>
      </c>
      <c r="D21" s="40">
        <f t="shared" si="2"/>
        <v>360000</v>
      </c>
      <c r="E21" s="47">
        <f t="shared" si="0"/>
        <v>6852.2684402540881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5">
      <c r="A22" s="41" t="s">
        <v>29</v>
      </c>
      <c r="B22" s="42">
        <v>550000</v>
      </c>
      <c r="C22" s="40">
        <f t="shared" si="1"/>
        <v>110000</v>
      </c>
      <c r="D22" s="40">
        <f t="shared" si="2"/>
        <v>440000</v>
      </c>
      <c r="E22" s="47">
        <f t="shared" si="0"/>
        <v>8374.9947603105538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39" t="s">
        <v>122</v>
      </c>
      <c r="B23" s="40">
        <v>700000</v>
      </c>
      <c r="C23" s="40">
        <f t="shared" si="1"/>
        <v>140000</v>
      </c>
      <c r="D23" s="40">
        <f t="shared" si="2"/>
        <v>560000</v>
      </c>
      <c r="E23" s="47">
        <f t="shared" si="0"/>
        <v>10659.08424039525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41" t="s">
        <v>123</v>
      </c>
      <c r="B24" s="42">
        <v>1200000</v>
      </c>
      <c r="C24" s="40">
        <f t="shared" si="1"/>
        <v>240000</v>
      </c>
      <c r="D24" s="40">
        <f t="shared" si="2"/>
        <v>960000</v>
      </c>
      <c r="E24" s="47">
        <f t="shared" si="0"/>
        <v>18272.715840677571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5">
      <c r="A25" s="39" t="s">
        <v>16</v>
      </c>
      <c r="B25" s="40">
        <v>500000</v>
      </c>
      <c r="C25" s="40">
        <f t="shared" si="1"/>
        <v>100000</v>
      </c>
      <c r="D25" s="40">
        <f t="shared" si="2"/>
        <v>400000</v>
      </c>
      <c r="E25" s="47">
        <f t="shared" si="0"/>
        <v>7613.6316002823205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43" t="s">
        <v>124</v>
      </c>
      <c r="B26" s="44">
        <v>2000000</v>
      </c>
      <c r="C26" s="14">
        <f t="shared" si="1"/>
        <v>400000</v>
      </c>
      <c r="D26" s="14">
        <f t="shared" si="2"/>
        <v>1600000</v>
      </c>
      <c r="E26" s="14">
        <f t="shared" si="0"/>
        <v>30454.526401129282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/>
    <row r="233" spans="1:18" ht="15.75" customHeight="1" x14ac:dyDescent="0.25"/>
    <row r="234" spans="1:18" ht="15.75" customHeight="1" x14ac:dyDescent="0.25"/>
    <row r="235" spans="1:18" ht="15.75" customHeight="1" x14ac:dyDescent="0.25"/>
    <row r="236" spans="1:18" ht="15.75" customHeight="1" x14ac:dyDescent="0.25"/>
    <row r="237" spans="1:18" ht="15.75" customHeight="1" x14ac:dyDescent="0.25"/>
    <row r="238" spans="1:18" ht="15.75" customHeight="1" x14ac:dyDescent="0.25"/>
    <row r="239" spans="1:18" ht="15.75" customHeight="1" x14ac:dyDescent="0.25"/>
    <row r="240" spans="1:1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1" sqref="G21"/>
    </sheetView>
  </sheetViews>
  <sheetFormatPr defaultRowHeight="15" x14ac:dyDescent="0.25"/>
  <cols>
    <col min="1" max="2" width="10.140625" style="6" bestFit="1" customWidth="1"/>
    <col min="3" max="16384" width="9.140625" style="6"/>
  </cols>
  <sheetData>
    <row r="1" spans="1:2" x14ac:dyDescent="0.25">
      <c r="A1" s="37" t="s">
        <v>152</v>
      </c>
      <c r="B1" s="38" t="s">
        <v>153</v>
      </c>
    </row>
    <row r="2" spans="1:2" x14ac:dyDescent="0.25">
      <c r="A2" s="39" t="s">
        <v>8</v>
      </c>
      <c r="B2" s="45" t="s">
        <v>112</v>
      </c>
    </row>
    <row r="3" spans="1:2" x14ac:dyDescent="0.25">
      <c r="A3" s="41" t="s">
        <v>18</v>
      </c>
      <c r="B3" s="46" t="s">
        <v>18</v>
      </c>
    </row>
    <row r="4" spans="1:2" x14ac:dyDescent="0.25">
      <c r="A4" s="39" t="s">
        <v>12</v>
      </c>
      <c r="B4" s="45" t="s">
        <v>113</v>
      </c>
    </row>
    <row r="5" spans="1:2" x14ac:dyDescent="0.25">
      <c r="A5" s="41" t="s">
        <v>14</v>
      </c>
      <c r="B5" s="46" t="s">
        <v>14</v>
      </c>
    </row>
    <row r="6" spans="1:2" x14ac:dyDescent="0.25">
      <c r="A6" s="39" t="s">
        <v>16</v>
      </c>
      <c r="B6" s="45" t="s">
        <v>16</v>
      </c>
    </row>
    <row r="7" spans="1:2" x14ac:dyDescent="0.25">
      <c r="A7" s="41" t="s">
        <v>125</v>
      </c>
      <c r="B7" s="46" t="s">
        <v>125</v>
      </c>
    </row>
    <row r="8" spans="1:2" x14ac:dyDescent="0.25">
      <c r="A8" s="39" t="s">
        <v>34</v>
      </c>
      <c r="B8" s="45" t="s">
        <v>114</v>
      </c>
    </row>
    <row r="9" spans="1:2" x14ac:dyDescent="0.25">
      <c r="A9" s="41" t="s">
        <v>29</v>
      </c>
      <c r="B9" s="46" t="s">
        <v>29</v>
      </c>
    </row>
    <row r="10" spans="1:2" x14ac:dyDescent="0.25">
      <c r="A10" s="39" t="s">
        <v>110</v>
      </c>
      <c r="B10" s="45" t="s">
        <v>110</v>
      </c>
    </row>
    <row r="11" spans="1:2" x14ac:dyDescent="0.25">
      <c r="A11" s="43" t="s">
        <v>76</v>
      </c>
      <c r="B11" s="12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74"/>
  <sheetViews>
    <sheetView workbookViewId="0">
      <selection activeCell="D6" sqref="D6:M19"/>
    </sheetView>
  </sheetViews>
  <sheetFormatPr defaultRowHeight="12.75" x14ac:dyDescent="0.2"/>
  <cols>
    <col min="4" max="4" width="10.7109375" bestFit="1" customWidth="1"/>
    <col min="5" max="5" width="12" bestFit="1" customWidth="1"/>
    <col min="6" max="6" width="14.85546875" bestFit="1" customWidth="1"/>
  </cols>
  <sheetData>
    <row r="5" spans="2:13" x14ac:dyDescent="0.2">
      <c r="D5" t="s">
        <v>8</v>
      </c>
      <c r="E5" t="s">
        <v>18</v>
      </c>
      <c r="F5" t="s">
        <v>12</v>
      </c>
      <c r="G5" t="s">
        <v>14</v>
      </c>
      <c r="H5" t="s">
        <v>16</v>
      </c>
      <c r="I5" t="s">
        <v>125</v>
      </c>
      <c r="J5" t="s">
        <v>34</v>
      </c>
      <c r="K5" t="s">
        <v>29</v>
      </c>
      <c r="L5" t="s">
        <v>110</v>
      </c>
      <c r="M5" t="s">
        <v>76</v>
      </c>
    </row>
    <row r="6" spans="2:13" x14ac:dyDescent="0.2">
      <c r="B6" s="96" t="s">
        <v>131</v>
      </c>
      <c r="C6" t="s">
        <v>80</v>
      </c>
      <c r="D6" s="4">
        <v>2.5</v>
      </c>
      <c r="E6" s="4">
        <v>0.75</v>
      </c>
      <c r="F6" s="4">
        <v>4.5</v>
      </c>
      <c r="G6" s="4">
        <v>1.5</v>
      </c>
      <c r="H6" s="4">
        <v>1.25</v>
      </c>
      <c r="I6" s="4">
        <v>6.8</v>
      </c>
      <c r="J6" s="4">
        <v>6.5</v>
      </c>
      <c r="K6" s="4">
        <v>1.2</v>
      </c>
      <c r="L6" s="4">
        <v>1.5</v>
      </c>
      <c r="M6" s="4">
        <v>6.5</v>
      </c>
    </row>
    <row r="7" spans="2:13" x14ac:dyDescent="0.2">
      <c r="B7" s="96"/>
      <c r="C7" t="s">
        <v>81</v>
      </c>
      <c r="D7" s="4">
        <f ca="1">(0.5+RAND())*$D$6</f>
        <v>1.5281445454791602</v>
      </c>
      <c r="E7" s="4">
        <f ca="1">(0.5+RAND())*E$6</f>
        <v>0.41070170228598302</v>
      </c>
      <c r="F7" s="4">
        <f t="shared" ref="F7:M19" ca="1" si="0">(0.5+RAND())*F$6</f>
        <v>2.749853694911252</v>
      </c>
      <c r="G7" s="4">
        <f t="shared" ca="1" si="0"/>
        <v>2.2454185083548368</v>
      </c>
      <c r="H7" s="4">
        <f t="shared" ca="1" si="0"/>
        <v>1.3055652215228506</v>
      </c>
      <c r="I7" s="4">
        <f t="shared" ca="1" si="0"/>
        <v>9.2380494288380817</v>
      </c>
      <c r="J7" s="4">
        <f t="shared" ca="1" si="0"/>
        <v>6.5639905373862808</v>
      </c>
      <c r="K7" s="4">
        <f t="shared" ca="1" si="0"/>
        <v>1.6008152929316608</v>
      </c>
      <c r="L7" s="4">
        <f t="shared" ca="1" si="0"/>
        <v>2.2400173963634575</v>
      </c>
      <c r="M7" s="4">
        <f t="shared" ca="1" si="0"/>
        <v>9.57383658818366</v>
      </c>
    </row>
    <row r="8" spans="2:13" x14ac:dyDescent="0.2">
      <c r="B8" s="96"/>
      <c r="C8" t="s">
        <v>82</v>
      </c>
      <c r="D8" s="4">
        <f t="shared" ref="D8:D19" ca="1" si="1">(0.5+RAND())*$D$6</f>
        <v>3.5297254447095847</v>
      </c>
      <c r="E8" s="4">
        <f t="shared" ref="E8:E19" ca="1" si="2">(0.5+RAND())*E$6</f>
        <v>1.0438262702965035</v>
      </c>
      <c r="F8" s="4">
        <f t="shared" ca="1" si="0"/>
        <v>4.2264975173528123</v>
      </c>
      <c r="G8" s="4">
        <f t="shared" ca="1" si="0"/>
        <v>1.1987442820386895</v>
      </c>
      <c r="H8" s="4">
        <f t="shared" ca="1" si="0"/>
        <v>1.2012207180029002</v>
      </c>
      <c r="I8" s="4">
        <f t="shared" ca="1" si="0"/>
        <v>7.6333333635610536</v>
      </c>
      <c r="J8" s="4">
        <f t="shared" ca="1" si="0"/>
        <v>5.5919265579297859</v>
      </c>
      <c r="K8" s="4">
        <f t="shared" ca="1" si="0"/>
        <v>0.6808583803935796</v>
      </c>
      <c r="L8" s="4">
        <f t="shared" ca="1" si="0"/>
        <v>2.0520647295714589</v>
      </c>
      <c r="M8" s="4">
        <f t="shared" ca="1" si="0"/>
        <v>7.4713118360966826</v>
      </c>
    </row>
    <row r="9" spans="2:13" x14ac:dyDescent="0.2">
      <c r="B9" s="96"/>
      <c r="C9" t="s">
        <v>83</v>
      </c>
      <c r="D9" s="4">
        <f t="shared" ca="1" si="1"/>
        <v>3.2584976005429995</v>
      </c>
      <c r="E9" s="4">
        <f t="shared" ca="1" si="2"/>
        <v>0.46769254097685753</v>
      </c>
      <c r="F9" s="4">
        <f t="shared" ca="1" si="0"/>
        <v>4.5411333366893665</v>
      </c>
      <c r="G9" s="4">
        <f t="shared" ca="1" si="0"/>
        <v>1.4859555125265405</v>
      </c>
      <c r="H9" s="4">
        <f t="shared" ca="1" si="0"/>
        <v>1.5200371418599601</v>
      </c>
      <c r="I9" s="4">
        <f t="shared" ca="1" si="0"/>
        <v>8.07966413111596</v>
      </c>
      <c r="J9" s="4">
        <f t="shared" ca="1" si="0"/>
        <v>8.3471766423500444</v>
      </c>
      <c r="K9" s="4">
        <f t="shared" ca="1" si="0"/>
        <v>1.283531044307243</v>
      </c>
      <c r="L9" s="4">
        <f t="shared" ca="1" si="0"/>
        <v>1.7948473922691159</v>
      </c>
      <c r="M9" s="4">
        <f t="shared" ca="1" si="0"/>
        <v>4.657598171697158</v>
      </c>
    </row>
    <row r="10" spans="2:13" x14ac:dyDescent="0.2">
      <c r="B10" s="96"/>
      <c r="C10" t="s">
        <v>84</v>
      </c>
      <c r="D10" s="4">
        <f t="shared" ca="1" si="1"/>
        <v>2.7349001593956501</v>
      </c>
      <c r="E10" s="4">
        <f t="shared" ca="1" si="2"/>
        <v>0.82528118197095302</v>
      </c>
      <c r="F10" s="4">
        <f t="shared" ca="1" si="0"/>
        <v>4.59469044442202</v>
      </c>
      <c r="G10" s="4">
        <f t="shared" ca="1" si="0"/>
        <v>1.8168284193070274</v>
      </c>
      <c r="H10" s="4">
        <f t="shared" ca="1" si="0"/>
        <v>1.2246777423916166</v>
      </c>
      <c r="I10" s="4">
        <f t="shared" ca="1" si="0"/>
        <v>3.8165111626375845</v>
      </c>
      <c r="J10" s="4">
        <f t="shared" ca="1" si="0"/>
        <v>9.2192705919102558</v>
      </c>
      <c r="K10" s="4">
        <f t="shared" ca="1" si="0"/>
        <v>1.7673183633722245</v>
      </c>
      <c r="L10" s="4">
        <f t="shared" ca="1" si="0"/>
        <v>2.2095092815716333</v>
      </c>
      <c r="M10" s="4">
        <f t="shared" ca="1" si="0"/>
        <v>7.2136487858658525</v>
      </c>
    </row>
    <row r="11" spans="2:13" x14ac:dyDescent="0.2">
      <c r="B11" s="96"/>
      <c r="C11" t="s">
        <v>85</v>
      </c>
      <c r="D11" s="4">
        <f t="shared" ca="1" si="1"/>
        <v>3.1841548523647845</v>
      </c>
      <c r="E11" s="4">
        <f t="shared" ca="1" si="2"/>
        <v>1.0998456141156769</v>
      </c>
      <c r="F11" s="4">
        <f t="shared" ca="1" si="0"/>
        <v>3.5951352379039205</v>
      </c>
      <c r="G11" s="4">
        <f t="shared" ca="1" si="0"/>
        <v>1.1441189641289495</v>
      </c>
      <c r="H11" s="4">
        <f t="shared" ca="1" si="0"/>
        <v>1.1891973812829457</v>
      </c>
      <c r="I11" s="4">
        <f t="shared" ca="1" si="0"/>
        <v>8.8329207191879409</v>
      </c>
      <c r="J11" s="4">
        <f t="shared" ca="1" si="0"/>
        <v>7.9744096696775548</v>
      </c>
      <c r="K11" s="4">
        <f t="shared" ca="1" si="0"/>
        <v>1.2065937888953513</v>
      </c>
      <c r="L11" s="4">
        <f t="shared" ca="1" si="0"/>
        <v>1.2605341924562683</v>
      </c>
      <c r="M11" s="4">
        <f t="shared" ca="1" si="0"/>
        <v>9.5971007242640614</v>
      </c>
    </row>
    <row r="12" spans="2:13" x14ac:dyDescent="0.2">
      <c r="B12" s="96"/>
      <c r="C12" t="s">
        <v>86</v>
      </c>
      <c r="D12" s="4">
        <f t="shared" ca="1" si="1"/>
        <v>3.5033825662322862</v>
      </c>
      <c r="E12" s="4">
        <f t="shared" ca="1" si="2"/>
        <v>0.75085174334756299</v>
      </c>
      <c r="F12" s="4">
        <f t="shared" ca="1" si="0"/>
        <v>3.6673400727965744</v>
      </c>
      <c r="G12" s="4">
        <f t="shared" ca="1" si="0"/>
        <v>0.99128667413180482</v>
      </c>
      <c r="H12" s="4">
        <f t="shared" ca="1" si="0"/>
        <v>1.2989004132037181</v>
      </c>
      <c r="I12" s="4">
        <f t="shared" ca="1" si="0"/>
        <v>7.9094371677323156</v>
      </c>
      <c r="J12" s="4">
        <f t="shared" ca="1" si="0"/>
        <v>7.6799053989728208</v>
      </c>
      <c r="K12" s="4">
        <f t="shared" ca="1" si="0"/>
        <v>0.93547725118319347</v>
      </c>
      <c r="L12" s="4">
        <f t="shared" ca="1" si="0"/>
        <v>0.98746083241217808</v>
      </c>
      <c r="M12" s="4">
        <f t="shared" ca="1" si="0"/>
        <v>8.7737128845540671</v>
      </c>
    </row>
    <row r="13" spans="2:13" x14ac:dyDescent="0.2">
      <c r="B13" s="96"/>
      <c r="C13" t="s">
        <v>87</v>
      </c>
      <c r="D13" s="4">
        <f t="shared" ca="1" si="1"/>
        <v>1.7283886817810847</v>
      </c>
      <c r="E13" s="4">
        <f t="shared" ca="1" si="2"/>
        <v>0.44669586271796735</v>
      </c>
      <c r="F13" s="4">
        <f t="shared" ca="1" si="0"/>
        <v>3.0714940883232891</v>
      </c>
      <c r="G13" s="4">
        <f t="shared" ca="1" si="0"/>
        <v>0.98360457464060302</v>
      </c>
      <c r="H13" s="4">
        <f t="shared" ca="1" si="0"/>
        <v>0.90217827022629993</v>
      </c>
      <c r="I13" s="4">
        <f t="shared" ca="1" si="0"/>
        <v>6.9595725197845821</v>
      </c>
      <c r="J13" s="4">
        <f t="shared" ca="1" si="0"/>
        <v>9.0489047746461324</v>
      </c>
      <c r="K13" s="4">
        <f t="shared" ca="1" si="0"/>
        <v>1.0158355032947439</v>
      </c>
      <c r="L13" s="4">
        <f t="shared" ca="1" si="0"/>
        <v>2.0940472488907531</v>
      </c>
      <c r="M13" s="4">
        <f t="shared" ca="1" si="0"/>
        <v>7.4825738398111685</v>
      </c>
    </row>
    <row r="14" spans="2:13" x14ac:dyDescent="0.2">
      <c r="B14" s="96"/>
      <c r="C14" t="s">
        <v>88</v>
      </c>
      <c r="D14" s="4">
        <f t="shared" ca="1" si="1"/>
        <v>2.6061057378230212</v>
      </c>
      <c r="E14" s="4">
        <f t="shared" ca="1" si="2"/>
        <v>0.93122915970976217</v>
      </c>
      <c r="F14" s="4">
        <f t="shared" ca="1" si="0"/>
        <v>6.527436697365097</v>
      </c>
      <c r="G14" s="4">
        <f t="shared" ca="1" si="0"/>
        <v>1.4904853864086194</v>
      </c>
      <c r="H14" s="4">
        <f t="shared" ca="1" si="0"/>
        <v>1.742663381062997</v>
      </c>
      <c r="I14" s="4">
        <f t="shared" ca="1" si="0"/>
        <v>3.7212882874303701</v>
      </c>
      <c r="J14" s="4">
        <f t="shared" ca="1" si="0"/>
        <v>4.5589857334238806</v>
      </c>
      <c r="K14" s="4">
        <f t="shared" ca="1" si="0"/>
        <v>1.4681472032317739</v>
      </c>
      <c r="L14" s="4">
        <f t="shared" ca="1" si="0"/>
        <v>1.7704373150865589</v>
      </c>
      <c r="M14" s="4">
        <f t="shared" ca="1" si="0"/>
        <v>4.4292523165076592</v>
      </c>
    </row>
    <row r="15" spans="2:13" x14ac:dyDescent="0.2">
      <c r="B15" s="96"/>
      <c r="C15" t="s">
        <v>89</v>
      </c>
      <c r="D15" s="4">
        <f t="shared" ca="1" si="1"/>
        <v>3.1650968720319339</v>
      </c>
      <c r="E15" s="4">
        <f t="shared" ca="1" si="2"/>
        <v>0.82557558351137472</v>
      </c>
      <c r="F15" s="4">
        <f t="shared" ca="1" si="0"/>
        <v>6.3165280111062021</v>
      </c>
      <c r="G15" s="4">
        <f t="shared" ca="1" si="0"/>
        <v>1.5058273937307352</v>
      </c>
      <c r="H15" s="4">
        <f t="shared" ca="1" si="0"/>
        <v>1.6903679939968224</v>
      </c>
      <c r="I15" s="4">
        <f t="shared" ca="1" si="0"/>
        <v>9.0415871965024017</v>
      </c>
      <c r="J15" s="4">
        <f t="shared" ca="1" si="0"/>
        <v>5.9983919312135345</v>
      </c>
      <c r="K15" s="4">
        <f t="shared" ca="1" si="0"/>
        <v>1.2584848898082042</v>
      </c>
      <c r="L15" s="4">
        <f t="shared" ca="1" si="0"/>
        <v>1.5229740981975599</v>
      </c>
      <c r="M15" s="4">
        <f t="shared" ca="1" si="0"/>
        <v>6.9400485594780523</v>
      </c>
    </row>
    <row r="16" spans="2:13" x14ac:dyDescent="0.2">
      <c r="B16" s="96"/>
      <c r="C16" t="s">
        <v>90</v>
      </c>
      <c r="D16" s="4">
        <f t="shared" ca="1" si="1"/>
        <v>2.3798657210925129</v>
      </c>
      <c r="E16" s="4">
        <f t="shared" ca="1" si="2"/>
        <v>0.53107035245876366</v>
      </c>
      <c r="F16" s="4">
        <f t="shared" ca="1" si="0"/>
        <v>4.5677278707715399</v>
      </c>
      <c r="G16" s="4">
        <f t="shared" ca="1" si="0"/>
        <v>0.82078415893842405</v>
      </c>
      <c r="H16" s="4">
        <f t="shared" ca="1" si="0"/>
        <v>1.442025861345249</v>
      </c>
      <c r="I16" s="4">
        <f t="shared" ca="1" si="0"/>
        <v>9.8519889750709471</v>
      </c>
      <c r="J16" s="4">
        <f t="shared" ca="1" si="0"/>
        <v>7.3091581640704204</v>
      </c>
      <c r="K16" s="4">
        <f t="shared" ca="1" si="0"/>
        <v>1.0513087112905235</v>
      </c>
      <c r="L16" s="4">
        <f t="shared" ca="1" si="0"/>
        <v>1.6930056076133624</v>
      </c>
      <c r="M16" s="4">
        <f t="shared" ca="1" si="0"/>
        <v>6.5946885012030148</v>
      </c>
    </row>
    <row r="17" spans="2:13" x14ac:dyDescent="0.2">
      <c r="B17" s="96"/>
      <c r="C17" t="s">
        <v>91</v>
      </c>
      <c r="D17" s="4">
        <f t="shared" ca="1" si="1"/>
        <v>2.7714097764095018</v>
      </c>
      <c r="E17" s="4">
        <f t="shared" ca="1" si="2"/>
        <v>1.1196589766176011</v>
      </c>
      <c r="F17" s="4">
        <f t="shared" ca="1" si="0"/>
        <v>3.0592389040520036</v>
      </c>
      <c r="G17" s="4">
        <f t="shared" ca="1" si="0"/>
        <v>1.568559451230036</v>
      </c>
      <c r="H17" s="4">
        <f t="shared" ca="1" si="0"/>
        <v>1.2627157907147946</v>
      </c>
      <c r="I17" s="4">
        <f t="shared" ca="1" si="0"/>
        <v>3.894756619755563</v>
      </c>
      <c r="J17" s="4">
        <f t="shared" ca="1" si="0"/>
        <v>8.7096473806945323</v>
      </c>
      <c r="K17" s="4">
        <f t="shared" ca="1" si="0"/>
        <v>1.0951502458943432</v>
      </c>
      <c r="L17" s="4">
        <f t="shared" ca="1" si="0"/>
        <v>0.94599780309780457</v>
      </c>
      <c r="M17" s="4">
        <f t="shared" ca="1" si="0"/>
        <v>7.8717713353814993</v>
      </c>
    </row>
    <row r="18" spans="2:13" x14ac:dyDescent="0.2">
      <c r="B18" s="96"/>
      <c r="C18" t="s">
        <v>92</v>
      </c>
      <c r="D18" s="4">
        <f t="shared" ca="1" si="1"/>
        <v>3.0457069940228667</v>
      </c>
      <c r="E18" s="4">
        <f t="shared" ca="1" si="2"/>
        <v>0.85125865592974459</v>
      </c>
      <c r="F18" s="4">
        <f t="shared" ca="1" si="0"/>
        <v>4.6629170615730882</v>
      </c>
      <c r="G18" s="4">
        <f t="shared" ca="1" si="0"/>
        <v>0.9466570495845319</v>
      </c>
      <c r="H18" s="4">
        <f t="shared" ca="1" si="0"/>
        <v>1.8562858688583876</v>
      </c>
      <c r="I18" s="4">
        <f t="shared" ca="1" si="0"/>
        <v>7.2541355504080123</v>
      </c>
      <c r="J18" s="4">
        <f t="shared" ca="1" si="0"/>
        <v>6.9662225457462936</v>
      </c>
      <c r="K18" s="4">
        <f t="shared" ca="1" si="0"/>
        <v>1.1061646183205611</v>
      </c>
      <c r="L18" s="4">
        <f t="shared" ca="1" si="0"/>
        <v>1.2079835486659816</v>
      </c>
      <c r="M18" s="4">
        <f t="shared" ca="1" si="0"/>
        <v>7.3764623003898784</v>
      </c>
    </row>
    <row r="19" spans="2:13" x14ac:dyDescent="0.2">
      <c r="B19" s="96"/>
      <c r="C19" t="s">
        <v>93</v>
      </c>
      <c r="D19" s="4">
        <f t="shared" ca="1" si="1"/>
        <v>3.2844992052864477</v>
      </c>
      <c r="E19" s="4">
        <f t="shared" ca="1" si="2"/>
        <v>0.47971921111744398</v>
      </c>
      <c r="F19" s="4">
        <f t="shared" ca="1" si="0"/>
        <v>5.1185421472071493</v>
      </c>
      <c r="G19" s="4">
        <f t="shared" ca="1" si="0"/>
        <v>1.2313537201885489</v>
      </c>
      <c r="H19" s="4">
        <f t="shared" ca="1" si="0"/>
        <v>1.6861758749031497</v>
      </c>
      <c r="I19" s="4">
        <f t="shared" ca="1" si="0"/>
        <v>9.5951564757054282</v>
      </c>
      <c r="J19" s="4">
        <f t="shared" ca="1" si="0"/>
        <v>5.1357547857638348</v>
      </c>
      <c r="K19" s="4">
        <f t="shared" ca="1" si="0"/>
        <v>0.78775309305350072</v>
      </c>
      <c r="L19" s="4">
        <f t="shared" ca="1" si="0"/>
        <v>1.3867438699307402</v>
      </c>
      <c r="M19" s="4">
        <f t="shared" ca="1" si="0"/>
        <v>5.2500562145282323</v>
      </c>
    </row>
    <row r="24" spans="2:13" x14ac:dyDescent="0.2">
      <c r="D24" t="s">
        <v>8</v>
      </c>
      <c r="E24" t="s">
        <v>18</v>
      </c>
      <c r="F24" t="s">
        <v>12</v>
      </c>
      <c r="G24" t="s">
        <v>14</v>
      </c>
      <c r="H24" t="s">
        <v>16</v>
      </c>
      <c r="I24" t="s">
        <v>125</v>
      </c>
      <c r="J24" t="s">
        <v>34</v>
      </c>
      <c r="K24" t="s">
        <v>29</v>
      </c>
      <c r="L24" t="s">
        <v>110</v>
      </c>
      <c r="M24" t="s">
        <v>76</v>
      </c>
    </row>
    <row r="25" spans="2:13" x14ac:dyDescent="0.2">
      <c r="B25" s="96" t="s">
        <v>94</v>
      </c>
      <c r="C25" t="s">
        <v>80</v>
      </c>
      <c r="D25" s="4">
        <v>9</v>
      </c>
      <c r="E25" s="4">
        <v>14</v>
      </c>
      <c r="F25" s="4">
        <v>7</v>
      </c>
      <c r="G25" s="4">
        <v>12</v>
      </c>
      <c r="H25" s="4">
        <v>12</v>
      </c>
      <c r="I25" s="4">
        <v>5</v>
      </c>
      <c r="J25" s="4">
        <v>7</v>
      </c>
      <c r="K25" s="4">
        <v>15</v>
      </c>
      <c r="L25" s="4">
        <v>11</v>
      </c>
      <c r="M25" s="4">
        <v>7</v>
      </c>
    </row>
    <row r="26" spans="2:13" x14ac:dyDescent="0.2">
      <c r="B26" s="96"/>
      <c r="C26" t="s">
        <v>81</v>
      </c>
      <c r="D26" s="4">
        <f ca="1">(0.5+RAND())*D$25</f>
        <v>6.9390846003834383</v>
      </c>
      <c r="E26" s="4">
        <f t="shared" ref="E26:M38" ca="1" si="3">(0.5+RAND())*E$25</f>
        <v>17.108981691522338</v>
      </c>
      <c r="F26" s="4">
        <f t="shared" ca="1" si="3"/>
        <v>6.4468569894540639</v>
      </c>
      <c r="G26" s="4">
        <f t="shared" ca="1" si="3"/>
        <v>10.635449542228113</v>
      </c>
      <c r="H26" s="4">
        <f t="shared" ca="1" si="3"/>
        <v>8.7071771746670414</v>
      </c>
      <c r="I26" s="4">
        <f t="shared" ca="1" si="3"/>
        <v>4.3929861841196409</v>
      </c>
      <c r="J26" s="4">
        <f t="shared" ca="1" si="3"/>
        <v>8.6585762868519609</v>
      </c>
      <c r="K26" s="4">
        <f t="shared" ca="1" si="3"/>
        <v>10.824609268894445</v>
      </c>
      <c r="L26" s="4">
        <f t="shared" ca="1" si="3"/>
        <v>13.801857050949549</v>
      </c>
      <c r="M26" s="4">
        <f t="shared" ca="1" si="3"/>
        <v>4.1742166977714996</v>
      </c>
    </row>
    <row r="27" spans="2:13" x14ac:dyDescent="0.2">
      <c r="B27" s="96"/>
      <c r="C27" t="s">
        <v>82</v>
      </c>
      <c r="D27" s="4">
        <f t="shared" ref="D27:D38" ca="1" si="4">(0.5+RAND())*D$25</f>
        <v>13.432938109357085</v>
      </c>
      <c r="E27" s="4">
        <f t="shared" ca="1" si="3"/>
        <v>8.8558241157612585</v>
      </c>
      <c r="F27" s="4">
        <f t="shared" ca="1" si="3"/>
        <v>7.0704479240098319</v>
      </c>
      <c r="G27" s="4">
        <f t="shared" ca="1" si="3"/>
        <v>8.8865125468197252</v>
      </c>
      <c r="H27" s="4">
        <f t="shared" ca="1" si="3"/>
        <v>12.000687416491708</v>
      </c>
      <c r="I27" s="4">
        <f t="shared" ca="1" si="3"/>
        <v>6.8520170659059554</v>
      </c>
      <c r="J27" s="4">
        <f t="shared" ca="1" si="3"/>
        <v>5.7145311356460446</v>
      </c>
      <c r="K27" s="4">
        <f t="shared" ca="1" si="3"/>
        <v>12.87955892943304</v>
      </c>
      <c r="L27" s="4">
        <f t="shared" ca="1" si="3"/>
        <v>12.374727678703843</v>
      </c>
      <c r="M27" s="4">
        <f t="shared" ca="1" si="3"/>
        <v>5.0128524353110713</v>
      </c>
    </row>
    <row r="28" spans="2:13" x14ac:dyDescent="0.2">
      <c r="B28" s="96"/>
      <c r="C28" t="s">
        <v>83</v>
      </c>
      <c r="D28" s="4">
        <f t="shared" ca="1" si="4"/>
        <v>10.618537028308156</v>
      </c>
      <c r="E28" s="4">
        <f t="shared" ca="1" si="3"/>
        <v>17.917073122152672</v>
      </c>
      <c r="F28" s="4">
        <f t="shared" ca="1" si="3"/>
        <v>7.2278904469192096</v>
      </c>
      <c r="G28" s="4">
        <f t="shared" ca="1" si="3"/>
        <v>11.475354692488164</v>
      </c>
      <c r="H28" s="4">
        <f t="shared" ca="1" si="3"/>
        <v>9.2673611303080818</v>
      </c>
      <c r="I28" s="4">
        <f t="shared" ca="1" si="3"/>
        <v>6.6475981036357261</v>
      </c>
      <c r="J28" s="4">
        <f t="shared" ca="1" si="3"/>
        <v>5.6871206409396375</v>
      </c>
      <c r="K28" s="4">
        <f t="shared" ca="1" si="3"/>
        <v>10.961590321204509</v>
      </c>
      <c r="L28" s="4">
        <f t="shared" ca="1" si="3"/>
        <v>10.18316024458648</v>
      </c>
      <c r="M28" s="4">
        <f t="shared" ca="1" si="3"/>
        <v>6.4711702105962265</v>
      </c>
    </row>
    <row r="29" spans="2:13" x14ac:dyDescent="0.2">
      <c r="B29" s="96"/>
      <c r="C29" t="s">
        <v>84</v>
      </c>
      <c r="D29" s="4">
        <f t="shared" ca="1" si="4"/>
        <v>12.228643200799771</v>
      </c>
      <c r="E29" s="4">
        <f t="shared" ca="1" si="3"/>
        <v>18.42152815623021</v>
      </c>
      <c r="F29" s="4">
        <f t="shared" ca="1" si="3"/>
        <v>9.7701437123547521</v>
      </c>
      <c r="G29" s="4">
        <f t="shared" ca="1" si="3"/>
        <v>10.762821073631329</v>
      </c>
      <c r="H29" s="4">
        <f t="shared" ca="1" si="3"/>
        <v>12.081009541039244</v>
      </c>
      <c r="I29" s="4">
        <f t="shared" ca="1" si="3"/>
        <v>6.1142935166498873</v>
      </c>
      <c r="J29" s="4">
        <f t="shared" ca="1" si="3"/>
        <v>7.0645329587798589</v>
      </c>
      <c r="K29" s="4">
        <f t="shared" ca="1" si="3"/>
        <v>8.1659043890607066</v>
      </c>
      <c r="L29" s="4">
        <f t="shared" ca="1" si="3"/>
        <v>10.254040549897372</v>
      </c>
      <c r="M29" s="4">
        <f t="shared" ca="1" si="3"/>
        <v>5.7938860917214026</v>
      </c>
    </row>
    <row r="30" spans="2:13" x14ac:dyDescent="0.2">
      <c r="B30" s="96"/>
      <c r="C30" t="s">
        <v>85</v>
      </c>
      <c r="D30" s="4">
        <f t="shared" ca="1" si="4"/>
        <v>6.331929040329622</v>
      </c>
      <c r="E30" s="4">
        <f t="shared" ca="1" si="3"/>
        <v>16.32749808672774</v>
      </c>
      <c r="F30" s="4">
        <f t="shared" ca="1" si="3"/>
        <v>8.3850020253670063</v>
      </c>
      <c r="G30" s="4">
        <f t="shared" ca="1" si="3"/>
        <v>6.5741014884537936</v>
      </c>
      <c r="H30" s="4">
        <f t="shared" ca="1" si="3"/>
        <v>14.264962580128044</v>
      </c>
      <c r="I30" s="4">
        <f t="shared" ca="1" si="3"/>
        <v>7.4587756503206499</v>
      </c>
      <c r="J30" s="4">
        <f t="shared" ca="1" si="3"/>
        <v>8.1163533640237659</v>
      </c>
      <c r="K30" s="4">
        <f t="shared" ca="1" si="3"/>
        <v>15.348656132170241</v>
      </c>
      <c r="L30" s="4">
        <f t="shared" ca="1" si="3"/>
        <v>10.981456987178657</v>
      </c>
      <c r="M30" s="4">
        <f t="shared" ca="1" si="3"/>
        <v>5.3689869142759958</v>
      </c>
    </row>
    <row r="31" spans="2:13" x14ac:dyDescent="0.2">
      <c r="B31" s="96"/>
      <c r="C31" t="s">
        <v>86</v>
      </c>
      <c r="D31" s="4">
        <f t="shared" ca="1" si="4"/>
        <v>8.2201763200489086</v>
      </c>
      <c r="E31" s="4">
        <f t="shared" ca="1" si="3"/>
        <v>10.507168941226631</v>
      </c>
      <c r="F31" s="4">
        <f t="shared" ca="1" si="3"/>
        <v>4.3120309162588804</v>
      </c>
      <c r="G31" s="4">
        <f t="shared" ca="1" si="3"/>
        <v>11.710017334203023</v>
      </c>
      <c r="H31" s="4">
        <f t="shared" ca="1" si="3"/>
        <v>9.9768775439392101</v>
      </c>
      <c r="I31" s="4">
        <f t="shared" ca="1" si="3"/>
        <v>5.9895229357391511</v>
      </c>
      <c r="J31" s="4">
        <f t="shared" ca="1" si="3"/>
        <v>8.5782404793474747</v>
      </c>
      <c r="K31" s="4">
        <f t="shared" ca="1" si="3"/>
        <v>21.016521340967252</v>
      </c>
      <c r="L31" s="4">
        <f t="shared" ca="1" si="3"/>
        <v>6.4154604476286581</v>
      </c>
      <c r="M31" s="4">
        <f t="shared" ca="1" si="3"/>
        <v>5.7736680832969807</v>
      </c>
    </row>
    <row r="32" spans="2:13" x14ac:dyDescent="0.2">
      <c r="B32" s="96"/>
      <c r="C32" t="s">
        <v>87</v>
      </c>
      <c r="D32" s="4">
        <f t="shared" ca="1" si="4"/>
        <v>5.9554078833207029</v>
      </c>
      <c r="E32" s="4">
        <f t="shared" ca="1" si="3"/>
        <v>9.7624292088707403</v>
      </c>
      <c r="F32" s="4">
        <f t="shared" ca="1" si="3"/>
        <v>7.7267534226391792</v>
      </c>
      <c r="G32" s="4">
        <f t="shared" ca="1" si="3"/>
        <v>9.4989689229806142</v>
      </c>
      <c r="H32" s="4">
        <f t="shared" ca="1" si="3"/>
        <v>12.760434354729583</v>
      </c>
      <c r="I32" s="4">
        <f t="shared" ca="1" si="3"/>
        <v>6.9827524491794808</v>
      </c>
      <c r="J32" s="4">
        <f t="shared" ca="1" si="3"/>
        <v>7.8087052838681359</v>
      </c>
      <c r="K32" s="4">
        <f t="shared" ca="1" si="3"/>
        <v>12.65454130669117</v>
      </c>
      <c r="L32" s="4">
        <f t="shared" ca="1" si="3"/>
        <v>12.202273687151347</v>
      </c>
      <c r="M32" s="4">
        <f t="shared" ca="1" si="3"/>
        <v>5.1575396234775299</v>
      </c>
    </row>
    <row r="33" spans="2:13" x14ac:dyDescent="0.2">
      <c r="B33" s="96"/>
      <c r="C33" t="s">
        <v>88</v>
      </c>
      <c r="D33" s="4">
        <f t="shared" ca="1" si="4"/>
        <v>9.7072639853605835</v>
      </c>
      <c r="E33" s="4">
        <f t="shared" ca="1" si="3"/>
        <v>11.680035218525093</v>
      </c>
      <c r="F33" s="4">
        <f t="shared" ca="1" si="3"/>
        <v>3.5356920053347207</v>
      </c>
      <c r="G33" s="4">
        <f t="shared" ca="1" si="3"/>
        <v>8.9343550424013767</v>
      </c>
      <c r="H33" s="4">
        <f t="shared" ca="1" si="3"/>
        <v>7.0442526762685507</v>
      </c>
      <c r="I33" s="4">
        <f t="shared" ca="1" si="3"/>
        <v>6.150956512642809</v>
      </c>
      <c r="J33" s="4">
        <f t="shared" ca="1" si="3"/>
        <v>7.5053366481831638</v>
      </c>
      <c r="K33" s="4">
        <f t="shared" ca="1" si="3"/>
        <v>16.367675362213859</v>
      </c>
      <c r="L33" s="4">
        <f t="shared" ca="1" si="3"/>
        <v>10.118594319757882</v>
      </c>
      <c r="M33" s="4">
        <f t="shared" ca="1" si="3"/>
        <v>5.1088732867468822</v>
      </c>
    </row>
    <row r="34" spans="2:13" x14ac:dyDescent="0.2">
      <c r="B34" s="96"/>
      <c r="C34" t="s">
        <v>89</v>
      </c>
      <c r="D34" s="4">
        <f t="shared" ca="1" si="4"/>
        <v>5.9372646772322701</v>
      </c>
      <c r="E34" s="4">
        <f t="shared" ca="1" si="3"/>
        <v>17.292228599841451</v>
      </c>
      <c r="F34" s="4">
        <f t="shared" ca="1" si="3"/>
        <v>4.6286175870475992</v>
      </c>
      <c r="G34" s="4">
        <f t="shared" ca="1" si="3"/>
        <v>12.814232608811306</v>
      </c>
      <c r="H34" s="4">
        <f t="shared" ca="1" si="3"/>
        <v>12.48293630882203</v>
      </c>
      <c r="I34" s="4">
        <f t="shared" ca="1" si="3"/>
        <v>6.9685958939317665</v>
      </c>
      <c r="J34" s="4">
        <f t="shared" ca="1" si="3"/>
        <v>9.4953650846051634</v>
      </c>
      <c r="K34" s="4">
        <f t="shared" ca="1" si="3"/>
        <v>21.616975621389262</v>
      </c>
      <c r="L34" s="4">
        <f t="shared" ca="1" si="3"/>
        <v>6.7944023990251061</v>
      </c>
      <c r="M34" s="4">
        <f t="shared" ca="1" si="3"/>
        <v>5.628783915922174</v>
      </c>
    </row>
    <row r="35" spans="2:13" x14ac:dyDescent="0.2">
      <c r="B35" s="96"/>
      <c r="C35" t="s">
        <v>90</v>
      </c>
      <c r="D35" s="4">
        <f t="shared" ca="1" si="4"/>
        <v>13.120967875800954</v>
      </c>
      <c r="E35" s="4">
        <f t="shared" ca="1" si="3"/>
        <v>14.572565599790014</v>
      </c>
      <c r="F35" s="4">
        <f t="shared" ca="1" si="3"/>
        <v>4.4766365613388182</v>
      </c>
      <c r="G35" s="4">
        <f t="shared" ca="1" si="3"/>
        <v>8.8912120317328771</v>
      </c>
      <c r="H35" s="4">
        <f t="shared" ca="1" si="3"/>
        <v>9.5802100407000648</v>
      </c>
      <c r="I35" s="4">
        <f t="shared" ca="1" si="3"/>
        <v>6.667951725355322</v>
      </c>
      <c r="J35" s="4">
        <f t="shared" ca="1" si="3"/>
        <v>4.7107949992531184</v>
      </c>
      <c r="K35" s="4">
        <f t="shared" ca="1" si="3"/>
        <v>20.438230298330527</v>
      </c>
      <c r="L35" s="4">
        <f t="shared" ca="1" si="3"/>
        <v>7.5864716213595527</v>
      </c>
      <c r="M35" s="4">
        <f t="shared" ca="1" si="3"/>
        <v>9.7474340508244506</v>
      </c>
    </row>
    <row r="36" spans="2:13" x14ac:dyDescent="0.2">
      <c r="B36" s="96"/>
      <c r="C36" t="s">
        <v>91</v>
      </c>
      <c r="D36" s="4">
        <f t="shared" ca="1" si="4"/>
        <v>11.406911817122342</v>
      </c>
      <c r="E36" s="4">
        <f t="shared" ca="1" si="3"/>
        <v>16.14567744111239</v>
      </c>
      <c r="F36" s="4">
        <f t="shared" ca="1" si="3"/>
        <v>4.7775841843622553</v>
      </c>
      <c r="G36" s="4">
        <f t="shared" ca="1" si="3"/>
        <v>15.630366937780312</v>
      </c>
      <c r="H36" s="4">
        <f t="shared" ca="1" si="3"/>
        <v>6.2200166726821564</v>
      </c>
      <c r="I36" s="4">
        <f t="shared" ca="1" si="3"/>
        <v>5.0573752035137609</v>
      </c>
      <c r="J36" s="4">
        <f t="shared" ca="1" si="3"/>
        <v>3.8725149649017401</v>
      </c>
      <c r="K36" s="4">
        <f t="shared" ca="1" si="3"/>
        <v>9.7979212735143104</v>
      </c>
      <c r="L36" s="4">
        <f t="shared" ca="1" si="3"/>
        <v>11.458993815053333</v>
      </c>
      <c r="M36" s="4">
        <f t="shared" ca="1" si="3"/>
        <v>7.4370576307104894</v>
      </c>
    </row>
    <row r="37" spans="2:13" x14ac:dyDescent="0.2">
      <c r="B37" s="96"/>
      <c r="C37" t="s">
        <v>92</v>
      </c>
      <c r="D37" s="4">
        <f t="shared" ca="1" si="4"/>
        <v>8.4477715909510742</v>
      </c>
      <c r="E37" s="4">
        <f t="shared" ca="1" si="3"/>
        <v>14.112411932515577</v>
      </c>
      <c r="F37" s="4">
        <f t="shared" ca="1" si="3"/>
        <v>4.1038515398274615</v>
      </c>
      <c r="G37" s="4">
        <f t="shared" ca="1" si="3"/>
        <v>17.226962256645365</v>
      </c>
      <c r="H37" s="4">
        <f t="shared" ca="1" si="3"/>
        <v>17.744347498978296</v>
      </c>
      <c r="I37" s="4">
        <f t="shared" ca="1" si="3"/>
        <v>3.0635835411268704</v>
      </c>
      <c r="J37" s="4">
        <f t="shared" ca="1" si="3"/>
        <v>9.918432980797558</v>
      </c>
      <c r="K37" s="4">
        <f t="shared" ca="1" si="3"/>
        <v>20.814414801181364</v>
      </c>
      <c r="L37" s="4">
        <f t="shared" ca="1" si="3"/>
        <v>11.733402679226703</v>
      </c>
      <c r="M37" s="4">
        <f t="shared" ca="1" si="3"/>
        <v>7.6793110693717255</v>
      </c>
    </row>
    <row r="38" spans="2:13" x14ac:dyDescent="0.2">
      <c r="B38" s="96"/>
      <c r="C38" t="s">
        <v>93</v>
      </c>
      <c r="D38" s="4">
        <f t="shared" ca="1" si="4"/>
        <v>7.4481661563473978</v>
      </c>
      <c r="E38" s="4">
        <f t="shared" ca="1" si="3"/>
        <v>18.567683550895751</v>
      </c>
      <c r="F38" s="4">
        <f t="shared" ca="1" si="3"/>
        <v>4.7961395870454568</v>
      </c>
      <c r="G38" s="4">
        <f t="shared" ca="1" si="3"/>
        <v>9.7259280482328752</v>
      </c>
      <c r="H38" s="4">
        <f t="shared" ca="1" si="3"/>
        <v>14.964872262769111</v>
      </c>
      <c r="I38" s="4">
        <f t="shared" ca="1" si="3"/>
        <v>5.7720006311569128</v>
      </c>
      <c r="J38" s="4">
        <f t="shared" ca="1" si="3"/>
        <v>9.6071242287902745</v>
      </c>
      <c r="K38" s="4">
        <f t="shared" ca="1" si="3"/>
        <v>20.32132390676464</v>
      </c>
      <c r="L38" s="4">
        <f t="shared" ca="1" si="3"/>
        <v>8.055066129095982</v>
      </c>
      <c r="M38" s="4">
        <f t="shared" ca="1" si="3"/>
        <v>4.9943602084598515</v>
      </c>
    </row>
    <row r="42" spans="2:13" x14ac:dyDescent="0.2">
      <c r="D42" t="s">
        <v>126</v>
      </c>
      <c r="E42" t="s">
        <v>127</v>
      </c>
    </row>
    <row r="43" spans="2:13" x14ac:dyDescent="0.2">
      <c r="B43" s="97" t="s">
        <v>132</v>
      </c>
      <c r="C43" t="s">
        <v>80</v>
      </c>
      <c r="D43">
        <v>1600</v>
      </c>
      <c r="E43">
        <v>92.3</v>
      </c>
    </row>
    <row r="44" spans="2:13" x14ac:dyDescent="0.2">
      <c r="B44" s="97"/>
      <c r="C44" t="s">
        <v>81</v>
      </c>
      <c r="D44" s="3">
        <v>2900</v>
      </c>
      <c r="E44" s="2">
        <v>100.490621572495</v>
      </c>
      <c r="F44" s="3"/>
    </row>
    <row r="45" spans="2:13" x14ac:dyDescent="0.2">
      <c r="B45" s="97"/>
      <c r="C45" t="s">
        <v>82</v>
      </c>
      <c r="D45" s="3">
        <v>2700</v>
      </c>
      <c r="E45" s="2">
        <v>113.411129978113</v>
      </c>
      <c r="F45" s="3"/>
    </row>
    <row r="46" spans="2:13" x14ac:dyDescent="0.2">
      <c r="B46" s="97"/>
      <c r="C46" t="s">
        <v>83</v>
      </c>
      <c r="D46" s="3">
        <v>2600</v>
      </c>
      <c r="E46" s="2">
        <v>80.841831220499003</v>
      </c>
      <c r="F46" s="3"/>
    </row>
    <row r="47" spans="2:13" x14ac:dyDescent="0.2">
      <c r="B47" s="97"/>
      <c r="C47" t="s">
        <v>84</v>
      </c>
      <c r="D47" s="3">
        <v>3000</v>
      </c>
      <c r="E47" s="2">
        <v>78.562830363879911</v>
      </c>
      <c r="F47" s="3"/>
    </row>
    <row r="48" spans="2:13" x14ac:dyDescent="0.2">
      <c r="B48" s="97"/>
      <c r="C48" t="s">
        <v>85</v>
      </c>
      <c r="D48" s="3">
        <v>1900</v>
      </c>
      <c r="E48" s="2">
        <v>100.23638952450855</v>
      </c>
      <c r="F48" s="3"/>
    </row>
    <row r="49" spans="2:13" x14ac:dyDescent="0.2">
      <c r="B49" s="97"/>
      <c r="C49" t="s">
        <v>86</v>
      </c>
      <c r="D49" s="3">
        <v>2900</v>
      </c>
      <c r="E49" s="2">
        <v>99.413389578885443</v>
      </c>
      <c r="F49" s="3"/>
    </row>
    <row r="50" spans="2:13" x14ac:dyDescent="0.2">
      <c r="B50" s="97"/>
      <c r="C50" t="s">
        <v>87</v>
      </c>
      <c r="D50" s="3">
        <v>1800</v>
      </c>
      <c r="E50" s="2">
        <v>94.581378550804004</v>
      </c>
      <c r="F50" s="3"/>
    </row>
    <row r="51" spans="2:13" x14ac:dyDescent="0.2">
      <c r="B51" s="97"/>
      <c r="C51" t="s">
        <v>88</v>
      </c>
      <c r="D51" s="3">
        <v>3100</v>
      </c>
      <c r="E51" s="2">
        <v>93.069310566121402</v>
      </c>
      <c r="F51" s="3"/>
    </row>
    <row r="52" spans="2:13" x14ac:dyDescent="0.2">
      <c r="B52" s="97"/>
      <c r="C52" t="s">
        <v>89</v>
      </c>
      <c r="D52" s="3">
        <v>1800</v>
      </c>
      <c r="E52" s="2">
        <v>90.694100434826595</v>
      </c>
      <c r="F52" s="3"/>
    </row>
    <row r="53" spans="2:13" x14ac:dyDescent="0.2">
      <c r="B53" s="97"/>
      <c r="C53" t="s">
        <v>90</v>
      </c>
      <c r="D53" s="3">
        <v>2500</v>
      </c>
      <c r="E53" s="2">
        <v>96.102793427526507</v>
      </c>
      <c r="F53" s="3"/>
    </row>
    <row r="54" spans="2:13" x14ac:dyDescent="0.2">
      <c r="B54" s="97"/>
      <c r="C54" t="s">
        <v>91</v>
      </c>
      <c r="D54" s="3">
        <v>2400</v>
      </c>
      <c r="E54" s="2">
        <v>98.228263631632004</v>
      </c>
      <c r="F54" s="3"/>
    </row>
    <row r="55" spans="2:13" x14ac:dyDescent="0.2">
      <c r="B55" s="97"/>
      <c r="C55" t="s">
        <v>92</v>
      </c>
      <c r="D55" s="3">
        <v>1800</v>
      </c>
      <c r="E55" s="2">
        <v>81.927096694379998</v>
      </c>
      <c r="F55" s="3"/>
    </row>
    <row r="56" spans="2:13" x14ac:dyDescent="0.2">
      <c r="B56" s="97"/>
      <c r="C56" t="s">
        <v>93</v>
      </c>
      <c r="D56" s="3">
        <v>2000</v>
      </c>
      <c r="E56" s="2">
        <v>99.377580279295699</v>
      </c>
      <c r="F56" s="3"/>
    </row>
    <row r="60" spans="2:13" x14ac:dyDescent="0.2">
      <c r="D60" t="s">
        <v>8</v>
      </c>
      <c r="E60" t="s">
        <v>18</v>
      </c>
      <c r="F60" t="s">
        <v>12</v>
      </c>
      <c r="G60" t="s">
        <v>14</v>
      </c>
      <c r="H60" t="s">
        <v>16</v>
      </c>
      <c r="I60" t="s">
        <v>125</v>
      </c>
      <c r="J60" t="s">
        <v>34</v>
      </c>
      <c r="K60" t="s">
        <v>29</v>
      </c>
      <c r="L60" t="s">
        <v>110</v>
      </c>
      <c r="M60" t="s">
        <v>76</v>
      </c>
    </row>
    <row r="61" spans="2:13" x14ac:dyDescent="0.2">
      <c r="B61" s="98" t="s">
        <v>133</v>
      </c>
      <c r="C61" t="s">
        <v>80</v>
      </c>
      <c r="D61" s="5">
        <v>9580</v>
      </c>
      <c r="E61" s="5">
        <v>5880</v>
      </c>
      <c r="F61" s="5">
        <v>10080</v>
      </c>
      <c r="G61" s="5">
        <v>6080</v>
      </c>
      <c r="H61" s="5">
        <v>5880</v>
      </c>
      <c r="I61" s="5">
        <v>11080</v>
      </c>
      <c r="J61" s="5">
        <v>11080</v>
      </c>
      <c r="K61" s="5">
        <v>6580</v>
      </c>
      <c r="L61" s="5">
        <v>6180</v>
      </c>
      <c r="M61" s="5">
        <v>11080</v>
      </c>
    </row>
    <row r="62" spans="2:13" x14ac:dyDescent="0.2">
      <c r="B62" s="98"/>
      <c r="C62" t="s">
        <v>81</v>
      </c>
      <c r="D62" s="5">
        <f ca="1">ROUNDUP((1+RAND())*D$61,-2)</f>
        <v>15400</v>
      </c>
      <c r="E62" s="5">
        <f t="shared" ref="E62:M74" ca="1" si="5">ROUNDUP((1+RAND())*E$61,-2)</f>
        <v>6400</v>
      </c>
      <c r="F62" s="5">
        <f t="shared" ca="1" si="5"/>
        <v>18500</v>
      </c>
      <c r="G62" s="5">
        <f t="shared" ca="1" si="5"/>
        <v>11400</v>
      </c>
      <c r="H62" s="5">
        <f t="shared" ca="1" si="5"/>
        <v>10600</v>
      </c>
      <c r="I62" s="5">
        <f t="shared" ca="1" si="5"/>
        <v>20700</v>
      </c>
      <c r="J62" s="5">
        <f t="shared" ca="1" si="5"/>
        <v>15500</v>
      </c>
      <c r="K62" s="5">
        <f t="shared" ca="1" si="5"/>
        <v>11500</v>
      </c>
      <c r="L62" s="5">
        <f t="shared" ca="1" si="5"/>
        <v>11000</v>
      </c>
      <c r="M62" s="5">
        <f t="shared" ca="1" si="5"/>
        <v>13100</v>
      </c>
    </row>
    <row r="63" spans="2:13" x14ac:dyDescent="0.2">
      <c r="B63" s="98"/>
      <c r="C63" t="s">
        <v>82</v>
      </c>
      <c r="D63" s="5">
        <f t="shared" ref="D63:D74" ca="1" si="6">ROUNDUP((1+RAND())*D$61,-2)</f>
        <v>17700</v>
      </c>
      <c r="E63" s="5">
        <f t="shared" ca="1" si="5"/>
        <v>6000</v>
      </c>
      <c r="F63" s="5">
        <f t="shared" ca="1" si="5"/>
        <v>12700</v>
      </c>
      <c r="G63" s="5">
        <f t="shared" ca="1" si="5"/>
        <v>6400</v>
      </c>
      <c r="H63" s="5">
        <f t="shared" ca="1" si="5"/>
        <v>8800</v>
      </c>
      <c r="I63" s="5">
        <f t="shared" ca="1" si="5"/>
        <v>15500</v>
      </c>
      <c r="J63" s="5">
        <f t="shared" ca="1" si="5"/>
        <v>17100</v>
      </c>
      <c r="K63" s="5">
        <f t="shared" ca="1" si="5"/>
        <v>12600</v>
      </c>
      <c r="L63" s="5">
        <f t="shared" ca="1" si="5"/>
        <v>12200</v>
      </c>
      <c r="M63" s="5">
        <f t="shared" ca="1" si="5"/>
        <v>14900</v>
      </c>
    </row>
    <row r="64" spans="2:13" x14ac:dyDescent="0.2">
      <c r="B64" s="98"/>
      <c r="C64" t="s">
        <v>83</v>
      </c>
      <c r="D64" s="5">
        <f t="shared" ca="1" si="6"/>
        <v>17100</v>
      </c>
      <c r="E64" s="5">
        <f t="shared" ca="1" si="5"/>
        <v>6200</v>
      </c>
      <c r="F64" s="5">
        <f t="shared" ca="1" si="5"/>
        <v>19600</v>
      </c>
      <c r="G64" s="5">
        <f t="shared" ca="1" si="5"/>
        <v>8600</v>
      </c>
      <c r="H64" s="5">
        <f t="shared" ca="1" si="5"/>
        <v>10400</v>
      </c>
      <c r="I64" s="5">
        <f t="shared" ca="1" si="5"/>
        <v>11300</v>
      </c>
      <c r="J64" s="5">
        <f t="shared" ca="1" si="5"/>
        <v>12400</v>
      </c>
      <c r="K64" s="5">
        <f t="shared" ca="1" si="5"/>
        <v>9000</v>
      </c>
      <c r="L64" s="5">
        <f t="shared" ca="1" si="5"/>
        <v>9300</v>
      </c>
      <c r="M64" s="5">
        <f t="shared" ca="1" si="5"/>
        <v>21600</v>
      </c>
    </row>
    <row r="65" spans="2:13" x14ac:dyDescent="0.2">
      <c r="B65" s="98"/>
      <c r="C65" t="s">
        <v>84</v>
      </c>
      <c r="D65" s="5">
        <f t="shared" ca="1" si="6"/>
        <v>15400</v>
      </c>
      <c r="E65" s="5">
        <f t="shared" ca="1" si="5"/>
        <v>8400</v>
      </c>
      <c r="F65" s="5">
        <f t="shared" ca="1" si="5"/>
        <v>17000</v>
      </c>
      <c r="G65" s="5">
        <f t="shared" ca="1" si="5"/>
        <v>6300</v>
      </c>
      <c r="H65" s="5">
        <f t="shared" ca="1" si="5"/>
        <v>6500</v>
      </c>
      <c r="I65" s="5">
        <f t="shared" ca="1" si="5"/>
        <v>20900</v>
      </c>
      <c r="J65" s="5">
        <f t="shared" ca="1" si="5"/>
        <v>18000</v>
      </c>
      <c r="K65" s="5">
        <f t="shared" ca="1" si="5"/>
        <v>12400</v>
      </c>
      <c r="L65" s="5">
        <f t="shared" ca="1" si="5"/>
        <v>6600</v>
      </c>
      <c r="M65" s="5">
        <f t="shared" ca="1" si="5"/>
        <v>13200</v>
      </c>
    </row>
    <row r="66" spans="2:13" x14ac:dyDescent="0.2">
      <c r="B66" s="98"/>
      <c r="C66" t="s">
        <v>85</v>
      </c>
      <c r="D66" s="5">
        <f t="shared" ca="1" si="6"/>
        <v>10500</v>
      </c>
      <c r="E66" s="5">
        <f t="shared" ca="1" si="5"/>
        <v>8200</v>
      </c>
      <c r="F66" s="5">
        <f t="shared" ca="1" si="5"/>
        <v>11700</v>
      </c>
      <c r="G66" s="5">
        <f t="shared" ca="1" si="5"/>
        <v>9500</v>
      </c>
      <c r="H66" s="5">
        <f t="shared" ca="1" si="5"/>
        <v>8700</v>
      </c>
      <c r="I66" s="5">
        <f t="shared" ca="1" si="5"/>
        <v>19200</v>
      </c>
      <c r="J66" s="5">
        <f t="shared" ca="1" si="5"/>
        <v>14200</v>
      </c>
      <c r="K66" s="5">
        <f t="shared" ca="1" si="5"/>
        <v>7700</v>
      </c>
      <c r="L66" s="5">
        <f t="shared" ca="1" si="5"/>
        <v>8600</v>
      </c>
      <c r="M66" s="5">
        <f t="shared" ca="1" si="5"/>
        <v>20300</v>
      </c>
    </row>
    <row r="67" spans="2:13" x14ac:dyDescent="0.2">
      <c r="B67" s="98"/>
      <c r="C67" t="s">
        <v>86</v>
      </c>
      <c r="D67" s="5">
        <f t="shared" ca="1" si="6"/>
        <v>10600</v>
      </c>
      <c r="E67" s="5">
        <f t="shared" ca="1" si="5"/>
        <v>10700</v>
      </c>
      <c r="F67" s="5">
        <f t="shared" ca="1" si="5"/>
        <v>14000</v>
      </c>
      <c r="G67" s="5">
        <f t="shared" ca="1" si="5"/>
        <v>12000</v>
      </c>
      <c r="H67" s="5">
        <f t="shared" ca="1" si="5"/>
        <v>8300</v>
      </c>
      <c r="I67" s="5">
        <f t="shared" ca="1" si="5"/>
        <v>19600</v>
      </c>
      <c r="J67" s="5">
        <f t="shared" ca="1" si="5"/>
        <v>13700</v>
      </c>
      <c r="K67" s="5">
        <f t="shared" ca="1" si="5"/>
        <v>7200</v>
      </c>
      <c r="L67" s="5">
        <f t="shared" ca="1" si="5"/>
        <v>11400</v>
      </c>
      <c r="M67" s="5">
        <f t="shared" ca="1" si="5"/>
        <v>17300</v>
      </c>
    </row>
    <row r="68" spans="2:13" x14ac:dyDescent="0.2">
      <c r="B68" s="98"/>
      <c r="C68" t="s">
        <v>87</v>
      </c>
      <c r="D68" s="5">
        <f t="shared" ca="1" si="6"/>
        <v>13800</v>
      </c>
      <c r="E68" s="5">
        <f t="shared" ca="1" si="5"/>
        <v>11400</v>
      </c>
      <c r="F68" s="5">
        <f t="shared" ca="1" si="5"/>
        <v>11800</v>
      </c>
      <c r="G68" s="5">
        <f t="shared" ca="1" si="5"/>
        <v>7000</v>
      </c>
      <c r="H68" s="5">
        <f t="shared" ca="1" si="5"/>
        <v>10500</v>
      </c>
      <c r="I68" s="5">
        <f t="shared" ca="1" si="5"/>
        <v>16500</v>
      </c>
      <c r="J68" s="5">
        <f t="shared" ca="1" si="5"/>
        <v>20600</v>
      </c>
      <c r="K68" s="5">
        <f t="shared" ca="1" si="5"/>
        <v>9800</v>
      </c>
      <c r="L68" s="5">
        <f t="shared" ca="1" si="5"/>
        <v>8400</v>
      </c>
      <c r="M68" s="5">
        <f t="shared" ca="1" si="5"/>
        <v>21900</v>
      </c>
    </row>
    <row r="69" spans="2:13" x14ac:dyDescent="0.2">
      <c r="B69" s="98"/>
      <c r="C69" t="s">
        <v>88</v>
      </c>
      <c r="D69" s="5">
        <f t="shared" ca="1" si="6"/>
        <v>13700</v>
      </c>
      <c r="E69" s="5">
        <f t="shared" ca="1" si="5"/>
        <v>11600</v>
      </c>
      <c r="F69" s="5">
        <f t="shared" ca="1" si="5"/>
        <v>18800</v>
      </c>
      <c r="G69" s="5">
        <f t="shared" ca="1" si="5"/>
        <v>10800</v>
      </c>
      <c r="H69" s="5">
        <f t="shared" ca="1" si="5"/>
        <v>9400</v>
      </c>
      <c r="I69" s="5">
        <f t="shared" ca="1" si="5"/>
        <v>16000</v>
      </c>
      <c r="J69" s="5">
        <f t="shared" ca="1" si="5"/>
        <v>11800</v>
      </c>
      <c r="K69" s="5">
        <f t="shared" ca="1" si="5"/>
        <v>11000</v>
      </c>
      <c r="L69" s="5">
        <f t="shared" ca="1" si="5"/>
        <v>10000</v>
      </c>
      <c r="M69" s="5">
        <f t="shared" ca="1" si="5"/>
        <v>21100</v>
      </c>
    </row>
    <row r="70" spans="2:13" x14ac:dyDescent="0.2">
      <c r="B70" s="98"/>
      <c r="C70" t="s">
        <v>89</v>
      </c>
      <c r="D70" s="5">
        <f t="shared" ca="1" si="6"/>
        <v>15200</v>
      </c>
      <c r="E70" s="5">
        <f t="shared" ca="1" si="5"/>
        <v>6700</v>
      </c>
      <c r="F70" s="5">
        <f t="shared" ca="1" si="5"/>
        <v>14100</v>
      </c>
      <c r="G70" s="5">
        <f t="shared" ca="1" si="5"/>
        <v>11100</v>
      </c>
      <c r="H70" s="5">
        <f t="shared" ca="1" si="5"/>
        <v>10500</v>
      </c>
      <c r="I70" s="5">
        <f t="shared" ca="1" si="5"/>
        <v>20700</v>
      </c>
      <c r="J70" s="5">
        <f t="shared" ca="1" si="5"/>
        <v>22000</v>
      </c>
      <c r="K70" s="5">
        <f t="shared" ca="1" si="5"/>
        <v>8600</v>
      </c>
      <c r="L70" s="5">
        <f t="shared" ca="1" si="5"/>
        <v>8900</v>
      </c>
      <c r="M70" s="5">
        <f t="shared" ca="1" si="5"/>
        <v>19500</v>
      </c>
    </row>
    <row r="71" spans="2:13" x14ac:dyDescent="0.2">
      <c r="B71" s="98"/>
      <c r="C71" t="s">
        <v>90</v>
      </c>
      <c r="D71" s="5">
        <f t="shared" ca="1" si="6"/>
        <v>17400</v>
      </c>
      <c r="E71" s="5">
        <f t="shared" ca="1" si="5"/>
        <v>7500</v>
      </c>
      <c r="F71" s="5">
        <f t="shared" ca="1" si="5"/>
        <v>19300</v>
      </c>
      <c r="G71" s="5">
        <f t="shared" ca="1" si="5"/>
        <v>6900</v>
      </c>
      <c r="H71" s="5">
        <f t="shared" ca="1" si="5"/>
        <v>9200</v>
      </c>
      <c r="I71" s="5">
        <f t="shared" ca="1" si="5"/>
        <v>11800</v>
      </c>
      <c r="J71" s="5">
        <f t="shared" ca="1" si="5"/>
        <v>21900</v>
      </c>
      <c r="K71" s="5">
        <f t="shared" ca="1" si="5"/>
        <v>12300</v>
      </c>
      <c r="L71" s="5">
        <f t="shared" ca="1" si="5"/>
        <v>11500</v>
      </c>
      <c r="M71" s="5">
        <f t="shared" ca="1" si="5"/>
        <v>16300</v>
      </c>
    </row>
    <row r="72" spans="2:13" x14ac:dyDescent="0.2">
      <c r="B72" s="98"/>
      <c r="C72" t="s">
        <v>91</v>
      </c>
      <c r="D72" s="5">
        <f t="shared" ca="1" si="6"/>
        <v>13300</v>
      </c>
      <c r="E72" s="5">
        <f t="shared" ca="1" si="5"/>
        <v>10400</v>
      </c>
      <c r="F72" s="5">
        <f t="shared" ca="1" si="5"/>
        <v>12100</v>
      </c>
      <c r="G72" s="5">
        <f t="shared" ca="1" si="5"/>
        <v>8700</v>
      </c>
      <c r="H72" s="5">
        <f t="shared" ca="1" si="5"/>
        <v>8000</v>
      </c>
      <c r="I72" s="5">
        <f t="shared" ca="1" si="5"/>
        <v>22100</v>
      </c>
      <c r="J72" s="5">
        <f t="shared" ca="1" si="5"/>
        <v>20300</v>
      </c>
      <c r="K72" s="5">
        <f t="shared" ca="1" si="5"/>
        <v>7400</v>
      </c>
      <c r="L72" s="5">
        <f t="shared" ca="1" si="5"/>
        <v>12400</v>
      </c>
      <c r="M72" s="5">
        <f t="shared" ca="1" si="5"/>
        <v>12500</v>
      </c>
    </row>
    <row r="73" spans="2:13" x14ac:dyDescent="0.2">
      <c r="B73" s="98"/>
      <c r="C73" t="s">
        <v>92</v>
      </c>
      <c r="D73" s="5">
        <f t="shared" ca="1" si="6"/>
        <v>11100</v>
      </c>
      <c r="E73" s="5">
        <f t="shared" ca="1" si="5"/>
        <v>10900</v>
      </c>
      <c r="F73" s="5">
        <f t="shared" ca="1" si="5"/>
        <v>13200</v>
      </c>
      <c r="G73" s="5">
        <f t="shared" ca="1" si="5"/>
        <v>12100</v>
      </c>
      <c r="H73" s="5">
        <f t="shared" ca="1" si="5"/>
        <v>11100</v>
      </c>
      <c r="I73" s="5">
        <f t="shared" ca="1" si="5"/>
        <v>12500</v>
      </c>
      <c r="J73" s="5">
        <f t="shared" ca="1" si="5"/>
        <v>12200</v>
      </c>
      <c r="K73" s="5">
        <f t="shared" ca="1" si="5"/>
        <v>12100</v>
      </c>
      <c r="L73" s="5">
        <f t="shared" ca="1" si="5"/>
        <v>7300</v>
      </c>
      <c r="M73" s="5">
        <f t="shared" ca="1" si="5"/>
        <v>12600</v>
      </c>
    </row>
    <row r="74" spans="2:13" x14ac:dyDescent="0.2">
      <c r="B74" s="98"/>
      <c r="C74" t="s">
        <v>93</v>
      </c>
      <c r="D74" s="5">
        <f t="shared" ca="1" si="6"/>
        <v>17500</v>
      </c>
      <c r="E74" s="5">
        <f t="shared" ca="1" si="5"/>
        <v>6300</v>
      </c>
      <c r="F74" s="5">
        <f t="shared" ca="1" si="5"/>
        <v>15700</v>
      </c>
      <c r="G74" s="5">
        <f t="shared" ca="1" si="5"/>
        <v>6300</v>
      </c>
      <c r="H74" s="5">
        <f t="shared" ca="1" si="5"/>
        <v>7300</v>
      </c>
      <c r="I74" s="5">
        <f t="shared" ca="1" si="5"/>
        <v>15400</v>
      </c>
      <c r="J74" s="5">
        <f t="shared" ca="1" si="5"/>
        <v>21400</v>
      </c>
      <c r="K74" s="5">
        <f t="shared" ca="1" si="5"/>
        <v>11100</v>
      </c>
      <c r="L74" s="5">
        <f t="shared" ca="1" si="5"/>
        <v>11900</v>
      </c>
      <c r="M74" s="5">
        <f t="shared" ca="1" si="5"/>
        <v>19500</v>
      </c>
    </row>
  </sheetData>
  <mergeCells count="4">
    <mergeCell ref="B6:B19"/>
    <mergeCell ref="B25:B38"/>
    <mergeCell ref="B43:B56"/>
    <mergeCell ref="B61:B7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D19" sqref="D19"/>
    </sheetView>
  </sheetViews>
  <sheetFormatPr defaultRowHeight="12.75" x14ac:dyDescent="0.2"/>
  <cols>
    <col min="1" max="1" width="12" bestFit="1" customWidth="1"/>
    <col min="2" max="2" width="19.42578125" bestFit="1" customWidth="1"/>
    <col min="4" max="4" width="13.85546875" customWidth="1"/>
    <col min="5" max="5" width="18" bestFit="1" customWidth="1"/>
    <col min="7" max="7" width="12" bestFit="1" customWidth="1"/>
    <col min="8" max="8" width="17.28515625" bestFit="1" customWidth="1"/>
    <col min="9" max="9" width="14.85546875" customWidth="1"/>
    <col min="10" max="10" width="21.7109375" bestFit="1" customWidth="1"/>
    <col min="11" max="11" width="19.5703125" bestFit="1" customWidth="1"/>
  </cols>
  <sheetData>
    <row r="1" spans="1:9" x14ac:dyDescent="0.2">
      <c r="A1" s="77" t="s">
        <v>166</v>
      </c>
      <c r="B1" s="79" t="s">
        <v>168</v>
      </c>
      <c r="D1" s="77" t="s">
        <v>166</v>
      </c>
      <c r="E1" s="79" t="s">
        <v>170</v>
      </c>
      <c r="G1" s="77" t="s">
        <v>156</v>
      </c>
      <c r="H1" t="s">
        <v>171</v>
      </c>
      <c r="I1" t="s">
        <v>169</v>
      </c>
    </row>
    <row r="2" spans="1:9" x14ac:dyDescent="0.2">
      <c r="A2" s="78" t="s">
        <v>13</v>
      </c>
      <c r="B2" s="80">
        <v>40317.947815780419</v>
      </c>
      <c r="D2" s="78" t="s">
        <v>21</v>
      </c>
      <c r="E2" s="80">
        <v>105717.37720440095</v>
      </c>
      <c r="G2" s="78" t="s">
        <v>13</v>
      </c>
      <c r="H2" s="3">
        <v>76300</v>
      </c>
      <c r="I2" s="80">
        <v>2289538.4344734116</v>
      </c>
    </row>
    <row r="3" spans="1:9" x14ac:dyDescent="0.2">
      <c r="A3" s="78" t="s">
        <v>9</v>
      </c>
      <c r="B3" s="80">
        <v>65919.550897008303</v>
      </c>
      <c r="D3" s="78" t="s">
        <v>167</v>
      </c>
      <c r="E3" s="80">
        <v>105717.37720440095</v>
      </c>
      <c r="G3" s="78" t="s">
        <v>19</v>
      </c>
      <c r="H3" s="3">
        <v>56000</v>
      </c>
      <c r="I3" s="80">
        <v>1622920.675318361</v>
      </c>
    </row>
    <row r="4" spans="1:9" x14ac:dyDescent="0.2">
      <c r="A4" s="78" t="s">
        <v>19</v>
      </c>
      <c r="B4" s="80">
        <v>37769.121605380045</v>
      </c>
      <c r="G4" s="78" t="s">
        <v>9</v>
      </c>
      <c r="H4" s="3">
        <v>28000</v>
      </c>
      <c r="I4" s="80">
        <v>1121115.0598670912</v>
      </c>
    </row>
    <row r="5" spans="1:9" x14ac:dyDescent="0.2">
      <c r="A5" s="78" t="s">
        <v>167</v>
      </c>
      <c r="B5" s="80">
        <v>43898.002692997848</v>
      </c>
      <c r="G5" s="78" t="s">
        <v>167</v>
      </c>
      <c r="H5" s="3">
        <v>160300</v>
      </c>
      <c r="I5" s="80">
        <v>5033574.1696588639</v>
      </c>
    </row>
    <row r="6" spans="1:9" x14ac:dyDescent="0.2">
      <c r="A6" s="78"/>
      <c r="B6" s="80"/>
      <c r="G6" s="78"/>
      <c r="H6" s="3"/>
      <c r="I6" s="80"/>
    </row>
    <row r="7" spans="1:9" x14ac:dyDescent="0.2">
      <c r="A7" s="78"/>
      <c r="B7" s="80"/>
      <c r="G7" s="78"/>
      <c r="H7" s="3"/>
      <c r="I7" s="80"/>
    </row>
    <row r="8" spans="1:9" x14ac:dyDescent="0.2">
      <c r="A8" s="78"/>
      <c r="B8" s="80"/>
      <c r="G8" s="78"/>
      <c r="H8" s="3"/>
      <c r="I8" s="80"/>
    </row>
    <row r="9" spans="1:9" x14ac:dyDescent="0.2">
      <c r="A9" s="78"/>
      <c r="B9" s="80"/>
      <c r="G9" s="81" t="s">
        <v>156</v>
      </c>
      <c r="H9" s="81" t="s">
        <v>171</v>
      </c>
      <c r="I9" s="81" t="s">
        <v>169</v>
      </c>
    </row>
    <row r="10" spans="1:9" x14ac:dyDescent="0.2">
      <c r="A10" s="78"/>
      <c r="B10" s="80"/>
      <c r="G10" s="82" t="s">
        <v>13</v>
      </c>
      <c r="H10" s="5">
        <v>76300</v>
      </c>
      <c r="I10" s="83">
        <v>2289538.4344734116</v>
      </c>
    </row>
    <row r="11" spans="1:9" x14ac:dyDescent="0.2">
      <c r="G11" s="82" t="s">
        <v>19</v>
      </c>
      <c r="H11" s="5">
        <v>56000</v>
      </c>
      <c r="I11" s="91">
        <v>1622920.675318361</v>
      </c>
    </row>
    <row r="12" spans="1:9" x14ac:dyDescent="0.2">
      <c r="G12" s="82" t="s">
        <v>9</v>
      </c>
      <c r="H12" s="5">
        <v>28000</v>
      </c>
      <c r="I12" s="83">
        <v>1121115.0598670912</v>
      </c>
    </row>
    <row r="15" spans="1:9" x14ac:dyDescent="0.2">
      <c r="E15" s="93"/>
    </row>
    <row r="16" spans="1:9" x14ac:dyDescent="0.2">
      <c r="G16" s="81" t="s">
        <v>156</v>
      </c>
      <c r="H16" s="81" t="s">
        <v>171</v>
      </c>
      <c r="I16" s="81" t="s">
        <v>169</v>
      </c>
    </row>
    <row r="17" spans="5:11" x14ac:dyDescent="0.2">
      <c r="G17" s="82" t="s">
        <v>13</v>
      </c>
      <c r="H17" s="5">
        <v>76300</v>
      </c>
      <c r="I17" s="83">
        <v>2289538.4344734116</v>
      </c>
      <c r="J17" s="87"/>
      <c r="K17" s="87"/>
    </row>
    <row r="18" spans="5:11" x14ac:dyDescent="0.2">
      <c r="E18" s="84"/>
      <c r="G18" s="82" t="s">
        <v>9</v>
      </c>
      <c r="H18" s="5">
        <v>56000</v>
      </c>
      <c r="I18" s="91">
        <f>1121115.05986709*2</f>
        <v>2242230.1197341802</v>
      </c>
      <c r="J18" s="92"/>
      <c r="K18" s="88"/>
    </row>
    <row r="19" spans="5:11" x14ac:dyDescent="0.2">
      <c r="G19" s="82" t="s">
        <v>19</v>
      </c>
      <c r="H19" s="5">
        <v>56000</v>
      </c>
      <c r="I19" s="83">
        <v>1622920.675318361</v>
      </c>
      <c r="J19" s="88"/>
      <c r="K19" s="88"/>
    </row>
    <row r="20" spans="5:11" x14ac:dyDescent="0.2">
      <c r="G20" s="89"/>
      <c r="H20" s="90"/>
      <c r="I20" s="91"/>
      <c r="J20" s="88"/>
      <c r="K20" s="88"/>
    </row>
    <row r="21" spans="5:11" x14ac:dyDescent="0.2">
      <c r="G21" s="84"/>
      <c r="H21" s="85"/>
      <c r="I21" s="86"/>
      <c r="J21" s="88"/>
      <c r="K21" s="88"/>
    </row>
    <row r="22" spans="5:11" x14ac:dyDescent="0.2">
      <c r="J22" s="88"/>
      <c r="K22" s="88"/>
    </row>
    <row r="23" spans="5:11" x14ac:dyDescent="0.2">
      <c r="G23" s="81" t="s">
        <v>156</v>
      </c>
      <c r="H23" s="81" t="s">
        <v>171</v>
      </c>
      <c r="I23" s="81" t="s">
        <v>169</v>
      </c>
      <c r="J23" s="87"/>
      <c r="K23" s="87"/>
    </row>
    <row r="24" spans="5:11" x14ac:dyDescent="0.2">
      <c r="G24" s="82" t="s">
        <v>9</v>
      </c>
      <c r="H24" s="5">
        <v>76300</v>
      </c>
      <c r="I24" s="83">
        <f>(1121115.05986709*2.725)</f>
        <v>3055038.5381378205</v>
      </c>
      <c r="J24" s="88"/>
      <c r="K24" s="88"/>
    </row>
    <row r="25" spans="5:11" x14ac:dyDescent="0.2">
      <c r="G25" s="82" t="s">
        <v>13</v>
      </c>
      <c r="H25" s="5">
        <v>76300</v>
      </c>
      <c r="I25" s="83">
        <v>2289538.4344734116</v>
      </c>
      <c r="J25" s="88"/>
      <c r="K25" s="88"/>
    </row>
    <row r="26" spans="5:11" x14ac:dyDescent="0.2">
      <c r="E26" s="84"/>
      <c r="G26" s="82" t="s">
        <v>19</v>
      </c>
      <c r="H26" s="5">
        <v>56000</v>
      </c>
      <c r="I26" s="83">
        <v>1622920.675318361</v>
      </c>
      <c r="J26" s="88"/>
      <c r="K26" s="88"/>
    </row>
    <row r="27" spans="5:11" x14ac:dyDescent="0.2">
      <c r="G27" s="84"/>
      <c r="H27" s="85"/>
      <c r="I27" s="86"/>
    </row>
    <row r="29" spans="5:11" x14ac:dyDescent="0.2">
      <c r="E29" s="84"/>
    </row>
    <row r="30" spans="5:11" x14ac:dyDescent="0.2">
      <c r="H30" s="86"/>
    </row>
  </sheetData>
  <pageMargins left="0.7" right="0.7" top="0.75" bottom="0.75" header="0.3" footer="0.3"/>
  <pageSetup orientation="portrait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D A A B Q S w M E F A A C A A g A 1 p W N V h O D J e K p A A A A + A A A A B I A H A B D b 2 5 m a W c v U G F j a 2 F n Z S 5 4 b W w g o h g A K K A U A A A A A A A A A A A A A A A A A A A A A A A A A A A A h Y 9 L C s I w G I T 3 g n c o 2 T c v w U f 5 m y 5 c C V Y E Q d y G N r T B N p U m N b 2 b C 4 / k F a z 4 3 L m c j w 9 m 5 n a 5 Q t L X V X B W r d W N i R H D F A X W S Z P L q j E q R q Z B i R i P Y C u z o y x U M N j G R r 3 N Y 1 Q 6 d 4 o I 8 d 5 j P 8 F N W x B O K S O H d L 3 L S l V L 9 J H 1 f z n U 5 l G b K S R g / 1 w j O G Z s h q c L N s c c y J t C q s 3 X 4 M N i T I H 8 Q F h 2 l e t a J Z Q J V x s g 7 w j k d U L c A V B L A w Q U A A I A C A D W l Y 1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p W N V i i K R 7 g O A A A A E Q A A A B M A H A B G b 3 J t d W x h c y 9 T Z W N 0 a W 9 u M S 5 t I K I Y A C i g F A A A A A A A A A A A A A A A A A A A A A A A A A A A A C t O T S 7 J z M 9 T C I b Q h t Y A U E s B A i 0 A F A A C A A g A 1 p W N V h O D J e K p A A A A + A A A A B I A A A A A A A A A A A A A A A A A A A A A A E N v b m Z p Z y 9 Q Y W N r Y W d l L n h t b F B L A Q I t A B Q A A g A I A N a V j V Z T c j g s m w A A A O E A A A A T A A A A A A A A A A A A A A A A A P U A A A B b Q 2 9 u d G V u d F 9 U e X B l c 1 0 u e G 1 s U E s B A i 0 A F A A C A A g A 1 p W N V i i K R 7 g O A A A A E Q A A A B M A A A A A A A A A A A A A A A A A 3 Q E A A E Z v c m 1 1 b G F z L 1 N l Y 3 R p b 2 4 x L m 1 Q S w U G A A A A A A M A A w D C A A A A O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p U a H k Y l 0 S p 3 w i M B 5 j e J r A A A A A A I A A A A A A B B m A A A A A Q A A I A A A A J 0 N M e S 8 X C x W 4 C 5 P z X B U s 9 P A z q a 9 v O c T 0 6 e x J q q K n R E 2 A A A A A A 6 A A A A A A g A A I A A A A L A 6 2 B H b J y e r p G P v 2 Z e 1 Z D b 0 8 p r U u l 3 + 3 0 Q o T 2 X L C P Y f U A A A A H M V v a 0 7 C Y r W o e u 0 H I W 5 X + K z C + b i y k d H f F C C t 5 y f u U G x 3 j k 9 F 2 e m I Y J E w T Q f j u 0 b o S N H B z q p U 9 G t z / X O 7 + k b C u h e 3 t 2 j / j / c 6 3 / 5 U k f s N k i u Q A A A A B g x B 7 S Y d z T u h w b v B F 3 D 6 b D h 8 A I K F t H H b a U o O y c q U a v e V 8 O V t Q t A d f w 7 t 6 H e c u 0 0 P R v K m n W J h R A l g r p H I S N B y o U = < / D a t a M a s h u p > 
</file>

<file path=customXml/itemProps1.xml><?xml version="1.0" encoding="utf-8"?>
<ds:datastoreItem xmlns:ds="http://schemas.openxmlformats.org/officeDocument/2006/customXml" ds:itemID="{33B3920A-D349-4254-8474-D8A0C626F9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partner_vehicles_form_AMD</vt:lpstr>
      <vt:lpstr>cost_base</vt:lpstr>
      <vt:lpstr>AMD_OU_Data</vt:lpstr>
      <vt:lpstr>AMD_EMI_Data</vt:lpstr>
      <vt:lpstr>vehicle_mapping</vt:lpstr>
      <vt:lpstr>rough</vt:lpstr>
      <vt:lpstr>Pivot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Aritra Basu</cp:lastModifiedBy>
  <dcterms:created xsi:type="dcterms:W3CDTF">2023-03-20T10:52:34Z</dcterms:created>
  <dcterms:modified xsi:type="dcterms:W3CDTF">2023-06-23T01:53:22Z</dcterms:modified>
</cp:coreProperties>
</file>